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joewlos/Documents/cat5/"/>
    </mc:Choice>
  </mc:AlternateContent>
  <xr:revisionPtr revIDLastSave="0" documentId="13_ncr:1_{36F0FB48-D598-574D-A6DA-5A4630144A5B}" xr6:coauthVersionLast="47" xr6:coauthVersionMax="47" xr10:uidLastSave="{00000000-0000-0000-0000-000000000000}"/>
  <bookViews>
    <workbookView xWindow="0" yWindow="760" windowWidth="30240" windowHeight="18880" tabRatio="934" activeTab="3" xr2:uid="{00000000-000D-0000-FFFF-FFFF00000000}"/>
  </bookViews>
  <sheets>
    <sheet name="Instructions" sheetId="43" r:id="rId1"/>
    <sheet name="Settings" sheetId="38" r:id="rId2"/>
    <sheet name="POS Actual" sheetId="57" r:id="rId3"/>
    <sheet name="POS Tiers" sheetId="58" r:id="rId4"/>
    <sheet name="POS Ranks" sheetId="44" r:id="rId5"/>
    <sheet name="OVR &amp; VORP Ranks" sheetId="48" r:id="rId6"/>
    <sheet name="Ranks w Proj" sheetId="54" r:id="rId7"/>
    <sheet name="Jake's Ranks" sheetId="55" r:id="rId8"/>
    <sheet name="ARI" sheetId="32" r:id="rId9"/>
    <sheet name="ATL" sheetId="4" r:id="rId10"/>
    <sheet name="BAL" sheetId="5" r:id="rId11"/>
    <sheet name="BUF" sheetId="6" r:id="rId12"/>
    <sheet name="CAR" sheetId="1" r:id="rId13"/>
    <sheet name="CHI" sheetId="7" r:id="rId14"/>
    <sheet name="CIN" sheetId="8" r:id="rId15"/>
    <sheet name="CLE" sheetId="9" r:id="rId16"/>
    <sheet name="DAL" sheetId="10" r:id="rId17"/>
    <sheet name="DEN" sheetId="11" r:id="rId18"/>
    <sheet name="DET" sheetId="12" r:id="rId19"/>
    <sheet name="GB" sheetId="13" r:id="rId20"/>
    <sheet name="HOU" sheetId="14" r:id="rId21"/>
    <sheet name="IND" sheetId="15" r:id="rId22"/>
    <sheet name="JAX" sheetId="16" r:id="rId23"/>
    <sheet name="KC" sheetId="17" r:id="rId24"/>
    <sheet name="LV" sheetId="25" r:id="rId25"/>
    <sheet name="LAC" sheetId="3" r:id="rId26"/>
    <sheet name="LAR" sheetId="18" r:id="rId27"/>
    <sheet name="MIA" sheetId="19" r:id="rId28"/>
    <sheet name="MIN" sheetId="20" r:id="rId29"/>
    <sheet name="NE" sheetId="21" r:id="rId30"/>
    <sheet name="NO" sheetId="22" r:id="rId31"/>
    <sheet name="NYG" sheetId="23" r:id="rId32"/>
    <sheet name="NYJ" sheetId="24" r:id="rId33"/>
    <sheet name="PHI" sheetId="26" r:id="rId34"/>
    <sheet name="PIT" sheetId="27" r:id="rId35"/>
    <sheet name="SF" sheetId="2" r:id="rId36"/>
    <sheet name="SEA" sheetId="28" r:id="rId37"/>
    <sheet name="TB" sheetId="29" r:id="rId38"/>
    <sheet name="TEN" sheetId="30" r:id="rId39"/>
    <sheet name="WSH" sheetId="31" r:id="rId40"/>
    <sheet name="DST" sheetId="37" r:id="rId41"/>
    <sheet name="Calculated Points" sheetId="47" state="hidden" r:id="rId42"/>
    <sheet name="Rankings" sheetId="56" state="hidden" r:id="rId43"/>
    <sheet name="QB" sheetId="33" state="hidden" r:id="rId44"/>
    <sheet name="RB" sheetId="36" state="hidden" r:id="rId45"/>
    <sheet name="WR" sheetId="35" state="hidden" r:id="rId46"/>
    <sheet name="TE" sheetId="34" state="hidden" r:id="rId47"/>
    <sheet name="DST1" sheetId="46" state="hidden" r:id="rId48"/>
  </sheets>
  <externalReferences>
    <externalReference r:id="rId49"/>
  </externalReferences>
  <definedNames>
    <definedName name="_xlnm._FilterDatabase" localSheetId="2" hidden="1">'POS Actual'!$A$1:$U$401</definedName>
    <definedName name="COMPLETIONS" localSheetId="41">[1]Settings!$B$3</definedName>
    <definedName name="COMPLETIONS" localSheetId="5">[1]Settings!$B$3</definedName>
    <definedName name="COMPLETIONS">Settings!$B$3</definedName>
    <definedName name="DEF_0_PTS_ALLOW">Settings!$B$22</definedName>
    <definedName name="DEF_1_6_PTS_ALLOW">Settings!$B$23</definedName>
    <definedName name="DEF_14_21_PTS_ALLOW">Settings!$B$25</definedName>
    <definedName name="DEF_22_27_PTS_ALLOW">Settings!$B$26</definedName>
    <definedName name="DEF_28_35_PTS_ALLOW">Settings!$B$27</definedName>
    <definedName name="DEF_35__PTS_ALLOW">Settings!$B$28</definedName>
    <definedName name="DEF_7_13_PTS_ALLOW">Settings!$B$24</definedName>
    <definedName name="DEF_FORCE_FUMBLE">Settings!$B$18</definedName>
    <definedName name="DEF_INT">Settings!$B$17</definedName>
    <definedName name="DEF_RECOVER_FUMBLE">Settings!$B$19</definedName>
    <definedName name="DEF_SACKS">Settings!$B$16</definedName>
    <definedName name="DEF_SAFETIES">Settings!$B$20</definedName>
    <definedName name="DEF_TOUCHDOWN">Settings!$B$21</definedName>
    <definedName name="DEF_YD_ALLOW_PER">Settings!#REF!</definedName>
    <definedName name="FLEXVORPCalc">'OVR &amp; VORP Ranks'!$AD$6</definedName>
    <definedName name="INTERCEPTIONS" localSheetId="41">[1]Settings!$B$6</definedName>
    <definedName name="INTERCEPTIONS" localSheetId="5">[1]Settings!$B$6</definedName>
    <definedName name="INTERCEPTIONS">Settings!$B$6</definedName>
    <definedName name="PASS_ATTEMPTS" localSheetId="41">[1]Settings!$B$2</definedName>
    <definedName name="PASS_ATTEMPTS" localSheetId="5">[1]Settings!$B$2</definedName>
    <definedName name="PASS_ATTEMPTS">Settings!$B$2</definedName>
    <definedName name="PASS_TDS" localSheetId="41">[1]Settings!$B$5</definedName>
    <definedName name="PASS_TDS" localSheetId="5">[1]Settings!$B$5</definedName>
    <definedName name="PASS_TDS">Settings!$B$5</definedName>
    <definedName name="PASS_YARDS" localSheetId="41">[1]Settings!$B$4</definedName>
    <definedName name="PASS_YARDS" localSheetId="5">[1]Settings!$B$4</definedName>
    <definedName name="PASS_YARDS">Settings!$B$4</definedName>
    <definedName name="QBVORPCalc">'OVR &amp; VORP Ranks'!$AD$2</definedName>
    <definedName name="RBVORPCalc">'OVR &amp; VORP Ranks'!$AD$3</definedName>
    <definedName name="RECEPTIONS_RB" localSheetId="41">[1]Settings!$B$11</definedName>
    <definedName name="RECEPTIONS_RB" localSheetId="5">[1]Settings!$B$11</definedName>
    <definedName name="RECEPTIONS_RB">Settings!$B$11</definedName>
    <definedName name="RECEPTIONS_TE" localSheetId="41">[1]Settings!$B$13</definedName>
    <definedName name="RECEPTIONS_TE" localSheetId="5">[1]Settings!$B$13</definedName>
    <definedName name="RECEPTIONS_TE">Settings!$B$13</definedName>
    <definedName name="RECEPTIONS_WR" localSheetId="41">[1]Settings!$B$12</definedName>
    <definedName name="RECEPTIONS_WR" localSheetId="5">[1]Settings!$B$12</definedName>
    <definedName name="RECEPTIONS_WR">Settings!$B$12</definedName>
    <definedName name="RECV_TDS" localSheetId="41">[1]Settings!$B$15</definedName>
    <definedName name="RECV_TDS" localSheetId="5">[1]Settings!$B$15</definedName>
    <definedName name="RECV_TDS">Settings!$B$15</definedName>
    <definedName name="RECV_YARDS" localSheetId="41">[1]Settings!$B$14</definedName>
    <definedName name="RECV_YARDS" localSheetId="5">[1]Settings!$B$14</definedName>
    <definedName name="RECV_YARDS">Settings!$B$14</definedName>
    <definedName name="RUSH_ATTEMPTS" localSheetId="41">[1]Settings!$B$7</definedName>
    <definedName name="RUSH_ATTEMPTS" localSheetId="5">[1]Settings!$B$7</definedName>
    <definedName name="RUSH_ATTEMPTS">Settings!$B$7</definedName>
    <definedName name="RUSH_TDS" localSheetId="41">[1]Settings!$B$9</definedName>
    <definedName name="RUSH_TDS" localSheetId="5">[1]Settings!$B$9</definedName>
    <definedName name="RUSH_TDS">Settings!$B$9</definedName>
    <definedName name="RUSH_YARDS" localSheetId="41">[1]Settings!$B$8</definedName>
    <definedName name="RUSH_YARDS" localSheetId="5">[1]Settings!$B$8</definedName>
    <definedName name="RUSH_YARDS">Settings!$B$8</definedName>
    <definedName name="SFLEXVORPCalc">'OVR &amp; VORP Ranks'!$AD$7</definedName>
    <definedName name="STARTING_DST">Settings!$E$7</definedName>
    <definedName name="STARTING_FLEX">Settings!$E$9</definedName>
    <definedName name="STARTING_QB">Settings!$E$3</definedName>
    <definedName name="STARTING_RB">Settings!$E$4</definedName>
    <definedName name="STARTING_SUPERFLEX">Settings!$E$8</definedName>
    <definedName name="STARTING_TE">Settings!$E$6</definedName>
    <definedName name="STARTING_WR">Settings!$E$5</definedName>
    <definedName name="TARGETS" localSheetId="41">[1]Settings!$B$10</definedName>
    <definedName name="TARGETS" localSheetId="5">[1]Settings!$B$10</definedName>
    <definedName name="TARGETS">Settings!$B$10</definedName>
    <definedName name="TEAMS">Settings!$E$2</definedName>
    <definedName name="TEVORPCalc">'OVR &amp; VORP Ranks'!$AD$5</definedName>
    <definedName name="WRTEVORPCalc">'OVR &amp; VORP Ranks'!$AD$8</definedName>
    <definedName name="WRVORPCalc">'OVR &amp; VORP Ranks'!$AD$4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8" l="1"/>
  <c r="B4" i="58"/>
  <c r="B5" i="58"/>
  <c r="B6" i="58"/>
  <c r="B7" i="58"/>
  <c r="B8" i="58"/>
  <c r="B9" i="58"/>
  <c r="B2" i="58"/>
  <c r="T281" i="57"/>
  <c r="T289" i="57"/>
  <c r="S3" i="57"/>
  <c r="S4" i="57"/>
  <c r="T4" i="57" s="1"/>
  <c r="S5" i="57"/>
  <c r="T5" i="57" s="1"/>
  <c r="S6" i="57"/>
  <c r="S7" i="57"/>
  <c r="T7" i="57" s="1"/>
  <c r="S8" i="57"/>
  <c r="T8" i="57" s="1"/>
  <c r="S9" i="57"/>
  <c r="T195" i="57" s="1"/>
  <c r="S10" i="57"/>
  <c r="T10" i="57" s="1"/>
  <c r="S11" i="57"/>
  <c r="S12" i="57"/>
  <c r="T12" i="57" s="1"/>
  <c r="S13" i="57"/>
  <c r="T13" i="57" s="1"/>
  <c r="S14" i="57"/>
  <c r="S15" i="57"/>
  <c r="T15" i="57" s="1"/>
  <c r="S16" i="57"/>
  <c r="T16" i="57" s="1"/>
  <c r="S17" i="57"/>
  <c r="T17" i="57" s="1"/>
  <c r="S18" i="57"/>
  <c r="T18" i="57" s="1"/>
  <c r="S19" i="57"/>
  <c r="S20" i="57"/>
  <c r="T20" i="57" s="1"/>
  <c r="S21" i="57"/>
  <c r="T21" i="57" s="1"/>
  <c r="S22" i="57"/>
  <c r="S23" i="57"/>
  <c r="T23" i="57" s="1"/>
  <c r="S24" i="57"/>
  <c r="T24" i="57" s="1"/>
  <c r="S25" i="57"/>
  <c r="T25" i="57" s="1"/>
  <c r="S26" i="57"/>
  <c r="T26" i="57" s="1"/>
  <c r="S27" i="57"/>
  <c r="S28" i="57"/>
  <c r="T28" i="57" s="1"/>
  <c r="S29" i="57"/>
  <c r="T29" i="57" s="1"/>
  <c r="S30" i="57"/>
  <c r="S31" i="57"/>
  <c r="T31" i="57" s="1"/>
  <c r="S90" i="57"/>
  <c r="S91" i="57"/>
  <c r="T91" i="57" s="1"/>
  <c r="S92" i="57"/>
  <c r="T92" i="57" s="1"/>
  <c r="S93" i="57"/>
  <c r="T93" i="57" s="1"/>
  <c r="S94" i="57"/>
  <c r="T94" i="57" s="1"/>
  <c r="S95" i="57"/>
  <c r="S96" i="57"/>
  <c r="T96" i="57" s="1"/>
  <c r="S97" i="57"/>
  <c r="T97" i="57" s="1"/>
  <c r="S98" i="57"/>
  <c r="S99" i="57"/>
  <c r="T99" i="57" s="1"/>
  <c r="S100" i="57"/>
  <c r="T100" i="57" s="1"/>
  <c r="S101" i="57"/>
  <c r="T101" i="57" s="1"/>
  <c r="S102" i="57"/>
  <c r="T102" i="57" s="1"/>
  <c r="S103" i="57"/>
  <c r="S104" i="57"/>
  <c r="T104" i="57" s="1"/>
  <c r="S105" i="57"/>
  <c r="T105" i="57" s="1"/>
  <c r="S106" i="57"/>
  <c r="S107" i="57"/>
  <c r="T107" i="57" s="1"/>
  <c r="S108" i="57"/>
  <c r="T108" i="57" s="1"/>
  <c r="S109" i="57"/>
  <c r="T109" i="57" s="1"/>
  <c r="S110" i="57"/>
  <c r="T110" i="57" s="1"/>
  <c r="S111" i="57"/>
  <c r="S112" i="57"/>
  <c r="T112" i="57" s="1"/>
  <c r="S113" i="57"/>
  <c r="T113" i="57" s="1"/>
  <c r="S114" i="57"/>
  <c r="S115" i="57"/>
  <c r="T115" i="57" s="1"/>
  <c r="S116" i="57"/>
  <c r="T116" i="57" s="1"/>
  <c r="S117" i="57"/>
  <c r="T117" i="57" s="1"/>
  <c r="S118" i="57"/>
  <c r="T118" i="57" s="1"/>
  <c r="S119" i="57"/>
  <c r="S120" i="57"/>
  <c r="T120" i="57" s="1"/>
  <c r="S121" i="57"/>
  <c r="T121" i="57" s="1"/>
  <c r="S122" i="57"/>
  <c r="S123" i="57"/>
  <c r="T123" i="57" s="1"/>
  <c r="S124" i="57"/>
  <c r="T124" i="57" s="1"/>
  <c r="S125" i="57"/>
  <c r="T125" i="57" s="1"/>
  <c r="S126" i="57"/>
  <c r="T126" i="57" s="1"/>
  <c r="S127" i="57"/>
  <c r="S128" i="57"/>
  <c r="T128" i="57" s="1"/>
  <c r="S129" i="57"/>
  <c r="T129" i="57" s="1"/>
  <c r="S130" i="57"/>
  <c r="S131" i="57"/>
  <c r="T131" i="57" s="1"/>
  <c r="S132" i="57"/>
  <c r="T132" i="57" s="1"/>
  <c r="S133" i="57"/>
  <c r="T133" i="57" s="1"/>
  <c r="S134" i="57"/>
  <c r="T134" i="57" s="1"/>
  <c r="S135" i="57"/>
  <c r="S136" i="57"/>
  <c r="T136" i="57" s="1"/>
  <c r="S137" i="57"/>
  <c r="T137" i="57" s="1"/>
  <c r="S138" i="57"/>
  <c r="S139" i="57"/>
  <c r="T139" i="57" s="1"/>
  <c r="S140" i="57"/>
  <c r="T140" i="57" s="1"/>
  <c r="S141" i="57"/>
  <c r="T141" i="57" s="1"/>
  <c r="S142" i="57"/>
  <c r="T142" i="57" s="1"/>
  <c r="S143" i="57"/>
  <c r="S144" i="57"/>
  <c r="T144" i="57" s="1"/>
  <c r="S145" i="57"/>
  <c r="T145" i="57" s="1"/>
  <c r="S146" i="57"/>
  <c r="S147" i="57"/>
  <c r="T147" i="57" s="1"/>
  <c r="S148" i="57"/>
  <c r="T148" i="57" s="1"/>
  <c r="S149" i="57"/>
  <c r="T149" i="57" s="1"/>
  <c r="S32" i="57"/>
  <c r="T32" i="57" s="1"/>
  <c r="S33" i="57"/>
  <c r="T33" i="57" s="1"/>
  <c r="S34" i="57"/>
  <c r="T34" i="57" s="1"/>
  <c r="S35" i="57"/>
  <c r="T35" i="57" s="1"/>
  <c r="S36" i="57"/>
  <c r="T36" i="57" s="1"/>
  <c r="S37" i="57"/>
  <c r="T37" i="57" s="1"/>
  <c r="S38" i="57"/>
  <c r="T38" i="57" s="1"/>
  <c r="S39" i="57"/>
  <c r="T39" i="57" s="1"/>
  <c r="S40" i="57"/>
  <c r="T40" i="57" s="1"/>
  <c r="S41" i="57"/>
  <c r="T41" i="57" s="1"/>
  <c r="S42" i="57"/>
  <c r="T42" i="57" s="1"/>
  <c r="S43" i="57"/>
  <c r="T43" i="57" s="1"/>
  <c r="S44" i="57"/>
  <c r="T44" i="57" s="1"/>
  <c r="S45" i="57"/>
  <c r="T45" i="57" s="1"/>
  <c r="S46" i="57"/>
  <c r="T46" i="57" s="1"/>
  <c r="S47" i="57"/>
  <c r="T47" i="57" s="1"/>
  <c r="S48" i="57"/>
  <c r="T48" i="57" s="1"/>
  <c r="S49" i="57"/>
  <c r="T49" i="57" s="1"/>
  <c r="S50" i="57"/>
  <c r="T50" i="57" s="1"/>
  <c r="S51" i="57"/>
  <c r="T51" i="57" s="1"/>
  <c r="S52" i="57"/>
  <c r="T52" i="57" s="1"/>
  <c r="S53" i="57"/>
  <c r="T53" i="57" s="1"/>
  <c r="S54" i="57"/>
  <c r="T54" i="57" s="1"/>
  <c r="S55" i="57"/>
  <c r="T55" i="57" s="1"/>
  <c r="S56" i="57"/>
  <c r="T56" i="57" s="1"/>
  <c r="S57" i="57"/>
  <c r="T57" i="57" s="1"/>
  <c r="S58" i="57"/>
  <c r="T58" i="57" s="1"/>
  <c r="S59" i="57"/>
  <c r="T59" i="57" s="1"/>
  <c r="S60" i="57"/>
  <c r="T60" i="57" s="1"/>
  <c r="S61" i="57"/>
  <c r="T61" i="57" s="1"/>
  <c r="S62" i="57"/>
  <c r="T62" i="57" s="1"/>
  <c r="S63" i="57"/>
  <c r="T63" i="57" s="1"/>
  <c r="S64" i="57"/>
  <c r="T64" i="57" s="1"/>
  <c r="S65" i="57"/>
  <c r="T65" i="57" s="1"/>
  <c r="S66" i="57"/>
  <c r="T66" i="57" s="1"/>
  <c r="S67" i="57"/>
  <c r="T67" i="57" s="1"/>
  <c r="S68" i="57"/>
  <c r="T68" i="57" s="1"/>
  <c r="S69" i="57"/>
  <c r="T69" i="57" s="1"/>
  <c r="S70" i="57"/>
  <c r="T70" i="57" s="1"/>
  <c r="S71" i="57"/>
  <c r="T71" i="57" s="1"/>
  <c r="S72" i="57"/>
  <c r="T72" i="57" s="1"/>
  <c r="S73" i="57"/>
  <c r="T73" i="57" s="1"/>
  <c r="S74" i="57"/>
  <c r="T74" i="57" s="1"/>
  <c r="S75" i="57"/>
  <c r="T75" i="57" s="1"/>
  <c r="S76" i="57"/>
  <c r="T76" i="57" s="1"/>
  <c r="S77" i="57"/>
  <c r="T77" i="57" s="1"/>
  <c r="S78" i="57"/>
  <c r="T78" i="57" s="1"/>
  <c r="S79" i="57"/>
  <c r="T79" i="57" s="1"/>
  <c r="S80" i="57"/>
  <c r="T80" i="57" s="1"/>
  <c r="S81" i="57"/>
  <c r="T81" i="57" s="1"/>
  <c r="S82" i="57"/>
  <c r="T82" i="57" s="1"/>
  <c r="S83" i="57"/>
  <c r="T83" i="57" s="1"/>
  <c r="S84" i="57"/>
  <c r="T84" i="57" s="1"/>
  <c r="S85" i="57"/>
  <c r="T85" i="57" s="1"/>
  <c r="S86" i="57"/>
  <c r="T86" i="57" s="1"/>
  <c r="S87" i="57"/>
  <c r="T87" i="57" s="1"/>
  <c r="S88" i="57"/>
  <c r="T88" i="57" s="1"/>
  <c r="S89" i="57"/>
  <c r="T89" i="57" s="1"/>
  <c r="S150" i="57"/>
  <c r="S151" i="57"/>
  <c r="T151" i="57" s="1"/>
  <c r="S152" i="57"/>
  <c r="T152" i="57" s="1"/>
  <c r="S153" i="57"/>
  <c r="T153" i="57" s="1"/>
  <c r="S154" i="57"/>
  <c r="T154" i="57" s="1"/>
  <c r="S155" i="57"/>
  <c r="S156" i="57"/>
  <c r="T156" i="57" s="1"/>
  <c r="S157" i="57"/>
  <c r="T157" i="57" s="1"/>
  <c r="S158" i="57"/>
  <c r="S159" i="57"/>
  <c r="T159" i="57" s="1"/>
  <c r="S160" i="57"/>
  <c r="T160" i="57" s="1"/>
  <c r="S161" i="57"/>
  <c r="T161" i="57" s="1"/>
  <c r="S162" i="57"/>
  <c r="T162" i="57" s="1"/>
  <c r="S163" i="57"/>
  <c r="S164" i="57"/>
  <c r="T164" i="57" s="1"/>
  <c r="S165" i="57"/>
  <c r="T165" i="57" s="1"/>
  <c r="S166" i="57"/>
  <c r="S167" i="57"/>
  <c r="T167" i="57" s="1"/>
  <c r="S168" i="57"/>
  <c r="T168" i="57" s="1"/>
  <c r="S169" i="57"/>
  <c r="T169" i="57" s="1"/>
  <c r="S170" i="57"/>
  <c r="T170" i="57" s="1"/>
  <c r="S171" i="57"/>
  <c r="S172" i="57"/>
  <c r="T172" i="57" s="1"/>
  <c r="S173" i="57"/>
  <c r="T173" i="57" s="1"/>
  <c r="S174" i="57"/>
  <c r="S175" i="57"/>
  <c r="T175" i="57" s="1"/>
  <c r="S176" i="57"/>
  <c r="T176" i="57" s="1"/>
  <c r="S177" i="57"/>
  <c r="T177" i="57" s="1"/>
  <c r="S178" i="57"/>
  <c r="T178" i="57" s="1"/>
  <c r="S179" i="57"/>
  <c r="S180" i="57"/>
  <c r="T180" i="57" s="1"/>
  <c r="S181" i="57"/>
  <c r="T181" i="57" s="1"/>
  <c r="S182" i="57"/>
  <c r="S183" i="57"/>
  <c r="T183" i="57" s="1"/>
  <c r="S184" i="57"/>
  <c r="T184" i="57" s="1"/>
  <c r="S185" i="57"/>
  <c r="T185" i="57" s="1"/>
  <c r="S186" i="57"/>
  <c r="T186" i="57" s="1"/>
  <c r="S187" i="57"/>
  <c r="S188" i="57"/>
  <c r="T188" i="57" s="1"/>
  <c r="S189" i="57"/>
  <c r="T189" i="57" s="1"/>
  <c r="S190" i="57"/>
  <c r="S191" i="57"/>
  <c r="T191" i="57" s="1"/>
  <c r="S192" i="57"/>
  <c r="T192" i="57" s="1"/>
  <c r="S193" i="57"/>
  <c r="T193" i="57" s="1"/>
  <c r="S194" i="57"/>
  <c r="T194" i="57" s="1"/>
  <c r="S195" i="57"/>
  <c r="S196" i="57"/>
  <c r="T196" i="57" s="1"/>
  <c r="S197" i="57"/>
  <c r="T197" i="57" s="1"/>
  <c r="S198" i="57"/>
  <c r="S199" i="57"/>
  <c r="T199" i="57" s="1"/>
  <c r="S200" i="57"/>
  <c r="T200" i="57" s="1"/>
  <c r="S201" i="57"/>
  <c r="T201" i="57" s="1"/>
  <c r="S202" i="57"/>
  <c r="T202" i="57" s="1"/>
  <c r="S203" i="57"/>
  <c r="S204" i="57"/>
  <c r="T204" i="57" s="1"/>
  <c r="S205" i="57"/>
  <c r="T205" i="57" s="1"/>
  <c r="S206" i="57"/>
  <c r="S207" i="57"/>
  <c r="T207" i="57" s="1"/>
  <c r="S208" i="57"/>
  <c r="T208" i="57" s="1"/>
  <c r="S209" i="57"/>
  <c r="T209" i="57" s="1"/>
  <c r="S210" i="57"/>
  <c r="T210" i="57" s="1"/>
  <c r="S211" i="57"/>
  <c r="S212" i="57"/>
  <c r="T212" i="57" s="1"/>
  <c r="S213" i="57"/>
  <c r="T213" i="57" s="1"/>
  <c r="S214" i="57"/>
  <c r="S215" i="57"/>
  <c r="T215" i="57" s="1"/>
  <c r="S216" i="57"/>
  <c r="T216" i="57" s="1"/>
  <c r="S217" i="57"/>
  <c r="T217" i="57" s="1"/>
  <c r="S218" i="57"/>
  <c r="T218" i="57" s="1"/>
  <c r="S219" i="57"/>
  <c r="S220" i="57"/>
  <c r="T220" i="57" s="1"/>
  <c r="S221" i="57"/>
  <c r="T221" i="57" s="1"/>
  <c r="S222" i="57"/>
  <c r="S223" i="57"/>
  <c r="T223" i="57" s="1"/>
  <c r="S224" i="57"/>
  <c r="T224" i="57" s="1"/>
  <c r="S225" i="57"/>
  <c r="T225" i="57" s="1"/>
  <c r="S226" i="57"/>
  <c r="T226" i="57" s="1"/>
  <c r="S227" i="57"/>
  <c r="S228" i="57"/>
  <c r="T228" i="57" s="1"/>
  <c r="S229" i="57"/>
  <c r="T229" i="57" s="1"/>
  <c r="S230" i="57"/>
  <c r="S231" i="57"/>
  <c r="T231" i="57" s="1"/>
  <c r="S232" i="57"/>
  <c r="T232" i="57" s="1"/>
  <c r="S233" i="57"/>
  <c r="T233" i="57" s="1"/>
  <c r="S234" i="57"/>
  <c r="T234" i="57" s="1"/>
  <c r="S235" i="57"/>
  <c r="S236" i="57"/>
  <c r="T236" i="57" s="1"/>
  <c r="S237" i="57"/>
  <c r="T237" i="57" s="1"/>
  <c r="S238" i="57"/>
  <c r="S239" i="57"/>
  <c r="T239" i="57" s="1"/>
  <c r="S240" i="57"/>
  <c r="T240" i="57" s="1"/>
  <c r="S241" i="57"/>
  <c r="T241" i="57" s="1"/>
  <c r="S242" i="57"/>
  <c r="T242" i="57" s="1"/>
  <c r="S243" i="57"/>
  <c r="S244" i="57"/>
  <c r="T244" i="57" s="1"/>
  <c r="S245" i="57"/>
  <c r="T245" i="57" s="1"/>
  <c r="S246" i="57"/>
  <c r="S247" i="57"/>
  <c r="T247" i="57" s="1"/>
  <c r="S388" i="57"/>
  <c r="S389" i="57"/>
  <c r="T389" i="57" s="1"/>
  <c r="S390" i="57"/>
  <c r="T390" i="57" s="1"/>
  <c r="S391" i="57"/>
  <c r="T391" i="57" s="1"/>
  <c r="S392" i="57"/>
  <c r="T392" i="57" s="1"/>
  <c r="S393" i="57"/>
  <c r="S394" i="57"/>
  <c r="S395" i="57"/>
  <c r="T395" i="57" s="1"/>
  <c r="S396" i="57"/>
  <c r="S397" i="57"/>
  <c r="T397" i="57" s="1"/>
  <c r="S398" i="57"/>
  <c r="T398" i="57" s="1"/>
  <c r="S399" i="57"/>
  <c r="T399" i="57" s="1"/>
  <c r="S400" i="57"/>
  <c r="T400" i="57" s="1"/>
  <c r="S401" i="57"/>
  <c r="S360" i="57"/>
  <c r="T360" i="57" s="1"/>
  <c r="S361" i="57"/>
  <c r="S362" i="57"/>
  <c r="T362" i="57" s="1"/>
  <c r="S363" i="57"/>
  <c r="T363" i="57" s="1"/>
  <c r="S364" i="57"/>
  <c r="T364" i="57" s="1"/>
  <c r="S365" i="57"/>
  <c r="T365" i="57" s="1"/>
  <c r="S366" i="57"/>
  <c r="T366" i="57" s="1"/>
  <c r="S367" i="57"/>
  <c r="T367" i="57" s="1"/>
  <c r="S368" i="57"/>
  <c r="T368" i="57" s="1"/>
  <c r="S369" i="57"/>
  <c r="S370" i="57"/>
  <c r="T370" i="57" s="1"/>
  <c r="S371" i="57"/>
  <c r="T371" i="57" s="1"/>
  <c r="S372" i="57"/>
  <c r="T372" i="57" s="1"/>
  <c r="S373" i="57"/>
  <c r="T373" i="57" s="1"/>
  <c r="S374" i="57"/>
  <c r="T374" i="57" s="1"/>
  <c r="S375" i="57"/>
  <c r="T375" i="57" s="1"/>
  <c r="S376" i="57"/>
  <c r="T376" i="57" s="1"/>
  <c r="S377" i="57"/>
  <c r="S378" i="57"/>
  <c r="T378" i="57" s="1"/>
  <c r="S379" i="57"/>
  <c r="T379" i="57" s="1"/>
  <c r="S380" i="57"/>
  <c r="T380" i="57" s="1"/>
  <c r="S381" i="57"/>
  <c r="T381" i="57" s="1"/>
  <c r="S382" i="57"/>
  <c r="T382" i="57" s="1"/>
  <c r="S383" i="57"/>
  <c r="T383" i="57" s="1"/>
  <c r="S384" i="57"/>
  <c r="T384" i="57" s="1"/>
  <c r="S385" i="57"/>
  <c r="S386" i="57"/>
  <c r="T386" i="57" s="1"/>
  <c r="S387" i="57"/>
  <c r="T387" i="57" s="1"/>
  <c r="S290" i="57"/>
  <c r="T290" i="57" s="1"/>
  <c r="S291" i="57"/>
  <c r="T291" i="57" s="1"/>
  <c r="S292" i="57"/>
  <c r="T292" i="57" s="1"/>
  <c r="S293" i="57"/>
  <c r="T293" i="57" s="1"/>
  <c r="S294" i="57"/>
  <c r="T294" i="57" s="1"/>
  <c r="S295" i="57"/>
  <c r="T295" i="57" s="1"/>
  <c r="S296" i="57"/>
  <c r="T296" i="57" s="1"/>
  <c r="S297" i="57"/>
  <c r="T297" i="57" s="1"/>
  <c r="S298" i="57"/>
  <c r="T298" i="57" s="1"/>
  <c r="S299" i="57"/>
  <c r="T299" i="57" s="1"/>
  <c r="S300" i="57"/>
  <c r="T300" i="57" s="1"/>
  <c r="S301" i="57"/>
  <c r="T301" i="57" s="1"/>
  <c r="S302" i="57"/>
  <c r="T302" i="57" s="1"/>
  <c r="S303" i="57"/>
  <c r="T303" i="57" s="1"/>
  <c r="S262" i="57"/>
  <c r="T262" i="57" s="1"/>
  <c r="S263" i="57"/>
  <c r="T263" i="57" s="1"/>
  <c r="S264" i="57"/>
  <c r="T264" i="57" s="1"/>
  <c r="S265" i="57"/>
  <c r="S266" i="57"/>
  <c r="T266" i="57" s="1"/>
  <c r="S267" i="57"/>
  <c r="T267" i="57" s="1"/>
  <c r="S268" i="57"/>
  <c r="S269" i="57"/>
  <c r="T269" i="57" s="1"/>
  <c r="S270" i="57"/>
  <c r="T270" i="57" s="1"/>
  <c r="S271" i="57"/>
  <c r="T271" i="57" s="1"/>
  <c r="S272" i="57"/>
  <c r="T272" i="57" s="1"/>
  <c r="S273" i="57"/>
  <c r="S274" i="57"/>
  <c r="T274" i="57" s="1"/>
  <c r="S275" i="57"/>
  <c r="T275" i="57" s="1"/>
  <c r="S276" i="57"/>
  <c r="S277" i="57"/>
  <c r="T277" i="57" s="1"/>
  <c r="S278" i="57"/>
  <c r="T278" i="57" s="1"/>
  <c r="S279" i="57"/>
  <c r="T279" i="57" s="1"/>
  <c r="S280" i="57"/>
  <c r="T280" i="57" s="1"/>
  <c r="S281" i="57"/>
  <c r="S282" i="57"/>
  <c r="T282" i="57" s="1"/>
  <c r="S283" i="57"/>
  <c r="T283" i="57" s="1"/>
  <c r="S284" i="57"/>
  <c r="S285" i="57"/>
  <c r="T285" i="57" s="1"/>
  <c r="S286" i="57"/>
  <c r="T286" i="57" s="1"/>
  <c r="S287" i="57"/>
  <c r="T287" i="57" s="1"/>
  <c r="S288" i="57"/>
  <c r="T288" i="57" s="1"/>
  <c r="S289" i="57"/>
  <c r="S318" i="57"/>
  <c r="T318" i="57" s="1"/>
  <c r="S319" i="57"/>
  <c r="T319" i="57" s="1"/>
  <c r="S320" i="57"/>
  <c r="T320" i="57" s="1"/>
  <c r="S321" i="57"/>
  <c r="T321" i="57" s="1"/>
  <c r="S322" i="57"/>
  <c r="T322" i="57" s="1"/>
  <c r="S323" i="57"/>
  <c r="T323" i="57" s="1"/>
  <c r="S324" i="57"/>
  <c r="T324" i="57" s="1"/>
  <c r="S325" i="57"/>
  <c r="T325" i="57" s="1"/>
  <c r="S326" i="57"/>
  <c r="T326" i="57" s="1"/>
  <c r="S327" i="57"/>
  <c r="T327" i="57" s="1"/>
  <c r="S328" i="57"/>
  <c r="T328" i="57" s="1"/>
  <c r="S329" i="57"/>
  <c r="T329" i="57" s="1"/>
  <c r="S330" i="57"/>
  <c r="T330" i="57" s="1"/>
  <c r="S331" i="57"/>
  <c r="T331" i="57" s="1"/>
  <c r="S248" i="57"/>
  <c r="T248" i="57" s="1"/>
  <c r="S249" i="57"/>
  <c r="T249" i="57" s="1"/>
  <c r="S250" i="57"/>
  <c r="T250" i="57" s="1"/>
  <c r="S251" i="57"/>
  <c r="S252" i="57"/>
  <c r="T252" i="57" s="1"/>
  <c r="S253" i="57"/>
  <c r="T253" i="57" s="1"/>
  <c r="S254" i="57"/>
  <c r="S255" i="57"/>
  <c r="T255" i="57" s="1"/>
  <c r="S256" i="57"/>
  <c r="T256" i="57" s="1"/>
  <c r="S257" i="57"/>
  <c r="T257" i="57" s="1"/>
  <c r="S258" i="57"/>
  <c r="T258" i="57" s="1"/>
  <c r="S259" i="57"/>
  <c r="S260" i="57"/>
  <c r="T260" i="57" s="1"/>
  <c r="S261" i="57"/>
  <c r="T261" i="57" s="1"/>
  <c r="S304" i="57"/>
  <c r="T304" i="57" s="1"/>
  <c r="S305" i="57"/>
  <c r="T305" i="57" s="1"/>
  <c r="S306" i="57"/>
  <c r="T306" i="57" s="1"/>
  <c r="S307" i="57"/>
  <c r="S308" i="57"/>
  <c r="T308" i="57" s="1"/>
  <c r="S309" i="57"/>
  <c r="T309" i="57" s="1"/>
  <c r="S310" i="57"/>
  <c r="S311" i="57"/>
  <c r="T311" i="57" s="1"/>
  <c r="S312" i="57"/>
  <c r="T312" i="57" s="1"/>
  <c r="S313" i="57"/>
  <c r="T313" i="57" s="1"/>
  <c r="S314" i="57"/>
  <c r="T314" i="57" s="1"/>
  <c r="S315" i="57"/>
  <c r="S316" i="57"/>
  <c r="T316" i="57" s="1"/>
  <c r="S317" i="57"/>
  <c r="T317" i="57" s="1"/>
  <c r="S332" i="57"/>
  <c r="T332" i="57" s="1"/>
  <c r="S333" i="57"/>
  <c r="S334" i="57"/>
  <c r="T334" i="57" s="1"/>
  <c r="S335" i="57"/>
  <c r="T335" i="57" s="1"/>
  <c r="S336" i="57"/>
  <c r="T336" i="57" s="1"/>
  <c r="S337" i="57"/>
  <c r="T337" i="57" s="1"/>
  <c r="S338" i="57"/>
  <c r="T338" i="57" s="1"/>
  <c r="S339" i="57"/>
  <c r="T339" i="57" s="1"/>
  <c r="S340" i="57"/>
  <c r="T340" i="57" s="1"/>
  <c r="S341" i="57"/>
  <c r="S342" i="57"/>
  <c r="T342" i="57" s="1"/>
  <c r="S343" i="57"/>
  <c r="T343" i="57" s="1"/>
  <c r="S344" i="57"/>
  <c r="T344" i="57" s="1"/>
  <c r="S345" i="57"/>
  <c r="T345" i="57" s="1"/>
  <c r="S346" i="57"/>
  <c r="T346" i="57" s="1"/>
  <c r="S347" i="57"/>
  <c r="T347" i="57" s="1"/>
  <c r="S348" i="57"/>
  <c r="T348" i="57" s="1"/>
  <c r="S349" i="57"/>
  <c r="S350" i="57"/>
  <c r="T350" i="57" s="1"/>
  <c r="S351" i="57"/>
  <c r="T351" i="57" s="1"/>
  <c r="S352" i="57"/>
  <c r="T352" i="57" s="1"/>
  <c r="S353" i="57"/>
  <c r="T353" i="57" s="1"/>
  <c r="S354" i="57"/>
  <c r="T354" i="57" s="1"/>
  <c r="S355" i="57"/>
  <c r="T355" i="57" s="1"/>
  <c r="S356" i="57"/>
  <c r="T356" i="57" s="1"/>
  <c r="S357" i="57"/>
  <c r="S358" i="57"/>
  <c r="T358" i="57" s="1"/>
  <c r="S359" i="57"/>
  <c r="T359" i="57" s="1"/>
  <c r="S2" i="57"/>
  <c r="T6" i="57" s="1"/>
  <c r="P388" i="57"/>
  <c r="P390" i="57"/>
  <c r="P360" i="57"/>
  <c r="P318" i="57"/>
  <c r="P391" i="57"/>
  <c r="P269" i="57"/>
  <c r="P323" i="57"/>
  <c r="P263" i="57"/>
  <c r="P327" i="57"/>
  <c r="P322" i="57"/>
  <c r="P389" i="57"/>
  <c r="P398" i="57"/>
  <c r="P394" i="57"/>
  <c r="P3" i="57"/>
  <c r="P329" i="57"/>
  <c r="P324" i="57"/>
  <c r="P267" i="57"/>
  <c r="P319" i="57"/>
  <c r="P256" i="57"/>
  <c r="P328" i="57"/>
  <c r="P385" i="57"/>
  <c r="P321" i="57"/>
  <c r="P381" i="57"/>
  <c r="P392" i="57"/>
  <c r="P180" i="57"/>
  <c r="P339" i="57"/>
  <c r="P99" i="57"/>
  <c r="P272" i="57"/>
  <c r="P286" i="57"/>
  <c r="P373" i="57"/>
  <c r="P395" i="57"/>
  <c r="P369" i="57"/>
  <c r="P401" i="57"/>
  <c r="P363" i="57"/>
  <c r="P366" i="57"/>
  <c r="P280" i="57"/>
  <c r="P268" i="57"/>
  <c r="P158" i="57"/>
  <c r="P370" i="57"/>
  <c r="P386" i="57"/>
  <c r="P265" i="57"/>
  <c r="P336" i="57"/>
  <c r="P282" i="57"/>
  <c r="P266" i="57"/>
  <c r="P13" i="57"/>
  <c r="P364" i="57"/>
  <c r="P379" i="57"/>
  <c r="P2" i="57"/>
  <c r="P365" i="57"/>
  <c r="P249" i="57"/>
  <c r="P347" i="57"/>
  <c r="P281" i="57"/>
  <c r="P309" i="57"/>
  <c r="P285" i="57"/>
  <c r="P274" i="57"/>
  <c r="P387" i="57"/>
  <c r="P118" i="57"/>
  <c r="P279" i="57"/>
  <c r="P384" i="57"/>
  <c r="P288" i="57"/>
  <c r="P278" i="57"/>
  <c r="P277" i="57"/>
  <c r="P250" i="57"/>
  <c r="P155" i="57"/>
  <c r="P104" i="57"/>
  <c r="P372" i="57"/>
  <c r="P248" i="57"/>
  <c r="P253" i="57"/>
  <c r="P90" i="57"/>
  <c r="P353" i="57"/>
  <c r="P349" i="57"/>
  <c r="P334" i="57"/>
  <c r="P299" i="57"/>
  <c r="P196" i="57"/>
  <c r="P290" i="57"/>
  <c r="P320" i="57"/>
  <c r="P293" i="57"/>
  <c r="P294" i="57"/>
  <c r="P262" i="57"/>
  <c r="P261" i="57"/>
  <c r="P271" i="57"/>
  <c r="P361" i="57"/>
  <c r="P342" i="57"/>
  <c r="P359" i="57"/>
  <c r="P340" i="57"/>
  <c r="P298" i="57"/>
  <c r="P367" i="57"/>
  <c r="P283" i="57"/>
  <c r="P107" i="57"/>
  <c r="P400" i="57"/>
  <c r="P270" i="57"/>
  <c r="P287" i="57"/>
  <c r="P393" i="57"/>
  <c r="P113" i="57"/>
  <c r="P382" i="57"/>
  <c r="P259" i="57"/>
  <c r="P6" i="57"/>
  <c r="P14" i="57"/>
  <c r="P105" i="57"/>
  <c r="P257" i="57"/>
  <c r="P358" i="57"/>
  <c r="P303" i="57"/>
  <c r="P344" i="57"/>
  <c r="P308" i="57"/>
  <c r="P193" i="57"/>
  <c r="P314" i="57"/>
  <c r="P289" i="57"/>
  <c r="P337" i="57"/>
  <c r="P27" i="57"/>
  <c r="P264" i="57"/>
  <c r="P368" i="57"/>
  <c r="P184" i="57"/>
  <c r="P103" i="57"/>
  <c r="P352" i="57"/>
  <c r="P109" i="57"/>
  <c r="P152" i="57"/>
  <c r="P153" i="57"/>
  <c r="P332" i="57"/>
  <c r="P160" i="57"/>
  <c r="P305" i="57"/>
  <c r="P331" i="57"/>
  <c r="P380" i="57"/>
  <c r="P374" i="57"/>
  <c r="P343" i="57"/>
  <c r="P273" i="57"/>
  <c r="P304" i="57"/>
  <c r="P333" i="57"/>
  <c r="P326" i="57"/>
  <c r="P354" i="57"/>
  <c r="P291" i="57"/>
  <c r="P17" i="57"/>
  <c r="P296" i="57"/>
  <c r="P189" i="57"/>
  <c r="P254" i="57"/>
  <c r="P295" i="57"/>
  <c r="P251" i="57"/>
  <c r="P156" i="57"/>
  <c r="P195" i="57"/>
  <c r="P378" i="57"/>
  <c r="P44" i="57"/>
  <c r="P38" i="57"/>
  <c r="P276" i="57"/>
  <c r="P383" i="57"/>
  <c r="P161" i="57"/>
  <c r="P302" i="57"/>
  <c r="P139" i="57"/>
  <c r="P159" i="57"/>
  <c r="P207" i="57"/>
  <c r="P154" i="57"/>
  <c r="P34" i="57"/>
  <c r="P35" i="57"/>
  <c r="P355" i="57"/>
  <c r="P96" i="57"/>
  <c r="P136" i="57"/>
  <c r="P8" i="57"/>
  <c r="P190" i="57"/>
  <c r="P255" i="57"/>
  <c r="P191" i="57"/>
  <c r="P396" i="57"/>
  <c r="P275" i="57"/>
  <c r="P292" i="57"/>
  <c r="P330" i="57"/>
  <c r="P43" i="57"/>
  <c r="P301" i="57"/>
  <c r="P134" i="57"/>
  <c r="P94" i="57"/>
  <c r="P4" i="57"/>
  <c r="P173" i="57"/>
  <c r="P164" i="57"/>
  <c r="P297" i="57"/>
  <c r="P208" i="57"/>
  <c r="P316" i="57"/>
  <c r="P178" i="57"/>
  <c r="P110" i="57"/>
  <c r="P100" i="57"/>
  <c r="P225" i="57"/>
  <c r="P168" i="57"/>
  <c r="P310" i="57"/>
  <c r="P179" i="57"/>
  <c r="P376" i="57"/>
  <c r="P29" i="57"/>
  <c r="P351" i="57"/>
  <c r="P19" i="57"/>
  <c r="P125" i="57"/>
  <c r="P397" i="57"/>
  <c r="P37" i="57"/>
  <c r="P325" i="57"/>
  <c r="P169" i="57"/>
  <c r="P341" i="57"/>
  <c r="P371" i="57"/>
  <c r="P7" i="57"/>
  <c r="P163" i="57"/>
  <c r="P188" i="57"/>
  <c r="P106" i="57"/>
  <c r="P165" i="57"/>
  <c r="P260" i="57"/>
  <c r="P50" i="57"/>
  <c r="P121" i="57"/>
  <c r="P399" i="57"/>
  <c r="P166" i="57"/>
  <c r="P348" i="57"/>
  <c r="P24" i="57"/>
  <c r="P49" i="57"/>
  <c r="P147" i="57"/>
  <c r="P236" i="57"/>
  <c r="P213" i="57"/>
  <c r="P115" i="57"/>
  <c r="P345" i="57"/>
  <c r="P167" i="57"/>
  <c r="P102" i="57"/>
  <c r="P300" i="57"/>
  <c r="P194" i="57"/>
  <c r="P312" i="57"/>
  <c r="P40" i="57"/>
  <c r="P151" i="57"/>
  <c r="P313" i="57"/>
  <c r="P231" i="57"/>
  <c r="P59" i="57"/>
  <c r="P162" i="57"/>
  <c r="P315" i="57"/>
  <c r="P226" i="57"/>
  <c r="P222" i="57"/>
  <c r="P42" i="57"/>
  <c r="P242" i="57"/>
  <c r="P216" i="57"/>
  <c r="P258" i="57"/>
  <c r="P176" i="57"/>
  <c r="P32" i="57"/>
  <c r="P219" i="57"/>
  <c r="P39" i="57"/>
  <c r="P85" i="57"/>
  <c r="P65" i="57"/>
  <c r="P206" i="57"/>
  <c r="P338" i="57"/>
  <c r="P346" i="57"/>
  <c r="P229" i="57"/>
  <c r="P357" i="57"/>
  <c r="P126" i="57"/>
  <c r="P171" i="57"/>
  <c r="P98" i="57"/>
  <c r="P198" i="57"/>
  <c r="P86" i="57"/>
  <c r="P232" i="57"/>
  <c r="P335" i="57"/>
  <c r="P116" i="57"/>
  <c r="P238" i="57"/>
  <c r="P82" i="57"/>
  <c r="P114" i="57"/>
  <c r="P204" i="57"/>
  <c r="P237" i="57"/>
  <c r="P307" i="57"/>
  <c r="P284" i="57"/>
  <c r="P41" i="57"/>
  <c r="P157" i="57"/>
  <c r="P63" i="57"/>
  <c r="P130" i="57"/>
  <c r="P117" i="57"/>
  <c r="P120" i="57"/>
  <c r="P306" i="57"/>
  <c r="P181" i="57"/>
  <c r="P58" i="57"/>
  <c r="P252" i="57"/>
  <c r="P36" i="57"/>
  <c r="P76" i="57"/>
  <c r="P217" i="57"/>
  <c r="P137" i="57"/>
  <c r="P101" i="57"/>
  <c r="P185" i="57"/>
  <c r="P215" i="57"/>
  <c r="P218" i="57"/>
  <c r="P234" i="57"/>
  <c r="P33" i="57"/>
  <c r="P230" i="57"/>
  <c r="P119" i="57"/>
  <c r="P62" i="57"/>
  <c r="P108" i="57"/>
  <c r="P375" i="57"/>
  <c r="P16" i="57"/>
  <c r="P350" i="57"/>
  <c r="P45" i="57"/>
  <c r="P71" i="57"/>
  <c r="P122" i="57"/>
  <c r="P149" i="57"/>
  <c r="P202" i="57"/>
  <c r="P141" i="57"/>
  <c r="P228" i="57"/>
  <c r="P227" i="57"/>
  <c r="P127" i="57"/>
  <c r="P197" i="57"/>
  <c r="P214" i="57"/>
  <c r="P57" i="57"/>
  <c r="P245" i="57"/>
  <c r="P203" i="57"/>
  <c r="P26" i="57"/>
  <c r="P311" i="57"/>
  <c r="P15" i="57"/>
  <c r="P95" i="57"/>
  <c r="P233" i="57"/>
  <c r="P21" i="57"/>
  <c r="P209" i="57"/>
  <c r="P84" i="57"/>
  <c r="P186" i="57"/>
  <c r="P240" i="57"/>
  <c r="P23" i="57"/>
  <c r="P12" i="57"/>
  <c r="P182" i="57"/>
  <c r="P72" i="57"/>
  <c r="P11" i="57"/>
  <c r="P221" i="57"/>
  <c r="P52" i="57"/>
  <c r="P89" i="57"/>
  <c r="P67" i="57"/>
  <c r="P77" i="57"/>
  <c r="P30" i="57"/>
  <c r="P362" i="57"/>
  <c r="P61" i="57"/>
  <c r="P177" i="57"/>
  <c r="P192" i="57"/>
  <c r="P70" i="57"/>
  <c r="P174" i="57"/>
  <c r="P87" i="57"/>
  <c r="P97" i="57"/>
  <c r="P246" i="57"/>
  <c r="P129" i="57"/>
  <c r="P199" i="57"/>
  <c r="P47" i="57"/>
  <c r="P210" i="57"/>
  <c r="P60" i="57"/>
  <c r="P175" i="57"/>
  <c r="P150" i="57"/>
  <c r="P200" i="57"/>
  <c r="P131" i="57"/>
  <c r="P25" i="57"/>
  <c r="P46" i="57"/>
  <c r="P142" i="57"/>
  <c r="P205" i="57"/>
  <c r="P20" i="57"/>
  <c r="P148" i="57"/>
  <c r="P18" i="57"/>
  <c r="P223" i="57"/>
  <c r="P247" i="57"/>
  <c r="P145" i="57"/>
  <c r="P187" i="57"/>
  <c r="P123" i="57"/>
  <c r="P56" i="57"/>
  <c r="P93" i="57"/>
  <c r="P224" i="57"/>
  <c r="P91" i="57"/>
  <c r="P133" i="57"/>
  <c r="P211" i="57"/>
  <c r="P377" i="57"/>
  <c r="P78" i="57"/>
  <c r="P81" i="57"/>
  <c r="P75" i="57"/>
  <c r="P128" i="57"/>
  <c r="P143" i="57"/>
  <c r="P74" i="57"/>
  <c r="P83" i="57"/>
  <c r="P5" i="57"/>
  <c r="P241" i="57"/>
  <c r="P138" i="57"/>
  <c r="P28" i="57"/>
  <c r="P356" i="57"/>
  <c r="P170" i="57"/>
  <c r="P88" i="57"/>
  <c r="P79" i="57"/>
  <c r="P243" i="57"/>
  <c r="P51" i="57"/>
  <c r="P235" i="57"/>
  <c r="P135" i="57"/>
  <c r="P9" i="57"/>
  <c r="P66" i="57"/>
  <c r="P73" i="57"/>
  <c r="P132" i="57"/>
  <c r="P172" i="57"/>
  <c r="P68" i="57"/>
  <c r="P55" i="57"/>
  <c r="P144" i="57"/>
  <c r="P140" i="57"/>
  <c r="P239" i="57"/>
  <c r="P10" i="57"/>
  <c r="P22" i="57"/>
  <c r="P80" i="57"/>
  <c r="P183" i="57"/>
  <c r="P244" i="57"/>
  <c r="P48" i="57"/>
  <c r="P92" i="57"/>
  <c r="P111" i="57"/>
  <c r="P317" i="57"/>
  <c r="P220" i="57"/>
  <c r="P112" i="57"/>
  <c r="P54" i="57"/>
  <c r="P201" i="57"/>
  <c r="P53" i="57"/>
  <c r="P69" i="57"/>
  <c r="P146" i="57"/>
  <c r="P64" i="57"/>
  <c r="P31" i="57"/>
  <c r="P124" i="57"/>
  <c r="P212" i="57"/>
  <c r="D3" i="46"/>
  <c r="D4" i="46"/>
  <c r="AG5" i="47" s="1"/>
  <c r="D5" i="46"/>
  <c r="D6" i="46"/>
  <c r="D7" i="46"/>
  <c r="AG8" i="47" s="1"/>
  <c r="D8" i="46"/>
  <c r="AG9" i="47" s="1"/>
  <c r="D9" i="46"/>
  <c r="AG10" i="47" s="1"/>
  <c r="D10" i="46"/>
  <c r="AG11" i="47" s="1"/>
  <c r="D11" i="46"/>
  <c r="D12" i="46"/>
  <c r="AG13" i="47" s="1"/>
  <c r="D13" i="46"/>
  <c r="D14" i="46"/>
  <c r="D15" i="46"/>
  <c r="AG16" i="47" s="1"/>
  <c r="D16" i="46"/>
  <c r="AG17" i="47" s="1"/>
  <c r="D17" i="46"/>
  <c r="AG18" i="47" s="1"/>
  <c r="D18" i="46"/>
  <c r="AG19" i="47" s="1"/>
  <c r="D19" i="46"/>
  <c r="AG20" i="47" s="1"/>
  <c r="D20" i="46"/>
  <c r="AG21" i="47" s="1"/>
  <c r="D21" i="46"/>
  <c r="D22" i="46"/>
  <c r="D23" i="46"/>
  <c r="AG24" i="47" s="1"/>
  <c r="D24" i="46"/>
  <c r="AG25" i="47" s="1"/>
  <c r="D25" i="46"/>
  <c r="AG26" i="47" s="1"/>
  <c r="D26" i="46"/>
  <c r="AG27" i="47" s="1"/>
  <c r="D27" i="46"/>
  <c r="D28" i="46"/>
  <c r="D29" i="46"/>
  <c r="D30" i="46"/>
  <c r="D31" i="46"/>
  <c r="AG32" i="47" s="1"/>
  <c r="D32" i="46"/>
  <c r="AG33" i="47" s="1"/>
  <c r="D33" i="46"/>
  <c r="AG34" i="47" s="1"/>
  <c r="D2" i="46"/>
  <c r="AG3" i="47" s="1"/>
  <c r="B4" i="33"/>
  <c r="D4" i="33"/>
  <c r="AD6" i="48"/>
  <c r="AD3" i="48" s="1"/>
  <c r="AR2" i="55"/>
  <c r="AR3" i="55"/>
  <c r="AR4" i="55"/>
  <c r="AR5" i="55"/>
  <c r="AR6" i="55"/>
  <c r="AR7" i="55"/>
  <c r="AR8" i="55"/>
  <c r="AR9" i="55"/>
  <c r="AR10" i="55"/>
  <c r="AR11" i="55"/>
  <c r="AR12" i="55"/>
  <c r="AR13" i="55"/>
  <c r="AR14" i="55"/>
  <c r="AR15" i="55"/>
  <c r="AR16" i="55"/>
  <c r="AR17" i="55"/>
  <c r="AR18" i="55"/>
  <c r="AR19" i="55"/>
  <c r="AR20" i="55"/>
  <c r="AR21" i="55"/>
  <c r="AR22" i="55"/>
  <c r="AR23" i="55"/>
  <c r="AR24" i="55"/>
  <c r="AR25" i="55"/>
  <c r="AR26" i="55"/>
  <c r="AR27" i="55"/>
  <c r="AR28" i="55"/>
  <c r="AR29" i="55"/>
  <c r="AR30" i="55"/>
  <c r="AR31" i="55"/>
  <c r="AR32" i="55"/>
  <c r="AR33" i="55"/>
  <c r="AR34" i="55"/>
  <c r="AR35" i="55"/>
  <c r="AR36" i="55"/>
  <c r="AR37" i="55"/>
  <c r="AR38" i="55"/>
  <c r="AR39" i="55"/>
  <c r="AR40" i="55"/>
  <c r="AR41" i="55"/>
  <c r="AR42" i="55"/>
  <c r="AR43" i="55"/>
  <c r="AR44" i="55"/>
  <c r="AR45" i="55"/>
  <c r="AR46" i="55"/>
  <c r="AR47" i="55"/>
  <c r="AR48" i="55"/>
  <c r="AR49" i="55"/>
  <c r="AR50" i="55"/>
  <c r="AR51" i="55"/>
  <c r="AR52" i="55"/>
  <c r="AR53" i="55"/>
  <c r="AR54" i="55"/>
  <c r="AR55" i="55"/>
  <c r="AR56" i="55"/>
  <c r="AR57" i="55"/>
  <c r="AR58" i="55"/>
  <c r="AR59" i="55"/>
  <c r="AR60" i="55"/>
  <c r="AR61" i="55"/>
  <c r="AR62" i="55"/>
  <c r="AR63" i="55"/>
  <c r="AR64" i="55"/>
  <c r="AR65" i="55"/>
  <c r="AR66" i="55"/>
  <c r="AR67" i="55"/>
  <c r="AR68" i="55"/>
  <c r="AR69" i="55"/>
  <c r="AR70" i="55"/>
  <c r="AR71" i="55"/>
  <c r="AR72" i="55"/>
  <c r="AR73" i="55"/>
  <c r="AR74" i="55"/>
  <c r="AR75" i="55"/>
  <c r="AR76" i="55"/>
  <c r="AR77" i="55"/>
  <c r="AR78" i="55"/>
  <c r="AR79" i="55"/>
  <c r="AR80" i="55"/>
  <c r="AR81" i="55"/>
  <c r="AR82" i="55"/>
  <c r="AR83" i="55"/>
  <c r="AR84" i="55"/>
  <c r="AR85" i="55"/>
  <c r="AR86" i="55"/>
  <c r="AR87" i="55"/>
  <c r="AR88" i="55"/>
  <c r="AR89" i="55"/>
  <c r="AR90" i="55"/>
  <c r="AR91" i="55"/>
  <c r="AR92" i="55"/>
  <c r="AR93" i="55"/>
  <c r="AR94" i="55"/>
  <c r="AR95" i="55"/>
  <c r="AR96" i="55"/>
  <c r="AR97" i="55"/>
  <c r="AR98" i="55"/>
  <c r="AR99" i="55"/>
  <c r="AR100" i="55"/>
  <c r="AR101" i="55"/>
  <c r="AE2" i="55"/>
  <c r="AE3" i="55"/>
  <c r="AE4" i="55"/>
  <c r="AE5" i="55"/>
  <c r="AE6" i="55"/>
  <c r="AE7" i="55"/>
  <c r="AE8" i="55"/>
  <c r="AE9" i="55"/>
  <c r="AE10" i="55"/>
  <c r="AE11" i="55"/>
  <c r="AE12" i="55"/>
  <c r="AE13" i="55"/>
  <c r="AE14" i="55"/>
  <c r="AE15" i="55"/>
  <c r="AE16" i="55"/>
  <c r="AE17" i="55"/>
  <c r="AE18" i="55"/>
  <c r="AE19" i="55"/>
  <c r="AE20" i="55"/>
  <c r="AE21" i="55"/>
  <c r="AE22" i="55"/>
  <c r="AE23" i="55"/>
  <c r="AE24" i="55"/>
  <c r="AE25" i="55"/>
  <c r="AE26" i="55"/>
  <c r="AE27" i="55"/>
  <c r="AE28" i="55"/>
  <c r="AE29" i="55"/>
  <c r="AE30" i="55"/>
  <c r="AE31" i="55"/>
  <c r="AE32" i="55"/>
  <c r="AE33" i="55"/>
  <c r="AE34" i="55"/>
  <c r="AE35" i="55"/>
  <c r="AE36" i="55"/>
  <c r="AE37" i="55"/>
  <c r="AE38" i="55"/>
  <c r="AE39" i="55"/>
  <c r="AE40" i="55"/>
  <c r="AE41" i="55"/>
  <c r="AE42" i="55"/>
  <c r="AE43" i="55"/>
  <c r="AE44" i="55"/>
  <c r="AE45" i="55"/>
  <c r="AE46" i="55"/>
  <c r="AE47" i="55"/>
  <c r="AE48" i="55"/>
  <c r="AE49" i="55"/>
  <c r="AE50" i="55"/>
  <c r="AE51" i="55"/>
  <c r="AE52" i="55"/>
  <c r="AE53" i="55"/>
  <c r="AE54" i="55"/>
  <c r="AE55" i="55"/>
  <c r="AE56" i="55"/>
  <c r="AE57" i="55"/>
  <c r="AE58" i="55"/>
  <c r="AE59" i="55"/>
  <c r="AE60" i="55"/>
  <c r="AE61" i="55"/>
  <c r="AE62" i="55"/>
  <c r="AE63" i="55"/>
  <c r="AE64" i="55"/>
  <c r="AE65" i="55"/>
  <c r="AE66" i="55"/>
  <c r="AE67" i="55"/>
  <c r="AE68" i="55"/>
  <c r="AE69" i="55"/>
  <c r="AE70" i="55"/>
  <c r="AE71" i="55"/>
  <c r="AE72" i="55"/>
  <c r="AE73" i="55"/>
  <c r="AE74" i="55"/>
  <c r="AE75" i="55"/>
  <c r="AE76" i="55"/>
  <c r="AE77" i="55"/>
  <c r="AE78" i="55"/>
  <c r="AE79" i="55"/>
  <c r="AE80" i="55"/>
  <c r="AE81" i="55"/>
  <c r="AE82" i="55"/>
  <c r="AE83" i="55"/>
  <c r="AE84" i="55"/>
  <c r="AE85" i="55"/>
  <c r="AE86" i="55"/>
  <c r="AE87" i="55"/>
  <c r="AE88" i="55"/>
  <c r="AE89" i="55"/>
  <c r="AE90" i="55"/>
  <c r="AE91" i="55"/>
  <c r="AE92" i="55"/>
  <c r="AE93" i="55"/>
  <c r="AE94" i="55"/>
  <c r="AE95" i="55"/>
  <c r="AE96" i="55"/>
  <c r="AE97" i="55"/>
  <c r="AE98" i="55"/>
  <c r="AE99" i="55"/>
  <c r="AE100" i="55"/>
  <c r="AE101" i="55"/>
  <c r="AE102" i="55"/>
  <c r="AE103" i="55"/>
  <c r="AE104" i="55"/>
  <c r="AE105" i="55"/>
  <c r="AE106" i="55"/>
  <c r="AE107" i="55"/>
  <c r="AE108" i="55"/>
  <c r="AE109" i="55"/>
  <c r="AE110" i="55"/>
  <c r="AE111" i="55"/>
  <c r="AE112" i="55"/>
  <c r="AE113" i="55"/>
  <c r="AE114" i="55"/>
  <c r="AE115" i="55"/>
  <c r="AE116" i="55"/>
  <c r="AE117" i="55"/>
  <c r="AE118" i="55"/>
  <c r="AE119" i="55"/>
  <c r="AE120" i="55"/>
  <c r="AE121" i="55"/>
  <c r="AE122" i="55"/>
  <c r="AE123" i="55"/>
  <c r="AE124" i="55"/>
  <c r="AE125" i="55"/>
  <c r="AE126" i="55"/>
  <c r="AE127" i="55"/>
  <c r="AE128" i="55"/>
  <c r="AE129" i="55"/>
  <c r="AE130" i="55"/>
  <c r="AE131" i="55"/>
  <c r="AE132" i="55"/>
  <c r="AE133" i="55"/>
  <c r="AE134" i="55"/>
  <c r="AE135" i="55"/>
  <c r="AE136" i="55"/>
  <c r="AE137" i="55"/>
  <c r="AE138" i="55"/>
  <c r="AE139" i="55"/>
  <c r="AE140" i="55"/>
  <c r="AE141" i="55"/>
  <c r="AE142" i="55"/>
  <c r="AE143" i="55"/>
  <c r="AE144" i="55"/>
  <c r="AE145" i="55"/>
  <c r="AE146" i="55"/>
  <c r="AE147" i="55"/>
  <c r="AE148" i="55"/>
  <c r="AE149" i="55"/>
  <c r="AE150" i="55"/>
  <c r="AE151" i="55"/>
  <c r="AE152" i="55"/>
  <c r="AE153" i="55"/>
  <c r="AE154" i="55"/>
  <c r="AE155" i="55"/>
  <c r="AE156" i="55"/>
  <c r="AE157" i="55"/>
  <c r="AE158" i="55"/>
  <c r="AE159" i="55"/>
  <c r="AE160" i="55"/>
  <c r="AE161" i="55"/>
  <c r="AE162" i="55"/>
  <c r="AE163" i="55"/>
  <c r="AE164" i="55"/>
  <c r="AE165" i="55"/>
  <c r="AE166" i="55"/>
  <c r="AE167" i="55"/>
  <c r="AE168" i="55"/>
  <c r="AE169" i="55"/>
  <c r="AE170" i="55"/>
  <c r="AE171" i="55"/>
  <c r="AE172" i="55"/>
  <c r="AE173" i="55"/>
  <c r="AE174" i="55"/>
  <c r="AE175" i="55"/>
  <c r="AE176" i="55"/>
  <c r="AE177" i="55"/>
  <c r="AE178" i="55"/>
  <c r="AE179" i="55"/>
  <c r="AE180" i="55"/>
  <c r="AE181" i="55"/>
  <c r="AE182" i="55"/>
  <c r="AE183" i="55"/>
  <c r="AE184" i="55"/>
  <c r="AE185" i="55"/>
  <c r="AE186" i="55"/>
  <c r="AE187" i="55"/>
  <c r="AK187" i="55" s="1"/>
  <c r="AE188" i="55"/>
  <c r="AN188" i="55" s="1"/>
  <c r="AE189" i="55"/>
  <c r="AJ189" i="55" s="1"/>
  <c r="AE190" i="55"/>
  <c r="AI190" i="55" s="1"/>
  <c r="AE191" i="55"/>
  <c r="AF191" i="55" s="1"/>
  <c r="AE192" i="55"/>
  <c r="AK192" i="55" s="1"/>
  <c r="AE193" i="55"/>
  <c r="AF193" i="55" s="1"/>
  <c r="AE194" i="55"/>
  <c r="AJ194" i="55" s="1"/>
  <c r="AE195" i="55"/>
  <c r="AG195" i="55" s="1"/>
  <c r="AE196" i="55"/>
  <c r="AM196" i="55" s="1"/>
  <c r="AE197" i="55"/>
  <c r="AF197" i="55" s="1"/>
  <c r="AE198" i="55"/>
  <c r="AJ198" i="55" s="1"/>
  <c r="AE199" i="55"/>
  <c r="AJ199" i="55" s="1"/>
  <c r="AE200" i="55"/>
  <c r="AG200" i="55" s="1"/>
  <c r="AE201" i="55"/>
  <c r="AH201" i="55" s="1"/>
  <c r="AE202" i="55"/>
  <c r="AF202" i="55" s="1"/>
  <c r="AE203" i="55"/>
  <c r="AF203" i="55" s="1"/>
  <c r="AE204" i="55"/>
  <c r="AF204" i="55" s="1"/>
  <c r="AE205" i="55"/>
  <c r="AH205" i="55" s="1"/>
  <c r="AE206" i="55"/>
  <c r="AI206" i="55" s="1"/>
  <c r="AE207" i="55"/>
  <c r="AG207" i="55" s="1"/>
  <c r="AE208" i="55"/>
  <c r="AG208" i="55" s="1"/>
  <c r="AE209" i="55"/>
  <c r="AM209" i="55" s="1"/>
  <c r="AE210" i="55"/>
  <c r="AF210" i="55" s="1"/>
  <c r="AE211" i="55"/>
  <c r="AL211" i="55" s="1"/>
  <c r="AE212" i="55"/>
  <c r="AJ212" i="55" s="1"/>
  <c r="AE213" i="55"/>
  <c r="AI213" i="55" s="1"/>
  <c r="AE214" i="55"/>
  <c r="AH214" i="55" s="1"/>
  <c r="AE215" i="55"/>
  <c r="AG215" i="55" s="1"/>
  <c r="AE216" i="55"/>
  <c r="AF216" i="55" s="1"/>
  <c r="AE217" i="55"/>
  <c r="AI217" i="55" s="1"/>
  <c r="AE218" i="55"/>
  <c r="AN218" i="55" s="1"/>
  <c r="AE219" i="55"/>
  <c r="AJ219" i="55" s="1"/>
  <c r="AE220" i="55"/>
  <c r="AG220" i="55" s="1"/>
  <c r="AE221" i="55"/>
  <c r="AI221" i="55" s="1"/>
  <c r="Q2" i="55"/>
  <c r="Q3" i="55"/>
  <c r="Q4" i="55"/>
  <c r="Q5" i="55"/>
  <c r="Q6" i="55"/>
  <c r="Q7" i="55"/>
  <c r="Q8" i="55"/>
  <c r="Q9" i="55"/>
  <c r="Q10" i="55"/>
  <c r="Q11" i="55"/>
  <c r="Q12" i="55"/>
  <c r="Q13" i="55"/>
  <c r="Q14" i="55"/>
  <c r="Q15" i="55"/>
  <c r="Q16" i="55"/>
  <c r="Q17" i="55"/>
  <c r="Q18" i="55"/>
  <c r="Q19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58" i="55"/>
  <c r="Q59" i="55"/>
  <c r="Q60" i="55"/>
  <c r="Q61" i="55"/>
  <c r="Q62" i="55"/>
  <c r="Q63" i="55"/>
  <c r="Q64" i="55"/>
  <c r="Q65" i="55"/>
  <c r="Q66" i="55"/>
  <c r="Q67" i="55"/>
  <c r="Q68" i="55"/>
  <c r="Q69" i="55"/>
  <c r="Q70" i="55"/>
  <c r="Q71" i="55"/>
  <c r="Q72" i="55"/>
  <c r="Q73" i="55"/>
  <c r="Q74" i="55"/>
  <c r="Q75" i="55"/>
  <c r="Q76" i="55"/>
  <c r="Q77" i="55"/>
  <c r="Q78" i="55"/>
  <c r="Q79" i="55"/>
  <c r="Q80" i="55"/>
  <c r="Q81" i="55"/>
  <c r="Q82" i="55"/>
  <c r="Q83" i="55"/>
  <c r="Q84" i="55"/>
  <c r="Q85" i="55"/>
  <c r="Q86" i="55"/>
  <c r="Q87" i="55"/>
  <c r="Q88" i="55"/>
  <c r="Q89" i="55"/>
  <c r="Q90" i="55"/>
  <c r="Q91" i="55"/>
  <c r="Q92" i="55"/>
  <c r="Q93" i="55"/>
  <c r="Q94" i="55"/>
  <c r="Q95" i="55"/>
  <c r="Q96" i="55"/>
  <c r="Q97" i="55"/>
  <c r="Q98" i="55"/>
  <c r="Q99" i="55"/>
  <c r="Q100" i="55"/>
  <c r="Q101" i="55"/>
  <c r="Q102" i="55"/>
  <c r="Q103" i="55"/>
  <c r="Q104" i="55"/>
  <c r="Q105" i="55"/>
  <c r="Q106" i="55"/>
  <c r="Q107" i="55"/>
  <c r="Q108" i="55"/>
  <c r="Q109" i="55"/>
  <c r="Q110" i="55"/>
  <c r="Q111" i="55"/>
  <c r="Q112" i="55"/>
  <c r="Q113" i="55"/>
  <c r="Q114" i="55"/>
  <c r="Q115" i="55"/>
  <c r="Q116" i="55"/>
  <c r="Q117" i="55"/>
  <c r="Q118" i="55"/>
  <c r="Q119" i="55"/>
  <c r="Q120" i="55"/>
  <c r="Q121" i="55"/>
  <c r="Q122" i="55"/>
  <c r="Q123" i="55"/>
  <c r="Q124" i="55"/>
  <c r="Q125" i="55"/>
  <c r="Q126" i="55"/>
  <c r="Q127" i="55"/>
  <c r="Q128" i="55"/>
  <c r="Q129" i="55"/>
  <c r="Q130" i="55"/>
  <c r="Q131" i="55"/>
  <c r="Q132" i="55"/>
  <c r="Q133" i="55"/>
  <c r="Q134" i="55"/>
  <c r="Q135" i="55"/>
  <c r="Q136" i="55"/>
  <c r="Q137" i="55"/>
  <c r="Q138" i="55"/>
  <c r="Q139" i="55"/>
  <c r="Q140" i="55"/>
  <c r="Q141" i="55"/>
  <c r="Q142" i="55"/>
  <c r="Q143" i="55"/>
  <c r="Q144" i="55"/>
  <c r="Q145" i="55"/>
  <c r="Q146" i="55"/>
  <c r="Q147" i="55"/>
  <c r="Q148" i="55"/>
  <c r="Q149" i="55"/>
  <c r="Q150" i="55"/>
  <c r="Q151" i="55"/>
  <c r="Q152" i="55"/>
  <c r="Q153" i="55"/>
  <c r="Q154" i="55"/>
  <c r="Q155" i="55"/>
  <c r="Q156" i="55"/>
  <c r="Q157" i="55"/>
  <c r="Q158" i="55"/>
  <c r="Q159" i="55"/>
  <c r="Q160" i="55"/>
  <c r="Q161" i="55"/>
  <c r="Q162" i="55"/>
  <c r="Q163" i="55"/>
  <c r="Q164" i="55"/>
  <c r="Q165" i="55"/>
  <c r="Q166" i="55"/>
  <c r="Q167" i="55"/>
  <c r="Q168" i="55"/>
  <c r="Q169" i="55"/>
  <c r="Q170" i="55"/>
  <c r="Q171" i="55"/>
  <c r="D34" i="31"/>
  <c r="D3" i="31" s="1"/>
  <c r="E3" i="31" s="1"/>
  <c r="H3" i="31" s="1"/>
  <c r="F31" i="31"/>
  <c r="D37" i="31" s="1"/>
  <c r="AG30" i="31"/>
  <c r="AF30" i="31"/>
  <c r="AE30" i="31"/>
  <c r="AB30" i="31"/>
  <c r="AC27" i="31"/>
  <c r="AA27" i="31"/>
  <c r="AC26" i="31"/>
  <c r="AA26" i="31"/>
  <c r="AC25" i="31"/>
  <c r="AA25" i="31"/>
  <c r="AC24" i="31"/>
  <c r="AA24" i="31"/>
  <c r="AC22" i="31"/>
  <c r="AA22" i="31"/>
  <c r="W22" i="31"/>
  <c r="AC21" i="31"/>
  <c r="AA21" i="31"/>
  <c r="W21" i="31"/>
  <c r="AC20" i="31"/>
  <c r="AA20" i="31"/>
  <c r="W20" i="31"/>
  <c r="AC19" i="31"/>
  <c r="AA19" i="31"/>
  <c r="W19" i="31"/>
  <c r="I19" i="31" s="1"/>
  <c r="J19" i="31" s="1"/>
  <c r="E201" i="35" s="1"/>
  <c r="AC18" i="31"/>
  <c r="AA18" i="31"/>
  <c r="W18" i="31"/>
  <c r="I18" i="31" s="1"/>
  <c r="AC17" i="31"/>
  <c r="AA17" i="31"/>
  <c r="W17" i="31"/>
  <c r="AC16" i="31"/>
  <c r="AA16" i="31"/>
  <c r="W16" i="31"/>
  <c r="I16" i="31" s="1"/>
  <c r="AC15" i="31"/>
  <c r="AA15" i="31"/>
  <c r="W15" i="31"/>
  <c r="AC12" i="31"/>
  <c r="AA12" i="31"/>
  <c r="W12" i="31"/>
  <c r="AC11" i="31"/>
  <c r="AA11" i="31"/>
  <c r="W11" i="31"/>
  <c r="AC10" i="31"/>
  <c r="AA10" i="31"/>
  <c r="W10" i="31"/>
  <c r="AC9" i="31"/>
  <c r="AA9" i="31"/>
  <c r="W9" i="31"/>
  <c r="I9" i="31" s="1"/>
  <c r="AC8" i="31"/>
  <c r="AA8" i="31"/>
  <c r="W8" i="31"/>
  <c r="I8" i="31" s="1"/>
  <c r="AC7" i="31"/>
  <c r="AA7" i="31"/>
  <c r="W7" i="31"/>
  <c r="W4" i="31"/>
  <c r="I4" i="31" s="1"/>
  <c r="Q4" i="31"/>
  <c r="W3" i="31"/>
  <c r="Q3" i="31"/>
  <c r="W2" i="31"/>
  <c r="Q2" i="31"/>
  <c r="D34" i="30"/>
  <c r="F31" i="30"/>
  <c r="D37" i="30" s="1"/>
  <c r="I11" i="30" s="1"/>
  <c r="AG30" i="30"/>
  <c r="AF30" i="30"/>
  <c r="AE30" i="30"/>
  <c r="AB30" i="30"/>
  <c r="AC27" i="30"/>
  <c r="AA27" i="30"/>
  <c r="AC26" i="30"/>
  <c r="AA26" i="30"/>
  <c r="AC25" i="30"/>
  <c r="AA25" i="30"/>
  <c r="AC24" i="30"/>
  <c r="AA24" i="30"/>
  <c r="AC22" i="30"/>
  <c r="AA22" i="30"/>
  <c r="W22" i="30"/>
  <c r="AC21" i="30"/>
  <c r="AA21" i="30"/>
  <c r="W21" i="30"/>
  <c r="AC20" i="30"/>
  <c r="AA20" i="30"/>
  <c r="W20" i="30"/>
  <c r="AC19" i="30"/>
  <c r="AA19" i="30"/>
  <c r="W19" i="30"/>
  <c r="AC18" i="30"/>
  <c r="AA18" i="30"/>
  <c r="W18" i="30"/>
  <c r="AC17" i="30"/>
  <c r="AA17" i="30"/>
  <c r="W17" i="30"/>
  <c r="AC16" i="30"/>
  <c r="AA16" i="30"/>
  <c r="W16" i="30"/>
  <c r="AC15" i="30"/>
  <c r="AA15" i="30"/>
  <c r="W15" i="30"/>
  <c r="AC12" i="30"/>
  <c r="AA12" i="30"/>
  <c r="W12" i="30"/>
  <c r="AC11" i="30"/>
  <c r="AA11" i="30"/>
  <c r="W11" i="30"/>
  <c r="AC10" i="30"/>
  <c r="AA10" i="30"/>
  <c r="W10" i="30"/>
  <c r="AC9" i="30"/>
  <c r="AA9" i="30"/>
  <c r="W9" i="30"/>
  <c r="AC8" i="30"/>
  <c r="AA8" i="30"/>
  <c r="W8" i="30"/>
  <c r="AC7" i="30"/>
  <c r="AA7" i="30"/>
  <c r="W7" i="30"/>
  <c r="W4" i="30"/>
  <c r="Q4" i="30"/>
  <c r="W3" i="30"/>
  <c r="Q3" i="30"/>
  <c r="W2" i="30"/>
  <c r="Q2" i="30"/>
  <c r="D34" i="29"/>
  <c r="F31" i="29"/>
  <c r="D37" i="29" s="1"/>
  <c r="AG30" i="29"/>
  <c r="AF30" i="29"/>
  <c r="AE30" i="29"/>
  <c r="AB30" i="29"/>
  <c r="AC27" i="29"/>
  <c r="AA27" i="29"/>
  <c r="AC26" i="29"/>
  <c r="AA26" i="29"/>
  <c r="AC25" i="29"/>
  <c r="AA25" i="29"/>
  <c r="AC24" i="29"/>
  <c r="AA24" i="29"/>
  <c r="AC22" i="29"/>
  <c r="AA22" i="29"/>
  <c r="W22" i="29"/>
  <c r="AC21" i="29"/>
  <c r="AA21" i="29"/>
  <c r="W21" i="29"/>
  <c r="AC20" i="29"/>
  <c r="AA20" i="29"/>
  <c r="W20" i="29"/>
  <c r="I20" i="29" s="1"/>
  <c r="AC19" i="29"/>
  <c r="AA19" i="29"/>
  <c r="W19" i="29"/>
  <c r="AC18" i="29"/>
  <c r="AA18" i="29"/>
  <c r="W18" i="29"/>
  <c r="AC17" i="29"/>
  <c r="AA17" i="29"/>
  <c r="W17" i="29"/>
  <c r="AC16" i="29"/>
  <c r="AA16" i="29"/>
  <c r="W16" i="29"/>
  <c r="AC15" i="29"/>
  <c r="AA15" i="29"/>
  <c r="W15" i="29"/>
  <c r="AC12" i="29"/>
  <c r="AA12" i="29"/>
  <c r="W12" i="29"/>
  <c r="AC11" i="29"/>
  <c r="AA11" i="29"/>
  <c r="W11" i="29"/>
  <c r="AC10" i="29"/>
  <c r="AA10" i="29"/>
  <c r="W10" i="29"/>
  <c r="AC9" i="29"/>
  <c r="AA9" i="29"/>
  <c r="W9" i="29"/>
  <c r="AC8" i="29"/>
  <c r="AA8" i="29"/>
  <c r="W8" i="29"/>
  <c r="AC7" i="29"/>
  <c r="AA7" i="29"/>
  <c r="W7" i="29"/>
  <c r="W4" i="29"/>
  <c r="Q4" i="29"/>
  <c r="D4" i="29" s="1"/>
  <c r="E4" i="29" s="1"/>
  <c r="W3" i="29"/>
  <c r="Q3" i="29"/>
  <c r="D3" i="29"/>
  <c r="E3" i="29"/>
  <c r="W2" i="29"/>
  <c r="Q2" i="29"/>
  <c r="D34" i="28"/>
  <c r="F31" i="28"/>
  <c r="D37" i="28" s="1"/>
  <c r="AG30" i="28"/>
  <c r="AF30" i="28"/>
  <c r="AB30" i="28"/>
  <c r="AC27" i="28"/>
  <c r="AA27" i="28"/>
  <c r="AC26" i="28"/>
  <c r="AA26" i="28"/>
  <c r="AC25" i="28"/>
  <c r="AA25" i="28"/>
  <c r="AC24" i="28"/>
  <c r="AA24" i="28"/>
  <c r="AC22" i="28"/>
  <c r="AA22" i="28"/>
  <c r="W22" i="28"/>
  <c r="AC21" i="28"/>
  <c r="AA21" i="28"/>
  <c r="W21" i="28"/>
  <c r="AC20" i="28"/>
  <c r="AA20" i="28"/>
  <c r="W20" i="28"/>
  <c r="AC19" i="28"/>
  <c r="AA19" i="28"/>
  <c r="W19" i="28"/>
  <c r="AC18" i="28"/>
  <c r="AA18" i="28"/>
  <c r="W18" i="28"/>
  <c r="AC17" i="28"/>
  <c r="AA17" i="28"/>
  <c r="W17" i="28"/>
  <c r="AC16" i="28"/>
  <c r="AA16" i="28"/>
  <c r="W16" i="28"/>
  <c r="AC15" i="28"/>
  <c r="AA15" i="28"/>
  <c r="W15" i="28"/>
  <c r="AC12" i="28"/>
  <c r="AA12" i="28"/>
  <c r="W12" i="28"/>
  <c r="AC11" i="28"/>
  <c r="AA11" i="28"/>
  <c r="W11" i="28"/>
  <c r="AC10" i="28"/>
  <c r="AA10" i="28"/>
  <c r="W10" i="28"/>
  <c r="AC9" i="28"/>
  <c r="AA9" i="28"/>
  <c r="W9" i="28"/>
  <c r="AC8" i="28"/>
  <c r="AA8" i="28"/>
  <c r="W8" i="28"/>
  <c r="AC7" i="28"/>
  <c r="AA7" i="28"/>
  <c r="W7" i="28"/>
  <c r="W4" i="28"/>
  <c r="Q4" i="28"/>
  <c r="D4" i="28"/>
  <c r="AE3" i="28"/>
  <c r="AE30" i="28" s="1"/>
  <c r="W3" i="28"/>
  <c r="W2" i="28"/>
  <c r="Q2" i="28"/>
  <c r="D2" i="28" s="1"/>
  <c r="D34" i="2"/>
  <c r="D2" i="2" s="1"/>
  <c r="F31" i="2"/>
  <c r="D37" i="2"/>
  <c r="AG30" i="2"/>
  <c r="AF30" i="2"/>
  <c r="AE30" i="2"/>
  <c r="AB30" i="2"/>
  <c r="AC27" i="2"/>
  <c r="AA27" i="2"/>
  <c r="AC26" i="2"/>
  <c r="AA26" i="2"/>
  <c r="AC25" i="2"/>
  <c r="AA25" i="2"/>
  <c r="AC24" i="2"/>
  <c r="AA24" i="2"/>
  <c r="AC22" i="2"/>
  <c r="AA22" i="2"/>
  <c r="W22" i="2"/>
  <c r="AC21" i="2"/>
  <c r="AA21" i="2"/>
  <c r="W21" i="2"/>
  <c r="AC20" i="2"/>
  <c r="AA20" i="2"/>
  <c r="W20" i="2"/>
  <c r="AC19" i="2"/>
  <c r="AA19" i="2"/>
  <c r="W19" i="2"/>
  <c r="AC18" i="2"/>
  <c r="AA18" i="2"/>
  <c r="W18" i="2"/>
  <c r="AC17" i="2"/>
  <c r="AA17" i="2"/>
  <c r="W17" i="2"/>
  <c r="AC16" i="2"/>
  <c r="AA16" i="2"/>
  <c r="W16" i="2"/>
  <c r="AC15" i="2"/>
  <c r="AA15" i="2"/>
  <c r="W15" i="2"/>
  <c r="AC12" i="2"/>
  <c r="AA12" i="2"/>
  <c r="W12" i="2"/>
  <c r="AC11" i="2"/>
  <c r="AA11" i="2"/>
  <c r="W11" i="2"/>
  <c r="AC10" i="2"/>
  <c r="AA10" i="2"/>
  <c r="W10" i="2"/>
  <c r="AC9" i="2"/>
  <c r="AA9" i="2"/>
  <c r="W9" i="2"/>
  <c r="I9" i="2" s="1"/>
  <c r="AC8" i="2"/>
  <c r="AA8" i="2"/>
  <c r="W8" i="2"/>
  <c r="AC7" i="2"/>
  <c r="AA7" i="2"/>
  <c r="W7" i="2"/>
  <c r="W4" i="2"/>
  <c r="Q4" i="2"/>
  <c r="D4" i="2" s="1"/>
  <c r="E4" i="2" s="1"/>
  <c r="W3" i="2"/>
  <c r="Q3" i="2"/>
  <c r="W2" i="2"/>
  <c r="W30" i="2" s="1"/>
  <c r="Q2" i="2"/>
  <c r="E2" i="2"/>
  <c r="H2" i="2" s="1"/>
  <c r="D34" i="27"/>
  <c r="D3" i="27" s="1"/>
  <c r="E3" i="27" s="1"/>
  <c r="F31" i="27"/>
  <c r="D37" i="27"/>
  <c r="AG30" i="27"/>
  <c r="AF30" i="27"/>
  <c r="AB30" i="27"/>
  <c r="AC27" i="27"/>
  <c r="AA27" i="27"/>
  <c r="AC26" i="27"/>
  <c r="AA26" i="27"/>
  <c r="AC25" i="27"/>
  <c r="AA25" i="27"/>
  <c r="AC24" i="27"/>
  <c r="AA24" i="27"/>
  <c r="AC22" i="27"/>
  <c r="AA22" i="27"/>
  <c r="W22" i="27"/>
  <c r="AC21" i="27"/>
  <c r="AA21" i="27"/>
  <c r="W21" i="27"/>
  <c r="AC20" i="27"/>
  <c r="AA20" i="27"/>
  <c r="W20" i="27"/>
  <c r="AC19" i="27"/>
  <c r="AA19" i="27"/>
  <c r="W19" i="27"/>
  <c r="AC18" i="27"/>
  <c r="AA18" i="27"/>
  <c r="W18" i="27"/>
  <c r="AC17" i="27"/>
  <c r="AA17" i="27"/>
  <c r="W17" i="27"/>
  <c r="AC16" i="27"/>
  <c r="AA16" i="27"/>
  <c r="W16" i="27"/>
  <c r="AC15" i="27"/>
  <c r="AA15" i="27"/>
  <c r="W15" i="27"/>
  <c r="AC12" i="27"/>
  <c r="AA12" i="27"/>
  <c r="W12" i="27"/>
  <c r="AC11" i="27"/>
  <c r="AA11" i="27"/>
  <c r="W11" i="27"/>
  <c r="AC10" i="27"/>
  <c r="AA10" i="27"/>
  <c r="W10" i="27"/>
  <c r="AC9" i="27"/>
  <c r="AA9" i="27"/>
  <c r="W9" i="27"/>
  <c r="AC8" i="27"/>
  <c r="AA8" i="27"/>
  <c r="W8" i="27"/>
  <c r="AC7" i="27"/>
  <c r="AA7" i="27"/>
  <c r="W7" i="27"/>
  <c r="W4" i="27"/>
  <c r="Q4" i="27"/>
  <c r="D4" i="27"/>
  <c r="E4" i="27" s="1"/>
  <c r="AE3" i="27"/>
  <c r="AE30" i="27"/>
  <c r="W3" i="27"/>
  <c r="Q3" i="27"/>
  <c r="W2" i="27"/>
  <c r="W30" i="27" s="1"/>
  <c r="Q2" i="27"/>
  <c r="D2" i="27"/>
  <c r="D34" i="26"/>
  <c r="F31" i="26"/>
  <c r="D37" i="26" s="1"/>
  <c r="AG30" i="26"/>
  <c r="AF30" i="26"/>
  <c r="AB30" i="26"/>
  <c r="AC27" i="26"/>
  <c r="AA27" i="26"/>
  <c r="AC26" i="26"/>
  <c r="AA26" i="26"/>
  <c r="AC25" i="26"/>
  <c r="AA25" i="26"/>
  <c r="AC24" i="26"/>
  <c r="AA24" i="26"/>
  <c r="AC22" i="26"/>
  <c r="AA22" i="26"/>
  <c r="W22" i="26"/>
  <c r="AC21" i="26"/>
  <c r="AA21" i="26"/>
  <c r="W21" i="26"/>
  <c r="AC20" i="26"/>
  <c r="AA20" i="26"/>
  <c r="W20" i="26"/>
  <c r="AC19" i="26"/>
  <c r="AA19" i="26"/>
  <c r="W19" i="26"/>
  <c r="AC18" i="26"/>
  <c r="AA18" i="26"/>
  <c r="W18" i="26"/>
  <c r="AC17" i="26"/>
  <c r="AA17" i="26"/>
  <c r="W17" i="26"/>
  <c r="AC16" i="26"/>
  <c r="AA16" i="26"/>
  <c r="W16" i="26"/>
  <c r="AC15" i="26"/>
  <c r="AA15" i="26"/>
  <c r="W15" i="26"/>
  <c r="AC12" i="26"/>
  <c r="AA12" i="26"/>
  <c r="W12" i="26"/>
  <c r="AC11" i="26"/>
  <c r="AA11" i="26"/>
  <c r="W11" i="26"/>
  <c r="AC10" i="26"/>
  <c r="AA10" i="26"/>
  <c r="W10" i="26"/>
  <c r="AC9" i="26"/>
  <c r="AA9" i="26"/>
  <c r="W9" i="26"/>
  <c r="AC8" i="26"/>
  <c r="AA8" i="26"/>
  <c r="W8" i="26"/>
  <c r="AC7" i="26"/>
  <c r="AA7" i="26"/>
  <c r="W7" i="26"/>
  <c r="W4" i="26"/>
  <c r="I4" i="26" s="1"/>
  <c r="AE3" i="26"/>
  <c r="W3" i="26"/>
  <c r="W2" i="26"/>
  <c r="Q2" i="26"/>
  <c r="D2" i="26"/>
  <c r="E2" i="26" s="1"/>
  <c r="D34" i="24"/>
  <c r="F31" i="24"/>
  <c r="D37" i="24"/>
  <c r="AG30" i="24"/>
  <c r="AF30" i="24"/>
  <c r="AB30" i="24"/>
  <c r="AC27" i="24"/>
  <c r="AA27" i="24"/>
  <c r="AC26" i="24"/>
  <c r="AA26" i="24"/>
  <c r="AC25" i="24"/>
  <c r="AA25" i="24"/>
  <c r="AC24" i="24"/>
  <c r="AA24" i="24"/>
  <c r="AC22" i="24"/>
  <c r="AA22" i="24"/>
  <c r="W22" i="24"/>
  <c r="AC21" i="24"/>
  <c r="AA21" i="24"/>
  <c r="W21" i="24"/>
  <c r="AC20" i="24"/>
  <c r="AA20" i="24"/>
  <c r="W20" i="24"/>
  <c r="AC19" i="24"/>
  <c r="AA19" i="24"/>
  <c r="W19" i="24"/>
  <c r="AC18" i="24"/>
  <c r="AA18" i="24"/>
  <c r="W18" i="24"/>
  <c r="AC17" i="24"/>
  <c r="AA17" i="24"/>
  <c r="W17" i="24"/>
  <c r="AC16" i="24"/>
  <c r="AA16" i="24"/>
  <c r="W16" i="24"/>
  <c r="AC15" i="24"/>
  <c r="AA15" i="24"/>
  <c r="W15" i="24"/>
  <c r="AC12" i="24"/>
  <c r="AA12" i="24"/>
  <c r="W12" i="24"/>
  <c r="AC11" i="24"/>
  <c r="AA11" i="24"/>
  <c r="W11" i="24"/>
  <c r="AC10" i="24"/>
  <c r="AA10" i="24"/>
  <c r="W10" i="24"/>
  <c r="AC9" i="24"/>
  <c r="AA9" i="24"/>
  <c r="W9" i="24"/>
  <c r="AC8" i="24"/>
  <c r="AA8" i="24"/>
  <c r="W8" i="24"/>
  <c r="AC7" i="24"/>
  <c r="AA7" i="24"/>
  <c r="W7" i="24"/>
  <c r="W4" i="24"/>
  <c r="Q4" i="24"/>
  <c r="AE3" i="24"/>
  <c r="W3" i="24"/>
  <c r="W2" i="24"/>
  <c r="Q2" i="24"/>
  <c r="D2" i="24"/>
  <c r="D37" i="23"/>
  <c r="D34" i="23"/>
  <c r="F31" i="23"/>
  <c r="AG30" i="23"/>
  <c r="AF30" i="23"/>
  <c r="AB30" i="23"/>
  <c r="AC27" i="23"/>
  <c r="AA27" i="23"/>
  <c r="AC26" i="23"/>
  <c r="AA26" i="23"/>
  <c r="AC25" i="23"/>
  <c r="AA25" i="23"/>
  <c r="AC24" i="23"/>
  <c r="AA24" i="23"/>
  <c r="AC22" i="23"/>
  <c r="AA22" i="23"/>
  <c r="W22" i="23"/>
  <c r="I22" i="23" s="1"/>
  <c r="AC21" i="23"/>
  <c r="AA21" i="23"/>
  <c r="W21" i="23"/>
  <c r="AC20" i="23"/>
  <c r="AA20" i="23"/>
  <c r="W20" i="23"/>
  <c r="AC19" i="23"/>
  <c r="AA19" i="23"/>
  <c r="W19" i="23"/>
  <c r="AC18" i="23"/>
  <c r="AA18" i="23"/>
  <c r="W18" i="23"/>
  <c r="AC17" i="23"/>
  <c r="AA17" i="23"/>
  <c r="W17" i="23"/>
  <c r="AC16" i="23"/>
  <c r="AA16" i="23"/>
  <c r="W16" i="23"/>
  <c r="AC15" i="23"/>
  <c r="AA15" i="23"/>
  <c r="W15" i="23"/>
  <c r="AC12" i="23"/>
  <c r="AA12" i="23"/>
  <c r="W12" i="23"/>
  <c r="AC11" i="23"/>
  <c r="AA11" i="23"/>
  <c r="W11" i="23"/>
  <c r="AC10" i="23"/>
  <c r="AA10" i="23"/>
  <c r="W10" i="23"/>
  <c r="AC9" i="23"/>
  <c r="AA9" i="23"/>
  <c r="W9" i="23"/>
  <c r="AC8" i="23"/>
  <c r="AA8" i="23"/>
  <c r="W8" i="23"/>
  <c r="AC7" i="23"/>
  <c r="AA7" i="23"/>
  <c r="W7" i="23"/>
  <c r="W4" i="23"/>
  <c r="Q4" i="23"/>
  <c r="D4" i="23" s="1"/>
  <c r="E4" i="23" s="1"/>
  <c r="AE3" i="23"/>
  <c r="AE30" i="23"/>
  <c r="W3" i="23"/>
  <c r="W2" i="23"/>
  <c r="Q2" i="23"/>
  <c r="D2" i="23"/>
  <c r="D37" i="22"/>
  <c r="E37" i="22" s="1"/>
  <c r="I26" i="22"/>
  <c r="J26" i="22" s="1"/>
  <c r="D34" i="22"/>
  <c r="F31" i="22"/>
  <c r="AG30" i="22"/>
  <c r="AF30" i="22"/>
  <c r="AE30" i="22"/>
  <c r="AB30" i="22"/>
  <c r="AC27" i="22"/>
  <c r="AA27" i="22"/>
  <c r="AC26" i="22"/>
  <c r="AA26" i="22"/>
  <c r="W26" i="22"/>
  <c r="Q26" i="22"/>
  <c r="AC25" i="22"/>
  <c r="AA25" i="22"/>
  <c r="AC24" i="22"/>
  <c r="AA24" i="22"/>
  <c r="AC22" i="22"/>
  <c r="AA22" i="22"/>
  <c r="W22" i="22"/>
  <c r="I22" i="22"/>
  <c r="J22" i="22" s="1"/>
  <c r="K22" i="22"/>
  <c r="AC21" i="22"/>
  <c r="AA21" i="22"/>
  <c r="W21" i="22"/>
  <c r="W30" i="22" s="1"/>
  <c r="AC20" i="22"/>
  <c r="AA20" i="22"/>
  <c r="W20" i="22"/>
  <c r="AC19" i="22"/>
  <c r="AA19" i="22"/>
  <c r="W19" i="22"/>
  <c r="AC18" i="22"/>
  <c r="AA18" i="22"/>
  <c r="W18" i="22"/>
  <c r="I18" i="22"/>
  <c r="AC17" i="22"/>
  <c r="AA17" i="22"/>
  <c r="W17" i="22"/>
  <c r="I17" i="22"/>
  <c r="AC16" i="22"/>
  <c r="AA16" i="22"/>
  <c r="W16" i="22"/>
  <c r="AC15" i="22"/>
  <c r="AA15" i="22"/>
  <c r="W15" i="22"/>
  <c r="AC12" i="22"/>
  <c r="AA12" i="22"/>
  <c r="W12" i="22"/>
  <c r="I12" i="22"/>
  <c r="J12" i="22" s="1"/>
  <c r="K12" i="22"/>
  <c r="AC11" i="22"/>
  <c r="AA11" i="22"/>
  <c r="W11" i="22"/>
  <c r="AC10" i="22"/>
  <c r="AA10" i="22"/>
  <c r="W10" i="22"/>
  <c r="AC9" i="22"/>
  <c r="AA9" i="22"/>
  <c r="W9" i="22"/>
  <c r="AC8" i="22"/>
  <c r="AA8" i="22"/>
  <c r="W8" i="22"/>
  <c r="I8" i="22" s="1"/>
  <c r="AC7" i="22"/>
  <c r="AA7" i="22"/>
  <c r="W7" i="22"/>
  <c r="W4" i="22"/>
  <c r="Q4" i="22"/>
  <c r="AE3" i="22"/>
  <c r="Q3" i="22" s="1"/>
  <c r="W3" i="22"/>
  <c r="W2" i="22"/>
  <c r="Q2" i="22"/>
  <c r="D34" i="21"/>
  <c r="F31" i="21"/>
  <c r="D37" i="21"/>
  <c r="AG30" i="21"/>
  <c r="AF30" i="21"/>
  <c r="AB30" i="21"/>
  <c r="AC27" i="21"/>
  <c r="AA27" i="21"/>
  <c r="AC26" i="21"/>
  <c r="AA26" i="21"/>
  <c r="AC25" i="21"/>
  <c r="AA25" i="21"/>
  <c r="AC24" i="21"/>
  <c r="AA24" i="21"/>
  <c r="AC22" i="21"/>
  <c r="AA22" i="21"/>
  <c r="W22" i="21"/>
  <c r="AC21" i="21"/>
  <c r="AA21" i="21"/>
  <c r="W21" i="21"/>
  <c r="AC20" i="21"/>
  <c r="AA20" i="21"/>
  <c r="W20" i="21"/>
  <c r="AC19" i="21"/>
  <c r="AA19" i="21"/>
  <c r="W19" i="21"/>
  <c r="AC18" i="21"/>
  <c r="AA18" i="21"/>
  <c r="W18" i="21"/>
  <c r="AC17" i="21"/>
  <c r="AA17" i="21"/>
  <c r="W17" i="21"/>
  <c r="AC16" i="21"/>
  <c r="AA16" i="21"/>
  <c r="W16" i="21"/>
  <c r="AC15" i="21"/>
  <c r="AA15" i="21"/>
  <c r="W15" i="21"/>
  <c r="AC12" i="21"/>
  <c r="AA12" i="21"/>
  <c r="W12" i="21"/>
  <c r="AC11" i="21"/>
  <c r="AA11" i="21"/>
  <c r="W11" i="21"/>
  <c r="AC10" i="21"/>
  <c r="AA10" i="21"/>
  <c r="W10" i="21"/>
  <c r="AC9" i="21"/>
  <c r="AA9" i="21"/>
  <c r="W9" i="21"/>
  <c r="AC8" i="21"/>
  <c r="AA8" i="21"/>
  <c r="W8" i="21"/>
  <c r="AC7" i="21"/>
  <c r="AA7" i="21"/>
  <c r="W7" i="21"/>
  <c r="W4" i="21"/>
  <c r="Q4" i="21"/>
  <c r="D4" i="21" s="1"/>
  <c r="E4" i="21"/>
  <c r="AE3" i="21"/>
  <c r="AE30" i="21"/>
  <c r="W3" i="21"/>
  <c r="W2" i="21"/>
  <c r="Q2" i="21"/>
  <c r="D2" i="21" s="1"/>
  <c r="E37" i="20"/>
  <c r="D34" i="20"/>
  <c r="D4" i="20" s="1"/>
  <c r="E4" i="20" s="1"/>
  <c r="F31" i="20"/>
  <c r="D37" i="20" s="1"/>
  <c r="AG30" i="20"/>
  <c r="AF30" i="20"/>
  <c r="AB30" i="20"/>
  <c r="AC27" i="20"/>
  <c r="AA27" i="20"/>
  <c r="AC26" i="20"/>
  <c r="AA26" i="20"/>
  <c r="AC25" i="20"/>
  <c r="AA25" i="20"/>
  <c r="AC24" i="20"/>
  <c r="AA24" i="20"/>
  <c r="AC22" i="20"/>
  <c r="AA22" i="20"/>
  <c r="W22" i="20"/>
  <c r="AC21" i="20"/>
  <c r="AA21" i="20"/>
  <c r="W21" i="20"/>
  <c r="I21" i="20" s="1"/>
  <c r="AC20" i="20"/>
  <c r="AA20" i="20"/>
  <c r="W20" i="20"/>
  <c r="AC19" i="20"/>
  <c r="AA19" i="20"/>
  <c r="W19" i="20"/>
  <c r="AC18" i="20"/>
  <c r="AA18" i="20"/>
  <c r="W18" i="20"/>
  <c r="AC17" i="20"/>
  <c r="AA17" i="20"/>
  <c r="W17" i="20"/>
  <c r="AC16" i="20"/>
  <c r="AA16" i="20"/>
  <c r="W16" i="20"/>
  <c r="AC15" i="20"/>
  <c r="AA15" i="20"/>
  <c r="W15" i="20"/>
  <c r="I15" i="20" s="1"/>
  <c r="AC12" i="20"/>
  <c r="AA12" i="20"/>
  <c r="W12" i="20"/>
  <c r="AC11" i="20"/>
  <c r="AA11" i="20"/>
  <c r="W11" i="20"/>
  <c r="I11" i="20" s="1"/>
  <c r="J11" i="20" s="1"/>
  <c r="F106" i="36" s="1"/>
  <c r="AC10" i="20"/>
  <c r="AA10" i="20"/>
  <c r="W10" i="20"/>
  <c r="AC9" i="20"/>
  <c r="AA9" i="20"/>
  <c r="W9" i="20"/>
  <c r="AC8" i="20"/>
  <c r="AA8" i="20"/>
  <c r="W8" i="20"/>
  <c r="AC7" i="20"/>
  <c r="AA7" i="20"/>
  <c r="W7" i="20"/>
  <c r="W4" i="20"/>
  <c r="Q4" i="20"/>
  <c r="AE3" i="20"/>
  <c r="AE30" i="20"/>
  <c r="W3" i="20"/>
  <c r="W2" i="20"/>
  <c r="Q2" i="20"/>
  <c r="D2" i="20"/>
  <c r="D37" i="19"/>
  <c r="D34" i="19"/>
  <c r="D4" i="19" s="1"/>
  <c r="E4" i="19" s="1"/>
  <c r="F31" i="19"/>
  <c r="AG30" i="19"/>
  <c r="AF30" i="19"/>
  <c r="AB30" i="19"/>
  <c r="AC27" i="19"/>
  <c r="AA27" i="19"/>
  <c r="AC26" i="19"/>
  <c r="AA26" i="19"/>
  <c r="AC25" i="19"/>
  <c r="AA25" i="19"/>
  <c r="AC24" i="19"/>
  <c r="AA24" i="19"/>
  <c r="AC22" i="19"/>
  <c r="AA22" i="19"/>
  <c r="W22" i="19"/>
  <c r="AC21" i="19"/>
  <c r="AA21" i="19"/>
  <c r="W21" i="19"/>
  <c r="AC20" i="19"/>
  <c r="AA20" i="19"/>
  <c r="W20" i="19"/>
  <c r="AC19" i="19"/>
  <c r="AA19" i="19"/>
  <c r="W19" i="19"/>
  <c r="AC18" i="19"/>
  <c r="AA18" i="19"/>
  <c r="W18" i="19"/>
  <c r="AC17" i="19"/>
  <c r="AA17" i="19"/>
  <c r="W17" i="19"/>
  <c r="I17" i="19" s="1"/>
  <c r="AC16" i="19"/>
  <c r="AA16" i="19"/>
  <c r="W16" i="19"/>
  <c r="AC15" i="19"/>
  <c r="AA15" i="19"/>
  <c r="W15" i="19"/>
  <c r="AC12" i="19"/>
  <c r="AA12" i="19"/>
  <c r="W12" i="19"/>
  <c r="AC11" i="19"/>
  <c r="AA11" i="19"/>
  <c r="W11" i="19"/>
  <c r="AC10" i="19"/>
  <c r="AA10" i="19"/>
  <c r="W10" i="19"/>
  <c r="AC9" i="19"/>
  <c r="AA9" i="19"/>
  <c r="W9" i="19"/>
  <c r="AC8" i="19"/>
  <c r="AA8" i="19"/>
  <c r="W8" i="19"/>
  <c r="AC7" i="19"/>
  <c r="AA7" i="19"/>
  <c r="W7" i="19"/>
  <c r="I7" i="19" s="1"/>
  <c r="W4" i="19"/>
  <c r="Q4" i="19"/>
  <c r="AE3" i="19"/>
  <c r="AE30" i="19"/>
  <c r="W3" i="19"/>
  <c r="W2" i="19"/>
  <c r="Q2" i="19"/>
  <c r="D34" i="18"/>
  <c r="F31" i="18"/>
  <c r="D37" i="18" s="1"/>
  <c r="F37" i="18" s="1"/>
  <c r="AG30" i="18"/>
  <c r="AF30" i="18"/>
  <c r="AB30" i="18"/>
  <c r="AC27" i="18"/>
  <c r="AA27" i="18"/>
  <c r="AC26" i="18"/>
  <c r="AA26" i="18"/>
  <c r="AC25" i="18"/>
  <c r="AA25" i="18"/>
  <c r="L25" i="18" s="1"/>
  <c r="AC24" i="18"/>
  <c r="AA24" i="18"/>
  <c r="AC22" i="18"/>
  <c r="AA22" i="18"/>
  <c r="W22" i="18"/>
  <c r="AC21" i="18"/>
  <c r="AA21" i="18"/>
  <c r="W21" i="18"/>
  <c r="AC20" i="18"/>
  <c r="AA20" i="18"/>
  <c r="W20" i="18"/>
  <c r="AC19" i="18"/>
  <c r="AA19" i="18"/>
  <c r="W19" i="18"/>
  <c r="AC18" i="18"/>
  <c r="AA18" i="18"/>
  <c r="W18" i="18"/>
  <c r="AC17" i="18"/>
  <c r="AA17" i="18"/>
  <c r="W17" i="18"/>
  <c r="AC16" i="18"/>
  <c r="AA16" i="18"/>
  <c r="W16" i="18"/>
  <c r="AC15" i="18"/>
  <c r="AA15" i="18"/>
  <c r="W15" i="18"/>
  <c r="I15" i="18" s="1"/>
  <c r="AC12" i="18"/>
  <c r="AA12" i="18"/>
  <c r="W12" i="18"/>
  <c r="AC11" i="18"/>
  <c r="AA11" i="18"/>
  <c r="W11" i="18"/>
  <c r="AC10" i="18"/>
  <c r="AA10" i="18"/>
  <c r="L10" i="18" s="1"/>
  <c r="W10" i="18"/>
  <c r="AC9" i="18"/>
  <c r="AA9" i="18"/>
  <c r="W9" i="18"/>
  <c r="AC8" i="18"/>
  <c r="AA8" i="18"/>
  <c r="L8" i="18" s="1"/>
  <c r="M8" i="18" s="1"/>
  <c r="W8" i="18"/>
  <c r="AC7" i="18"/>
  <c r="AA7" i="18"/>
  <c r="W7" i="18"/>
  <c r="W4" i="18"/>
  <c r="Q4" i="18"/>
  <c r="D4" i="18"/>
  <c r="E4" i="18"/>
  <c r="AE3" i="18"/>
  <c r="AE30" i="18"/>
  <c r="W3" i="18"/>
  <c r="W2" i="18"/>
  <c r="Q2" i="18"/>
  <c r="D2" i="18" s="1"/>
  <c r="D34" i="3"/>
  <c r="F31" i="3"/>
  <c r="D37" i="3"/>
  <c r="AG30" i="3"/>
  <c r="AF30" i="3"/>
  <c r="AB30" i="3"/>
  <c r="AC27" i="3"/>
  <c r="AA27" i="3"/>
  <c r="AC26" i="3"/>
  <c r="AA26" i="3"/>
  <c r="AC25" i="3"/>
  <c r="AA25" i="3"/>
  <c r="AC24" i="3"/>
  <c r="AA24" i="3"/>
  <c r="AC22" i="3"/>
  <c r="AA22" i="3"/>
  <c r="W22" i="3"/>
  <c r="AC21" i="3"/>
  <c r="AA21" i="3"/>
  <c r="L21" i="3" s="1"/>
  <c r="M21" i="3" s="1"/>
  <c r="W21" i="3"/>
  <c r="AC20" i="3"/>
  <c r="AA20" i="3"/>
  <c r="W20" i="3"/>
  <c r="AC19" i="3"/>
  <c r="AA19" i="3"/>
  <c r="W19" i="3"/>
  <c r="AC18" i="3"/>
  <c r="AA18" i="3"/>
  <c r="W18" i="3"/>
  <c r="AC17" i="3"/>
  <c r="AA17" i="3"/>
  <c r="W17" i="3"/>
  <c r="AC16" i="3"/>
  <c r="AA16" i="3"/>
  <c r="W16" i="3"/>
  <c r="AC15" i="3"/>
  <c r="AA15" i="3"/>
  <c r="W15" i="3"/>
  <c r="AC12" i="3"/>
  <c r="AA12" i="3"/>
  <c r="W12" i="3"/>
  <c r="AC11" i="3"/>
  <c r="AA11" i="3"/>
  <c r="L11" i="3" s="1"/>
  <c r="M11" i="3" s="1"/>
  <c r="W11" i="3"/>
  <c r="AC10" i="3"/>
  <c r="AA10" i="3"/>
  <c r="W10" i="3"/>
  <c r="AC9" i="3"/>
  <c r="AA9" i="3"/>
  <c r="W9" i="3"/>
  <c r="AC8" i="3"/>
  <c r="AA8" i="3"/>
  <c r="W8" i="3"/>
  <c r="AC7" i="3"/>
  <c r="AA7" i="3"/>
  <c r="W7" i="3"/>
  <c r="W4" i="3"/>
  <c r="Q4" i="3"/>
  <c r="D4" i="3" s="1"/>
  <c r="E4" i="3"/>
  <c r="AE3" i="3"/>
  <c r="AE30" i="3" s="1"/>
  <c r="W3" i="3"/>
  <c r="Q3" i="3"/>
  <c r="D3" i="3"/>
  <c r="E3" i="3" s="1"/>
  <c r="W2" i="3"/>
  <c r="Q2" i="3"/>
  <c r="D2" i="3"/>
  <c r="L26" i="3" s="1"/>
  <c r="M26" i="3" s="1"/>
  <c r="D34" i="25"/>
  <c r="F31" i="25"/>
  <c r="D37" i="25" s="1"/>
  <c r="AG30" i="25"/>
  <c r="AF30" i="25"/>
  <c r="AB30" i="25"/>
  <c r="AC27" i="25"/>
  <c r="AA27" i="25"/>
  <c r="AC26" i="25"/>
  <c r="AA26" i="25"/>
  <c r="AC25" i="25"/>
  <c r="AA25" i="25"/>
  <c r="AC24" i="25"/>
  <c r="AA24" i="25"/>
  <c r="AC22" i="25"/>
  <c r="AA22" i="25"/>
  <c r="W22" i="25"/>
  <c r="AC21" i="25"/>
  <c r="AA21" i="25"/>
  <c r="W21" i="25"/>
  <c r="AC20" i="25"/>
  <c r="AA20" i="25"/>
  <c r="W20" i="25"/>
  <c r="AC19" i="25"/>
  <c r="AA19" i="25"/>
  <c r="W19" i="25"/>
  <c r="I19" i="25" s="1"/>
  <c r="AC18" i="25"/>
  <c r="AA18" i="25"/>
  <c r="W18" i="25"/>
  <c r="AC17" i="25"/>
  <c r="AA17" i="25"/>
  <c r="W17" i="25"/>
  <c r="AC16" i="25"/>
  <c r="AA16" i="25"/>
  <c r="W16" i="25"/>
  <c r="AC15" i="25"/>
  <c r="AA15" i="25"/>
  <c r="W15" i="25"/>
  <c r="AC12" i="25"/>
  <c r="AA12" i="25"/>
  <c r="W12" i="25"/>
  <c r="AC11" i="25"/>
  <c r="AA11" i="25"/>
  <c r="W11" i="25"/>
  <c r="AC10" i="25"/>
  <c r="AA10" i="25"/>
  <c r="W10" i="25"/>
  <c r="AC9" i="25"/>
  <c r="AA9" i="25"/>
  <c r="W9" i="25"/>
  <c r="I9" i="25" s="1"/>
  <c r="AC8" i="25"/>
  <c r="AA8" i="25"/>
  <c r="W8" i="25"/>
  <c r="AC7" i="25"/>
  <c r="AA7" i="25"/>
  <c r="W7" i="25"/>
  <c r="W4" i="25"/>
  <c r="Q4" i="25"/>
  <c r="AE3" i="25"/>
  <c r="AE30" i="25" s="1"/>
  <c r="W3" i="25"/>
  <c r="W2" i="25"/>
  <c r="Q2" i="25"/>
  <c r="E37" i="17"/>
  <c r="D34" i="17"/>
  <c r="F31" i="17"/>
  <c r="D37" i="17" s="1"/>
  <c r="F37" i="17" s="1"/>
  <c r="AG30" i="17"/>
  <c r="AF30" i="17"/>
  <c r="AB30" i="17"/>
  <c r="AC27" i="17"/>
  <c r="AA27" i="17"/>
  <c r="AC26" i="17"/>
  <c r="AA26" i="17"/>
  <c r="AC25" i="17"/>
  <c r="AA25" i="17"/>
  <c r="AC24" i="17"/>
  <c r="AA24" i="17"/>
  <c r="AC22" i="17"/>
  <c r="AA22" i="17"/>
  <c r="W22" i="17"/>
  <c r="AC21" i="17"/>
  <c r="AA21" i="17"/>
  <c r="W21" i="17"/>
  <c r="AC20" i="17"/>
  <c r="AA20" i="17"/>
  <c r="W20" i="17"/>
  <c r="AC19" i="17"/>
  <c r="AA19" i="17"/>
  <c r="W19" i="17"/>
  <c r="AC18" i="17"/>
  <c r="AA18" i="17"/>
  <c r="W18" i="17"/>
  <c r="I18" i="17" s="1"/>
  <c r="AC17" i="17"/>
  <c r="AA17" i="17"/>
  <c r="W17" i="17"/>
  <c r="I17" i="17" s="1"/>
  <c r="AC16" i="17"/>
  <c r="AA16" i="17"/>
  <c r="W16" i="17"/>
  <c r="AC15" i="17"/>
  <c r="AA15" i="17"/>
  <c r="W15" i="17"/>
  <c r="AC12" i="17"/>
  <c r="AA12" i="17"/>
  <c r="W12" i="17"/>
  <c r="AC11" i="17"/>
  <c r="AA11" i="17"/>
  <c r="W11" i="17"/>
  <c r="AC10" i="17"/>
  <c r="AA10" i="17"/>
  <c r="W10" i="17"/>
  <c r="AC9" i="17"/>
  <c r="AA9" i="17"/>
  <c r="W9" i="17"/>
  <c r="AC8" i="17"/>
  <c r="AA8" i="17"/>
  <c r="W8" i="17"/>
  <c r="I8" i="17" s="1"/>
  <c r="AC7" i="17"/>
  <c r="AA7" i="17"/>
  <c r="W7" i="17"/>
  <c r="I7" i="17" s="1"/>
  <c r="E77" i="36" s="1"/>
  <c r="W4" i="17"/>
  <c r="Q4" i="17"/>
  <c r="E4" i="17"/>
  <c r="F4" i="17"/>
  <c r="D4" i="17"/>
  <c r="AE3" i="17"/>
  <c r="AE30" i="17" s="1"/>
  <c r="W3" i="17"/>
  <c r="W2" i="17"/>
  <c r="Q2" i="17"/>
  <c r="D2" i="17"/>
  <c r="D34" i="16"/>
  <c r="F31" i="16"/>
  <c r="D37" i="16"/>
  <c r="AG30" i="16"/>
  <c r="AF30" i="16"/>
  <c r="AB30" i="16"/>
  <c r="AC27" i="16"/>
  <c r="AA27" i="16"/>
  <c r="AC26" i="16"/>
  <c r="AA26" i="16"/>
  <c r="AC25" i="16"/>
  <c r="AA25" i="16"/>
  <c r="AC24" i="16"/>
  <c r="AA24" i="16"/>
  <c r="AC22" i="16"/>
  <c r="AA22" i="16"/>
  <c r="W22" i="16"/>
  <c r="AC21" i="16"/>
  <c r="AA21" i="16"/>
  <c r="W21" i="16"/>
  <c r="AC20" i="16"/>
  <c r="AA20" i="16"/>
  <c r="W20" i="16"/>
  <c r="AC19" i="16"/>
  <c r="AA19" i="16"/>
  <c r="W19" i="16"/>
  <c r="AC18" i="16"/>
  <c r="AA18" i="16"/>
  <c r="W18" i="16"/>
  <c r="AC17" i="16"/>
  <c r="AA17" i="16"/>
  <c r="W17" i="16"/>
  <c r="AC16" i="16"/>
  <c r="AA16" i="16"/>
  <c r="W16" i="16"/>
  <c r="AC15" i="16"/>
  <c r="AA15" i="16"/>
  <c r="W15" i="16"/>
  <c r="AC12" i="16"/>
  <c r="AA12" i="16"/>
  <c r="W12" i="16"/>
  <c r="AC11" i="16"/>
  <c r="AA11" i="16"/>
  <c r="W11" i="16"/>
  <c r="AC10" i="16"/>
  <c r="AA10" i="16"/>
  <c r="W10" i="16"/>
  <c r="AC9" i="16"/>
  <c r="AA9" i="16"/>
  <c r="W9" i="16"/>
  <c r="AC8" i="16"/>
  <c r="AA8" i="16"/>
  <c r="W8" i="16"/>
  <c r="AC7" i="16"/>
  <c r="AA7" i="16"/>
  <c r="AA30" i="16"/>
  <c r="W7" i="16"/>
  <c r="W4" i="16"/>
  <c r="Q4" i="16"/>
  <c r="AE3" i="16"/>
  <c r="Q3" i="16" s="1"/>
  <c r="D3" i="16" s="1"/>
  <c r="AE30" i="16"/>
  <c r="W3" i="16"/>
  <c r="I3" i="16" s="1"/>
  <c r="W2" i="16"/>
  <c r="Q2" i="16"/>
  <c r="D34" i="15"/>
  <c r="F31" i="15"/>
  <c r="D37" i="15" s="1"/>
  <c r="E37" i="15" s="1"/>
  <c r="AG30" i="15"/>
  <c r="AF30" i="15"/>
  <c r="AB30" i="15"/>
  <c r="AC27" i="15"/>
  <c r="AA27" i="15"/>
  <c r="AC26" i="15"/>
  <c r="AA26" i="15"/>
  <c r="AC25" i="15"/>
  <c r="AA25" i="15"/>
  <c r="AC24" i="15"/>
  <c r="AA24" i="15"/>
  <c r="AC22" i="15"/>
  <c r="AA22" i="15"/>
  <c r="W22" i="15"/>
  <c r="AC21" i="15"/>
  <c r="AA21" i="15"/>
  <c r="W21" i="15"/>
  <c r="AC20" i="15"/>
  <c r="AA20" i="15"/>
  <c r="W20" i="15"/>
  <c r="AC19" i="15"/>
  <c r="AA19" i="15"/>
  <c r="W19" i="15"/>
  <c r="AC18" i="15"/>
  <c r="AA18" i="15"/>
  <c r="W18" i="15"/>
  <c r="AC17" i="15"/>
  <c r="AA17" i="15"/>
  <c r="W17" i="15"/>
  <c r="AC16" i="15"/>
  <c r="AA16" i="15"/>
  <c r="W16" i="15"/>
  <c r="AC15" i="15"/>
  <c r="AA15" i="15"/>
  <c r="W15" i="15"/>
  <c r="AC12" i="15"/>
  <c r="AA12" i="15"/>
  <c r="W12" i="15"/>
  <c r="AC11" i="15"/>
  <c r="AA11" i="15"/>
  <c r="W11" i="15"/>
  <c r="AC10" i="15"/>
  <c r="AA10" i="15"/>
  <c r="W10" i="15"/>
  <c r="AC9" i="15"/>
  <c r="AA9" i="15"/>
  <c r="W9" i="15"/>
  <c r="AC8" i="15"/>
  <c r="AA8" i="15"/>
  <c r="W8" i="15"/>
  <c r="AC7" i="15"/>
  <c r="AA7" i="15"/>
  <c r="W7" i="15"/>
  <c r="W4" i="15"/>
  <c r="Q4" i="15"/>
  <c r="AE3" i="15"/>
  <c r="AE30" i="15" s="1"/>
  <c r="W3" i="15"/>
  <c r="I3" i="15" s="1"/>
  <c r="W2" i="15"/>
  <c r="Q2" i="15"/>
  <c r="D2" i="15"/>
  <c r="D34" i="14"/>
  <c r="D4" i="14" s="1"/>
  <c r="E4" i="14" s="1"/>
  <c r="F31" i="14"/>
  <c r="D37" i="14"/>
  <c r="AG30" i="14"/>
  <c r="AF30" i="14"/>
  <c r="AB30" i="14"/>
  <c r="AC27" i="14"/>
  <c r="AA27" i="14"/>
  <c r="AC26" i="14"/>
  <c r="AA26" i="14"/>
  <c r="AC25" i="14"/>
  <c r="AA25" i="14"/>
  <c r="AC24" i="14"/>
  <c r="AA24" i="14"/>
  <c r="W22" i="14"/>
  <c r="AC21" i="14"/>
  <c r="AA21" i="14"/>
  <c r="W21" i="14"/>
  <c r="AC20" i="14"/>
  <c r="AA20" i="14"/>
  <c r="W20" i="14"/>
  <c r="AC19" i="14"/>
  <c r="AA19" i="14"/>
  <c r="W19" i="14"/>
  <c r="AC18" i="14"/>
  <c r="AA18" i="14"/>
  <c r="W18" i="14"/>
  <c r="AC17" i="14"/>
  <c r="AA17" i="14"/>
  <c r="W17" i="14"/>
  <c r="AC16" i="14"/>
  <c r="AA16" i="14"/>
  <c r="W16" i="14"/>
  <c r="AC15" i="14"/>
  <c r="AA15" i="14"/>
  <c r="W15" i="14"/>
  <c r="AC12" i="14"/>
  <c r="AA12" i="14"/>
  <c r="W12" i="14"/>
  <c r="AC11" i="14"/>
  <c r="AA11" i="14"/>
  <c r="W11" i="14"/>
  <c r="AC10" i="14"/>
  <c r="AA10" i="14"/>
  <c r="W10" i="14"/>
  <c r="AC9" i="14"/>
  <c r="AA9" i="14"/>
  <c r="W9" i="14"/>
  <c r="AC8" i="14"/>
  <c r="AA8" i="14"/>
  <c r="W8" i="14"/>
  <c r="AC7" i="14"/>
  <c r="AC30" i="14" s="1"/>
  <c r="AA7" i="14"/>
  <c r="AA30" i="14" s="1"/>
  <c r="W7" i="14"/>
  <c r="W4" i="14"/>
  <c r="Q4" i="14"/>
  <c r="AE3" i="14"/>
  <c r="AE30" i="14"/>
  <c r="W3" i="14"/>
  <c r="W2" i="14"/>
  <c r="W30" i="14" s="1"/>
  <c r="Q2" i="14"/>
  <c r="D34" i="13"/>
  <c r="F31" i="13"/>
  <c r="D37" i="13" s="1"/>
  <c r="I10" i="13" s="1"/>
  <c r="AG30" i="13"/>
  <c r="AF30" i="13"/>
  <c r="AB30" i="13"/>
  <c r="AC27" i="13"/>
  <c r="AA27" i="13"/>
  <c r="AC26" i="13"/>
  <c r="AA26" i="13"/>
  <c r="AC25" i="13"/>
  <c r="AA25" i="13"/>
  <c r="AC24" i="13"/>
  <c r="AA24" i="13"/>
  <c r="AC22" i="13"/>
  <c r="AA22" i="13"/>
  <c r="W22" i="13"/>
  <c r="AC21" i="13"/>
  <c r="AA21" i="13"/>
  <c r="W21" i="13"/>
  <c r="AC20" i="13"/>
  <c r="AA20" i="13"/>
  <c r="W20" i="13"/>
  <c r="AC19" i="13"/>
  <c r="AA19" i="13"/>
  <c r="W19" i="13"/>
  <c r="AC18" i="13"/>
  <c r="AA18" i="13"/>
  <c r="W18" i="13"/>
  <c r="AC17" i="13"/>
  <c r="AA17" i="13"/>
  <c r="W17" i="13"/>
  <c r="AC16" i="13"/>
  <c r="AA16" i="13"/>
  <c r="W16" i="13"/>
  <c r="AC15" i="13"/>
  <c r="AA15" i="13"/>
  <c r="W15" i="13"/>
  <c r="AC12" i="13"/>
  <c r="AA12" i="13"/>
  <c r="W12" i="13"/>
  <c r="AC11" i="13"/>
  <c r="AA11" i="13"/>
  <c r="W11" i="13"/>
  <c r="AC10" i="13"/>
  <c r="AA10" i="13"/>
  <c r="W10" i="13"/>
  <c r="AC9" i="13"/>
  <c r="AA9" i="13"/>
  <c r="W9" i="13"/>
  <c r="AC8" i="13"/>
  <c r="AA8" i="13"/>
  <c r="W8" i="13"/>
  <c r="AC7" i="13"/>
  <c r="AA7" i="13"/>
  <c r="W7" i="13"/>
  <c r="W4" i="13"/>
  <c r="Q4" i="13"/>
  <c r="D4" i="13" s="1"/>
  <c r="E4" i="13" s="1"/>
  <c r="AE3" i="13"/>
  <c r="W3" i="13"/>
  <c r="W2" i="13"/>
  <c r="W30" i="13" s="1"/>
  <c r="Q2" i="13"/>
  <c r="D2" i="13" s="1"/>
  <c r="D34" i="12"/>
  <c r="D4" i="12" s="1"/>
  <c r="E4" i="12" s="1"/>
  <c r="F31" i="12"/>
  <c r="D37" i="12" s="1"/>
  <c r="AG30" i="12"/>
  <c r="AF30" i="12"/>
  <c r="AB30" i="12"/>
  <c r="AC27" i="12"/>
  <c r="AA27" i="12"/>
  <c r="AC26" i="12"/>
  <c r="AA26" i="12"/>
  <c r="AC25" i="12"/>
  <c r="AA25" i="12"/>
  <c r="AC24" i="12"/>
  <c r="AA24" i="12"/>
  <c r="AC22" i="12"/>
  <c r="AA22" i="12"/>
  <c r="W22" i="12"/>
  <c r="AC21" i="12"/>
  <c r="AA21" i="12"/>
  <c r="W21" i="12"/>
  <c r="AC20" i="12"/>
  <c r="AA20" i="12"/>
  <c r="W20" i="12"/>
  <c r="AC19" i="12"/>
  <c r="AA19" i="12"/>
  <c r="W19" i="12"/>
  <c r="I19" i="12" s="1"/>
  <c r="AC18" i="12"/>
  <c r="AA18" i="12"/>
  <c r="W18" i="12"/>
  <c r="I18" i="12" s="1"/>
  <c r="AC17" i="12"/>
  <c r="AA17" i="12"/>
  <c r="W17" i="12"/>
  <c r="AC16" i="12"/>
  <c r="AA16" i="12"/>
  <c r="W16" i="12"/>
  <c r="I16" i="12" s="1"/>
  <c r="AC15" i="12"/>
  <c r="AA15" i="12"/>
  <c r="W15" i="12"/>
  <c r="AC12" i="12"/>
  <c r="AA12" i="12"/>
  <c r="W12" i="12"/>
  <c r="AC11" i="12"/>
  <c r="AA11" i="12"/>
  <c r="W11" i="12"/>
  <c r="AC10" i="12"/>
  <c r="AA10" i="12"/>
  <c r="W10" i="12"/>
  <c r="AC9" i="12"/>
  <c r="AA9" i="12"/>
  <c r="W9" i="12"/>
  <c r="I9" i="12" s="1"/>
  <c r="AC8" i="12"/>
  <c r="AA8" i="12"/>
  <c r="W8" i="12"/>
  <c r="I8" i="12" s="1"/>
  <c r="AC7" i="12"/>
  <c r="AA7" i="12"/>
  <c r="W7" i="12"/>
  <c r="W4" i="12"/>
  <c r="Q4" i="12"/>
  <c r="AE3" i="12"/>
  <c r="AE30" i="12" s="1"/>
  <c r="W3" i="12"/>
  <c r="W2" i="12"/>
  <c r="Q2" i="12"/>
  <c r="D2" i="12"/>
  <c r="D37" i="11"/>
  <c r="D34" i="11"/>
  <c r="D4" i="11" s="1"/>
  <c r="E4" i="11" s="1"/>
  <c r="F31" i="11"/>
  <c r="AG30" i="11"/>
  <c r="AF30" i="11"/>
  <c r="AB30" i="11"/>
  <c r="AC27" i="11"/>
  <c r="AA27" i="11"/>
  <c r="AC26" i="11"/>
  <c r="AA26" i="11"/>
  <c r="AC25" i="11"/>
  <c r="AA25" i="11"/>
  <c r="AC24" i="11"/>
  <c r="AA24" i="11"/>
  <c r="AC22" i="11"/>
  <c r="AA22" i="11"/>
  <c r="W22" i="11"/>
  <c r="AC21" i="11"/>
  <c r="AA21" i="11"/>
  <c r="W21" i="11"/>
  <c r="AC20" i="11"/>
  <c r="AA20" i="11"/>
  <c r="W20" i="11"/>
  <c r="AC19" i="11"/>
  <c r="AA19" i="11"/>
  <c r="W19" i="11"/>
  <c r="AC18" i="11"/>
  <c r="AA18" i="11"/>
  <c r="W18" i="11"/>
  <c r="I18" i="11"/>
  <c r="AC17" i="11"/>
  <c r="AA17" i="11"/>
  <c r="W17" i="11"/>
  <c r="AC16" i="11"/>
  <c r="AA16" i="11"/>
  <c r="W16" i="11"/>
  <c r="AC15" i="11"/>
  <c r="AA15" i="11"/>
  <c r="W15" i="11"/>
  <c r="AC12" i="11"/>
  <c r="AA12" i="11"/>
  <c r="W12" i="11"/>
  <c r="AC11" i="11"/>
  <c r="AA11" i="11"/>
  <c r="W11" i="11"/>
  <c r="I11" i="11"/>
  <c r="K11" i="11" s="1"/>
  <c r="AC10" i="11"/>
  <c r="AA10" i="11"/>
  <c r="W10" i="11"/>
  <c r="AC9" i="11"/>
  <c r="AA9" i="11"/>
  <c r="W9" i="11"/>
  <c r="AC8" i="11"/>
  <c r="AA8" i="11"/>
  <c r="W8" i="11"/>
  <c r="AC7" i="11"/>
  <c r="AA7" i="11"/>
  <c r="W7" i="11"/>
  <c r="I7" i="11" s="1"/>
  <c r="W4" i="11"/>
  <c r="Q4" i="11"/>
  <c r="AE3" i="11"/>
  <c r="AE30" i="11"/>
  <c r="W3" i="11"/>
  <c r="I3" i="11"/>
  <c r="W2" i="11"/>
  <c r="Q2" i="11"/>
  <c r="D2" i="11" s="1"/>
  <c r="D34" i="10"/>
  <c r="D4" i="10"/>
  <c r="E4" i="10" s="1"/>
  <c r="F31" i="10"/>
  <c r="D37" i="10" s="1"/>
  <c r="AG30" i="10"/>
  <c r="AF30" i="10"/>
  <c r="AB30" i="10"/>
  <c r="AC27" i="10"/>
  <c r="AA27" i="10"/>
  <c r="AC26" i="10"/>
  <c r="AA26" i="10"/>
  <c r="AC25" i="10"/>
  <c r="AA25" i="10"/>
  <c r="AC24" i="10"/>
  <c r="AA24" i="10"/>
  <c r="AC22" i="10"/>
  <c r="AA22" i="10"/>
  <c r="W22" i="10"/>
  <c r="I22" i="10" s="1"/>
  <c r="AC21" i="10"/>
  <c r="AA21" i="10"/>
  <c r="W21" i="10"/>
  <c r="AC20" i="10"/>
  <c r="AA20" i="10"/>
  <c r="W20" i="10"/>
  <c r="AC19" i="10"/>
  <c r="AA19" i="10"/>
  <c r="W19" i="10"/>
  <c r="AC18" i="10"/>
  <c r="AA18" i="10"/>
  <c r="W18" i="10"/>
  <c r="AC17" i="10"/>
  <c r="AA17" i="10"/>
  <c r="W17" i="10"/>
  <c r="I17" i="10" s="1"/>
  <c r="AC16" i="10"/>
  <c r="AA16" i="10"/>
  <c r="W16" i="10"/>
  <c r="AC15" i="10"/>
  <c r="AA15" i="10"/>
  <c r="W15" i="10"/>
  <c r="AC12" i="10"/>
  <c r="AA12" i="10"/>
  <c r="W12" i="10"/>
  <c r="I12" i="10" s="1"/>
  <c r="AC11" i="10"/>
  <c r="AA11" i="10"/>
  <c r="W11" i="10"/>
  <c r="AC10" i="10"/>
  <c r="AA10" i="10"/>
  <c r="W10" i="10"/>
  <c r="AC9" i="10"/>
  <c r="AA9" i="10"/>
  <c r="W9" i="10"/>
  <c r="AC8" i="10"/>
  <c r="AA8" i="10"/>
  <c r="W8" i="10"/>
  <c r="AC7" i="10"/>
  <c r="AA7" i="10"/>
  <c r="W7" i="10"/>
  <c r="I7" i="10" s="1"/>
  <c r="W4" i="10"/>
  <c r="Q4" i="10"/>
  <c r="AE3" i="10"/>
  <c r="Q3" i="10" s="1"/>
  <c r="D3" i="10" s="1"/>
  <c r="W3" i="10"/>
  <c r="W2" i="10"/>
  <c r="Q2" i="10"/>
  <c r="D34" i="9"/>
  <c r="D2" i="9"/>
  <c r="F31" i="9"/>
  <c r="D37" i="9" s="1"/>
  <c r="AG30" i="9"/>
  <c r="AF30" i="9"/>
  <c r="AB30" i="9"/>
  <c r="AC27" i="9"/>
  <c r="AA27" i="9"/>
  <c r="AC26" i="9"/>
  <c r="AA26" i="9"/>
  <c r="AC25" i="9"/>
  <c r="AA25" i="9"/>
  <c r="AC24" i="9"/>
  <c r="AA24" i="9"/>
  <c r="AC22" i="9"/>
  <c r="AA22" i="9"/>
  <c r="W22" i="9"/>
  <c r="AC21" i="9"/>
  <c r="AA21" i="9"/>
  <c r="W21" i="9"/>
  <c r="AC20" i="9"/>
  <c r="AA20" i="9"/>
  <c r="W20" i="9"/>
  <c r="AC19" i="9"/>
  <c r="AA19" i="9"/>
  <c r="W19" i="9"/>
  <c r="AC18" i="9"/>
  <c r="AA18" i="9"/>
  <c r="W18" i="9"/>
  <c r="I18" i="9" s="1"/>
  <c r="AC17" i="9"/>
  <c r="AA17" i="9"/>
  <c r="W17" i="9"/>
  <c r="AC16" i="9"/>
  <c r="AA16" i="9"/>
  <c r="W16" i="9"/>
  <c r="AC15" i="9"/>
  <c r="AA15" i="9"/>
  <c r="W15" i="9"/>
  <c r="AC12" i="9"/>
  <c r="AA12" i="9"/>
  <c r="W12" i="9"/>
  <c r="AC11" i="9"/>
  <c r="AA11" i="9"/>
  <c r="W11" i="9"/>
  <c r="AC10" i="9"/>
  <c r="AA10" i="9"/>
  <c r="W10" i="9"/>
  <c r="AC9" i="9"/>
  <c r="AA9" i="9"/>
  <c r="W9" i="9"/>
  <c r="AC8" i="9"/>
  <c r="AA8" i="9"/>
  <c r="W8" i="9"/>
  <c r="AC7" i="9"/>
  <c r="AA7" i="9"/>
  <c r="W7" i="9"/>
  <c r="W4" i="9"/>
  <c r="Q4" i="9"/>
  <c r="AE3" i="9"/>
  <c r="AE30" i="9"/>
  <c r="W3" i="9"/>
  <c r="Q3" i="9"/>
  <c r="D3" i="9"/>
  <c r="E3" i="9" s="1"/>
  <c r="W2" i="9"/>
  <c r="Q2" i="9"/>
  <c r="D34" i="8"/>
  <c r="F31" i="8"/>
  <c r="D37" i="8"/>
  <c r="AG30" i="8"/>
  <c r="AF30" i="8"/>
  <c r="AB30" i="8"/>
  <c r="AC27" i="8"/>
  <c r="AA27" i="8"/>
  <c r="AC26" i="8"/>
  <c r="AA26" i="8"/>
  <c r="AC25" i="8"/>
  <c r="AA25" i="8"/>
  <c r="AC24" i="8"/>
  <c r="AA24" i="8"/>
  <c r="AC22" i="8"/>
  <c r="AA22" i="8"/>
  <c r="W22" i="8"/>
  <c r="AC21" i="8"/>
  <c r="AA21" i="8"/>
  <c r="W21" i="8"/>
  <c r="AC20" i="8"/>
  <c r="AA20" i="8"/>
  <c r="W20" i="8"/>
  <c r="AC19" i="8"/>
  <c r="AA19" i="8"/>
  <c r="W19" i="8"/>
  <c r="AC18" i="8"/>
  <c r="AA18" i="8"/>
  <c r="W18" i="8"/>
  <c r="AC17" i="8"/>
  <c r="AA17" i="8"/>
  <c r="W17" i="8"/>
  <c r="AC16" i="8"/>
  <c r="AA16" i="8"/>
  <c r="W16" i="8"/>
  <c r="AC15" i="8"/>
  <c r="AA15" i="8"/>
  <c r="W15" i="8"/>
  <c r="AC12" i="8"/>
  <c r="AA12" i="8"/>
  <c r="W12" i="8"/>
  <c r="AC11" i="8"/>
  <c r="AA11" i="8"/>
  <c r="W11" i="8"/>
  <c r="AC10" i="8"/>
  <c r="AA10" i="8"/>
  <c r="W10" i="8"/>
  <c r="AC9" i="8"/>
  <c r="AA9" i="8"/>
  <c r="W9" i="8"/>
  <c r="AC8" i="8"/>
  <c r="AA8" i="8"/>
  <c r="W8" i="8"/>
  <c r="AC7" i="8"/>
  <c r="AA7" i="8"/>
  <c r="W7" i="8"/>
  <c r="W4" i="8"/>
  <c r="Q4" i="8"/>
  <c r="D4" i="8"/>
  <c r="E4" i="8" s="1"/>
  <c r="AE3" i="8"/>
  <c r="AE30" i="8"/>
  <c r="W3" i="8"/>
  <c r="W2" i="8"/>
  <c r="Q2" i="8"/>
  <c r="D2" i="8" s="1"/>
  <c r="D34" i="7"/>
  <c r="F31" i="7"/>
  <c r="D37" i="7"/>
  <c r="AG30" i="7"/>
  <c r="AF30" i="7"/>
  <c r="AB30" i="7"/>
  <c r="AC27" i="7"/>
  <c r="AA27" i="7"/>
  <c r="AC26" i="7"/>
  <c r="AA26" i="7"/>
  <c r="AC25" i="7"/>
  <c r="AA25" i="7"/>
  <c r="AC24" i="7"/>
  <c r="AA24" i="7"/>
  <c r="AC22" i="7"/>
  <c r="AA22" i="7"/>
  <c r="W22" i="7"/>
  <c r="AC21" i="7"/>
  <c r="AA21" i="7"/>
  <c r="W21" i="7"/>
  <c r="AC20" i="7"/>
  <c r="AA20" i="7"/>
  <c r="W20" i="7"/>
  <c r="AC19" i="7"/>
  <c r="AA19" i="7"/>
  <c r="W19" i="7"/>
  <c r="AC18" i="7"/>
  <c r="AA18" i="7"/>
  <c r="W18" i="7"/>
  <c r="AC17" i="7"/>
  <c r="AA17" i="7"/>
  <c r="W17" i="7"/>
  <c r="AC16" i="7"/>
  <c r="AA16" i="7"/>
  <c r="W16" i="7"/>
  <c r="AC15" i="7"/>
  <c r="AA15" i="7"/>
  <c r="W15" i="7"/>
  <c r="AC12" i="7"/>
  <c r="AA12" i="7"/>
  <c r="W12" i="7"/>
  <c r="AC11" i="7"/>
  <c r="AA11" i="7"/>
  <c r="W11" i="7"/>
  <c r="AC10" i="7"/>
  <c r="AA10" i="7"/>
  <c r="W10" i="7"/>
  <c r="AC9" i="7"/>
  <c r="AA9" i="7"/>
  <c r="W9" i="7"/>
  <c r="AC8" i="7"/>
  <c r="AA8" i="7"/>
  <c r="W8" i="7"/>
  <c r="AC7" i="7"/>
  <c r="AA7" i="7"/>
  <c r="W7" i="7"/>
  <c r="W4" i="7"/>
  <c r="Q4" i="7"/>
  <c r="D4" i="7"/>
  <c r="E4" i="7" s="1"/>
  <c r="AE3" i="7"/>
  <c r="AE30" i="7" s="1"/>
  <c r="W3" i="7"/>
  <c r="W2" i="7"/>
  <c r="Q2" i="7"/>
  <c r="D2" i="7"/>
  <c r="E37" i="1"/>
  <c r="D37" i="1"/>
  <c r="D34" i="1"/>
  <c r="D3" i="1" s="1"/>
  <c r="D4" i="1"/>
  <c r="E4" i="1" s="1"/>
  <c r="F31" i="1"/>
  <c r="AG30" i="1"/>
  <c r="AF30" i="1"/>
  <c r="AE30" i="1"/>
  <c r="AB30" i="1"/>
  <c r="AC27" i="1"/>
  <c r="AA27" i="1"/>
  <c r="AC26" i="1"/>
  <c r="AA26" i="1"/>
  <c r="AC25" i="1"/>
  <c r="AA25" i="1"/>
  <c r="AC24" i="1"/>
  <c r="AA24" i="1"/>
  <c r="AC22" i="1"/>
  <c r="AA22" i="1"/>
  <c r="W22" i="1"/>
  <c r="AC21" i="1"/>
  <c r="AA21" i="1"/>
  <c r="W21" i="1"/>
  <c r="I21" i="1" s="1"/>
  <c r="AC20" i="1"/>
  <c r="AA20" i="1"/>
  <c r="W20" i="1"/>
  <c r="AC19" i="1"/>
  <c r="AA19" i="1"/>
  <c r="W19" i="1"/>
  <c r="AC18" i="1"/>
  <c r="AA18" i="1"/>
  <c r="W18" i="1"/>
  <c r="AC17" i="1"/>
  <c r="AA17" i="1"/>
  <c r="W17" i="1"/>
  <c r="AC16" i="1"/>
  <c r="AA16" i="1"/>
  <c r="W16" i="1"/>
  <c r="AC15" i="1"/>
  <c r="AA15" i="1"/>
  <c r="W15" i="1"/>
  <c r="I15" i="1" s="1"/>
  <c r="AC12" i="1"/>
  <c r="AA12" i="1"/>
  <c r="W12" i="1"/>
  <c r="I12" i="1"/>
  <c r="K12" i="1" s="1"/>
  <c r="AC11" i="1"/>
  <c r="AA11" i="1"/>
  <c r="W11" i="1"/>
  <c r="I11" i="1"/>
  <c r="K11" i="1" s="1"/>
  <c r="G26" i="36" s="1"/>
  <c r="AC10" i="1"/>
  <c r="AA10" i="1"/>
  <c r="W10" i="1"/>
  <c r="AC9" i="1"/>
  <c r="AA9" i="1"/>
  <c r="W9" i="1"/>
  <c r="AC8" i="1"/>
  <c r="AA8" i="1"/>
  <c r="W8" i="1"/>
  <c r="AC7" i="1"/>
  <c r="AA7" i="1"/>
  <c r="W7" i="1"/>
  <c r="W4" i="1"/>
  <c r="Q4" i="1"/>
  <c r="W3" i="1"/>
  <c r="Q3" i="1"/>
  <c r="I3" i="1"/>
  <c r="K3" i="1" s="1"/>
  <c r="W2" i="1"/>
  <c r="Q2" i="1"/>
  <c r="D2" i="1"/>
  <c r="D34" i="6"/>
  <c r="D4" i="6" s="1"/>
  <c r="E4" i="6" s="1"/>
  <c r="F31" i="6"/>
  <c r="D37" i="6"/>
  <c r="AG30" i="6"/>
  <c r="AF30" i="6"/>
  <c r="AB30" i="6"/>
  <c r="AC27" i="6"/>
  <c r="AA27" i="6"/>
  <c r="AC26" i="6"/>
  <c r="AA26" i="6"/>
  <c r="AC25" i="6"/>
  <c r="AA25" i="6"/>
  <c r="AC24" i="6"/>
  <c r="AA24" i="6"/>
  <c r="AC22" i="6"/>
  <c r="AA22" i="6"/>
  <c r="W22" i="6"/>
  <c r="AC21" i="6"/>
  <c r="AA21" i="6"/>
  <c r="W21" i="6"/>
  <c r="AC20" i="6"/>
  <c r="AA20" i="6"/>
  <c r="W20" i="6"/>
  <c r="AC19" i="6"/>
  <c r="AA19" i="6"/>
  <c r="W19" i="6"/>
  <c r="AC18" i="6"/>
  <c r="AA18" i="6"/>
  <c r="W18" i="6"/>
  <c r="AC17" i="6"/>
  <c r="AA17" i="6"/>
  <c r="W17" i="6"/>
  <c r="AC16" i="6"/>
  <c r="AA16" i="6"/>
  <c r="W16" i="6"/>
  <c r="I16" i="6" s="1"/>
  <c r="AC15" i="6"/>
  <c r="AA15" i="6"/>
  <c r="W15" i="6"/>
  <c r="AC12" i="6"/>
  <c r="AA12" i="6"/>
  <c r="W12" i="6"/>
  <c r="AC11" i="6"/>
  <c r="AA11" i="6"/>
  <c r="W11" i="6"/>
  <c r="AC10" i="6"/>
  <c r="AA10" i="6"/>
  <c r="W10" i="6"/>
  <c r="AC9" i="6"/>
  <c r="AA9" i="6"/>
  <c r="W9" i="6"/>
  <c r="AC8" i="6"/>
  <c r="AA8" i="6"/>
  <c r="W8" i="6"/>
  <c r="AC7" i="6"/>
  <c r="AA7" i="6"/>
  <c r="W7" i="6"/>
  <c r="W4" i="6"/>
  <c r="Q4" i="6"/>
  <c r="AE3" i="6"/>
  <c r="AE30" i="6" s="1"/>
  <c r="W3" i="6"/>
  <c r="Q3" i="6"/>
  <c r="D3" i="6" s="1"/>
  <c r="E3" i="6" s="1"/>
  <c r="W2" i="6"/>
  <c r="Q2" i="6"/>
  <c r="D34" i="5"/>
  <c r="F31" i="5"/>
  <c r="D37" i="5"/>
  <c r="AG30" i="5"/>
  <c r="AF30" i="5"/>
  <c r="AB30" i="5"/>
  <c r="AC27" i="5"/>
  <c r="AA27" i="5"/>
  <c r="AC26" i="5"/>
  <c r="AA26" i="5"/>
  <c r="AC25" i="5"/>
  <c r="AA25" i="5"/>
  <c r="AC24" i="5"/>
  <c r="AA24" i="5"/>
  <c r="AC22" i="5"/>
  <c r="AA22" i="5"/>
  <c r="W22" i="5"/>
  <c r="AC21" i="5"/>
  <c r="AA21" i="5"/>
  <c r="W21" i="5"/>
  <c r="I21" i="5" s="1"/>
  <c r="AC20" i="5"/>
  <c r="AA20" i="5"/>
  <c r="W20" i="5"/>
  <c r="AC19" i="5"/>
  <c r="AA19" i="5"/>
  <c r="W19" i="5"/>
  <c r="I19" i="5" s="1"/>
  <c r="K19" i="5" s="1"/>
  <c r="F17" i="35" s="1"/>
  <c r="AC18" i="5"/>
  <c r="AA18" i="5"/>
  <c r="W18" i="5"/>
  <c r="AC17" i="5"/>
  <c r="AA17" i="5"/>
  <c r="W17" i="5"/>
  <c r="I17" i="5" s="1"/>
  <c r="AC16" i="5"/>
  <c r="AA16" i="5"/>
  <c r="W16" i="5"/>
  <c r="AC15" i="5"/>
  <c r="AA15" i="5"/>
  <c r="W15" i="5"/>
  <c r="AC12" i="5"/>
  <c r="AA12" i="5"/>
  <c r="W12" i="5"/>
  <c r="AC11" i="5"/>
  <c r="AA11" i="5"/>
  <c r="W11" i="5"/>
  <c r="AC10" i="5"/>
  <c r="AA10" i="5"/>
  <c r="W10" i="5"/>
  <c r="AC9" i="5"/>
  <c r="AA9" i="5"/>
  <c r="W9" i="5"/>
  <c r="I9" i="5" s="1"/>
  <c r="AC8" i="5"/>
  <c r="AA8" i="5"/>
  <c r="W8" i="5"/>
  <c r="I8" i="5" s="1"/>
  <c r="AC7" i="5"/>
  <c r="AA7" i="5"/>
  <c r="W7" i="5"/>
  <c r="I7" i="5" s="1"/>
  <c r="W4" i="5"/>
  <c r="Q4" i="5"/>
  <c r="D4" i="5" s="1"/>
  <c r="E4" i="5" s="1"/>
  <c r="AE3" i="5"/>
  <c r="AE30" i="5" s="1"/>
  <c r="W3" i="5"/>
  <c r="W2" i="5"/>
  <c r="I2" i="5" s="1"/>
  <c r="Q2" i="5"/>
  <c r="D2" i="5" s="1"/>
  <c r="D34" i="4"/>
  <c r="F31" i="4"/>
  <c r="D37" i="4"/>
  <c r="AG30" i="4"/>
  <c r="AF30" i="4"/>
  <c r="AB30" i="4"/>
  <c r="AC27" i="4"/>
  <c r="AA27" i="4"/>
  <c r="AC26" i="4"/>
  <c r="AA26" i="4"/>
  <c r="AC25" i="4"/>
  <c r="AA25" i="4"/>
  <c r="AC24" i="4"/>
  <c r="AA24" i="4"/>
  <c r="AC22" i="4"/>
  <c r="AA22" i="4"/>
  <c r="W22" i="4"/>
  <c r="AC21" i="4"/>
  <c r="AA21" i="4"/>
  <c r="W21" i="4"/>
  <c r="AC20" i="4"/>
  <c r="AA20" i="4"/>
  <c r="W20" i="4"/>
  <c r="AC19" i="4"/>
  <c r="AA19" i="4"/>
  <c r="W19" i="4"/>
  <c r="AC18" i="4"/>
  <c r="AA18" i="4"/>
  <c r="W18" i="4"/>
  <c r="AC17" i="4"/>
  <c r="AA17" i="4"/>
  <c r="W17" i="4"/>
  <c r="AC16" i="4"/>
  <c r="AA16" i="4"/>
  <c r="W16" i="4"/>
  <c r="AC15" i="4"/>
  <c r="AA15" i="4"/>
  <c r="W15" i="4"/>
  <c r="AC12" i="4"/>
  <c r="AA12" i="4"/>
  <c r="W12" i="4"/>
  <c r="AC11" i="4"/>
  <c r="AA11" i="4"/>
  <c r="W11" i="4"/>
  <c r="AC10" i="4"/>
  <c r="AA10" i="4"/>
  <c r="W10" i="4"/>
  <c r="AC9" i="4"/>
  <c r="AA9" i="4"/>
  <c r="W9" i="4"/>
  <c r="AC8" i="4"/>
  <c r="AA8" i="4"/>
  <c r="W8" i="4"/>
  <c r="AC7" i="4"/>
  <c r="AA7" i="4"/>
  <c r="W7" i="4"/>
  <c r="W4" i="4"/>
  <c r="Q4" i="4"/>
  <c r="D4" i="4" s="1"/>
  <c r="E4" i="4" s="1"/>
  <c r="AE3" i="4"/>
  <c r="Q3" i="4" s="1"/>
  <c r="D3" i="4" s="1"/>
  <c r="E3" i="4" s="1"/>
  <c r="H3" i="4" s="1"/>
  <c r="W3" i="4"/>
  <c r="W2" i="4"/>
  <c r="Q2" i="4"/>
  <c r="D2" i="4" s="1"/>
  <c r="D34" i="32"/>
  <c r="F31" i="32"/>
  <c r="D37" i="32" s="1"/>
  <c r="AG30" i="32"/>
  <c r="AF30" i="32"/>
  <c r="AE30" i="32"/>
  <c r="AB30" i="32"/>
  <c r="AC27" i="32"/>
  <c r="AA27" i="32"/>
  <c r="AC26" i="32"/>
  <c r="AA26" i="32"/>
  <c r="AC25" i="32"/>
  <c r="AA25" i="32"/>
  <c r="AC24" i="32"/>
  <c r="AA24" i="32"/>
  <c r="AC22" i="32"/>
  <c r="AA22" i="32"/>
  <c r="W22" i="32"/>
  <c r="AC21" i="32"/>
  <c r="AA21" i="32"/>
  <c r="W21" i="32"/>
  <c r="AC20" i="32"/>
  <c r="AA20" i="32"/>
  <c r="W20" i="32"/>
  <c r="AC19" i="32"/>
  <c r="AA19" i="32"/>
  <c r="W19" i="32"/>
  <c r="I19" i="32" s="1"/>
  <c r="AC18" i="32"/>
  <c r="AA18" i="32"/>
  <c r="W18" i="32"/>
  <c r="AC17" i="32"/>
  <c r="AA17" i="32"/>
  <c r="W17" i="32"/>
  <c r="AC16" i="32"/>
  <c r="AA16" i="32"/>
  <c r="W16" i="32"/>
  <c r="AC15" i="32"/>
  <c r="AA15" i="32"/>
  <c r="W15" i="32"/>
  <c r="AC12" i="32"/>
  <c r="AA12" i="32"/>
  <c r="W12" i="32"/>
  <c r="AC11" i="32"/>
  <c r="AA11" i="32"/>
  <c r="W11" i="32"/>
  <c r="AC10" i="32"/>
  <c r="AA10" i="32"/>
  <c r="W10" i="32"/>
  <c r="AC9" i="32"/>
  <c r="AA9" i="32"/>
  <c r="W9" i="32"/>
  <c r="I9" i="32" s="1"/>
  <c r="K9" i="32" s="1"/>
  <c r="G4" i="36" s="1"/>
  <c r="AC8" i="32"/>
  <c r="AA8" i="32"/>
  <c r="W8" i="32"/>
  <c r="AC7" i="32"/>
  <c r="AA7" i="32"/>
  <c r="W7" i="32"/>
  <c r="W4" i="32"/>
  <c r="Q4" i="32"/>
  <c r="D4" i="32" s="1"/>
  <c r="W3" i="32"/>
  <c r="Q3" i="32"/>
  <c r="D3" i="32" s="1"/>
  <c r="E3" i="32" s="1"/>
  <c r="W2" i="32"/>
  <c r="Q2" i="32"/>
  <c r="D2" i="32" s="1"/>
  <c r="B102" i="35"/>
  <c r="D102" i="35"/>
  <c r="AD10" i="48"/>
  <c r="AD2" i="48" s="1"/>
  <c r="B66" i="33"/>
  <c r="D66" i="33"/>
  <c r="B71" i="33"/>
  <c r="D71" i="33"/>
  <c r="B48" i="33"/>
  <c r="AC30" i="24"/>
  <c r="F3" i="31"/>
  <c r="I19" i="30"/>
  <c r="J19" i="30" s="1"/>
  <c r="I12" i="30"/>
  <c r="F4" i="29"/>
  <c r="G4" i="29"/>
  <c r="H4" i="29"/>
  <c r="H3" i="29"/>
  <c r="G3" i="29"/>
  <c r="F3" i="29"/>
  <c r="D2" i="29"/>
  <c r="I12" i="29"/>
  <c r="I18" i="29"/>
  <c r="I22" i="29"/>
  <c r="F37" i="29"/>
  <c r="I4" i="29"/>
  <c r="I10" i="29"/>
  <c r="I16" i="29"/>
  <c r="Q3" i="28"/>
  <c r="D3" i="28"/>
  <c r="L24" i="28" s="1"/>
  <c r="M24" i="28" s="1"/>
  <c r="L17" i="28"/>
  <c r="M17" i="28" s="1"/>
  <c r="W30" i="28"/>
  <c r="L27" i="28"/>
  <c r="M27" i="28" s="1"/>
  <c r="E2" i="28"/>
  <c r="L25" i="28"/>
  <c r="M25" i="28" s="1"/>
  <c r="I21" i="2"/>
  <c r="I17" i="2"/>
  <c r="I11" i="2"/>
  <c r="I7" i="2"/>
  <c r="I2" i="2"/>
  <c r="I20" i="2"/>
  <c r="I16" i="2"/>
  <c r="I10" i="2"/>
  <c r="I3" i="2"/>
  <c r="I19" i="2"/>
  <c r="I15" i="2"/>
  <c r="I4" i="2"/>
  <c r="E37" i="2"/>
  <c r="F37" i="2"/>
  <c r="I22" i="2"/>
  <c r="I18" i="2"/>
  <c r="I12" i="2"/>
  <c r="I8" i="2"/>
  <c r="F2" i="2"/>
  <c r="G2" i="2"/>
  <c r="H3" i="27"/>
  <c r="G3" i="27"/>
  <c r="F3" i="27"/>
  <c r="L26" i="27"/>
  <c r="M26" i="27" s="1"/>
  <c r="I21" i="27"/>
  <c r="I17" i="27"/>
  <c r="I11" i="27"/>
  <c r="I7" i="27"/>
  <c r="I3" i="27"/>
  <c r="I4" i="27"/>
  <c r="I20" i="27"/>
  <c r="I16" i="27"/>
  <c r="I10" i="27"/>
  <c r="I2" i="27"/>
  <c r="I19" i="27"/>
  <c r="I15" i="27"/>
  <c r="I9" i="27"/>
  <c r="F37" i="27"/>
  <c r="I22" i="27"/>
  <c r="I18" i="27"/>
  <c r="I12" i="27"/>
  <c r="I8" i="27"/>
  <c r="E37" i="27"/>
  <c r="H4" i="27"/>
  <c r="L18" i="27"/>
  <c r="M18" i="27" s="1"/>
  <c r="I21" i="26"/>
  <c r="I17" i="26"/>
  <c r="I11" i="26"/>
  <c r="I7" i="26"/>
  <c r="I3" i="26"/>
  <c r="I20" i="26"/>
  <c r="I16" i="26"/>
  <c r="I10" i="26"/>
  <c r="I2" i="26"/>
  <c r="I19" i="26"/>
  <c r="I15" i="26"/>
  <c r="I9" i="26"/>
  <c r="E37" i="26"/>
  <c r="F37" i="26"/>
  <c r="I22" i="26"/>
  <c r="K22" i="26" s="1"/>
  <c r="I18" i="26"/>
  <c r="I12" i="26"/>
  <c r="I8" i="26"/>
  <c r="F2" i="26"/>
  <c r="Q3" i="26"/>
  <c r="D3" i="26" s="1"/>
  <c r="G2" i="26"/>
  <c r="H2" i="26"/>
  <c r="I21" i="24"/>
  <c r="I10" i="24"/>
  <c r="E37" i="24"/>
  <c r="E2" i="24"/>
  <c r="L22" i="23"/>
  <c r="M22" i="23" s="1"/>
  <c r="E2" i="23"/>
  <c r="Q3" i="23"/>
  <c r="D3" i="23" s="1"/>
  <c r="I4" i="23"/>
  <c r="I9" i="23"/>
  <c r="I15" i="23"/>
  <c r="W30" i="23"/>
  <c r="K26" i="22"/>
  <c r="I9" i="22"/>
  <c r="I15" i="22"/>
  <c r="I19" i="22"/>
  <c r="F37" i="22"/>
  <c r="I2" i="22"/>
  <c r="F4" i="21"/>
  <c r="H4" i="21"/>
  <c r="G4" i="21"/>
  <c r="I21" i="21"/>
  <c r="I17" i="21"/>
  <c r="I11" i="21"/>
  <c r="I7" i="21"/>
  <c r="I3" i="21"/>
  <c r="I12" i="21"/>
  <c r="I20" i="21"/>
  <c r="I16" i="21"/>
  <c r="I10" i="21"/>
  <c r="I2" i="21"/>
  <c r="I18" i="21"/>
  <c r="I8" i="21"/>
  <c r="I19" i="21"/>
  <c r="I9" i="21"/>
  <c r="F37" i="21"/>
  <c r="I22" i="21"/>
  <c r="I4" i="21"/>
  <c r="E37" i="21"/>
  <c r="Q3" i="21"/>
  <c r="D3" i="21"/>
  <c r="E2" i="21"/>
  <c r="F4" i="20"/>
  <c r="H4" i="20"/>
  <c r="G4" i="20"/>
  <c r="E2" i="20"/>
  <c r="I12" i="20"/>
  <c r="K12" i="20" s="1"/>
  <c r="I18" i="20"/>
  <c r="I22" i="20"/>
  <c r="F37" i="20"/>
  <c r="Q3" i="20"/>
  <c r="D3" i="20" s="1"/>
  <c r="I4" i="20"/>
  <c r="K4" i="20" s="1"/>
  <c r="I2" i="20"/>
  <c r="I10" i="20"/>
  <c r="I16" i="20"/>
  <c r="Q3" i="19"/>
  <c r="D3" i="19" s="1"/>
  <c r="E3" i="19" s="1"/>
  <c r="I4" i="19"/>
  <c r="I2" i="19"/>
  <c r="I16" i="19"/>
  <c r="E2" i="18"/>
  <c r="F4" i="18"/>
  <c r="G4" i="18"/>
  <c r="H4" i="18"/>
  <c r="Q3" i="18"/>
  <c r="D3" i="18"/>
  <c r="W30" i="18"/>
  <c r="H3" i="3"/>
  <c r="G3" i="3"/>
  <c r="F3" i="3"/>
  <c r="I21" i="3"/>
  <c r="I3" i="3"/>
  <c r="I2" i="3"/>
  <c r="I4" i="3"/>
  <c r="I22" i="3"/>
  <c r="I18" i="3"/>
  <c r="O26" i="3"/>
  <c r="N26" i="3"/>
  <c r="E2" i="3"/>
  <c r="L25" i="3"/>
  <c r="M25" i="3" s="1"/>
  <c r="L7" i="3"/>
  <c r="L17" i="3"/>
  <c r="M17" i="3" s="1"/>
  <c r="L24" i="3"/>
  <c r="M24" i="3" s="1"/>
  <c r="F50" i="34" s="1"/>
  <c r="L20" i="3"/>
  <c r="M20" i="3" s="1"/>
  <c r="L8" i="3"/>
  <c r="M8" i="3"/>
  <c r="L12" i="3"/>
  <c r="M12" i="3" s="1"/>
  <c r="L18" i="3"/>
  <c r="M18" i="3"/>
  <c r="L22" i="3"/>
  <c r="M22" i="3" s="1"/>
  <c r="L10" i="3"/>
  <c r="M10" i="3" s="1"/>
  <c r="L27" i="3"/>
  <c r="M27" i="3" s="1"/>
  <c r="L16" i="3"/>
  <c r="M16" i="3" s="1"/>
  <c r="L9" i="3"/>
  <c r="M9" i="3" s="1"/>
  <c r="L15" i="3"/>
  <c r="M15" i="3" s="1"/>
  <c r="L19" i="3"/>
  <c r="M19" i="3" s="1"/>
  <c r="I21" i="25"/>
  <c r="I17" i="25"/>
  <c r="I11" i="25"/>
  <c r="I7" i="25"/>
  <c r="I3" i="25"/>
  <c r="I22" i="25"/>
  <c r="I20" i="25"/>
  <c r="I16" i="25"/>
  <c r="I10" i="25"/>
  <c r="I2" i="25"/>
  <c r="I12" i="25"/>
  <c r="I15" i="25"/>
  <c r="F37" i="25"/>
  <c r="I8" i="25"/>
  <c r="I4" i="25"/>
  <c r="I18" i="25"/>
  <c r="E37" i="25"/>
  <c r="Q3" i="17"/>
  <c r="D3" i="17"/>
  <c r="I4" i="17"/>
  <c r="I9" i="17"/>
  <c r="I15" i="17"/>
  <c r="I19" i="17"/>
  <c r="J19" i="17" s="1"/>
  <c r="E101" i="35" s="1"/>
  <c r="E2" i="17"/>
  <c r="I2" i="17"/>
  <c r="I10" i="17"/>
  <c r="I16" i="17"/>
  <c r="K16" i="17" s="1"/>
  <c r="F98" i="35" s="1"/>
  <c r="E3" i="16"/>
  <c r="I21" i="16"/>
  <c r="I17" i="16"/>
  <c r="I11" i="16"/>
  <c r="K11" i="16" s="1"/>
  <c r="G76" i="36" s="1"/>
  <c r="I7" i="16"/>
  <c r="I16" i="16"/>
  <c r="I2" i="16"/>
  <c r="I19" i="16"/>
  <c r="I15" i="16"/>
  <c r="K15" i="16" s="1"/>
  <c r="F90" i="35" s="1"/>
  <c r="I9" i="16"/>
  <c r="I4" i="16"/>
  <c r="F37" i="16"/>
  <c r="I22" i="16"/>
  <c r="I18" i="16"/>
  <c r="I12" i="16"/>
  <c r="I8" i="16"/>
  <c r="E37" i="16"/>
  <c r="E2" i="15"/>
  <c r="G2" i="15" s="1"/>
  <c r="E3" i="15"/>
  <c r="H3" i="15" s="1"/>
  <c r="I8" i="15"/>
  <c r="K8" i="15" s="1"/>
  <c r="G68" i="36" s="1"/>
  <c r="I18" i="15"/>
  <c r="K18" i="15" s="1"/>
  <c r="F87" i="35" s="1"/>
  <c r="F37" i="15"/>
  <c r="Q3" i="15"/>
  <c r="D3" i="15" s="1"/>
  <c r="I20" i="14"/>
  <c r="I16" i="14"/>
  <c r="I10" i="14"/>
  <c r="I2" i="14"/>
  <c r="I19" i="14"/>
  <c r="I15" i="14"/>
  <c r="I9" i="14"/>
  <c r="I18" i="14"/>
  <c r="I8" i="14"/>
  <c r="K8" i="14" s="1"/>
  <c r="I4" i="14"/>
  <c r="I22" i="14"/>
  <c r="I12" i="14"/>
  <c r="K12" i="14" s="1"/>
  <c r="F37" i="14"/>
  <c r="I21" i="14"/>
  <c r="I17" i="14"/>
  <c r="I11" i="14"/>
  <c r="I7" i="14"/>
  <c r="I3" i="14"/>
  <c r="E37" i="14"/>
  <c r="H4" i="14"/>
  <c r="G4" i="14"/>
  <c r="F4" i="14"/>
  <c r="Q3" i="14"/>
  <c r="D3" i="14"/>
  <c r="E3" i="14" s="1"/>
  <c r="E2" i="13"/>
  <c r="F4" i="13"/>
  <c r="G4" i="13"/>
  <c r="H4" i="13"/>
  <c r="I7" i="13"/>
  <c r="I20" i="13"/>
  <c r="I16" i="13"/>
  <c r="I9" i="13"/>
  <c r="J9" i="13" s="1"/>
  <c r="E37" i="13"/>
  <c r="F37" i="13"/>
  <c r="F4" i="12"/>
  <c r="G4" i="12"/>
  <c r="H4" i="12"/>
  <c r="E2" i="12"/>
  <c r="Q3" i="12"/>
  <c r="D3" i="12" s="1"/>
  <c r="W30" i="12"/>
  <c r="E2" i="11"/>
  <c r="J3" i="11"/>
  <c r="K3" i="11"/>
  <c r="K18" i="11"/>
  <c r="J18" i="11"/>
  <c r="F4" i="11"/>
  <c r="G4" i="11"/>
  <c r="H4" i="11"/>
  <c r="I8" i="11"/>
  <c r="Q3" i="11"/>
  <c r="D3" i="11"/>
  <c r="I4" i="11"/>
  <c r="I2" i="11"/>
  <c r="I10" i="11"/>
  <c r="I16" i="11"/>
  <c r="F4" i="10"/>
  <c r="H4" i="10"/>
  <c r="G4" i="10"/>
  <c r="I4" i="10"/>
  <c r="I9" i="10"/>
  <c r="K9" i="10" s="1"/>
  <c r="G44" i="36" s="1"/>
  <c r="I15" i="10"/>
  <c r="K15" i="10" s="1"/>
  <c r="F52" i="35" s="1"/>
  <c r="I19" i="10"/>
  <c r="J19" i="10" s="1"/>
  <c r="E56" i="35" s="1"/>
  <c r="I2" i="10"/>
  <c r="K2" i="10" s="1"/>
  <c r="L20" i="33" s="1"/>
  <c r="I10" i="10"/>
  <c r="K10" i="10" s="1"/>
  <c r="G45" i="36" s="1"/>
  <c r="I16" i="10"/>
  <c r="K16" i="10" s="1"/>
  <c r="F53" i="35" s="1"/>
  <c r="H3" i="9"/>
  <c r="F3" i="9"/>
  <c r="G3" i="9"/>
  <c r="I17" i="9"/>
  <c r="J17" i="9" s="1"/>
  <c r="I11" i="9"/>
  <c r="K11" i="9" s="1"/>
  <c r="G41" i="36" s="1"/>
  <c r="I7" i="9"/>
  <c r="I3" i="9"/>
  <c r="I10" i="9"/>
  <c r="I15" i="9"/>
  <c r="I9" i="9"/>
  <c r="I19" i="9"/>
  <c r="J19" i="9" s="1"/>
  <c r="I4" i="9"/>
  <c r="J4" i="9" s="1"/>
  <c r="F37" i="9"/>
  <c r="I22" i="9"/>
  <c r="I12" i="9"/>
  <c r="I8" i="9"/>
  <c r="E37" i="9"/>
  <c r="I20" i="9"/>
  <c r="I16" i="9"/>
  <c r="K16" i="9" s="1"/>
  <c r="F47" i="35" s="1"/>
  <c r="I2" i="9"/>
  <c r="K2" i="9" s="1"/>
  <c r="E2" i="9"/>
  <c r="D4" i="9"/>
  <c r="F4" i="8"/>
  <c r="H4" i="8"/>
  <c r="G4" i="8"/>
  <c r="I21" i="8"/>
  <c r="I17" i="8"/>
  <c r="I11" i="8"/>
  <c r="I7" i="8"/>
  <c r="K7" i="8" s="1"/>
  <c r="G32" i="36" s="1"/>
  <c r="I3" i="8"/>
  <c r="I19" i="8"/>
  <c r="K19" i="8" s="1"/>
  <c r="I15" i="8"/>
  <c r="I9" i="8"/>
  <c r="I4" i="8"/>
  <c r="I16" i="8"/>
  <c r="F37" i="8"/>
  <c r="I22" i="8"/>
  <c r="K22" i="8" s="1"/>
  <c r="I18" i="8"/>
  <c r="I12" i="8"/>
  <c r="J12" i="8" s="1"/>
  <c r="I8" i="8"/>
  <c r="E37" i="8"/>
  <c r="I20" i="8"/>
  <c r="I2" i="8"/>
  <c r="L16" i="8"/>
  <c r="M16" i="8" s="1"/>
  <c r="N16" i="8" s="1"/>
  <c r="E2" i="8"/>
  <c r="Q3" i="8"/>
  <c r="D3" i="8" s="1"/>
  <c r="L7" i="8" s="1"/>
  <c r="L11" i="8"/>
  <c r="M11" i="8" s="1"/>
  <c r="O11" i="8" s="1"/>
  <c r="L19" i="8"/>
  <c r="M19" i="8" s="1"/>
  <c r="I21" i="7"/>
  <c r="J21" i="7" s="1"/>
  <c r="I17" i="7"/>
  <c r="K17" i="7" s="1"/>
  <c r="F36" i="35" s="1"/>
  <c r="I11" i="7"/>
  <c r="I7" i="7"/>
  <c r="I3" i="7"/>
  <c r="I20" i="7"/>
  <c r="I10" i="7"/>
  <c r="I15" i="7"/>
  <c r="I4" i="7"/>
  <c r="K4" i="7" s="1"/>
  <c r="F37" i="7"/>
  <c r="I22" i="7"/>
  <c r="I18" i="7"/>
  <c r="I12" i="7"/>
  <c r="I8" i="7"/>
  <c r="E37" i="7"/>
  <c r="I16" i="7"/>
  <c r="K16" i="7" s="1"/>
  <c r="F35" i="35" s="1"/>
  <c r="I2" i="7"/>
  <c r="J2" i="7" s="1"/>
  <c r="E2" i="7"/>
  <c r="E3" i="1"/>
  <c r="L16" i="1"/>
  <c r="M16" i="1" s="1"/>
  <c r="F4" i="1"/>
  <c r="G4" i="1"/>
  <c r="H4" i="1"/>
  <c r="L26" i="1"/>
  <c r="M26" i="1" s="1"/>
  <c r="J3" i="1"/>
  <c r="L25" i="1"/>
  <c r="M25" i="1" s="1"/>
  <c r="E2" i="1"/>
  <c r="I4" i="1"/>
  <c r="L7" i="1"/>
  <c r="L21" i="1"/>
  <c r="M21" i="1" s="1"/>
  <c r="L22" i="1"/>
  <c r="M22" i="1" s="1"/>
  <c r="L18" i="1"/>
  <c r="M18" i="1" s="1"/>
  <c r="I10" i="1"/>
  <c r="E25" i="36" s="1"/>
  <c r="I16" i="1"/>
  <c r="I20" i="1"/>
  <c r="L27" i="1"/>
  <c r="M27" i="1" s="1"/>
  <c r="L12" i="1"/>
  <c r="M12" i="1" s="1"/>
  <c r="L15" i="1"/>
  <c r="M15" i="1" s="1"/>
  <c r="L19" i="1"/>
  <c r="M19" i="1" s="1"/>
  <c r="H31" i="35" s="1"/>
  <c r="H3" i="6"/>
  <c r="G3" i="6"/>
  <c r="F3" i="6"/>
  <c r="I21" i="6"/>
  <c r="J21" i="6" s="1"/>
  <c r="E26" i="35" s="1"/>
  <c r="I17" i="6"/>
  <c r="K17" i="6" s="1"/>
  <c r="F23" i="35" s="1"/>
  <c r="I11" i="6"/>
  <c r="E21" i="36" s="1"/>
  <c r="I9" i="6"/>
  <c r="I4" i="6"/>
  <c r="I19" i="6"/>
  <c r="I20" i="6"/>
  <c r="K20" i="6" s="1"/>
  <c r="F25" i="35" s="1"/>
  <c r="I10" i="6"/>
  <c r="E20" i="36" s="1"/>
  <c r="I2" i="6"/>
  <c r="F37" i="6"/>
  <c r="I18" i="6"/>
  <c r="I8" i="6"/>
  <c r="E37" i="6"/>
  <c r="I3" i="6"/>
  <c r="K3" i="6" s="1"/>
  <c r="L10" i="33" s="1"/>
  <c r="I15" i="6"/>
  <c r="J15" i="6" s="1"/>
  <c r="E20" i="35" s="1"/>
  <c r="H4" i="6"/>
  <c r="G4" i="6"/>
  <c r="F4" i="6"/>
  <c r="D2" i="6"/>
  <c r="F4" i="5"/>
  <c r="G4" i="5"/>
  <c r="H4" i="5"/>
  <c r="I11" i="5"/>
  <c r="E16" i="36" s="1"/>
  <c r="I3" i="5"/>
  <c r="K3" i="5" s="1"/>
  <c r="L8" i="33" s="1"/>
  <c r="I18" i="5"/>
  <c r="K18" i="5" s="1"/>
  <c r="F19" i="35" s="1"/>
  <c r="E37" i="5"/>
  <c r="I20" i="5"/>
  <c r="K20" i="5" s="1"/>
  <c r="F18" i="35" s="1"/>
  <c r="I16" i="5"/>
  <c r="I10" i="5"/>
  <c r="E15" i="36" s="1"/>
  <c r="I12" i="5"/>
  <c r="F37" i="5"/>
  <c r="I22" i="5"/>
  <c r="K22" i="5" s="1"/>
  <c r="I4" i="5"/>
  <c r="K4" i="5" s="1"/>
  <c r="D3" i="5"/>
  <c r="Q3" i="5"/>
  <c r="E2" i="5"/>
  <c r="H2" i="5" s="1"/>
  <c r="F4" i="4"/>
  <c r="H4" i="4"/>
  <c r="G4" i="4"/>
  <c r="I21" i="4"/>
  <c r="K21" i="4" s="1"/>
  <c r="I17" i="4"/>
  <c r="I11" i="4"/>
  <c r="I7" i="4"/>
  <c r="I3" i="4"/>
  <c r="I10" i="4"/>
  <c r="I19" i="4"/>
  <c r="I15" i="4"/>
  <c r="I9" i="4"/>
  <c r="J9" i="4" s="1"/>
  <c r="I4" i="4"/>
  <c r="I20" i="4"/>
  <c r="J20" i="4" s="1"/>
  <c r="F37" i="4"/>
  <c r="I22" i="4"/>
  <c r="I18" i="4"/>
  <c r="I12" i="4"/>
  <c r="I8" i="4"/>
  <c r="E37" i="4"/>
  <c r="I16" i="4"/>
  <c r="I2" i="4"/>
  <c r="K2" i="4" s="1"/>
  <c r="L26" i="4"/>
  <c r="M26" i="4" s="1"/>
  <c r="L15" i="4"/>
  <c r="M15" i="4"/>
  <c r="L18" i="4"/>
  <c r="M18" i="4" s="1"/>
  <c r="L8" i="4"/>
  <c r="M8" i="4"/>
  <c r="L17" i="4"/>
  <c r="M17" i="4" s="1"/>
  <c r="L24" i="4"/>
  <c r="M24" i="4"/>
  <c r="L11" i="4"/>
  <c r="M11" i="4" s="1"/>
  <c r="L10" i="4"/>
  <c r="M10" i="4"/>
  <c r="N10" i="4" s="1"/>
  <c r="L27" i="4"/>
  <c r="M27" i="4"/>
  <c r="L25" i="4"/>
  <c r="M25" i="4" s="1"/>
  <c r="E2" i="4"/>
  <c r="E34" i="4" s="1"/>
  <c r="L20" i="4"/>
  <c r="M20" i="4" s="1"/>
  <c r="G3" i="4"/>
  <c r="F3" i="4"/>
  <c r="H3" i="32"/>
  <c r="G3" i="32"/>
  <c r="F3" i="32"/>
  <c r="L15" i="32"/>
  <c r="G2" i="35" s="1"/>
  <c r="L9" i="32"/>
  <c r="M9" i="32" s="1"/>
  <c r="N9" i="32" s="1"/>
  <c r="L16" i="32"/>
  <c r="M16" i="32" s="1"/>
  <c r="L27" i="32"/>
  <c r="M27" i="32" s="1"/>
  <c r="L22" i="32"/>
  <c r="M22" i="32" s="1"/>
  <c r="L18" i="32"/>
  <c r="M18" i="32" s="1"/>
  <c r="L12" i="32"/>
  <c r="M12" i="32" s="1"/>
  <c r="L8" i="32"/>
  <c r="M8" i="32" s="1"/>
  <c r="L20" i="32"/>
  <c r="M20" i="32" s="1"/>
  <c r="L24" i="32"/>
  <c r="M24" i="32" s="1"/>
  <c r="L17" i="32"/>
  <c r="M17" i="32" s="1"/>
  <c r="L11" i="32"/>
  <c r="M11" i="32" s="1"/>
  <c r="L7" i="32"/>
  <c r="M7" i="32" s="1"/>
  <c r="E2" i="32"/>
  <c r="J11" i="30"/>
  <c r="K11" i="30"/>
  <c r="K12" i="30"/>
  <c r="J12" i="30"/>
  <c r="K19" i="30"/>
  <c r="K12" i="29"/>
  <c r="J12" i="29"/>
  <c r="K16" i="29"/>
  <c r="J16" i="29"/>
  <c r="K4" i="29"/>
  <c r="J4" i="29"/>
  <c r="L19" i="29"/>
  <c r="M19" i="29" s="1"/>
  <c r="L15" i="29"/>
  <c r="M15" i="29" s="1"/>
  <c r="L9" i="29"/>
  <c r="M9" i="29" s="1"/>
  <c r="L27" i="29"/>
  <c r="M27" i="29" s="1"/>
  <c r="L22" i="29"/>
  <c r="M22" i="29" s="1"/>
  <c r="L12" i="29"/>
  <c r="M12" i="29" s="1"/>
  <c r="L8" i="29"/>
  <c r="M8" i="29" s="1"/>
  <c r="L24" i="29"/>
  <c r="M24" i="29" s="1"/>
  <c r="L21" i="29"/>
  <c r="M21" i="29" s="1"/>
  <c r="O21" i="29" s="1"/>
  <c r="L17" i="29"/>
  <c r="M17" i="29" s="1"/>
  <c r="L11" i="29"/>
  <c r="M11" i="29" s="1"/>
  <c r="L7" i="29"/>
  <c r="E2" i="29"/>
  <c r="L16" i="29"/>
  <c r="M16" i="29" s="1"/>
  <c r="L10" i="29"/>
  <c r="M10" i="29" s="1"/>
  <c r="L25" i="29"/>
  <c r="M25" i="29" s="1"/>
  <c r="K22" i="29"/>
  <c r="J22" i="29"/>
  <c r="K18" i="29"/>
  <c r="J18" i="29"/>
  <c r="H2" i="28"/>
  <c r="G2" i="28"/>
  <c r="F2" i="28"/>
  <c r="L22" i="28"/>
  <c r="M22" i="28" s="1"/>
  <c r="L18" i="28"/>
  <c r="M18" i="28" s="1"/>
  <c r="L21" i="28"/>
  <c r="M21" i="28" s="1"/>
  <c r="K18" i="2"/>
  <c r="J18" i="2"/>
  <c r="K22" i="2"/>
  <c r="J22" i="2"/>
  <c r="K3" i="2"/>
  <c r="J3" i="2"/>
  <c r="J21" i="2"/>
  <c r="K21" i="2"/>
  <c r="K10" i="2"/>
  <c r="J10" i="2"/>
  <c r="K12" i="2"/>
  <c r="J12" i="2"/>
  <c r="K15" i="2"/>
  <c r="J15" i="2"/>
  <c r="J17" i="2"/>
  <c r="K17" i="2"/>
  <c r="K20" i="2"/>
  <c r="J20" i="2"/>
  <c r="K11" i="2"/>
  <c r="J11" i="2"/>
  <c r="K4" i="2"/>
  <c r="J4" i="2"/>
  <c r="J2" i="2"/>
  <c r="K2" i="2"/>
  <c r="D40" i="2"/>
  <c r="D41" i="2" s="1"/>
  <c r="K19" i="2"/>
  <c r="J19" i="2"/>
  <c r="K16" i="2"/>
  <c r="J16" i="2"/>
  <c r="K8" i="2"/>
  <c r="J8" i="2"/>
  <c r="K9" i="2"/>
  <c r="J9" i="2"/>
  <c r="J7" i="2"/>
  <c r="K7" i="2"/>
  <c r="K7" i="27"/>
  <c r="J7" i="27"/>
  <c r="J8" i="27"/>
  <c r="K8" i="27"/>
  <c r="J12" i="27"/>
  <c r="K12" i="27"/>
  <c r="K2" i="27"/>
  <c r="J2" i="27"/>
  <c r="D40" i="27"/>
  <c r="D41" i="27" s="1"/>
  <c r="K17" i="27"/>
  <c r="J17" i="27"/>
  <c r="K11" i="27"/>
  <c r="J11" i="27"/>
  <c r="J18" i="27"/>
  <c r="K18" i="27"/>
  <c r="K10" i="27"/>
  <c r="J10" i="27"/>
  <c r="K21" i="27"/>
  <c r="J21" i="27"/>
  <c r="K15" i="27"/>
  <c r="J15" i="27"/>
  <c r="K19" i="27"/>
  <c r="J19" i="27"/>
  <c r="J22" i="27"/>
  <c r="K22" i="27"/>
  <c r="K16" i="27"/>
  <c r="J16" i="27"/>
  <c r="K20" i="27"/>
  <c r="J20" i="27"/>
  <c r="K4" i="27"/>
  <c r="J4" i="27"/>
  <c r="K9" i="27"/>
  <c r="J9" i="27"/>
  <c r="K3" i="27"/>
  <c r="J3" i="27"/>
  <c r="K9" i="26"/>
  <c r="J9" i="26"/>
  <c r="J7" i="26"/>
  <c r="K7" i="26"/>
  <c r="K8" i="26"/>
  <c r="J8" i="26"/>
  <c r="K15" i="26"/>
  <c r="J15" i="26"/>
  <c r="J11" i="26"/>
  <c r="K11" i="26"/>
  <c r="K12" i="26"/>
  <c r="J12" i="26"/>
  <c r="K19" i="26"/>
  <c r="J19" i="26"/>
  <c r="J17" i="26"/>
  <c r="K17" i="26"/>
  <c r="K4" i="26"/>
  <c r="J4" i="26"/>
  <c r="K18" i="26"/>
  <c r="J18" i="26"/>
  <c r="K2" i="26"/>
  <c r="J2" i="26"/>
  <c r="J21" i="26"/>
  <c r="K21" i="26"/>
  <c r="J22" i="26"/>
  <c r="K10" i="26"/>
  <c r="J10" i="26"/>
  <c r="J16" i="26"/>
  <c r="E3" i="26"/>
  <c r="K20" i="26"/>
  <c r="J20" i="26"/>
  <c r="J3" i="26"/>
  <c r="K3" i="26"/>
  <c r="K21" i="24"/>
  <c r="J21" i="24"/>
  <c r="F2" i="24"/>
  <c r="H2" i="24"/>
  <c r="G2" i="24"/>
  <c r="K10" i="24"/>
  <c r="J10" i="24"/>
  <c r="K15" i="23"/>
  <c r="J15" i="23"/>
  <c r="K4" i="23"/>
  <c r="J4" i="23"/>
  <c r="L24" i="23"/>
  <c r="M24" i="23" s="1"/>
  <c r="L15" i="23"/>
  <c r="M15" i="23" s="1"/>
  <c r="K9" i="23"/>
  <c r="J9" i="23"/>
  <c r="H2" i="23"/>
  <c r="G2" i="23"/>
  <c r="F2" i="23"/>
  <c r="L20" i="23"/>
  <c r="M20" i="23" s="1"/>
  <c r="L19" i="23"/>
  <c r="M19" i="23" s="1"/>
  <c r="L7" i="23"/>
  <c r="M7" i="23" s="1"/>
  <c r="L12" i="23"/>
  <c r="M12" i="23" s="1"/>
  <c r="L26" i="23"/>
  <c r="M26" i="23" s="1"/>
  <c r="L11" i="23"/>
  <c r="M11" i="23" s="1"/>
  <c r="K19" i="22"/>
  <c r="J19" i="22"/>
  <c r="K15" i="22"/>
  <c r="J15" i="22"/>
  <c r="K9" i="22"/>
  <c r="J9" i="22"/>
  <c r="K2" i="22"/>
  <c r="J2" i="22"/>
  <c r="K16" i="21"/>
  <c r="J16" i="21"/>
  <c r="K9" i="21"/>
  <c r="J9" i="21"/>
  <c r="L26" i="21"/>
  <c r="M26" i="21"/>
  <c r="J7" i="21"/>
  <c r="K7" i="21"/>
  <c r="K18" i="21"/>
  <c r="J18" i="21"/>
  <c r="L27" i="21"/>
  <c r="M27" i="21" s="1"/>
  <c r="L10" i="21"/>
  <c r="M10" i="21"/>
  <c r="K4" i="21"/>
  <c r="J4" i="21"/>
  <c r="K2" i="21"/>
  <c r="J2" i="21"/>
  <c r="K17" i="21"/>
  <c r="J17" i="21"/>
  <c r="K20" i="21"/>
  <c r="J20" i="21"/>
  <c r="K12" i="21"/>
  <c r="J12" i="21"/>
  <c r="L15" i="21"/>
  <c r="M15" i="21" s="1"/>
  <c r="L24" i="21"/>
  <c r="M24" i="21" s="1"/>
  <c r="J3" i="21"/>
  <c r="K3" i="21"/>
  <c r="L9" i="21"/>
  <c r="M9" i="21"/>
  <c r="L25" i="21"/>
  <c r="M25" i="21"/>
  <c r="K8" i="21"/>
  <c r="J8" i="21"/>
  <c r="H2" i="21"/>
  <c r="G2" i="21"/>
  <c r="F2" i="21"/>
  <c r="L20" i="21"/>
  <c r="M20" i="21"/>
  <c r="K11" i="21"/>
  <c r="J11" i="21"/>
  <c r="L22" i="21"/>
  <c r="M22" i="21"/>
  <c r="L21" i="21"/>
  <c r="M21" i="21"/>
  <c r="K22" i="21"/>
  <c r="J22" i="21"/>
  <c r="K10" i="21"/>
  <c r="J10" i="21"/>
  <c r="K21" i="21"/>
  <c r="J21" i="21"/>
  <c r="K19" i="21"/>
  <c r="J19" i="21"/>
  <c r="L22" i="20"/>
  <c r="M22" i="20" s="1"/>
  <c r="L21" i="20"/>
  <c r="M21" i="20" s="1"/>
  <c r="L19" i="20"/>
  <c r="M19" i="20" s="1"/>
  <c r="L17" i="20"/>
  <c r="M17" i="20" s="1"/>
  <c r="L15" i="20"/>
  <c r="M15" i="20" s="1"/>
  <c r="L11" i="20"/>
  <c r="M11" i="20" s="1"/>
  <c r="L25" i="20"/>
  <c r="M25" i="20" s="1"/>
  <c r="K22" i="20"/>
  <c r="J22" i="20"/>
  <c r="L27" i="20"/>
  <c r="M27" i="20" s="1"/>
  <c r="K18" i="20"/>
  <c r="F132" i="35" s="1"/>
  <c r="J18" i="20"/>
  <c r="E3" i="20"/>
  <c r="L18" i="20"/>
  <c r="M18" i="20" s="1"/>
  <c r="O18" i="20" s="1"/>
  <c r="J132" i="35" s="1"/>
  <c r="L9" i="20"/>
  <c r="M9" i="20" s="1"/>
  <c r="L7" i="20"/>
  <c r="K16" i="20"/>
  <c r="J16" i="20"/>
  <c r="L26" i="20"/>
  <c r="M26" i="20" s="1"/>
  <c r="K2" i="20"/>
  <c r="L45" i="33" s="1"/>
  <c r="J2" i="20"/>
  <c r="L16" i="20"/>
  <c r="M16" i="20" s="1"/>
  <c r="H2" i="20"/>
  <c r="G2" i="20"/>
  <c r="F2" i="20"/>
  <c r="K4" i="19"/>
  <c r="J4" i="19"/>
  <c r="H3" i="19"/>
  <c r="G3" i="19"/>
  <c r="F3" i="19"/>
  <c r="K16" i="19"/>
  <c r="J16" i="19"/>
  <c r="K2" i="19"/>
  <c r="J2" i="19"/>
  <c r="E3" i="18"/>
  <c r="L18" i="18"/>
  <c r="M18" i="18" s="1"/>
  <c r="L12" i="18"/>
  <c r="M12" i="18" s="1"/>
  <c r="L16" i="18"/>
  <c r="M16" i="18" s="1"/>
  <c r="L19" i="18"/>
  <c r="M19" i="18" s="1"/>
  <c r="L20" i="18"/>
  <c r="M20" i="18" s="1"/>
  <c r="L15" i="18"/>
  <c r="G111" i="35" s="1"/>
  <c r="L24" i="18"/>
  <c r="M24" i="18" s="1"/>
  <c r="L27" i="18"/>
  <c r="M27" i="18" s="1"/>
  <c r="L17" i="18"/>
  <c r="M17" i="18" s="1"/>
  <c r="L22" i="18"/>
  <c r="M22" i="18" s="1"/>
  <c r="E34" i="18"/>
  <c r="H2" i="18"/>
  <c r="G2" i="18"/>
  <c r="F2" i="18"/>
  <c r="N9" i="3"/>
  <c r="O9" i="3"/>
  <c r="J3" i="3"/>
  <c r="O21" i="3"/>
  <c r="N21" i="3"/>
  <c r="O11" i="3"/>
  <c r="N11" i="3"/>
  <c r="K18" i="3"/>
  <c r="J18" i="3"/>
  <c r="O18" i="3"/>
  <c r="N18" i="3"/>
  <c r="G40" i="3"/>
  <c r="G41" i="3" s="1"/>
  <c r="M7" i="3"/>
  <c r="K22" i="3"/>
  <c r="J22" i="3"/>
  <c r="K2" i="3"/>
  <c r="J2" i="3"/>
  <c r="J21" i="3"/>
  <c r="K21" i="3"/>
  <c r="O8" i="3"/>
  <c r="N8" i="3"/>
  <c r="E34" i="3"/>
  <c r="H2" i="3"/>
  <c r="G2" i="3"/>
  <c r="F2" i="3"/>
  <c r="O20" i="3"/>
  <c r="N20" i="3"/>
  <c r="K4" i="3"/>
  <c r="J4" i="3"/>
  <c r="K3" i="25"/>
  <c r="J3" i="25"/>
  <c r="K2" i="25"/>
  <c r="J2" i="25"/>
  <c r="K17" i="25"/>
  <c r="J17" i="25"/>
  <c r="K4" i="25"/>
  <c r="J4" i="25"/>
  <c r="J10" i="25"/>
  <c r="J21" i="25"/>
  <c r="K21" i="25"/>
  <c r="J7" i="25"/>
  <c r="K7" i="25"/>
  <c r="K18" i="25"/>
  <c r="J18" i="25"/>
  <c r="K16" i="25"/>
  <c r="J16" i="25"/>
  <c r="K20" i="25"/>
  <c r="J20" i="25"/>
  <c r="K15" i="25"/>
  <c r="J15" i="25"/>
  <c r="K19" i="25"/>
  <c r="J19" i="25"/>
  <c r="K12" i="25"/>
  <c r="J12" i="25"/>
  <c r="K8" i="25"/>
  <c r="J8" i="25"/>
  <c r="K9" i="25"/>
  <c r="J9" i="25"/>
  <c r="K22" i="25"/>
  <c r="J22" i="25"/>
  <c r="K11" i="25"/>
  <c r="J11" i="25"/>
  <c r="K2" i="17"/>
  <c r="J2" i="17"/>
  <c r="K19" i="17"/>
  <c r="F101" i="35" s="1"/>
  <c r="K4" i="17"/>
  <c r="J4" i="17"/>
  <c r="H2" i="17"/>
  <c r="G2" i="17"/>
  <c r="F2" i="17"/>
  <c r="K10" i="17"/>
  <c r="J10" i="17"/>
  <c r="K15" i="17"/>
  <c r="J15" i="17"/>
  <c r="K9" i="17"/>
  <c r="J9" i="17"/>
  <c r="F79" i="36" s="1"/>
  <c r="K21" i="16"/>
  <c r="J21" i="16"/>
  <c r="K22" i="16"/>
  <c r="J22" i="16"/>
  <c r="K2" i="16"/>
  <c r="J2" i="16"/>
  <c r="K4" i="16"/>
  <c r="J4" i="16"/>
  <c r="K3" i="16"/>
  <c r="J3" i="16"/>
  <c r="H3" i="16"/>
  <c r="G3" i="16"/>
  <c r="F3" i="16"/>
  <c r="K9" i="16"/>
  <c r="J9" i="16"/>
  <c r="K7" i="16"/>
  <c r="J7" i="16"/>
  <c r="K8" i="16"/>
  <c r="J8" i="16"/>
  <c r="J11" i="16"/>
  <c r="F76" i="36" s="1"/>
  <c r="K12" i="16"/>
  <c r="J12" i="16"/>
  <c r="K19" i="16"/>
  <c r="J19" i="16"/>
  <c r="E94" i="35" s="1"/>
  <c r="K17" i="16"/>
  <c r="J17" i="16"/>
  <c r="G3" i="15"/>
  <c r="F3" i="15"/>
  <c r="J18" i="15"/>
  <c r="H2" i="15"/>
  <c r="F2" i="15"/>
  <c r="J11" i="14"/>
  <c r="K11" i="14"/>
  <c r="K17" i="14"/>
  <c r="J17" i="14"/>
  <c r="K18" i="14"/>
  <c r="J18" i="14"/>
  <c r="K21" i="14"/>
  <c r="J21" i="14"/>
  <c r="K9" i="14"/>
  <c r="J9" i="14"/>
  <c r="K15" i="14"/>
  <c r="J15" i="14"/>
  <c r="K20" i="14"/>
  <c r="J20" i="14"/>
  <c r="K19" i="14"/>
  <c r="J19" i="14"/>
  <c r="J12" i="14"/>
  <c r="K3" i="14"/>
  <c r="J3" i="14"/>
  <c r="K22" i="14"/>
  <c r="J22" i="14"/>
  <c r="K10" i="14"/>
  <c r="J10" i="14"/>
  <c r="J8" i="14"/>
  <c r="D40" i="14"/>
  <c r="D41" i="14"/>
  <c r="K2" i="14"/>
  <c r="J2" i="14"/>
  <c r="E40" i="14" s="1"/>
  <c r="K7" i="14"/>
  <c r="J7" i="14"/>
  <c r="K4" i="14"/>
  <c r="J4" i="14"/>
  <c r="K16" i="14"/>
  <c r="J16" i="14"/>
  <c r="J7" i="13"/>
  <c r="K7" i="13"/>
  <c r="K16" i="13"/>
  <c r="J16" i="13"/>
  <c r="K20" i="13"/>
  <c r="J20" i="13"/>
  <c r="H2" i="13"/>
  <c r="G2" i="13"/>
  <c r="F2" i="13"/>
  <c r="K9" i="13"/>
  <c r="K10" i="13"/>
  <c r="J10" i="13"/>
  <c r="L18" i="12"/>
  <c r="M18" i="12" s="1"/>
  <c r="H2" i="12"/>
  <c r="G2" i="12"/>
  <c r="F2" i="12"/>
  <c r="L22" i="12"/>
  <c r="M22" i="12" s="1"/>
  <c r="L17" i="12"/>
  <c r="M17" i="12" s="1"/>
  <c r="E3" i="11"/>
  <c r="L22" i="11"/>
  <c r="M22" i="11" s="1"/>
  <c r="L20" i="11"/>
  <c r="M20" i="11" s="1"/>
  <c r="L17" i="11"/>
  <c r="M17" i="11" s="1"/>
  <c r="L24" i="11"/>
  <c r="M24" i="11" s="1"/>
  <c r="L16" i="11"/>
  <c r="M16" i="11" s="1"/>
  <c r="L19" i="11"/>
  <c r="M19" i="11" s="1"/>
  <c r="L10" i="11"/>
  <c r="M10" i="11" s="1"/>
  <c r="L9" i="11"/>
  <c r="M9" i="11" s="1"/>
  <c r="L8" i="11"/>
  <c r="H48" i="36" s="1"/>
  <c r="H2" i="11"/>
  <c r="G2" i="11"/>
  <c r="F2" i="11"/>
  <c r="K2" i="11"/>
  <c r="K4" i="11"/>
  <c r="J4" i="11"/>
  <c r="K16" i="11"/>
  <c r="J16" i="11"/>
  <c r="K10" i="11"/>
  <c r="J10" i="11"/>
  <c r="K8" i="11"/>
  <c r="J8" i="11"/>
  <c r="K4" i="10"/>
  <c r="J4" i="10"/>
  <c r="K19" i="10"/>
  <c r="F56" i="35" s="1"/>
  <c r="J9" i="10"/>
  <c r="H2" i="9"/>
  <c r="F2" i="9"/>
  <c r="G2" i="9"/>
  <c r="K20" i="9"/>
  <c r="J20" i="9"/>
  <c r="K4" i="9"/>
  <c r="K17" i="9"/>
  <c r="L9" i="9"/>
  <c r="M9" i="9" s="1"/>
  <c r="K8" i="9"/>
  <c r="J8" i="9"/>
  <c r="K9" i="9"/>
  <c r="J9" i="9"/>
  <c r="L12" i="9"/>
  <c r="M12" i="9" s="1"/>
  <c r="L17" i="9"/>
  <c r="M17" i="9" s="1"/>
  <c r="K12" i="9"/>
  <c r="J12" i="9"/>
  <c r="J15" i="9"/>
  <c r="K15" i="9"/>
  <c r="L27" i="9"/>
  <c r="M27" i="9" s="1"/>
  <c r="L21" i="9"/>
  <c r="M21" i="9" s="1"/>
  <c r="L19" i="9"/>
  <c r="M19" i="9" s="1"/>
  <c r="K10" i="9"/>
  <c r="J10" i="9"/>
  <c r="L7" i="9"/>
  <c r="L26" i="9"/>
  <c r="M26" i="9" s="1"/>
  <c r="K22" i="9"/>
  <c r="J22" i="9"/>
  <c r="K3" i="9"/>
  <c r="J3" i="9"/>
  <c r="L16" i="9"/>
  <c r="M16" i="9" s="1"/>
  <c r="J2" i="9"/>
  <c r="K18" i="33" s="1"/>
  <c r="K7" i="9"/>
  <c r="J7" i="9"/>
  <c r="O16" i="8"/>
  <c r="K18" i="8"/>
  <c r="J18" i="8"/>
  <c r="K3" i="8"/>
  <c r="J3" i="8"/>
  <c r="K2" i="8"/>
  <c r="J2" i="8"/>
  <c r="K8" i="8"/>
  <c r="J8" i="8"/>
  <c r="K9" i="8"/>
  <c r="J9" i="8"/>
  <c r="K15" i="8"/>
  <c r="J15" i="8"/>
  <c r="O19" i="8"/>
  <c r="N19" i="8"/>
  <c r="E3" i="8"/>
  <c r="E34" i="8" s="1"/>
  <c r="L27" i="8"/>
  <c r="M27" i="8" s="1"/>
  <c r="L22" i="8"/>
  <c r="M22" i="8" s="1"/>
  <c r="L18" i="8"/>
  <c r="M18" i="8" s="1"/>
  <c r="L12" i="8"/>
  <c r="M12" i="8" s="1"/>
  <c r="L8" i="8"/>
  <c r="M8" i="8" s="1"/>
  <c r="K11" i="8"/>
  <c r="J11" i="8"/>
  <c r="L15" i="8"/>
  <c r="M15" i="8" s="1"/>
  <c r="L25" i="8"/>
  <c r="M25" i="8" s="1"/>
  <c r="K20" i="8"/>
  <c r="J20" i="8"/>
  <c r="K16" i="8"/>
  <c r="J16" i="8"/>
  <c r="K17" i="8"/>
  <c r="J17" i="8"/>
  <c r="L9" i="8"/>
  <c r="M9" i="8" s="1"/>
  <c r="G2" i="8"/>
  <c r="F2" i="8"/>
  <c r="H2" i="8"/>
  <c r="J4" i="8"/>
  <c r="K4" i="8"/>
  <c r="K21" i="8"/>
  <c r="J21" i="8"/>
  <c r="K10" i="7"/>
  <c r="J10" i="7"/>
  <c r="K20" i="7"/>
  <c r="F39" i="35" s="1"/>
  <c r="J20" i="7"/>
  <c r="J4" i="7"/>
  <c r="K11" i="7"/>
  <c r="G31" i="36" s="1"/>
  <c r="J11" i="7"/>
  <c r="K12" i="7"/>
  <c r="J12" i="7"/>
  <c r="K22" i="7"/>
  <c r="J22" i="7"/>
  <c r="K18" i="7"/>
  <c r="J18" i="7"/>
  <c r="H2" i="7"/>
  <c r="G2" i="7"/>
  <c r="F2" i="7"/>
  <c r="K3" i="7"/>
  <c r="J3" i="7"/>
  <c r="K15" i="33" s="1"/>
  <c r="K2" i="7"/>
  <c r="K8" i="7"/>
  <c r="J8" i="7"/>
  <c r="J15" i="7"/>
  <c r="K15" i="7"/>
  <c r="F34" i="35" s="1"/>
  <c r="K21" i="7"/>
  <c r="F2" i="1"/>
  <c r="G2" i="1"/>
  <c r="H11" i="33" s="1"/>
  <c r="H2" i="1"/>
  <c r="E34" i="1"/>
  <c r="K20" i="1"/>
  <c r="F32" i="35" s="1"/>
  <c r="J20" i="1"/>
  <c r="K16" i="1"/>
  <c r="J16" i="1"/>
  <c r="M7" i="1"/>
  <c r="O7" i="1" s="1"/>
  <c r="K4" i="1"/>
  <c r="J4" i="1"/>
  <c r="H3" i="1"/>
  <c r="G3" i="1"/>
  <c r="F3" i="1"/>
  <c r="J9" i="6"/>
  <c r="F19" i="36" s="1"/>
  <c r="K9" i="6"/>
  <c r="J3" i="6"/>
  <c r="J2" i="6"/>
  <c r="K2" i="6"/>
  <c r="J17" i="6"/>
  <c r="L17" i="6"/>
  <c r="M17" i="6"/>
  <c r="L15" i="6"/>
  <c r="M15" i="6" s="1"/>
  <c r="L18" i="6"/>
  <c r="M18" i="6" s="1"/>
  <c r="L27" i="6"/>
  <c r="M27" i="6" s="1"/>
  <c r="L22" i="6"/>
  <c r="M22" i="6" s="1"/>
  <c r="N22" i="6" s="1"/>
  <c r="L12" i="6"/>
  <c r="M12" i="6" s="1"/>
  <c r="L8" i="6"/>
  <c r="M8" i="6" s="1"/>
  <c r="L25" i="6"/>
  <c r="M25" i="6" s="1"/>
  <c r="E2" i="6"/>
  <c r="L20" i="6"/>
  <c r="M20" i="6" s="1"/>
  <c r="L16" i="6"/>
  <c r="M16" i="6" s="1"/>
  <c r="L10" i="6"/>
  <c r="M10" i="6" s="1"/>
  <c r="L26" i="6"/>
  <c r="M26" i="6" s="1"/>
  <c r="L24" i="6"/>
  <c r="M24" i="6" s="1"/>
  <c r="L21" i="6"/>
  <c r="M21" i="6" s="1"/>
  <c r="L11" i="6"/>
  <c r="M11" i="6" s="1"/>
  <c r="L7" i="6"/>
  <c r="J8" i="6"/>
  <c r="F18" i="36" s="1"/>
  <c r="K8" i="6"/>
  <c r="J11" i="6"/>
  <c r="J18" i="6"/>
  <c r="K18" i="6"/>
  <c r="K19" i="6"/>
  <c r="J19" i="6"/>
  <c r="E24" i="35" s="1"/>
  <c r="K12" i="5"/>
  <c r="J12" i="5"/>
  <c r="G2" i="5"/>
  <c r="F2" i="5"/>
  <c r="J4" i="5"/>
  <c r="L16" i="5"/>
  <c r="M16" i="5" s="1"/>
  <c r="K16" i="5"/>
  <c r="F15" i="35" s="1"/>
  <c r="J16" i="5"/>
  <c r="J3" i="5"/>
  <c r="L22" i="5"/>
  <c r="M22" i="5" s="1"/>
  <c r="J20" i="5"/>
  <c r="E18" i="35" s="1"/>
  <c r="L26" i="5"/>
  <c r="M26" i="5" s="1"/>
  <c r="O18" i="4"/>
  <c r="N18" i="4"/>
  <c r="J21" i="4"/>
  <c r="J12" i="4"/>
  <c r="K12" i="4"/>
  <c r="O24" i="4"/>
  <c r="N24" i="4"/>
  <c r="J18" i="4"/>
  <c r="K18" i="4"/>
  <c r="K10" i="4"/>
  <c r="J10" i="4"/>
  <c r="H2" i="4"/>
  <c r="N17" i="4"/>
  <c r="O17" i="4"/>
  <c r="O26" i="4"/>
  <c r="N26" i="4"/>
  <c r="J3" i="4"/>
  <c r="K3" i="4"/>
  <c r="O25" i="4"/>
  <c r="N25" i="4"/>
  <c r="D40" i="4"/>
  <c r="D41" i="4" s="1"/>
  <c r="J2" i="4"/>
  <c r="J7" i="4"/>
  <c r="K7" i="4"/>
  <c r="O10" i="4"/>
  <c r="K8" i="4"/>
  <c r="J8" i="4"/>
  <c r="K9" i="4"/>
  <c r="O11" i="4"/>
  <c r="N11" i="4"/>
  <c r="J15" i="4"/>
  <c r="K15" i="4"/>
  <c r="O15" i="4"/>
  <c r="N15" i="4"/>
  <c r="K19" i="4"/>
  <c r="J19" i="4"/>
  <c r="O20" i="4"/>
  <c r="N20" i="4"/>
  <c r="J22" i="4"/>
  <c r="K22" i="4"/>
  <c r="N27" i="4"/>
  <c r="O27" i="4"/>
  <c r="O8" i="4"/>
  <c r="N8" i="4"/>
  <c r="K16" i="4"/>
  <c r="J16" i="4"/>
  <c r="K20" i="4"/>
  <c r="K4" i="4"/>
  <c r="J4" i="4"/>
  <c r="J17" i="4"/>
  <c r="K17" i="4"/>
  <c r="H2" i="32"/>
  <c r="G2" i="32"/>
  <c r="F2" i="32"/>
  <c r="O9" i="32"/>
  <c r="D56" i="33"/>
  <c r="B56" i="33"/>
  <c r="D74" i="33"/>
  <c r="B74" i="33"/>
  <c r="B199" i="35"/>
  <c r="D199" i="35"/>
  <c r="B200" i="35"/>
  <c r="D200" i="35"/>
  <c r="B201" i="35"/>
  <c r="D201" i="35"/>
  <c r="B202" i="35"/>
  <c r="D202" i="35"/>
  <c r="B203" i="35"/>
  <c r="D203" i="35"/>
  <c r="B192" i="35"/>
  <c r="D192" i="35"/>
  <c r="B193" i="35"/>
  <c r="D193" i="35"/>
  <c r="B194" i="35"/>
  <c r="D194" i="35"/>
  <c r="B195" i="35"/>
  <c r="D195" i="35"/>
  <c r="B196" i="35"/>
  <c r="D196" i="35"/>
  <c r="B186" i="35"/>
  <c r="D186" i="35"/>
  <c r="B187" i="35"/>
  <c r="D187" i="35"/>
  <c r="B188" i="35"/>
  <c r="D188" i="35"/>
  <c r="B189" i="35"/>
  <c r="D189" i="35"/>
  <c r="B180" i="35"/>
  <c r="D180" i="35"/>
  <c r="B181" i="35"/>
  <c r="D181" i="35"/>
  <c r="B182" i="35"/>
  <c r="D182" i="35"/>
  <c r="B183" i="35"/>
  <c r="D183" i="35"/>
  <c r="B175" i="35"/>
  <c r="D175" i="35"/>
  <c r="B176" i="35"/>
  <c r="D176" i="35"/>
  <c r="B177" i="35"/>
  <c r="D177" i="35"/>
  <c r="B169" i="35"/>
  <c r="D169" i="35"/>
  <c r="B170" i="35"/>
  <c r="D170" i="35"/>
  <c r="B171" i="35"/>
  <c r="D171" i="35"/>
  <c r="B172" i="35"/>
  <c r="D172" i="35"/>
  <c r="B163" i="35"/>
  <c r="D163" i="35"/>
  <c r="B164" i="35"/>
  <c r="D164" i="35"/>
  <c r="B165" i="35"/>
  <c r="D165" i="35"/>
  <c r="B166" i="35"/>
  <c r="D166" i="35"/>
  <c r="B156" i="35"/>
  <c r="D156" i="35"/>
  <c r="B157" i="35"/>
  <c r="D157" i="35"/>
  <c r="B158" i="35"/>
  <c r="D158" i="35"/>
  <c r="B159" i="35"/>
  <c r="D159" i="35"/>
  <c r="B160" i="35"/>
  <c r="D160" i="35"/>
  <c r="B153" i="35"/>
  <c r="D153" i="35"/>
  <c r="B149" i="35"/>
  <c r="D149" i="35"/>
  <c r="B150" i="35"/>
  <c r="D150" i="35"/>
  <c r="B151" i="35"/>
  <c r="D151" i="35"/>
  <c r="B152" i="35"/>
  <c r="D152" i="35"/>
  <c r="B143" i="35"/>
  <c r="D143" i="35"/>
  <c r="B144" i="35"/>
  <c r="D144" i="35"/>
  <c r="B145" i="35"/>
  <c r="D145" i="35"/>
  <c r="B146" i="35"/>
  <c r="D146" i="35"/>
  <c r="B137" i="35"/>
  <c r="D137" i="35"/>
  <c r="B138" i="35"/>
  <c r="D138" i="35"/>
  <c r="B139" i="35"/>
  <c r="D139" i="35"/>
  <c r="B140" i="35"/>
  <c r="D140" i="35"/>
  <c r="B131" i="35"/>
  <c r="D131" i="35"/>
  <c r="B132" i="35"/>
  <c r="D132" i="35"/>
  <c r="B133" i="35"/>
  <c r="D133" i="35"/>
  <c r="B134" i="35"/>
  <c r="D134" i="35"/>
  <c r="B127" i="35"/>
  <c r="D127" i="35"/>
  <c r="B128" i="35"/>
  <c r="D128" i="35"/>
  <c r="B120" i="35"/>
  <c r="D120" i="35"/>
  <c r="B121" i="35"/>
  <c r="D121" i="35"/>
  <c r="B114" i="35"/>
  <c r="D114" i="35"/>
  <c r="B115" i="35"/>
  <c r="D115" i="35"/>
  <c r="B112" i="35"/>
  <c r="D112" i="35"/>
  <c r="B113" i="35"/>
  <c r="D113" i="35"/>
  <c r="B105" i="35"/>
  <c r="D105" i="35"/>
  <c r="B106" i="35"/>
  <c r="D106" i="35"/>
  <c r="B107" i="35"/>
  <c r="D107" i="35"/>
  <c r="B108" i="35"/>
  <c r="D108" i="35"/>
  <c r="B109" i="35"/>
  <c r="D109" i="35"/>
  <c r="B99" i="35"/>
  <c r="D99" i="35"/>
  <c r="B100" i="35"/>
  <c r="D100" i="35"/>
  <c r="B101" i="35"/>
  <c r="D101" i="35"/>
  <c r="B92" i="35"/>
  <c r="D92" i="35"/>
  <c r="B93" i="35"/>
  <c r="D93" i="35"/>
  <c r="B94" i="35"/>
  <c r="D94" i="35"/>
  <c r="B95" i="35"/>
  <c r="D95" i="35"/>
  <c r="B96" i="35"/>
  <c r="D96" i="35"/>
  <c r="B86" i="35"/>
  <c r="D86" i="35"/>
  <c r="B87" i="35"/>
  <c r="D87" i="35"/>
  <c r="B88" i="35"/>
  <c r="D88" i="35"/>
  <c r="B89" i="35"/>
  <c r="D89" i="35"/>
  <c r="D85" i="35"/>
  <c r="B85" i="35"/>
  <c r="D84" i="35"/>
  <c r="B84" i="35"/>
  <c r="B79" i="35"/>
  <c r="D79" i="35"/>
  <c r="B80" i="35"/>
  <c r="D80" i="35"/>
  <c r="B81" i="35"/>
  <c r="D81" i="35"/>
  <c r="B82" i="35"/>
  <c r="D82" i="35"/>
  <c r="B83" i="35"/>
  <c r="D83" i="35"/>
  <c r="B72" i="35"/>
  <c r="D72" i="35"/>
  <c r="B73" i="35"/>
  <c r="D73" i="35"/>
  <c r="B74" i="35"/>
  <c r="D74" i="35"/>
  <c r="B75" i="35"/>
  <c r="D75" i="35"/>
  <c r="B76" i="35"/>
  <c r="D76" i="35"/>
  <c r="D71" i="35"/>
  <c r="B71" i="35"/>
  <c r="B66" i="35"/>
  <c r="D66" i="35"/>
  <c r="B67" i="35"/>
  <c r="D67" i="35"/>
  <c r="B68" i="35"/>
  <c r="D68" i="35"/>
  <c r="B69" i="35"/>
  <c r="D69" i="35"/>
  <c r="B60" i="35"/>
  <c r="D60" i="35"/>
  <c r="B61" i="35"/>
  <c r="D61" i="35"/>
  <c r="B62" i="35"/>
  <c r="D62" i="35"/>
  <c r="B63" i="35"/>
  <c r="D63" i="35"/>
  <c r="D198" i="35"/>
  <c r="D197" i="35"/>
  <c r="D191" i="35"/>
  <c r="D190" i="35"/>
  <c r="D185" i="35"/>
  <c r="D184" i="35"/>
  <c r="D179" i="35"/>
  <c r="D178" i="35"/>
  <c r="D174" i="35"/>
  <c r="D173" i="35"/>
  <c r="D168" i="35"/>
  <c r="D167" i="35"/>
  <c r="D162" i="35"/>
  <c r="D161" i="35"/>
  <c r="D155" i="35"/>
  <c r="D154" i="35"/>
  <c r="D148" i="35"/>
  <c r="D147" i="35"/>
  <c r="D142" i="35"/>
  <c r="D141" i="35"/>
  <c r="D136" i="35"/>
  <c r="D135" i="35"/>
  <c r="D130" i="35"/>
  <c r="D129" i="35"/>
  <c r="D126" i="35"/>
  <c r="D125" i="35"/>
  <c r="D124" i="35"/>
  <c r="D123" i="35"/>
  <c r="D122" i="35"/>
  <c r="D119" i="35"/>
  <c r="D118" i="35"/>
  <c r="D117" i="35"/>
  <c r="D116" i="35"/>
  <c r="D111" i="35"/>
  <c r="D110" i="35"/>
  <c r="D104" i="35"/>
  <c r="D103" i="35"/>
  <c r="D98" i="35"/>
  <c r="D97" i="35"/>
  <c r="D91" i="35"/>
  <c r="D90" i="35"/>
  <c r="D78" i="35"/>
  <c r="D77" i="35"/>
  <c r="D70" i="35"/>
  <c r="D65" i="35"/>
  <c r="D64" i="35"/>
  <c r="D59" i="35"/>
  <c r="D58" i="35"/>
  <c r="D57" i="35"/>
  <c r="D56" i="35"/>
  <c r="D55" i="35"/>
  <c r="D54" i="35"/>
  <c r="D53" i="35"/>
  <c r="D52" i="35"/>
  <c r="D51" i="35"/>
  <c r="D50" i="35"/>
  <c r="D49" i="35"/>
  <c r="D48" i="35"/>
  <c r="D47" i="35"/>
  <c r="D46" i="35"/>
  <c r="D45" i="35"/>
  <c r="D44" i="35"/>
  <c r="D43" i="35"/>
  <c r="D42" i="35"/>
  <c r="D41" i="35"/>
  <c r="D40" i="35"/>
  <c r="D39" i="35"/>
  <c r="D38" i="35"/>
  <c r="D37" i="35"/>
  <c r="D36" i="35"/>
  <c r="D35" i="35"/>
  <c r="D34" i="35"/>
  <c r="D33" i="35"/>
  <c r="D32" i="35"/>
  <c r="D31" i="35"/>
  <c r="D30" i="35"/>
  <c r="D29" i="35"/>
  <c r="D28" i="35"/>
  <c r="D27" i="35"/>
  <c r="D26" i="35"/>
  <c r="D25" i="35"/>
  <c r="D24" i="35"/>
  <c r="D23" i="35"/>
  <c r="D22" i="35"/>
  <c r="D21" i="35"/>
  <c r="D20" i="35"/>
  <c r="D19" i="35"/>
  <c r="D18" i="35"/>
  <c r="D17" i="35"/>
  <c r="D16" i="35"/>
  <c r="D15" i="35"/>
  <c r="D14" i="35"/>
  <c r="D13" i="35"/>
  <c r="D12" i="35"/>
  <c r="D11" i="35"/>
  <c r="D10" i="35"/>
  <c r="D9" i="35"/>
  <c r="D8" i="35"/>
  <c r="D7" i="35"/>
  <c r="D6" i="35"/>
  <c r="D5" i="35"/>
  <c r="D4" i="35"/>
  <c r="D3" i="35"/>
  <c r="D2" i="35"/>
  <c r="B54" i="35"/>
  <c r="B55" i="35"/>
  <c r="B56" i="35"/>
  <c r="B57" i="35"/>
  <c r="B48" i="35"/>
  <c r="B49" i="35"/>
  <c r="B50" i="35"/>
  <c r="B51" i="35"/>
  <c r="B43" i="35"/>
  <c r="B44" i="35"/>
  <c r="B45" i="35"/>
  <c r="B36" i="35"/>
  <c r="B37" i="35"/>
  <c r="B38" i="35"/>
  <c r="B39" i="35"/>
  <c r="B40" i="35"/>
  <c r="B29" i="35"/>
  <c r="B30" i="35"/>
  <c r="B31" i="35"/>
  <c r="B32" i="35"/>
  <c r="B33" i="35"/>
  <c r="B22" i="35"/>
  <c r="B23" i="35"/>
  <c r="B24" i="35"/>
  <c r="B25" i="35"/>
  <c r="B26" i="35"/>
  <c r="B16" i="35"/>
  <c r="B17" i="35"/>
  <c r="B18" i="35"/>
  <c r="B19" i="35"/>
  <c r="B10" i="35"/>
  <c r="B11" i="35"/>
  <c r="B12" i="35"/>
  <c r="B13" i="35"/>
  <c r="B4" i="35"/>
  <c r="B5" i="35"/>
  <c r="B6" i="35"/>
  <c r="B7" i="35"/>
  <c r="B198" i="35"/>
  <c r="B197" i="35"/>
  <c r="B191" i="35"/>
  <c r="B190" i="35"/>
  <c r="B185" i="35"/>
  <c r="B184" i="35"/>
  <c r="B179" i="35"/>
  <c r="B178" i="35"/>
  <c r="B174" i="35"/>
  <c r="B173" i="35"/>
  <c r="B168" i="35"/>
  <c r="B167" i="35"/>
  <c r="B162" i="35"/>
  <c r="B161" i="35"/>
  <c r="B155" i="35"/>
  <c r="B154" i="35"/>
  <c r="B148" i="35"/>
  <c r="B147" i="35"/>
  <c r="B142" i="35"/>
  <c r="B141" i="35"/>
  <c r="B136" i="35"/>
  <c r="B135" i="35"/>
  <c r="B130" i="35"/>
  <c r="B129" i="35"/>
  <c r="B126" i="35"/>
  <c r="B125" i="35"/>
  <c r="B124" i="35"/>
  <c r="B123" i="35"/>
  <c r="B122" i="35"/>
  <c r="B119" i="35"/>
  <c r="B118" i="35"/>
  <c r="B117" i="35"/>
  <c r="B116" i="35"/>
  <c r="B111" i="35"/>
  <c r="B110" i="35"/>
  <c r="B104" i="35"/>
  <c r="B103" i="35"/>
  <c r="B98" i="35"/>
  <c r="B97" i="35"/>
  <c r="B91" i="35"/>
  <c r="B90" i="35"/>
  <c r="B78" i="35"/>
  <c r="B77" i="35"/>
  <c r="B70" i="35"/>
  <c r="B65" i="35"/>
  <c r="B64" i="35"/>
  <c r="B59" i="35"/>
  <c r="B58" i="35"/>
  <c r="B53" i="35"/>
  <c r="B52" i="35"/>
  <c r="B47" i="35"/>
  <c r="B46" i="35"/>
  <c r="B42" i="35"/>
  <c r="B41" i="35"/>
  <c r="B35" i="35"/>
  <c r="B34" i="35"/>
  <c r="B28" i="35"/>
  <c r="B27" i="35"/>
  <c r="B21" i="35"/>
  <c r="B20" i="35"/>
  <c r="B15" i="35"/>
  <c r="B14" i="35"/>
  <c r="B9" i="35"/>
  <c r="B8" i="35"/>
  <c r="B3" i="35"/>
  <c r="B2" i="35"/>
  <c r="B13" i="33"/>
  <c r="D13" i="33"/>
  <c r="B2" i="55"/>
  <c r="B3" i="55"/>
  <c r="B4" i="55"/>
  <c r="B5" i="55"/>
  <c r="B6" i="55"/>
  <c r="B7" i="55"/>
  <c r="B8" i="55"/>
  <c r="B9" i="55"/>
  <c r="B10" i="55"/>
  <c r="B11" i="55"/>
  <c r="B12" i="55"/>
  <c r="B13" i="55"/>
  <c r="B14" i="55"/>
  <c r="B15" i="55"/>
  <c r="B16" i="55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M7" i="29"/>
  <c r="H2" i="29"/>
  <c r="E34" i="29"/>
  <c r="G2" i="29"/>
  <c r="G34" i="29"/>
  <c r="F2" i="29"/>
  <c r="F34" i="29"/>
  <c r="F40" i="2"/>
  <c r="F41" i="2"/>
  <c r="F40" i="27"/>
  <c r="F41" i="27"/>
  <c r="H3" i="26"/>
  <c r="G3" i="26"/>
  <c r="F3" i="26"/>
  <c r="N26" i="21"/>
  <c r="O26" i="21"/>
  <c r="O20" i="21"/>
  <c r="N20" i="21"/>
  <c r="O24" i="21"/>
  <c r="N24" i="21"/>
  <c r="O21" i="21"/>
  <c r="N21" i="21"/>
  <c r="O15" i="21"/>
  <c r="N15" i="21"/>
  <c r="O25" i="21"/>
  <c r="N25" i="21"/>
  <c r="O10" i="21"/>
  <c r="N10" i="21"/>
  <c r="O22" i="21"/>
  <c r="N22" i="21"/>
  <c r="N9" i="21"/>
  <c r="O9" i="21"/>
  <c r="M7" i="20"/>
  <c r="O7" i="20" s="1"/>
  <c r="K102" i="36" s="1"/>
  <c r="F34" i="20"/>
  <c r="H3" i="20"/>
  <c r="G3" i="20"/>
  <c r="G34" i="20" s="1"/>
  <c r="F3" i="20"/>
  <c r="E34" i="20"/>
  <c r="H3" i="18"/>
  <c r="G3" i="18"/>
  <c r="G34" i="18" s="1"/>
  <c r="F3" i="18"/>
  <c r="F34" i="18" s="1"/>
  <c r="O7" i="3"/>
  <c r="N7" i="3"/>
  <c r="E41" i="14"/>
  <c r="G3" i="14"/>
  <c r="F3" i="14"/>
  <c r="H3" i="14"/>
  <c r="H3" i="11"/>
  <c r="G3" i="11"/>
  <c r="G34" i="11" s="1"/>
  <c r="M7" i="9"/>
  <c r="O7" i="9" s="1"/>
  <c r="H3" i="8"/>
  <c r="G3" i="8"/>
  <c r="G34" i="8" s="1"/>
  <c r="F3" i="8"/>
  <c r="F34" i="8" s="1"/>
  <c r="F34" i="1"/>
  <c r="N7" i="1"/>
  <c r="O18" i="6"/>
  <c r="N18" i="6"/>
  <c r="M7" i="6"/>
  <c r="N7" i="6" s="1"/>
  <c r="E34" i="6"/>
  <c r="H2" i="6"/>
  <c r="F2" i="6"/>
  <c r="F34" i="6" s="1"/>
  <c r="G2" i="6"/>
  <c r="G34" i="6" s="1"/>
  <c r="O17" i="6"/>
  <c r="N17" i="6"/>
  <c r="O7" i="29"/>
  <c r="N7" i="29"/>
  <c r="N7" i="20"/>
  <c r="N7" i="9"/>
  <c r="O7" i="6"/>
  <c r="AD8" i="48"/>
  <c r="AN103" i="47"/>
  <c r="AN3" i="47"/>
  <c r="D97" i="34"/>
  <c r="D96" i="34"/>
  <c r="D95" i="34"/>
  <c r="D94" i="34"/>
  <c r="D93" i="34"/>
  <c r="D92" i="34"/>
  <c r="D91" i="34"/>
  <c r="D90" i="34"/>
  <c r="D89" i="34"/>
  <c r="D88" i="34"/>
  <c r="D87" i="34"/>
  <c r="D86" i="34"/>
  <c r="D85" i="34"/>
  <c r="D84" i="34"/>
  <c r="D83" i="34"/>
  <c r="D82" i="34"/>
  <c r="D81" i="34"/>
  <c r="D80" i="34"/>
  <c r="D79" i="34"/>
  <c r="D78" i="34"/>
  <c r="D77" i="34"/>
  <c r="D76" i="34"/>
  <c r="D75" i="34"/>
  <c r="D74" i="34"/>
  <c r="D73" i="34"/>
  <c r="D72" i="34"/>
  <c r="D71" i="34"/>
  <c r="D70" i="34"/>
  <c r="D69" i="34"/>
  <c r="D68" i="34"/>
  <c r="D67" i="34"/>
  <c r="D66" i="34"/>
  <c r="D65" i="34"/>
  <c r="D64" i="34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4" i="34"/>
  <c r="D43" i="34"/>
  <c r="D42" i="34"/>
  <c r="D41" i="34"/>
  <c r="D40" i="34"/>
  <c r="D39" i="34"/>
  <c r="D38" i="34"/>
  <c r="D37" i="34"/>
  <c r="D36" i="34"/>
  <c r="D35" i="34"/>
  <c r="D34" i="34"/>
  <c r="D33" i="34"/>
  <c r="D32" i="34"/>
  <c r="D31" i="34"/>
  <c r="D30" i="34"/>
  <c r="D29" i="34"/>
  <c r="D28" i="34"/>
  <c r="D27" i="34"/>
  <c r="D26" i="34"/>
  <c r="D25" i="34"/>
  <c r="D24" i="34"/>
  <c r="D23" i="34"/>
  <c r="D22" i="34"/>
  <c r="D21" i="34"/>
  <c r="D20" i="34"/>
  <c r="D19" i="34"/>
  <c r="D18" i="34"/>
  <c r="D17" i="34"/>
  <c r="D16" i="34"/>
  <c r="D15" i="34"/>
  <c r="D14" i="34"/>
  <c r="D13" i="34"/>
  <c r="D12" i="34"/>
  <c r="D11" i="34"/>
  <c r="D10" i="34"/>
  <c r="D9" i="34"/>
  <c r="D8" i="34"/>
  <c r="D7" i="34"/>
  <c r="D6" i="34"/>
  <c r="D5" i="34"/>
  <c r="D4" i="34"/>
  <c r="D3" i="34"/>
  <c r="D2" i="34"/>
  <c r="AO3" i="47" s="1"/>
  <c r="BG273" i="48"/>
  <c r="BG19" i="48"/>
  <c r="BG105" i="48"/>
  <c r="BG117" i="48"/>
  <c r="BG83" i="48"/>
  <c r="BG42" i="48"/>
  <c r="BG91" i="48"/>
  <c r="BG70" i="48"/>
  <c r="BG156" i="48"/>
  <c r="BG50" i="48"/>
  <c r="BG67" i="48"/>
  <c r="BG193" i="48"/>
  <c r="BG208" i="48"/>
  <c r="BG261" i="48"/>
  <c r="BG124" i="48"/>
  <c r="BG240" i="48"/>
  <c r="BG244" i="48"/>
  <c r="BG277" i="48"/>
  <c r="BG185" i="48"/>
  <c r="BG241" i="48"/>
  <c r="BG99" i="48"/>
  <c r="BG54" i="48"/>
  <c r="BG187" i="48"/>
  <c r="BG179" i="48"/>
  <c r="BG72" i="48"/>
  <c r="BG267" i="48"/>
  <c r="BG92" i="48"/>
  <c r="BG65" i="48"/>
  <c r="BG149" i="48"/>
  <c r="BG232" i="48"/>
  <c r="BG247" i="48"/>
  <c r="BG142" i="48"/>
  <c r="BG127" i="48"/>
  <c r="BG219" i="48"/>
  <c r="BG5" i="48"/>
  <c r="BG119" i="48"/>
  <c r="BG14" i="48"/>
  <c r="BG272" i="48"/>
  <c r="BG94" i="48"/>
  <c r="BG266" i="48"/>
  <c r="BG102" i="48"/>
  <c r="BG136" i="48"/>
  <c r="BG43" i="48"/>
  <c r="BG130" i="48"/>
  <c r="BG147" i="48"/>
  <c r="BG171" i="48"/>
  <c r="BG51" i="48"/>
  <c r="BG263" i="48"/>
  <c r="BG186" i="48"/>
  <c r="BG226" i="48"/>
  <c r="BG197" i="48"/>
  <c r="BG218" i="48"/>
  <c r="BG27" i="48"/>
  <c r="BG16" i="48"/>
  <c r="BG48" i="48"/>
  <c r="BG180" i="48"/>
  <c r="BG175" i="48"/>
  <c r="BG113" i="48"/>
  <c r="BG228" i="48"/>
  <c r="BG116" i="48"/>
  <c r="BG161" i="48"/>
  <c r="BG249" i="48"/>
  <c r="BG35" i="48"/>
  <c r="BG157" i="48"/>
  <c r="BG128" i="48"/>
  <c r="BG101" i="48"/>
  <c r="BG38" i="48"/>
  <c r="BG120" i="48"/>
  <c r="BG269" i="48"/>
  <c r="BG260" i="48"/>
  <c r="BG122" i="48"/>
  <c r="BG86" i="48"/>
  <c r="BG45" i="48"/>
  <c r="BG276" i="48"/>
  <c r="BG62" i="48"/>
  <c r="BG90" i="48"/>
  <c r="BG177" i="48"/>
  <c r="BG153" i="48"/>
  <c r="BG198" i="48"/>
  <c r="BG80" i="48"/>
  <c r="BG133" i="48"/>
  <c r="BG275" i="48"/>
  <c r="BG112" i="48"/>
  <c r="BG165" i="48"/>
  <c r="BG148" i="48"/>
  <c r="BG78" i="48"/>
  <c r="BG201" i="48"/>
  <c r="BG166" i="48"/>
  <c r="BG96" i="48"/>
  <c r="BG24" i="48"/>
  <c r="BG4" i="48"/>
  <c r="BG163" i="48"/>
  <c r="BG15" i="48"/>
  <c r="BG190" i="48"/>
  <c r="BG184" i="48"/>
  <c r="BG58" i="48"/>
  <c r="BG159" i="48"/>
  <c r="BG61" i="48"/>
  <c r="BG123" i="48"/>
  <c r="BG71" i="48"/>
  <c r="BG154" i="48"/>
  <c r="BG242" i="48"/>
  <c r="BG47" i="48"/>
  <c r="BG281" i="48"/>
  <c r="BG150" i="48"/>
  <c r="BG60" i="48"/>
  <c r="BG168" i="48"/>
  <c r="BG131" i="48"/>
  <c r="BG115" i="48"/>
  <c r="BG32" i="48"/>
  <c r="BG158" i="48"/>
  <c r="BG251" i="48"/>
  <c r="BG211" i="48"/>
  <c r="BG37" i="48"/>
  <c r="BG25" i="48"/>
  <c r="BG114" i="48"/>
  <c r="BG164" i="48"/>
  <c r="BG225" i="48"/>
  <c r="BG129" i="48"/>
  <c r="BG264" i="48"/>
  <c r="BG189" i="48"/>
  <c r="BG221" i="48"/>
  <c r="BG229" i="48"/>
  <c r="BG199" i="48"/>
  <c r="BG268" i="48"/>
  <c r="BG258" i="48"/>
  <c r="BG207" i="48"/>
  <c r="BG110" i="48"/>
  <c r="BG167" i="48"/>
  <c r="BG274" i="48"/>
  <c r="BG28" i="48"/>
  <c r="BG279" i="48"/>
  <c r="BG100" i="48"/>
  <c r="BG10" i="48"/>
  <c r="BG224" i="48"/>
  <c r="BG141" i="48"/>
  <c r="BG132" i="48"/>
  <c r="BG134" i="48"/>
  <c r="BG173" i="48"/>
  <c r="BG21" i="48"/>
  <c r="BG146" i="48"/>
  <c r="BG26" i="48"/>
  <c r="BG151" i="48"/>
  <c r="BG98" i="48"/>
  <c r="BG13" i="48"/>
  <c r="BG85" i="48"/>
  <c r="BG87" i="48"/>
  <c r="BG192" i="48"/>
  <c r="BG256" i="48"/>
  <c r="BG188" i="48"/>
  <c r="BG280" i="48"/>
  <c r="BG259" i="48"/>
  <c r="BG107" i="48"/>
  <c r="BG220" i="48"/>
  <c r="BG140" i="48"/>
  <c r="BG172" i="48"/>
  <c r="BG8" i="48"/>
  <c r="BG84" i="48"/>
  <c r="BG121" i="48"/>
  <c r="BG235" i="48"/>
  <c r="BG144" i="48"/>
  <c r="BG176" i="48"/>
  <c r="BG138" i="48"/>
  <c r="BG170" i="48"/>
  <c r="BG69" i="48"/>
  <c r="BG82" i="48"/>
  <c r="BG106" i="48"/>
  <c r="BG217" i="48"/>
  <c r="BG214" i="48"/>
  <c r="BG253" i="48"/>
  <c r="BG183" i="48"/>
  <c r="BG2" i="48"/>
  <c r="BG178" i="48"/>
  <c r="BG230" i="48"/>
  <c r="BG270" i="48"/>
  <c r="BG238" i="48"/>
  <c r="BG126" i="48"/>
  <c r="BG152" i="48"/>
  <c r="BG18" i="48"/>
  <c r="BG262" i="48"/>
  <c r="BG95" i="48"/>
  <c r="BG252" i="48"/>
  <c r="BG145" i="48"/>
  <c r="BG174" i="48"/>
  <c r="BG257" i="48"/>
  <c r="BG31" i="48"/>
  <c r="BG222" i="48"/>
  <c r="BG271" i="48"/>
  <c r="BG11" i="48"/>
  <c r="BG44" i="48"/>
  <c r="BG79" i="48"/>
  <c r="BG36" i="48"/>
  <c r="BG39" i="48"/>
  <c r="BG265" i="48"/>
  <c r="BG162" i="48"/>
  <c r="BG40" i="48"/>
  <c r="BG205" i="48"/>
  <c r="BG196" i="48"/>
  <c r="BG169" i="48"/>
  <c r="BG237" i="48"/>
  <c r="BG246" i="48"/>
  <c r="BG213" i="48"/>
  <c r="BG206" i="48"/>
  <c r="BG160" i="48"/>
  <c r="BG33" i="48"/>
  <c r="BG104" i="48"/>
  <c r="BG182" i="48"/>
  <c r="BG77" i="48"/>
  <c r="BG68" i="48"/>
  <c r="BG248" i="48"/>
  <c r="BG109" i="48"/>
  <c r="BG46" i="48"/>
  <c r="BG137" i="48"/>
  <c r="BG93" i="48"/>
  <c r="BG236" i="48"/>
  <c r="BG17" i="48"/>
  <c r="BG89" i="48"/>
  <c r="BG233" i="48"/>
  <c r="BG66" i="48"/>
  <c r="BG118" i="48"/>
  <c r="BG243" i="48"/>
  <c r="BG231" i="48"/>
  <c r="BG56" i="48"/>
  <c r="BG41" i="48"/>
  <c r="BG23" i="48"/>
  <c r="BG52" i="48"/>
  <c r="BG57" i="48"/>
  <c r="BG55" i="48"/>
  <c r="BG125" i="48"/>
  <c r="BG6" i="48"/>
  <c r="BG202" i="48"/>
  <c r="BG155" i="48"/>
  <c r="BG203" i="48"/>
  <c r="BG22" i="48"/>
  <c r="BG63" i="48"/>
  <c r="BG88" i="48"/>
  <c r="BG74" i="48"/>
  <c r="BG223" i="48"/>
  <c r="BG103" i="48"/>
  <c r="BG59" i="48"/>
  <c r="BG250" i="48"/>
  <c r="BG135" i="48"/>
  <c r="BG245" i="48"/>
  <c r="BG49" i="48"/>
  <c r="BG254" i="48"/>
  <c r="BG278" i="48"/>
  <c r="BG53" i="48"/>
  <c r="BG9" i="48"/>
  <c r="BG20" i="48"/>
  <c r="BG7" i="48"/>
  <c r="BG30" i="48"/>
  <c r="BG64" i="48"/>
  <c r="BG73" i="48"/>
  <c r="BG255" i="48"/>
  <c r="BG29" i="48"/>
  <c r="BG204" i="48"/>
  <c r="BG194" i="48"/>
  <c r="BG143" i="48"/>
  <c r="BG239" i="48"/>
  <c r="BG212" i="48"/>
  <c r="BG34" i="48"/>
  <c r="BG81" i="48"/>
  <c r="BG76" i="48"/>
  <c r="BG108" i="48"/>
  <c r="BG181" i="48"/>
  <c r="BG3" i="48"/>
  <c r="BG139" i="48"/>
  <c r="BG111" i="48"/>
  <c r="BG195" i="48"/>
  <c r="BG209" i="48"/>
  <c r="BG200" i="48"/>
  <c r="BG227" i="48"/>
  <c r="BG216" i="48"/>
  <c r="BG97" i="48"/>
  <c r="BG234" i="48"/>
  <c r="BG210" i="48"/>
  <c r="BG215" i="48"/>
  <c r="BG12" i="48"/>
  <c r="BG191" i="48"/>
  <c r="BG75" i="48"/>
  <c r="D161" i="36"/>
  <c r="B161" i="36"/>
  <c r="D160" i="36"/>
  <c r="B160" i="36"/>
  <c r="D159" i="36"/>
  <c r="B159" i="36"/>
  <c r="D158" i="36"/>
  <c r="B158" i="36"/>
  <c r="D157" i="36"/>
  <c r="B157" i="36"/>
  <c r="D156" i="36"/>
  <c r="B156" i="36"/>
  <c r="D155" i="36"/>
  <c r="B155" i="36"/>
  <c r="D154" i="36"/>
  <c r="B154" i="36"/>
  <c r="D153" i="36"/>
  <c r="B153" i="36"/>
  <c r="D152" i="36"/>
  <c r="B152" i="36"/>
  <c r="D151" i="36"/>
  <c r="B151" i="36"/>
  <c r="D150" i="36"/>
  <c r="B150" i="36"/>
  <c r="D149" i="36"/>
  <c r="B149" i="36"/>
  <c r="D148" i="36"/>
  <c r="B148" i="36"/>
  <c r="D147" i="36"/>
  <c r="B147" i="36"/>
  <c r="D146" i="36"/>
  <c r="B146" i="36"/>
  <c r="D145" i="36"/>
  <c r="B145" i="36"/>
  <c r="D144" i="36"/>
  <c r="B144" i="36"/>
  <c r="D143" i="36"/>
  <c r="B143" i="36"/>
  <c r="D142" i="36"/>
  <c r="B142" i="36"/>
  <c r="D141" i="36"/>
  <c r="B141" i="36"/>
  <c r="D140" i="36"/>
  <c r="B140" i="36"/>
  <c r="D139" i="36"/>
  <c r="B139" i="36"/>
  <c r="D138" i="36"/>
  <c r="B138" i="36"/>
  <c r="D137" i="36"/>
  <c r="B137" i="36"/>
  <c r="D136" i="36"/>
  <c r="B136" i="36"/>
  <c r="D135" i="36"/>
  <c r="B135" i="36"/>
  <c r="D134" i="36"/>
  <c r="B134" i="36"/>
  <c r="D133" i="36"/>
  <c r="B133" i="36"/>
  <c r="D132" i="36"/>
  <c r="B132" i="36"/>
  <c r="D131" i="36"/>
  <c r="B131" i="36"/>
  <c r="D130" i="36"/>
  <c r="B130" i="36"/>
  <c r="D129" i="36"/>
  <c r="B129" i="36"/>
  <c r="D128" i="36"/>
  <c r="B128" i="36"/>
  <c r="D127" i="36"/>
  <c r="B127" i="36"/>
  <c r="D126" i="36"/>
  <c r="B126" i="36"/>
  <c r="D125" i="36"/>
  <c r="B125" i="36"/>
  <c r="D124" i="36"/>
  <c r="B124" i="36"/>
  <c r="D123" i="36"/>
  <c r="B123" i="36"/>
  <c r="D122" i="36"/>
  <c r="B122" i="36"/>
  <c r="D121" i="36"/>
  <c r="B121" i="36"/>
  <c r="D120" i="36"/>
  <c r="B120" i="36"/>
  <c r="D119" i="36"/>
  <c r="B119" i="36"/>
  <c r="D118" i="36"/>
  <c r="B118" i="36"/>
  <c r="D117" i="36"/>
  <c r="B117" i="36"/>
  <c r="D116" i="36"/>
  <c r="B116" i="36"/>
  <c r="D115" i="36"/>
  <c r="B115" i="36"/>
  <c r="D114" i="36"/>
  <c r="B114" i="36"/>
  <c r="D113" i="36"/>
  <c r="B113" i="36"/>
  <c r="D112" i="36"/>
  <c r="B112" i="36"/>
  <c r="D111" i="36"/>
  <c r="B111" i="36"/>
  <c r="D110" i="36"/>
  <c r="B110" i="36"/>
  <c r="D109" i="36"/>
  <c r="B109" i="36"/>
  <c r="D108" i="36"/>
  <c r="B108" i="36"/>
  <c r="D107" i="36"/>
  <c r="B107" i="36"/>
  <c r="D106" i="36"/>
  <c r="B106" i="36"/>
  <c r="D105" i="36"/>
  <c r="B105" i="36"/>
  <c r="D104" i="36"/>
  <c r="B104" i="36"/>
  <c r="D103" i="36"/>
  <c r="B103" i="36"/>
  <c r="D102" i="36"/>
  <c r="B102" i="36"/>
  <c r="D101" i="36"/>
  <c r="B101" i="36"/>
  <c r="D100" i="36"/>
  <c r="B100" i="36"/>
  <c r="D99" i="36"/>
  <c r="B99" i="36"/>
  <c r="D98" i="36"/>
  <c r="B98" i="36"/>
  <c r="D97" i="36"/>
  <c r="B97" i="36"/>
  <c r="D96" i="36"/>
  <c r="B96" i="36"/>
  <c r="D95" i="36"/>
  <c r="B95" i="36"/>
  <c r="D94" i="36"/>
  <c r="B94" i="36"/>
  <c r="D93" i="36"/>
  <c r="B93" i="36"/>
  <c r="D92" i="36"/>
  <c r="B92" i="36"/>
  <c r="D91" i="36"/>
  <c r="B91" i="36"/>
  <c r="D90" i="36"/>
  <c r="B90" i="36"/>
  <c r="D89" i="36"/>
  <c r="B89" i="36"/>
  <c r="D88" i="36"/>
  <c r="B88" i="36"/>
  <c r="D87" i="36"/>
  <c r="B87" i="36"/>
  <c r="D86" i="36"/>
  <c r="B86" i="36"/>
  <c r="D85" i="36"/>
  <c r="B85" i="36"/>
  <c r="D84" i="36"/>
  <c r="B84" i="36"/>
  <c r="D83" i="36"/>
  <c r="B83" i="36"/>
  <c r="D82" i="36"/>
  <c r="B82" i="36"/>
  <c r="D81" i="36"/>
  <c r="B81" i="36"/>
  <c r="D80" i="36"/>
  <c r="B80" i="36"/>
  <c r="D79" i="36"/>
  <c r="B79" i="36"/>
  <c r="D78" i="36"/>
  <c r="B78" i="36"/>
  <c r="D77" i="36"/>
  <c r="B77" i="36"/>
  <c r="D76" i="36"/>
  <c r="B76" i="36"/>
  <c r="D75" i="36"/>
  <c r="B75" i="36"/>
  <c r="D74" i="36"/>
  <c r="B74" i="36"/>
  <c r="D73" i="36"/>
  <c r="B73" i="36"/>
  <c r="D72" i="36"/>
  <c r="B72" i="36"/>
  <c r="D71" i="36"/>
  <c r="B71" i="36"/>
  <c r="D70" i="36"/>
  <c r="B70" i="36"/>
  <c r="D69" i="36"/>
  <c r="B69" i="36"/>
  <c r="D68" i="36"/>
  <c r="B68" i="36"/>
  <c r="D67" i="36"/>
  <c r="B67" i="36"/>
  <c r="D66" i="36"/>
  <c r="B66" i="36"/>
  <c r="D65" i="36"/>
  <c r="B65" i="36"/>
  <c r="D64" i="36"/>
  <c r="B64" i="36"/>
  <c r="D63" i="36"/>
  <c r="B63" i="36"/>
  <c r="D62" i="36"/>
  <c r="B62" i="36"/>
  <c r="D61" i="36"/>
  <c r="B61" i="36"/>
  <c r="D60" i="36"/>
  <c r="B60" i="36"/>
  <c r="D59" i="36"/>
  <c r="B59" i="36"/>
  <c r="D58" i="36"/>
  <c r="B58" i="36"/>
  <c r="D57" i="36"/>
  <c r="B57" i="36"/>
  <c r="D56" i="36"/>
  <c r="B56" i="36"/>
  <c r="D55" i="36"/>
  <c r="B55" i="36"/>
  <c r="D54" i="36"/>
  <c r="B54" i="36"/>
  <c r="D53" i="36"/>
  <c r="B53" i="36"/>
  <c r="D52" i="36"/>
  <c r="B52" i="36"/>
  <c r="D51" i="36"/>
  <c r="B51" i="36"/>
  <c r="D50" i="36"/>
  <c r="B50" i="36"/>
  <c r="D49" i="36"/>
  <c r="B49" i="36"/>
  <c r="D48" i="36"/>
  <c r="B48" i="36"/>
  <c r="D47" i="36"/>
  <c r="B47" i="36"/>
  <c r="D46" i="36"/>
  <c r="B46" i="36"/>
  <c r="D45" i="36"/>
  <c r="B45" i="36"/>
  <c r="D44" i="36"/>
  <c r="B44" i="36"/>
  <c r="D43" i="36"/>
  <c r="B43" i="36"/>
  <c r="D42" i="36"/>
  <c r="B42" i="36"/>
  <c r="D41" i="36"/>
  <c r="B41" i="36"/>
  <c r="D40" i="36"/>
  <c r="B40" i="36"/>
  <c r="D39" i="36"/>
  <c r="B39" i="36"/>
  <c r="D38" i="36"/>
  <c r="B38" i="36"/>
  <c r="D37" i="36"/>
  <c r="B37" i="36"/>
  <c r="D36" i="36"/>
  <c r="B36" i="36"/>
  <c r="D35" i="36"/>
  <c r="B35" i="36"/>
  <c r="D34" i="36"/>
  <c r="B34" i="36"/>
  <c r="D33" i="36"/>
  <c r="B33" i="36"/>
  <c r="D32" i="36"/>
  <c r="B32" i="36"/>
  <c r="D31" i="36"/>
  <c r="B31" i="36"/>
  <c r="D30" i="36"/>
  <c r="B30" i="36"/>
  <c r="D29" i="36"/>
  <c r="B29" i="36"/>
  <c r="D28" i="36"/>
  <c r="B28" i="36"/>
  <c r="D27" i="36"/>
  <c r="B27" i="36"/>
  <c r="D26" i="36"/>
  <c r="B26" i="36"/>
  <c r="D25" i="36"/>
  <c r="B25" i="36"/>
  <c r="D24" i="36"/>
  <c r="B24" i="36"/>
  <c r="D23" i="36"/>
  <c r="B23" i="36"/>
  <c r="D22" i="36"/>
  <c r="B22" i="36"/>
  <c r="D21" i="36"/>
  <c r="B21" i="36"/>
  <c r="D20" i="36"/>
  <c r="B20" i="36"/>
  <c r="D19" i="36"/>
  <c r="B19" i="36"/>
  <c r="D18" i="36"/>
  <c r="B18" i="36"/>
  <c r="D17" i="36"/>
  <c r="B17" i="36"/>
  <c r="D16" i="36"/>
  <c r="B16" i="36"/>
  <c r="D15" i="36"/>
  <c r="B15" i="36"/>
  <c r="D14" i="36"/>
  <c r="B14" i="36"/>
  <c r="D13" i="36"/>
  <c r="B13" i="36"/>
  <c r="D12" i="36"/>
  <c r="B12" i="36"/>
  <c r="B9" i="36"/>
  <c r="B8" i="36"/>
  <c r="B7" i="36"/>
  <c r="D7" i="36"/>
  <c r="D8" i="36"/>
  <c r="D9" i="36"/>
  <c r="B10" i="36"/>
  <c r="D10" i="36"/>
  <c r="B11" i="36"/>
  <c r="D11" i="36"/>
  <c r="B2" i="36"/>
  <c r="B3" i="36"/>
  <c r="A3" i="36"/>
  <c r="D2" i="36"/>
  <c r="B4" i="36"/>
  <c r="B5" i="36"/>
  <c r="B6" i="36"/>
  <c r="D3" i="36"/>
  <c r="D4" i="36"/>
  <c r="D5" i="36"/>
  <c r="D6" i="36"/>
  <c r="Y3" i="47"/>
  <c r="R3" i="47"/>
  <c r="D3" i="47"/>
  <c r="AD7" i="48"/>
  <c r="AD4" i="48"/>
  <c r="AD5" i="48"/>
  <c r="AJ3" i="48"/>
  <c r="AJ4" i="48"/>
  <c r="AJ5" i="48"/>
  <c r="AJ6" i="48"/>
  <c r="AJ7" i="48"/>
  <c r="AJ8" i="48"/>
  <c r="AJ9" i="48"/>
  <c r="AJ10" i="48"/>
  <c r="AJ11" i="48"/>
  <c r="AJ12" i="48"/>
  <c r="AJ13" i="48"/>
  <c r="AJ14" i="48"/>
  <c r="AJ15" i="48"/>
  <c r="AJ16" i="48"/>
  <c r="AJ17" i="48"/>
  <c r="AJ18" i="48"/>
  <c r="AJ19" i="48"/>
  <c r="AJ20" i="48"/>
  <c r="AJ21" i="48"/>
  <c r="AJ22" i="48"/>
  <c r="AJ23" i="48"/>
  <c r="AJ24" i="48"/>
  <c r="AJ25" i="48"/>
  <c r="AJ26" i="48"/>
  <c r="AJ27" i="48"/>
  <c r="AJ28" i="48"/>
  <c r="AJ29" i="48"/>
  <c r="AJ30" i="48"/>
  <c r="AJ31" i="48"/>
  <c r="AJ32" i="48"/>
  <c r="AJ33" i="48"/>
  <c r="AJ34" i="48"/>
  <c r="AJ35" i="48"/>
  <c r="AJ36" i="48"/>
  <c r="AJ37" i="48"/>
  <c r="AJ38" i="48"/>
  <c r="AJ39" i="48"/>
  <c r="AJ40" i="48"/>
  <c r="AJ41" i="48"/>
  <c r="AJ42" i="48"/>
  <c r="AJ43" i="48"/>
  <c r="AJ44" i="48"/>
  <c r="AJ45" i="48"/>
  <c r="AJ46" i="48"/>
  <c r="AJ47" i="48"/>
  <c r="AJ48" i="48"/>
  <c r="AJ49" i="48"/>
  <c r="AJ50" i="48"/>
  <c r="AJ51" i="48"/>
  <c r="AJ52" i="48"/>
  <c r="AJ53" i="48"/>
  <c r="AJ54" i="48"/>
  <c r="AJ55" i="48"/>
  <c r="AJ56" i="48"/>
  <c r="AJ57" i="48"/>
  <c r="AJ58" i="48"/>
  <c r="AJ59" i="48"/>
  <c r="AJ60" i="48"/>
  <c r="AJ61" i="48"/>
  <c r="AJ62" i="48"/>
  <c r="AJ63" i="48"/>
  <c r="AJ64" i="48"/>
  <c r="AJ65" i="48"/>
  <c r="AJ66" i="48"/>
  <c r="AJ67" i="48"/>
  <c r="AJ68" i="48"/>
  <c r="AJ69" i="48"/>
  <c r="AJ70" i="48"/>
  <c r="AJ71" i="48"/>
  <c r="AJ72" i="48"/>
  <c r="AJ73" i="48"/>
  <c r="AJ74" i="48"/>
  <c r="AJ75" i="48"/>
  <c r="AJ76" i="48"/>
  <c r="AJ77" i="48"/>
  <c r="AJ78" i="48"/>
  <c r="AJ79" i="48"/>
  <c r="AJ80" i="48"/>
  <c r="AJ81" i="48"/>
  <c r="AJ82" i="48"/>
  <c r="AJ83" i="48"/>
  <c r="AJ84" i="48"/>
  <c r="AJ85" i="48"/>
  <c r="AJ86" i="48"/>
  <c r="AJ87" i="48"/>
  <c r="AJ88" i="48"/>
  <c r="AJ89" i="48"/>
  <c r="AJ90" i="48"/>
  <c r="AJ91" i="48"/>
  <c r="AJ92" i="48"/>
  <c r="AJ93" i="48"/>
  <c r="AJ94" i="48"/>
  <c r="AJ95" i="48"/>
  <c r="AJ96" i="48"/>
  <c r="AJ97" i="48"/>
  <c r="AJ98" i="48"/>
  <c r="AJ99" i="48"/>
  <c r="AJ100" i="48"/>
  <c r="AJ101" i="48"/>
  <c r="AJ102" i="48"/>
  <c r="AJ103" i="48"/>
  <c r="AJ104" i="48"/>
  <c r="AJ105" i="48"/>
  <c r="AJ106" i="48"/>
  <c r="AJ107" i="48"/>
  <c r="AJ108" i="48"/>
  <c r="AJ109" i="48"/>
  <c r="AJ110" i="48"/>
  <c r="AJ111" i="48"/>
  <c r="AJ112" i="48"/>
  <c r="AJ113" i="48"/>
  <c r="AJ114" i="48"/>
  <c r="AJ115" i="48"/>
  <c r="AJ116" i="48"/>
  <c r="AJ117" i="48"/>
  <c r="AJ118" i="48"/>
  <c r="AJ119" i="48"/>
  <c r="AJ120" i="48"/>
  <c r="AJ121" i="48"/>
  <c r="AJ122" i="48"/>
  <c r="AJ123" i="48"/>
  <c r="AJ124" i="48"/>
  <c r="AJ125" i="48"/>
  <c r="AJ126" i="48"/>
  <c r="AJ127" i="48"/>
  <c r="AJ128" i="48"/>
  <c r="AJ129" i="48"/>
  <c r="AJ130" i="48"/>
  <c r="AJ131" i="48"/>
  <c r="AJ132" i="48"/>
  <c r="AJ133" i="48"/>
  <c r="AJ134" i="48"/>
  <c r="AJ135" i="48"/>
  <c r="AJ136" i="48"/>
  <c r="AJ137" i="48"/>
  <c r="AJ138" i="48"/>
  <c r="AJ139" i="48"/>
  <c r="AJ140" i="48"/>
  <c r="AJ141" i="48"/>
  <c r="AJ142" i="48"/>
  <c r="AJ143" i="48"/>
  <c r="AJ144" i="48"/>
  <c r="AJ145" i="48"/>
  <c r="AJ146" i="48"/>
  <c r="AJ147" i="48"/>
  <c r="AJ148" i="48"/>
  <c r="AJ149" i="48"/>
  <c r="AJ150" i="48"/>
  <c r="AJ151" i="48"/>
  <c r="AJ152" i="48"/>
  <c r="AJ153" i="48"/>
  <c r="AJ154" i="48"/>
  <c r="AJ155" i="48"/>
  <c r="AJ156" i="48"/>
  <c r="AJ157" i="48"/>
  <c r="AJ158" i="48"/>
  <c r="AJ159" i="48"/>
  <c r="AJ160" i="48"/>
  <c r="AJ161" i="48"/>
  <c r="AJ162" i="48"/>
  <c r="AJ163" i="48"/>
  <c r="AJ164" i="48"/>
  <c r="AJ165" i="48"/>
  <c r="AJ166" i="48"/>
  <c r="AJ167" i="48"/>
  <c r="AJ168" i="48"/>
  <c r="AJ169" i="48"/>
  <c r="AJ170" i="48"/>
  <c r="AJ171" i="48"/>
  <c r="AJ172" i="48"/>
  <c r="AJ173" i="48"/>
  <c r="AJ174" i="48"/>
  <c r="AJ175" i="48"/>
  <c r="AJ176" i="48"/>
  <c r="AJ177" i="48"/>
  <c r="AJ178" i="48"/>
  <c r="AJ179" i="48"/>
  <c r="AJ180" i="48"/>
  <c r="AJ181" i="48"/>
  <c r="AJ182" i="48"/>
  <c r="AJ183" i="48"/>
  <c r="AJ184" i="48"/>
  <c r="AJ185" i="48"/>
  <c r="AJ186" i="48"/>
  <c r="AJ187" i="48"/>
  <c r="AJ188" i="48"/>
  <c r="AJ189" i="48"/>
  <c r="AJ190" i="48"/>
  <c r="AJ191" i="48"/>
  <c r="AJ192" i="48"/>
  <c r="AJ193" i="48"/>
  <c r="AJ194" i="48"/>
  <c r="AJ195" i="48"/>
  <c r="AJ196" i="48"/>
  <c r="AJ197" i="48"/>
  <c r="AJ198" i="48"/>
  <c r="AJ199" i="48"/>
  <c r="AJ200" i="48"/>
  <c r="AJ201" i="48"/>
  <c r="AJ202" i="48"/>
  <c r="AJ203" i="48"/>
  <c r="AJ204" i="48"/>
  <c r="AJ205" i="48"/>
  <c r="AJ206" i="48"/>
  <c r="AJ207" i="48"/>
  <c r="AJ208" i="48"/>
  <c r="AJ209" i="48"/>
  <c r="AJ210" i="48"/>
  <c r="AJ211" i="48"/>
  <c r="AJ212" i="48"/>
  <c r="AJ213" i="48"/>
  <c r="AJ214" i="48"/>
  <c r="AJ215" i="48"/>
  <c r="AJ216" i="48"/>
  <c r="AJ217" i="48"/>
  <c r="AJ218" i="48"/>
  <c r="AJ219" i="48"/>
  <c r="AJ220" i="48"/>
  <c r="AJ221" i="48"/>
  <c r="AJ222" i="48"/>
  <c r="AJ223" i="48"/>
  <c r="AJ224" i="48"/>
  <c r="AJ225" i="48"/>
  <c r="AJ226" i="48"/>
  <c r="AJ227" i="48"/>
  <c r="AJ228" i="48"/>
  <c r="AJ229" i="48"/>
  <c r="AJ230" i="48"/>
  <c r="AJ231" i="48"/>
  <c r="AJ232" i="48"/>
  <c r="AJ233" i="48"/>
  <c r="AJ234" i="48"/>
  <c r="AJ235" i="48"/>
  <c r="AJ236" i="48"/>
  <c r="AJ237" i="48"/>
  <c r="AJ238" i="48"/>
  <c r="AJ239" i="48"/>
  <c r="AJ240" i="48"/>
  <c r="AJ241" i="48"/>
  <c r="AJ242" i="48"/>
  <c r="AJ243" i="48"/>
  <c r="AJ244" i="48"/>
  <c r="AJ245" i="48"/>
  <c r="AJ246" i="48"/>
  <c r="AJ247" i="48"/>
  <c r="AJ248" i="48"/>
  <c r="AJ249" i="48"/>
  <c r="AJ250" i="48"/>
  <c r="AJ251" i="48"/>
  <c r="AJ252" i="48"/>
  <c r="AJ253" i="48"/>
  <c r="AJ254" i="48"/>
  <c r="AJ255" i="48"/>
  <c r="AJ256" i="48"/>
  <c r="AJ257" i="48"/>
  <c r="AJ258" i="48"/>
  <c r="AJ259" i="48"/>
  <c r="AJ260" i="48"/>
  <c r="AJ261" i="48"/>
  <c r="AJ262" i="48"/>
  <c r="AJ263" i="48"/>
  <c r="AJ264" i="48"/>
  <c r="AJ265" i="48"/>
  <c r="AJ266" i="48"/>
  <c r="AJ267" i="48"/>
  <c r="AJ268" i="48"/>
  <c r="AJ269" i="48"/>
  <c r="AJ270" i="48"/>
  <c r="AJ271" i="48"/>
  <c r="AJ272" i="48"/>
  <c r="AJ273" i="48"/>
  <c r="AJ274" i="48"/>
  <c r="AJ275" i="48"/>
  <c r="AJ276" i="48"/>
  <c r="AJ277" i="48"/>
  <c r="AJ278" i="48"/>
  <c r="AJ279" i="48"/>
  <c r="AJ280" i="48"/>
  <c r="AJ281" i="48"/>
  <c r="AJ282" i="48"/>
  <c r="AJ283" i="48"/>
  <c r="AJ284" i="48"/>
  <c r="AJ285" i="48"/>
  <c r="AJ286" i="48"/>
  <c r="AJ287" i="48"/>
  <c r="AJ288" i="48"/>
  <c r="AJ289" i="48"/>
  <c r="AJ290" i="48"/>
  <c r="AJ291" i="48"/>
  <c r="AJ292" i="48"/>
  <c r="AJ293" i="48"/>
  <c r="AJ294" i="48"/>
  <c r="AJ295" i="48"/>
  <c r="AJ296" i="48"/>
  <c r="AJ297" i="48"/>
  <c r="AJ298" i="48"/>
  <c r="AJ299" i="48"/>
  <c r="AJ300" i="48"/>
  <c r="AJ301" i="48"/>
  <c r="C33" i="46"/>
  <c r="AF34" i="47"/>
  <c r="B33" i="46"/>
  <c r="AE34" i="47" s="1"/>
  <c r="C32" i="46"/>
  <c r="AF33" i="47"/>
  <c r="B32" i="46"/>
  <c r="AE33" i="47"/>
  <c r="C31" i="46"/>
  <c r="AF32" i="47"/>
  <c r="B31" i="46"/>
  <c r="AE32" i="47"/>
  <c r="AG31" i="47"/>
  <c r="C30" i="46"/>
  <c r="AF31" i="47" s="1"/>
  <c r="B30" i="46"/>
  <c r="AE31" i="47"/>
  <c r="AG30" i="47"/>
  <c r="C29" i="46"/>
  <c r="AF30" i="47"/>
  <c r="B29" i="46"/>
  <c r="AE30" i="47" s="1"/>
  <c r="AG29" i="47"/>
  <c r="C28" i="46"/>
  <c r="AF29" i="47"/>
  <c r="B28" i="46"/>
  <c r="AE29" i="47"/>
  <c r="AG28" i="47"/>
  <c r="C27" i="46"/>
  <c r="AF28" i="47"/>
  <c r="B27" i="46"/>
  <c r="AE28" i="47"/>
  <c r="C26" i="46"/>
  <c r="AF27" i="47" s="1"/>
  <c r="B26" i="46"/>
  <c r="AE27" i="47"/>
  <c r="C25" i="46"/>
  <c r="AF26" i="47"/>
  <c r="B25" i="46"/>
  <c r="AE26" i="47" s="1"/>
  <c r="C24" i="46"/>
  <c r="AF25" i="47"/>
  <c r="B24" i="46"/>
  <c r="AE25" i="47"/>
  <c r="C23" i="46"/>
  <c r="AF24" i="47"/>
  <c r="B23" i="46"/>
  <c r="AE24" i="47"/>
  <c r="AG23" i="47"/>
  <c r="C22" i="46"/>
  <c r="AF23" i="47" s="1"/>
  <c r="B22" i="46"/>
  <c r="AE23" i="47"/>
  <c r="AG22" i="47"/>
  <c r="C21" i="46"/>
  <c r="AF22" i="47"/>
  <c r="B21" i="46"/>
  <c r="AE22" i="47" s="1"/>
  <c r="C20" i="46"/>
  <c r="AF21" i="47"/>
  <c r="B20" i="46"/>
  <c r="AE21" i="47"/>
  <c r="C19" i="46"/>
  <c r="AF20" i="47"/>
  <c r="B19" i="46"/>
  <c r="AE20" i="47"/>
  <c r="C18" i="46"/>
  <c r="AF19" i="47" s="1"/>
  <c r="B18" i="46"/>
  <c r="AE19" i="47"/>
  <c r="C17" i="46"/>
  <c r="AF18" i="47"/>
  <c r="B17" i="46"/>
  <c r="AE18" i="47" s="1"/>
  <c r="C16" i="46"/>
  <c r="AF17" i="47"/>
  <c r="B16" i="46"/>
  <c r="AE17" i="47"/>
  <c r="C15" i="46"/>
  <c r="AF16" i="47"/>
  <c r="B15" i="46"/>
  <c r="AE16" i="47"/>
  <c r="AG15" i="47"/>
  <c r="C14" i="46"/>
  <c r="AF15" i="47" s="1"/>
  <c r="B14" i="46"/>
  <c r="AE15" i="47"/>
  <c r="AG14" i="47"/>
  <c r="C13" i="46"/>
  <c r="AF14" i="47"/>
  <c r="B13" i="46"/>
  <c r="AE14" i="47" s="1"/>
  <c r="C12" i="46"/>
  <c r="AF13" i="47"/>
  <c r="B12" i="46"/>
  <c r="AE13" i="47"/>
  <c r="AG12" i="47"/>
  <c r="C11" i="46"/>
  <c r="AF12" i="47"/>
  <c r="B11" i="46"/>
  <c r="AE12" i="47"/>
  <c r="C10" i="46"/>
  <c r="AF11" i="47" s="1"/>
  <c r="B10" i="46"/>
  <c r="AE11" i="47"/>
  <c r="C9" i="46"/>
  <c r="AF10" i="47"/>
  <c r="B9" i="46"/>
  <c r="AE10" i="47" s="1"/>
  <c r="C8" i="46"/>
  <c r="AF9" i="47"/>
  <c r="B8" i="46"/>
  <c r="AE9" i="47"/>
  <c r="C7" i="46"/>
  <c r="AF8" i="47"/>
  <c r="B7" i="46"/>
  <c r="AE8" i="47"/>
  <c r="AG7" i="47"/>
  <c r="C6" i="46"/>
  <c r="AF7" i="47" s="1"/>
  <c r="B6" i="46"/>
  <c r="AE7" i="47"/>
  <c r="AG6" i="47"/>
  <c r="C5" i="46"/>
  <c r="AF6" i="47"/>
  <c r="B5" i="46"/>
  <c r="AE6" i="47" s="1"/>
  <c r="C4" i="46"/>
  <c r="AF5" i="47"/>
  <c r="B4" i="46"/>
  <c r="AE5" i="47"/>
  <c r="AG4" i="47"/>
  <c r="C3" i="46"/>
  <c r="AF4" i="47"/>
  <c r="B3" i="46"/>
  <c r="AE4" i="47"/>
  <c r="C2" i="46"/>
  <c r="AF3" i="47" s="1"/>
  <c r="B2" i="46"/>
  <c r="AE3" i="47"/>
  <c r="D73" i="33"/>
  <c r="D72" i="33"/>
  <c r="D70" i="33"/>
  <c r="D69" i="33"/>
  <c r="D68" i="33"/>
  <c r="D67" i="33"/>
  <c r="D65" i="33"/>
  <c r="D64" i="33"/>
  <c r="D63" i="33"/>
  <c r="D62" i="33"/>
  <c r="D61" i="33"/>
  <c r="D60" i="33"/>
  <c r="D59" i="33"/>
  <c r="D58" i="33"/>
  <c r="D57" i="33"/>
  <c r="D42" i="33"/>
  <c r="D41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0" i="33"/>
  <c r="D39" i="33"/>
  <c r="D38" i="33"/>
  <c r="D37" i="33"/>
  <c r="D36" i="33"/>
  <c r="D35" i="33"/>
  <c r="D34" i="33"/>
  <c r="D33" i="33"/>
  <c r="D32" i="33"/>
  <c r="D31" i="33"/>
  <c r="D30" i="33"/>
  <c r="D28" i="33"/>
  <c r="D29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2" i="33"/>
  <c r="D11" i="33"/>
  <c r="D10" i="33"/>
  <c r="D9" i="33"/>
  <c r="D8" i="33"/>
  <c r="D7" i="33"/>
  <c r="D6" i="33"/>
  <c r="D5" i="33"/>
  <c r="D3" i="33"/>
  <c r="D2" i="33"/>
  <c r="E3" i="47"/>
  <c r="B61" i="33"/>
  <c r="B51" i="33"/>
  <c r="B30" i="33"/>
  <c r="B3" i="33"/>
  <c r="A3" i="33" s="1"/>
  <c r="A4" i="33" s="1"/>
  <c r="B2" i="33"/>
  <c r="C3" i="47"/>
  <c r="S3" i="47"/>
  <c r="AO103" i="47"/>
  <c r="E119" i="36"/>
  <c r="E79" i="36"/>
  <c r="E80" i="36"/>
  <c r="E156" i="36"/>
  <c r="E113" i="36"/>
  <c r="E114" i="36"/>
  <c r="E63" i="36"/>
  <c r="E62" i="36"/>
  <c r="E65" i="36"/>
  <c r="E66" i="36"/>
  <c r="E64" i="36"/>
  <c r="J13" i="33"/>
  <c r="E26" i="36"/>
  <c r="E32" i="36"/>
  <c r="E33" i="36"/>
  <c r="E34" i="36"/>
  <c r="E36" i="36"/>
  <c r="E105" i="36"/>
  <c r="E59" i="36"/>
  <c r="E60" i="36"/>
  <c r="E19" i="36"/>
  <c r="E18" i="36"/>
  <c r="E73" i="36"/>
  <c r="E74" i="36"/>
  <c r="E76" i="36"/>
  <c r="E72" i="36"/>
  <c r="E150" i="36"/>
  <c r="E96" i="36"/>
  <c r="E93" i="36"/>
  <c r="E95" i="36"/>
  <c r="E94" i="36"/>
  <c r="E92" i="36"/>
  <c r="E47" i="36"/>
  <c r="E48" i="36"/>
  <c r="E50" i="36"/>
  <c r="E51" i="36"/>
  <c r="E9" i="36"/>
  <c r="E10" i="36"/>
  <c r="E11" i="36"/>
  <c r="E7" i="36"/>
  <c r="E8" i="36"/>
  <c r="E125" i="36"/>
  <c r="E40" i="36"/>
  <c r="E38" i="36"/>
  <c r="E37" i="36"/>
  <c r="E39" i="36"/>
  <c r="E109" i="36"/>
  <c r="E108" i="36"/>
  <c r="E110" i="36"/>
  <c r="E107" i="36"/>
  <c r="E111" i="36"/>
  <c r="E44" i="36"/>
  <c r="E45" i="36"/>
  <c r="E146" i="36"/>
  <c r="E145" i="36"/>
  <c r="E142" i="36"/>
  <c r="J66" i="33"/>
  <c r="E143" i="36"/>
  <c r="E144" i="36"/>
  <c r="E133" i="36"/>
  <c r="E134" i="36"/>
  <c r="E135" i="36"/>
  <c r="E136" i="36"/>
  <c r="E130" i="36"/>
  <c r="E129" i="36"/>
  <c r="E127" i="36"/>
  <c r="E128" i="36"/>
  <c r="E27" i="36"/>
  <c r="E28" i="36"/>
  <c r="E31" i="36"/>
  <c r="E30" i="36"/>
  <c r="E131" i="36"/>
  <c r="E57" i="36"/>
  <c r="E132" i="36"/>
  <c r="E66" i="33"/>
  <c r="E61" i="33"/>
  <c r="E163" i="35"/>
  <c r="F163" i="35"/>
  <c r="E10" i="35"/>
  <c r="F10" i="35"/>
  <c r="F121" i="35"/>
  <c r="E121" i="35"/>
  <c r="F168" i="35"/>
  <c r="E168" i="35"/>
  <c r="F123" i="35"/>
  <c r="E123" i="35"/>
  <c r="F24" i="35"/>
  <c r="F75" i="35"/>
  <c r="E75" i="35"/>
  <c r="F182" i="35"/>
  <c r="E182" i="35"/>
  <c r="E87" i="35"/>
  <c r="E78" i="35"/>
  <c r="F78" i="35"/>
  <c r="E137" i="35"/>
  <c r="F137" i="35"/>
  <c r="E34" i="35"/>
  <c r="E147" i="35"/>
  <c r="F147" i="35"/>
  <c r="E160" i="35"/>
  <c r="F160" i="35"/>
  <c r="F165" i="35"/>
  <c r="E165" i="35"/>
  <c r="E61" i="35"/>
  <c r="F61" i="35"/>
  <c r="F120" i="35"/>
  <c r="E120" i="35"/>
  <c r="E167" i="35"/>
  <c r="F167" i="35"/>
  <c r="E48" i="35"/>
  <c r="F48" i="35"/>
  <c r="F94" i="35"/>
  <c r="E130" i="35"/>
  <c r="F130" i="35"/>
  <c r="E40" i="35"/>
  <c r="F40" i="35"/>
  <c r="F166" i="35"/>
  <c r="E166" i="35"/>
  <c r="E141" i="35"/>
  <c r="F141" i="35"/>
  <c r="F12" i="35"/>
  <c r="E12" i="35"/>
  <c r="E118" i="35"/>
  <c r="F118" i="35"/>
  <c r="F171" i="35"/>
  <c r="E171" i="35"/>
  <c r="E15" i="35"/>
  <c r="F46" i="35"/>
  <c r="E46" i="35"/>
  <c r="F92" i="35"/>
  <c r="E92" i="35"/>
  <c r="E23" i="35"/>
  <c r="F183" i="35"/>
  <c r="E183" i="35"/>
  <c r="E77" i="35"/>
  <c r="F77" i="35"/>
  <c r="F140" i="35"/>
  <c r="E140" i="35"/>
  <c r="F187" i="35"/>
  <c r="E187" i="35"/>
  <c r="F44" i="35"/>
  <c r="E44" i="35"/>
  <c r="E9" i="35"/>
  <c r="F9" i="35"/>
  <c r="F71" i="35"/>
  <c r="E71" i="35"/>
  <c r="E79" i="35"/>
  <c r="F79" i="35"/>
  <c r="F139" i="35"/>
  <c r="E139" i="35"/>
  <c r="E162" i="35"/>
  <c r="F145" i="35"/>
  <c r="E145" i="35"/>
  <c r="E119" i="35"/>
  <c r="F119" i="35"/>
  <c r="E178" i="35"/>
  <c r="F178" i="35"/>
  <c r="E32" i="35"/>
  <c r="F83" i="35"/>
  <c r="E83" i="35"/>
  <c r="F136" i="35"/>
  <c r="E136" i="35"/>
  <c r="F42" i="35"/>
  <c r="E42" i="35"/>
  <c r="E164" i="35"/>
  <c r="F164" i="35"/>
  <c r="E8" i="35"/>
  <c r="F8" i="35"/>
  <c r="F59" i="35"/>
  <c r="E59" i="35"/>
  <c r="F117" i="35"/>
  <c r="E117" i="35"/>
  <c r="F170" i="35"/>
  <c r="E170" i="35"/>
  <c r="E132" i="35"/>
  <c r="F181" i="35"/>
  <c r="E181" i="35"/>
  <c r="F82" i="35"/>
  <c r="E82" i="35"/>
  <c r="E43" i="35"/>
  <c r="F43" i="35"/>
  <c r="E161" i="35"/>
  <c r="F161" i="35"/>
  <c r="F11" i="35"/>
  <c r="E11" i="35"/>
  <c r="F22" i="35"/>
  <c r="E22" i="35"/>
  <c r="E39" i="35"/>
  <c r="F109" i="35"/>
  <c r="E109" i="35"/>
  <c r="E41" i="35"/>
  <c r="F41" i="35"/>
  <c r="E169" i="35"/>
  <c r="F169" i="35"/>
  <c r="F51" i="35"/>
  <c r="E51" i="35"/>
  <c r="F179" i="35"/>
  <c r="E179" i="35"/>
  <c r="E80" i="35"/>
  <c r="F80" i="35"/>
  <c r="E138" i="35"/>
  <c r="F138" i="35"/>
  <c r="F185" i="35"/>
  <c r="E185" i="35"/>
  <c r="F13" i="35"/>
  <c r="E13" i="35"/>
  <c r="E116" i="35"/>
  <c r="F116" i="35"/>
  <c r="F172" i="35"/>
  <c r="E172" i="35"/>
  <c r="E194" i="35"/>
  <c r="F194" i="35"/>
  <c r="F96" i="35"/>
  <c r="E96" i="35"/>
  <c r="E180" i="35"/>
  <c r="F180" i="35"/>
  <c r="F28" i="35"/>
  <c r="E28" i="35"/>
  <c r="F81" i="35"/>
  <c r="E81" i="35"/>
  <c r="F37" i="35"/>
  <c r="E37" i="35"/>
  <c r="E106" i="35"/>
  <c r="F106" i="35"/>
  <c r="F97" i="35"/>
  <c r="E97" i="35"/>
  <c r="L30" i="33"/>
  <c r="K30" i="33"/>
  <c r="E30" i="33"/>
  <c r="N30" i="33" s="1"/>
  <c r="J61" i="33"/>
  <c r="K61" i="33"/>
  <c r="L61" i="33"/>
  <c r="G51" i="36"/>
  <c r="F61" i="33"/>
  <c r="I61" i="33"/>
  <c r="F31" i="36"/>
  <c r="G80" i="36"/>
  <c r="F80" i="36"/>
  <c r="F66" i="36"/>
  <c r="G66" i="36"/>
  <c r="F131" i="36"/>
  <c r="G131" i="36"/>
  <c r="F30" i="36"/>
  <c r="G30" i="36"/>
  <c r="G144" i="36"/>
  <c r="F144" i="36"/>
  <c r="F130" i="36"/>
  <c r="G130" i="36"/>
  <c r="F95" i="36"/>
  <c r="F65" i="36"/>
  <c r="G65" i="36"/>
  <c r="G146" i="36"/>
  <c r="F146" i="36"/>
  <c r="G40" i="36"/>
  <c r="F40" i="36"/>
  <c r="G10" i="36"/>
  <c r="F10" i="36"/>
  <c r="K66" i="33"/>
  <c r="L66" i="33"/>
  <c r="G156" i="36"/>
  <c r="F156" i="36"/>
  <c r="F60" i="36"/>
  <c r="G60" i="36"/>
  <c r="J30" i="33"/>
  <c r="F111" i="36"/>
  <c r="G111" i="36"/>
  <c r="F125" i="36"/>
  <c r="G125" i="36"/>
  <c r="F96" i="36"/>
  <c r="G96" i="36"/>
  <c r="F135" i="36"/>
  <c r="G135" i="36"/>
  <c r="F36" i="36"/>
  <c r="G36" i="36"/>
  <c r="G50" i="36"/>
  <c r="F50" i="36"/>
  <c r="F136" i="36"/>
  <c r="G136" i="36"/>
  <c r="G145" i="36"/>
  <c r="F145" i="36"/>
  <c r="F110" i="36"/>
  <c r="G110" i="36"/>
  <c r="K13" i="33"/>
  <c r="G8" i="36"/>
  <c r="G9" i="36"/>
  <c r="G18" i="36"/>
  <c r="G19" i="36"/>
  <c r="G28" i="36"/>
  <c r="G33" i="36"/>
  <c r="G34" i="36"/>
  <c r="G38" i="36"/>
  <c r="G39" i="36"/>
  <c r="G48" i="36"/>
  <c r="G59" i="36"/>
  <c r="G63" i="36"/>
  <c r="G64" i="36"/>
  <c r="G73" i="36"/>
  <c r="G74" i="36"/>
  <c r="G79" i="36"/>
  <c r="G93" i="36"/>
  <c r="G94" i="36"/>
  <c r="G108" i="36"/>
  <c r="G109" i="36"/>
  <c r="G114" i="36"/>
  <c r="G119" i="36"/>
  <c r="G128" i="36"/>
  <c r="G129" i="36"/>
  <c r="G133" i="36"/>
  <c r="G134" i="36"/>
  <c r="G143" i="36"/>
  <c r="G7" i="36"/>
  <c r="G37" i="36"/>
  <c r="G57" i="36"/>
  <c r="G62" i="36"/>
  <c r="G72" i="36"/>
  <c r="G92" i="36"/>
  <c r="G107" i="36"/>
  <c r="G127" i="36"/>
  <c r="G132" i="36"/>
  <c r="G142" i="36"/>
  <c r="F8" i="36"/>
  <c r="F9" i="36"/>
  <c r="F28" i="36"/>
  <c r="F33" i="36"/>
  <c r="F34" i="36"/>
  <c r="F38" i="36"/>
  <c r="F39" i="36"/>
  <c r="F44" i="36"/>
  <c r="F48" i="36"/>
  <c r="F59" i="36"/>
  <c r="F63" i="36"/>
  <c r="F64" i="36"/>
  <c r="F73" i="36"/>
  <c r="F74" i="36"/>
  <c r="F93" i="36"/>
  <c r="F94" i="36"/>
  <c r="F108" i="36"/>
  <c r="F109" i="36"/>
  <c r="F114" i="36"/>
  <c r="F119" i="36"/>
  <c r="F128" i="36"/>
  <c r="F129" i="36"/>
  <c r="F133" i="36"/>
  <c r="F134" i="36"/>
  <c r="F143" i="36"/>
  <c r="F7" i="36"/>
  <c r="F37" i="36"/>
  <c r="F57" i="36"/>
  <c r="F62" i="36"/>
  <c r="F92" i="36"/>
  <c r="F107" i="36"/>
  <c r="F127" i="36"/>
  <c r="F132" i="36"/>
  <c r="F142" i="36"/>
  <c r="F66" i="33"/>
  <c r="F30" i="33"/>
  <c r="G30" i="33"/>
  <c r="I30" i="33"/>
  <c r="H30" i="33"/>
  <c r="Z3" i="47"/>
  <c r="B73" i="33"/>
  <c r="B70" i="33"/>
  <c r="B68" i="33"/>
  <c r="B65" i="33"/>
  <c r="B63" i="33"/>
  <c r="B60" i="33"/>
  <c r="B58" i="33"/>
  <c r="B42" i="33"/>
  <c r="B55" i="33"/>
  <c r="B53" i="33"/>
  <c r="B50" i="33"/>
  <c r="B46" i="33"/>
  <c r="B44" i="33"/>
  <c r="B40" i="33"/>
  <c r="B38" i="33"/>
  <c r="B36" i="33"/>
  <c r="B34" i="33"/>
  <c r="B32" i="33"/>
  <c r="B28" i="33"/>
  <c r="B27" i="33"/>
  <c r="B25" i="33"/>
  <c r="B23" i="33"/>
  <c r="B21" i="33"/>
  <c r="B19" i="33"/>
  <c r="B17" i="33"/>
  <c r="B15" i="33"/>
  <c r="B12" i="33"/>
  <c r="B10" i="33"/>
  <c r="B8" i="33"/>
  <c r="B6" i="33"/>
  <c r="B72" i="33"/>
  <c r="B69" i="33"/>
  <c r="B67" i="33"/>
  <c r="B64" i="33"/>
  <c r="B62" i="33"/>
  <c r="B59" i="33"/>
  <c r="B57" i="33"/>
  <c r="B41" i="33"/>
  <c r="B54" i="33"/>
  <c r="B52" i="33"/>
  <c r="B49" i="33"/>
  <c r="B47" i="33"/>
  <c r="B45" i="33"/>
  <c r="B43" i="33"/>
  <c r="B39" i="33"/>
  <c r="B37" i="33"/>
  <c r="B35" i="33"/>
  <c r="B33" i="33"/>
  <c r="B31" i="33"/>
  <c r="B29" i="33"/>
  <c r="B26" i="33"/>
  <c r="B24" i="33"/>
  <c r="B22" i="33"/>
  <c r="B20" i="33"/>
  <c r="B18" i="33"/>
  <c r="B16" i="33"/>
  <c r="B14" i="33"/>
  <c r="B11" i="33"/>
  <c r="B9" i="33"/>
  <c r="B7" i="33"/>
  <c r="B5" i="33"/>
  <c r="A3" i="35"/>
  <c r="A4" i="35"/>
  <c r="S4" i="47"/>
  <c r="Q4" i="47"/>
  <c r="R4" i="47"/>
  <c r="AL104" i="47"/>
  <c r="AN104" i="47"/>
  <c r="AO104" i="47"/>
  <c r="Q3" i="47"/>
  <c r="AL103" i="47"/>
  <c r="Q5" i="47"/>
  <c r="AN105" i="47"/>
  <c r="J6" i="33"/>
  <c r="J8" i="33"/>
  <c r="J10" i="33"/>
  <c r="J12" i="33"/>
  <c r="J15" i="33"/>
  <c r="J17" i="33"/>
  <c r="J19" i="33"/>
  <c r="K19" i="33"/>
  <c r="J23" i="33"/>
  <c r="J28" i="33"/>
  <c r="L28" i="33"/>
  <c r="J34" i="33"/>
  <c r="J38" i="33"/>
  <c r="K38" i="33"/>
  <c r="J48" i="33"/>
  <c r="J42" i="33"/>
  <c r="J58" i="33"/>
  <c r="J60" i="33"/>
  <c r="J65" i="33"/>
  <c r="L16" i="33"/>
  <c r="L29" i="33"/>
  <c r="L57" i="33"/>
  <c r="K57" i="33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A3" i="34"/>
  <c r="Z4" i="47" s="1"/>
  <c r="B2" i="34"/>
  <c r="AL3" i="47" s="1"/>
  <c r="X3" i="47"/>
  <c r="A4" i="34"/>
  <c r="AI29" i="55"/>
  <c r="AH29" i="55"/>
  <c r="K12" i="33"/>
  <c r="K64" i="33"/>
  <c r="M64" i="33" s="1"/>
  <c r="K47" i="33"/>
  <c r="K29" i="33"/>
  <c r="L64" i="33"/>
  <c r="L47" i="33"/>
  <c r="K10" i="33"/>
  <c r="K45" i="33"/>
  <c r="K9" i="33"/>
  <c r="L9" i="33"/>
  <c r="L6" i="33"/>
  <c r="K23" i="33"/>
  <c r="K49" i="33"/>
  <c r="K14" i="33"/>
  <c r="L49" i="33"/>
  <c r="L14" i="33"/>
  <c r="K34" i="33"/>
  <c r="L15" i="33"/>
  <c r="K6" i="33"/>
  <c r="K59" i="33"/>
  <c r="K43" i="33"/>
  <c r="L59" i="33"/>
  <c r="L43" i="33"/>
  <c r="K8" i="33"/>
  <c r="K28" i="33"/>
  <c r="K5" i="33"/>
  <c r="L22" i="33"/>
  <c r="L5" i="33"/>
  <c r="K41" i="33"/>
  <c r="K37" i="33"/>
  <c r="L41" i="33"/>
  <c r="L37" i="33"/>
  <c r="L65" i="33"/>
  <c r="L60" i="33"/>
  <c r="L58" i="33"/>
  <c r="L42" i="33"/>
  <c r="K35" i="33"/>
  <c r="L35" i="33"/>
  <c r="L18" i="33"/>
  <c r="K65" i="33"/>
  <c r="K60" i="33"/>
  <c r="K58" i="33"/>
  <c r="K42" i="33"/>
  <c r="L48" i="33"/>
  <c r="L23" i="33"/>
  <c r="K33" i="33"/>
  <c r="K16" i="33"/>
  <c r="L33" i="33"/>
  <c r="K48" i="33"/>
  <c r="L34" i="33"/>
  <c r="L19" i="33"/>
  <c r="L17" i="33"/>
  <c r="K17" i="33"/>
  <c r="AI107" i="55"/>
  <c r="J5" i="33"/>
  <c r="J9" i="33"/>
  <c r="J16" i="33"/>
  <c r="J22" i="33"/>
  <c r="J33" i="33"/>
  <c r="J43" i="33"/>
  <c r="J49" i="33"/>
  <c r="J57" i="33"/>
  <c r="J14" i="33"/>
  <c r="J18" i="33"/>
  <c r="J20" i="33"/>
  <c r="J29" i="33"/>
  <c r="J35" i="33"/>
  <c r="J37" i="33"/>
  <c r="J41" i="33"/>
  <c r="J45" i="33"/>
  <c r="J47" i="33"/>
  <c r="J59" i="33"/>
  <c r="J64" i="33"/>
  <c r="E73" i="33"/>
  <c r="E34" i="33"/>
  <c r="E6" i="33"/>
  <c r="E23" i="33"/>
  <c r="E36" i="33"/>
  <c r="E13" i="33"/>
  <c r="I17" i="33"/>
  <c r="H36" i="36"/>
  <c r="G109" i="35"/>
  <c r="H86" i="36"/>
  <c r="H151" i="36"/>
  <c r="H11" i="36"/>
  <c r="G26" i="35"/>
  <c r="H21" i="36"/>
  <c r="E28" i="33"/>
  <c r="H32" i="36"/>
  <c r="G130" i="35"/>
  <c r="G135" i="35"/>
  <c r="G47" i="35"/>
  <c r="H117" i="36"/>
  <c r="G132" i="35"/>
  <c r="E35" i="33"/>
  <c r="G188" i="35"/>
  <c r="E9" i="33"/>
  <c r="H18" i="36"/>
  <c r="G22" i="35"/>
  <c r="G21" i="35"/>
  <c r="G23" i="35"/>
  <c r="H17" i="36"/>
  <c r="G20" i="35"/>
  <c r="E7" i="33"/>
  <c r="G15" i="35"/>
  <c r="E26" i="33"/>
  <c r="E52" i="33"/>
  <c r="G151" i="35"/>
  <c r="E67" i="33"/>
  <c r="H148" i="36"/>
  <c r="H147" i="36"/>
  <c r="E45" i="33"/>
  <c r="H104" i="36"/>
  <c r="G129" i="35"/>
  <c r="G131" i="35"/>
  <c r="E16" i="33"/>
  <c r="G44" i="35"/>
  <c r="G42" i="35"/>
  <c r="H34" i="36"/>
  <c r="G45" i="35"/>
  <c r="H33" i="36"/>
  <c r="G10" i="35"/>
  <c r="G133" i="35"/>
  <c r="E37" i="33"/>
  <c r="G107" i="35"/>
  <c r="G105" i="35"/>
  <c r="H83" i="36"/>
  <c r="G104" i="35"/>
  <c r="G103" i="35"/>
  <c r="G106" i="35"/>
  <c r="H84" i="36"/>
  <c r="G41" i="35"/>
  <c r="E59" i="33"/>
  <c r="E24" i="33"/>
  <c r="G66" i="35"/>
  <c r="AJ102" i="55" s="1"/>
  <c r="G67" i="35"/>
  <c r="E31" i="33"/>
  <c r="G113" i="35"/>
  <c r="E54" i="33"/>
  <c r="E18" i="33"/>
  <c r="G50" i="35"/>
  <c r="H39" i="36"/>
  <c r="G48" i="35"/>
  <c r="E62" i="33"/>
  <c r="G176" i="35"/>
  <c r="G175" i="35"/>
  <c r="E57" i="33"/>
  <c r="G184" i="35"/>
  <c r="H102" i="36"/>
  <c r="H37" i="36"/>
  <c r="E64" i="33"/>
  <c r="E47" i="33"/>
  <c r="H109" i="36"/>
  <c r="E5" i="33"/>
  <c r="G11" i="35"/>
  <c r="N11" i="35" s="1"/>
  <c r="H8" i="36"/>
  <c r="E11" i="33"/>
  <c r="G28" i="35"/>
  <c r="H22" i="36"/>
  <c r="G170" i="35"/>
  <c r="E39" i="33"/>
  <c r="G112" i="35"/>
  <c r="G110" i="35"/>
  <c r="G114" i="35"/>
  <c r="E14" i="33"/>
  <c r="E22" i="33"/>
  <c r="G62" i="35"/>
  <c r="H49" i="36"/>
  <c r="G60" i="35"/>
  <c r="E68" i="33"/>
  <c r="G68" i="33"/>
  <c r="E58" i="33"/>
  <c r="G58" i="33"/>
  <c r="E38" i="33"/>
  <c r="G38" i="33"/>
  <c r="E44" i="33"/>
  <c r="G44" i="33"/>
  <c r="E32" i="33"/>
  <c r="E48" i="33"/>
  <c r="E12" i="33"/>
  <c r="G60" i="33"/>
  <c r="E60" i="33"/>
  <c r="F17" i="33"/>
  <c r="H17" i="33"/>
  <c r="G17" i="33"/>
  <c r="E17" i="33"/>
  <c r="E8" i="33"/>
  <c r="G19" i="33"/>
  <c r="E19" i="33"/>
  <c r="E10" i="33"/>
  <c r="G10" i="33"/>
  <c r="E63" i="33"/>
  <c r="E25" i="33"/>
  <c r="G34" i="33"/>
  <c r="G73" i="33"/>
  <c r="G46" i="33"/>
  <c r="E46" i="33"/>
  <c r="E53" i="33"/>
  <c r="G6" i="33"/>
  <c r="G40" i="33"/>
  <c r="E40" i="33"/>
  <c r="G28" i="33"/>
  <c r="H140" i="35"/>
  <c r="G140" i="35"/>
  <c r="H108" i="35"/>
  <c r="G108" i="35"/>
  <c r="H13" i="35"/>
  <c r="G13" i="35"/>
  <c r="I8" i="35"/>
  <c r="G8" i="35"/>
  <c r="G152" i="35"/>
  <c r="G147" i="35"/>
  <c r="F13" i="33"/>
  <c r="G32" i="33"/>
  <c r="G9" i="33"/>
  <c r="G22" i="33"/>
  <c r="G11" i="33"/>
  <c r="F24" i="33"/>
  <c r="I23" i="33"/>
  <c r="H10" i="36"/>
  <c r="H150" i="36"/>
  <c r="H50" i="36"/>
  <c r="H82" i="36"/>
  <c r="H20" i="36"/>
  <c r="H85" i="36"/>
  <c r="H110" i="36"/>
  <c r="I24" i="33"/>
  <c r="G37" i="33"/>
  <c r="H23" i="33"/>
  <c r="F23" i="33"/>
  <c r="H135" i="35"/>
  <c r="F67" i="33"/>
  <c r="F9" i="33"/>
  <c r="H58" i="33"/>
  <c r="I58" i="33"/>
  <c r="F58" i="33"/>
  <c r="G47" i="33"/>
  <c r="N47" i="33" s="1"/>
  <c r="E7" i="34"/>
  <c r="E6" i="34"/>
  <c r="F57" i="33"/>
  <c r="F54" i="33"/>
  <c r="G54" i="33"/>
  <c r="G45" i="33"/>
  <c r="E89" i="34"/>
  <c r="E68" i="34"/>
  <c r="G52" i="33"/>
  <c r="F19" i="33"/>
  <c r="H19" i="33"/>
  <c r="I19" i="33"/>
  <c r="F11" i="33"/>
  <c r="F47" i="33"/>
  <c r="F31" i="33"/>
  <c r="E62" i="34"/>
  <c r="E82" i="34"/>
  <c r="G57" i="33"/>
  <c r="F52" i="33"/>
  <c r="F7" i="33"/>
  <c r="G35" i="33"/>
  <c r="F5" i="33"/>
  <c r="E61" i="34"/>
  <c r="F26" i="33"/>
  <c r="H40" i="33"/>
  <c r="I40" i="33"/>
  <c r="F40" i="33"/>
  <c r="E5" i="34"/>
  <c r="F18" i="33"/>
  <c r="G31" i="33"/>
  <c r="E51" i="34"/>
  <c r="G67" i="33"/>
  <c r="F35" i="33"/>
  <c r="I6" i="33"/>
  <c r="H6" i="33"/>
  <c r="F6" i="33"/>
  <c r="I10" i="33"/>
  <c r="H10" i="33"/>
  <c r="F10" i="33"/>
  <c r="H44" i="33"/>
  <c r="F44" i="33"/>
  <c r="I44" i="33"/>
  <c r="F39" i="33"/>
  <c r="E15" i="34"/>
  <c r="E64" i="34"/>
  <c r="G64" i="33"/>
  <c r="F37" i="33"/>
  <c r="E21" i="34"/>
  <c r="E12" i="34"/>
  <c r="E70" i="34"/>
  <c r="E10" i="34"/>
  <c r="E29" i="34"/>
  <c r="G39" i="33"/>
  <c r="F60" i="33"/>
  <c r="I60" i="33"/>
  <c r="M60" i="33" s="1"/>
  <c r="H60" i="33"/>
  <c r="F22" i="33"/>
  <c r="E63" i="34"/>
  <c r="F64" i="33"/>
  <c r="E25" i="34"/>
  <c r="E60" i="34"/>
  <c r="F38" i="33"/>
  <c r="I38" i="33"/>
  <c r="H38" i="33"/>
  <c r="F14" i="33"/>
  <c r="F62" i="33"/>
  <c r="F16" i="33"/>
  <c r="G26" i="33"/>
  <c r="E13" i="34"/>
  <c r="I46" i="33"/>
  <c r="F46" i="33"/>
  <c r="H46" i="33"/>
  <c r="I73" i="33"/>
  <c r="F73" i="33"/>
  <c r="F28" i="33"/>
  <c r="I28" i="33"/>
  <c r="F34" i="33"/>
  <c r="I34" i="33"/>
  <c r="H34" i="33"/>
  <c r="F12" i="33"/>
  <c r="H32" i="33"/>
  <c r="F32" i="33"/>
  <c r="I32" i="33"/>
  <c r="H68" i="33"/>
  <c r="F68" i="33"/>
  <c r="I68" i="33"/>
  <c r="G16" i="33"/>
  <c r="E53" i="34"/>
  <c r="E90" i="34"/>
  <c r="E50" i="34"/>
  <c r="E52" i="34"/>
  <c r="F45" i="33"/>
  <c r="E84" i="34"/>
  <c r="G62" i="33"/>
  <c r="J13" i="35"/>
  <c r="I13" i="35"/>
  <c r="J108" i="35"/>
  <c r="H184" i="35"/>
  <c r="J140" i="35"/>
  <c r="I140" i="35"/>
  <c r="I108" i="35"/>
  <c r="J106" i="35"/>
  <c r="H106" i="35"/>
  <c r="J109" i="35"/>
  <c r="H109" i="35"/>
  <c r="J42" i="35"/>
  <c r="H42" i="35"/>
  <c r="J45" i="35"/>
  <c r="H45" i="35"/>
  <c r="J23" i="35"/>
  <c r="H23" i="35"/>
  <c r="J22" i="35"/>
  <c r="H22" i="35"/>
  <c r="N22" i="35" s="1"/>
  <c r="J8" i="35"/>
  <c r="H8" i="35"/>
  <c r="J11" i="35"/>
  <c r="H11" i="35"/>
  <c r="J10" i="35"/>
  <c r="H10" i="35"/>
  <c r="I12" i="33"/>
  <c r="I13" i="33"/>
  <c r="H12" i="33"/>
  <c r="H13" i="33"/>
  <c r="G12" i="33"/>
  <c r="G13" i="33"/>
  <c r="AJ29" i="55"/>
  <c r="G7" i="33"/>
  <c r="I147" i="36"/>
  <c r="K147" i="36"/>
  <c r="I109" i="36"/>
  <c r="K109" i="36"/>
  <c r="J135" i="35"/>
  <c r="I102" i="36"/>
  <c r="I86" i="36"/>
  <c r="K86" i="36"/>
  <c r="I83" i="36"/>
  <c r="K83" i="36"/>
  <c r="I82" i="36"/>
  <c r="K82" i="36"/>
  <c r="I84" i="36"/>
  <c r="K84" i="36"/>
  <c r="I37" i="36"/>
  <c r="K37" i="36"/>
  <c r="I36" i="36"/>
  <c r="K36" i="36"/>
  <c r="I22" i="36"/>
  <c r="K22" i="36"/>
  <c r="I17" i="36"/>
  <c r="K17" i="36"/>
  <c r="I11" i="36"/>
  <c r="K11" i="36"/>
  <c r="I8" i="36"/>
  <c r="K8" i="36"/>
  <c r="G24" i="33"/>
  <c r="G18" i="33"/>
  <c r="G14" i="33"/>
  <c r="N14" i="33" s="1"/>
  <c r="J82" i="36"/>
  <c r="J110" i="36"/>
  <c r="I110" i="36"/>
  <c r="J10" i="36"/>
  <c r="I10" i="36"/>
  <c r="N60" i="33"/>
  <c r="J11" i="36"/>
  <c r="K110" i="36"/>
  <c r="L110" i="36" s="1"/>
  <c r="N110" i="36" s="1"/>
  <c r="M58" i="33"/>
  <c r="J86" i="36"/>
  <c r="H24" i="33"/>
  <c r="K10" i="36"/>
  <c r="I109" i="35"/>
  <c r="H28" i="33"/>
  <c r="N28" i="33" s="1"/>
  <c r="I135" i="35"/>
  <c r="I37" i="33"/>
  <c r="J109" i="36"/>
  <c r="F52" i="34"/>
  <c r="G52" i="34"/>
  <c r="I52" i="34" s="1"/>
  <c r="J52" i="34" s="1"/>
  <c r="J84" i="36"/>
  <c r="J8" i="36"/>
  <c r="H22" i="33"/>
  <c r="H39" i="33"/>
  <c r="I26" i="33"/>
  <c r="H54" i="33"/>
  <c r="J22" i="36"/>
  <c r="I22" i="35"/>
  <c r="K22" i="35" s="1"/>
  <c r="I52" i="33"/>
  <c r="I9" i="33"/>
  <c r="J17" i="36"/>
  <c r="H14" i="33"/>
  <c r="J37" i="36"/>
  <c r="L37" i="36" s="1"/>
  <c r="I22" i="33"/>
  <c r="I39" i="33"/>
  <c r="H31" i="33"/>
  <c r="H47" i="33"/>
  <c r="H62" i="34"/>
  <c r="H63" i="34"/>
  <c r="H64" i="34"/>
  <c r="I106" i="35"/>
  <c r="K106" i="35" s="1"/>
  <c r="I23" i="35"/>
  <c r="I54" i="33"/>
  <c r="F6" i="34"/>
  <c r="G6" i="34"/>
  <c r="H67" i="33"/>
  <c r="I62" i="33"/>
  <c r="H52" i="33"/>
  <c r="H45" i="33"/>
  <c r="H16" i="33"/>
  <c r="M16" i="33" s="1"/>
  <c r="F64" i="34"/>
  <c r="G64" i="34"/>
  <c r="J147" i="36"/>
  <c r="I42" i="35"/>
  <c r="H26" i="33"/>
  <c r="I14" i="33"/>
  <c r="F63" i="34"/>
  <c r="G63" i="34"/>
  <c r="H18" i="33"/>
  <c r="H5" i="34"/>
  <c r="H6" i="34"/>
  <c r="H7" i="34"/>
  <c r="H7" i="33"/>
  <c r="I31" i="33"/>
  <c r="I47" i="33"/>
  <c r="I11" i="33"/>
  <c r="H57" i="33"/>
  <c r="F7" i="34"/>
  <c r="G7" i="34"/>
  <c r="I45" i="35"/>
  <c r="H9" i="33"/>
  <c r="I16" i="33"/>
  <c r="H62" i="33"/>
  <c r="H64" i="33"/>
  <c r="H37" i="33"/>
  <c r="M37" i="33" s="1"/>
  <c r="H52" i="34"/>
  <c r="H35" i="33"/>
  <c r="I18" i="33"/>
  <c r="I7" i="33"/>
  <c r="I10" i="35"/>
  <c r="I57" i="33"/>
  <c r="I67" i="33"/>
  <c r="J102" i="36"/>
  <c r="I45" i="33"/>
  <c r="I11" i="35"/>
  <c r="J83" i="36"/>
  <c r="I64" i="33"/>
  <c r="I35" i="33"/>
  <c r="F5" i="34"/>
  <c r="G5" i="34"/>
  <c r="I5" i="34" s="1"/>
  <c r="J5" i="34" s="1"/>
  <c r="I5" i="33"/>
  <c r="F62" i="34"/>
  <c r="G62" i="34"/>
  <c r="AK29" i="55"/>
  <c r="AW18" i="55"/>
  <c r="K11" i="35"/>
  <c r="L11" i="35" s="1"/>
  <c r="O10" i="36"/>
  <c r="N10" i="35"/>
  <c r="L5" i="34"/>
  <c r="L8" i="36"/>
  <c r="N8" i="36" s="1"/>
  <c r="L52" i="34"/>
  <c r="O8" i="36"/>
  <c r="L10" i="36"/>
  <c r="N10" i="36" s="1"/>
  <c r="O109" i="36"/>
  <c r="L7" i="34"/>
  <c r="N140" i="35"/>
  <c r="N13" i="35"/>
  <c r="N106" i="35"/>
  <c r="L63" i="34"/>
  <c r="L6" i="34"/>
  <c r="L62" i="34"/>
  <c r="N35" i="33"/>
  <c r="K13" i="35"/>
  <c r="K140" i="35"/>
  <c r="K10" i="35"/>
  <c r="M10" i="35" s="1"/>
  <c r="M47" i="33"/>
  <c r="M14" i="33"/>
  <c r="I63" i="34"/>
  <c r="I7" i="34"/>
  <c r="I62" i="34"/>
  <c r="K62" i="34" s="1"/>
  <c r="J62" i="34"/>
  <c r="I64" i="34"/>
  <c r="J64" i="34"/>
  <c r="I6" i="34"/>
  <c r="AM29" i="55"/>
  <c r="AL29" i="55"/>
  <c r="K8" i="35"/>
  <c r="L8" i="35"/>
  <c r="M8" i="36"/>
  <c r="N8" i="35"/>
  <c r="AN29" i="55" s="1"/>
  <c r="M11" i="35"/>
  <c r="K64" i="34"/>
  <c r="M13" i="35"/>
  <c r="L13" i="35"/>
  <c r="L140" i="35"/>
  <c r="M140" i="35"/>
  <c r="K6" i="34"/>
  <c r="J6" i="34"/>
  <c r="M8" i="35"/>
  <c r="F2" i="33"/>
  <c r="H6" i="36"/>
  <c r="E3" i="33"/>
  <c r="H2" i="36"/>
  <c r="G4" i="35"/>
  <c r="E2" i="33"/>
  <c r="G5" i="35"/>
  <c r="H4" i="36"/>
  <c r="H2" i="33"/>
  <c r="H3" i="36"/>
  <c r="G7" i="35"/>
  <c r="AJ144" i="55" s="1"/>
  <c r="G3" i="35"/>
  <c r="G3" i="33"/>
  <c r="G2" i="33"/>
  <c r="E2" i="34"/>
  <c r="AU20" i="55" s="1"/>
  <c r="I2" i="33"/>
  <c r="I3" i="33"/>
  <c r="F3" i="33"/>
  <c r="AU22" i="55"/>
  <c r="AW43" i="55"/>
  <c r="AJ174" i="55"/>
  <c r="AJ168" i="55"/>
  <c r="AJ159" i="55"/>
  <c r="AJ182" i="55"/>
  <c r="AJ157" i="55"/>
  <c r="AJ145" i="55"/>
  <c r="AJ158" i="55"/>
  <c r="H4" i="35"/>
  <c r="AJ150" i="55"/>
  <c r="I3" i="36"/>
  <c r="I4" i="36"/>
  <c r="K4" i="36"/>
  <c r="L4" i="47"/>
  <c r="K4" i="47"/>
  <c r="J4" i="47"/>
  <c r="H3" i="33"/>
  <c r="J4" i="36"/>
  <c r="F2" i="34"/>
  <c r="AJ2" i="48"/>
  <c r="L3" i="47"/>
  <c r="J3" i="47"/>
  <c r="K3" i="47"/>
  <c r="T394" i="57" l="1"/>
  <c r="T273" i="57"/>
  <c r="T265" i="57"/>
  <c r="T243" i="57"/>
  <c r="T235" i="57"/>
  <c r="T227" i="57"/>
  <c r="T219" i="57"/>
  <c r="T211" i="57"/>
  <c r="T203" i="57"/>
  <c r="T179" i="57"/>
  <c r="T163" i="57"/>
  <c r="T155" i="57"/>
  <c r="T357" i="57"/>
  <c r="T349" i="57"/>
  <c r="T341" i="57"/>
  <c r="T333" i="57"/>
  <c r="T143" i="57"/>
  <c r="T135" i="57"/>
  <c r="T127" i="57"/>
  <c r="T119" i="57"/>
  <c r="T111" i="57"/>
  <c r="T103" i="57"/>
  <c r="T95" i="57"/>
  <c r="T259" i="57"/>
  <c r="T251" i="57"/>
  <c r="T315" i="57"/>
  <c r="T307" i="57"/>
  <c r="T27" i="57"/>
  <c r="T19" i="57"/>
  <c r="T11" i="57"/>
  <c r="T3" i="57"/>
  <c r="T2" i="57"/>
  <c r="T401" i="57"/>
  <c r="T385" i="57"/>
  <c r="T377" i="57"/>
  <c r="T361" i="57"/>
  <c r="T171" i="57"/>
  <c r="T9" i="57"/>
  <c r="T187" i="57"/>
  <c r="T396" i="57"/>
  <c r="T388" i="57"/>
  <c r="T284" i="57"/>
  <c r="T276" i="57"/>
  <c r="T268" i="57"/>
  <c r="T246" i="57"/>
  <c r="T238" i="57"/>
  <c r="T230" i="57"/>
  <c r="T222" i="57"/>
  <c r="T214" i="57"/>
  <c r="T206" i="57"/>
  <c r="T198" i="57"/>
  <c r="T190" i="57"/>
  <c r="T182" i="57"/>
  <c r="T174" i="57"/>
  <c r="T166" i="57"/>
  <c r="T158" i="57"/>
  <c r="T150" i="57"/>
  <c r="T146" i="57"/>
  <c r="T138" i="57"/>
  <c r="T130" i="57"/>
  <c r="T122" i="57"/>
  <c r="T114" i="57"/>
  <c r="T106" i="57"/>
  <c r="T98" i="57"/>
  <c r="T90" i="57"/>
  <c r="T254" i="57"/>
  <c r="T310" i="57"/>
  <c r="T30" i="57"/>
  <c r="T22" i="57"/>
  <c r="T14" i="57"/>
  <c r="T393" i="57"/>
  <c r="T369" i="57"/>
  <c r="U246" i="57" a="1"/>
  <c r="U246" i="57" s="1"/>
  <c r="U240" i="57" a="1"/>
  <c r="U240" i="57" s="1"/>
  <c r="U205" i="57" a="1"/>
  <c r="U205" i="57" s="1"/>
  <c r="U236" i="57" a="1"/>
  <c r="U236" i="57" s="1"/>
  <c r="U220" i="57" a="1"/>
  <c r="U220" i="57" s="1"/>
  <c r="U182" i="57" a="1"/>
  <c r="U182" i="57" s="1"/>
  <c r="U86" i="57" a="1"/>
  <c r="U86" i="57" s="1"/>
  <c r="U351" i="57" a="1"/>
  <c r="U351" i="57" s="1"/>
  <c r="U164" i="57" a="1"/>
  <c r="U164" i="57" s="1"/>
  <c r="U333" i="57" a="1"/>
  <c r="U333" i="57" s="1"/>
  <c r="U228" i="57" a="1"/>
  <c r="U228" i="57" s="1"/>
  <c r="U244" i="57" a="1"/>
  <c r="U244" i="57" s="1"/>
  <c r="U187" i="57" a="1"/>
  <c r="U187" i="57" s="1"/>
  <c r="U238" i="57" a="1"/>
  <c r="U238" i="57" s="1"/>
  <c r="U204" i="57" a="1"/>
  <c r="U204" i="57" s="1"/>
  <c r="U188" i="57" a="1"/>
  <c r="U188" i="57" s="1"/>
  <c r="U180" i="57" a="1"/>
  <c r="U180" i="57" s="1"/>
  <c r="U172" i="57" a="1"/>
  <c r="U172" i="57" s="1"/>
  <c r="U156" i="57" a="1"/>
  <c r="U156" i="57" s="1"/>
  <c r="U358" i="57" a="1"/>
  <c r="U358" i="57" s="1"/>
  <c r="U350" i="57" a="1"/>
  <c r="U350" i="57" s="1"/>
  <c r="U342" i="57" a="1"/>
  <c r="U342" i="57" s="1"/>
  <c r="U334" i="57" a="1"/>
  <c r="U334" i="57" s="1"/>
  <c r="U84" i="57" a="1"/>
  <c r="U84" i="57" s="1"/>
  <c r="U76" i="57" a="1"/>
  <c r="U76" i="57" s="1"/>
  <c r="U68" i="57" a="1"/>
  <c r="U68" i="57" s="1"/>
  <c r="U60" i="57" a="1"/>
  <c r="U60" i="57" s="1"/>
  <c r="U52" i="57" a="1"/>
  <c r="U52" i="57" s="1"/>
  <c r="U44" i="57" a="1"/>
  <c r="U44" i="57" s="1"/>
  <c r="U36" i="57" a="1"/>
  <c r="U36" i="57" s="1"/>
  <c r="U314" i="57" a="1"/>
  <c r="U314" i="57" s="1"/>
  <c r="U306" i="57" a="1"/>
  <c r="U306" i="57" s="1"/>
  <c r="U144" i="57" a="1"/>
  <c r="U144" i="57" s="1"/>
  <c r="U136" i="57" a="1"/>
  <c r="U136" i="57" s="1"/>
  <c r="U128" i="57" a="1"/>
  <c r="U128" i="57" s="1"/>
  <c r="U120" i="57" a="1"/>
  <c r="U120" i="57" s="1"/>
  <c r="U112" i="57" a="1"/>
  <c r="U112" i="57" s="1"/>
  <c r="U104" i="57" a="1"/>
  <c r="U104" i="57" s="1"/>
  <c r="U96" i="57" a="1"/>
  <c r="U96" i="57" s="1"/>
  <c r="U260" i="57" a="1"/>
  <c r="U260" i="57" s="1"/>
  <c r="U252" i="57" a="1"/>
  <c r="U252" i="57" s="1"/>
  <c r="U28" i="57" a="1"/>
  <c r="U28" i="57" s="1"/>
  <c r="U20" i="57" a="1"/>
  <c r="U20" i="57" s="1"/>
  <c r="U12" i="57" a="1"/>
  <c r="U12" i="57" s="1"/>
  <c r="U4" i="57" a="1"/>
  <c r="U4" i="57" s="1"/>
  <c r="U326" i="57" a="1"/>
  <c r="U326" i="57" s="1"/>
  <c r="U318" i="57" a="1"/>
  <c r="U318" i="57" s="1"/>
  <c r="U282" i="57" a="1"/>
  <c r="U282" i="57" s="1"/>
  <c r="U274" i="57" a="1"/>
  <c r="U274" i="57" s="1"/>
  <c r="U266" i="57" a="1"/>
  <c r="U266" i="57" s="1"/>
  <c r="U300" i="57" a="1"/>
  <c r="U300" i="57" s="1"/>
  <c r="U292" i="57" a="1"/>
  <c r="U292" i="57" s="1"/>
  <c r="U382" i="57" a="1"/>
  <c r="U382" i="57" s="1"/>
  <c r="U374" i="57" a="1"/>
  <c r="U374" i="57" s="1"/>
  <c r="U366" i="57" a="1"/>
  <c r="U366" i="57" s="1"/>
  <c r="U400" i="57" a="1"/>
  <c r="U400" i="57" s="1"/>
  <c r="U392" i="57" a="1"/>
  <c r="U392" i="57" s="1"/>
  <c r="U364" i="57" a="1"/>
  <c r="U364" i="57" s="1"/>
  <c r="U199" i="57" a="1"/>
  <c r="U199" i="57" s="1"/>
  <c r="U152" i="57" a="1"/>
  <c r="U152" i="57" s="1"/>
  <c r="U212" i="57" a="1"/>
  <c r="U212" i="57" s="1"/>
  <c r="U227" i="57" a="1"/>
  <c r="U227" i="57" s="1"/>
  <c r="U211" i="57" a="1"/>
  <c r="U211" i="57" s="1"/>
  <c r="U203" i="57" a="1"/>
  <c r="U203" i="57" s="1"/>
  <c r="U195" i="57" a="1"/>
  <c r="U195" i="57" s="1"/>
  <c r="U179" i="57" a="1"/>
  <c r="U179" i="57" s="1"/>
  <c r="U171" i="57" a="1"/>
  <c r="U171" i="57" s="1"/>
  <c r="U163" i="57" a="1"/>
  <c r="U163" i="57" s="1"/>
  <c r="U155" i="57" a="1"/>
  <c r="U155" i="57" s="1"/>
  <c r="U357" i="57" a="1"/>
  <c r="U357" i="57" s="1"/>
  <c r="U349" i="57" a="1"/>
  <c r="U349" i="57" s="1"/>
  <c r="U341" i="57" a="1"/>
  <c r="U341" i="57" s="1"/>
  <c r="U83" i="57" a="1"/>
  <c r="U83" i="57" s="1"/>
  <c r="U75" i="57" a="1"/>
  <c r="U75" i="57" s="1"/>
  <c r="U67" i="57" a="1"/>
  <c r="U67" i="57" s="1"/>
  <c r="U59" i="57" a="1"/>
  <c r="U59" i="57" s="1"/>
  <c r="U51" i="57" a="1"/>
  <c r="U51" i="57" s="1"/>
  <c r="U43" i="57" a="1"/>
  <c r="U43" i="57" s="1"/>
  <c r="U35" i="57" a="1"/>
  <c r="U35" i="57" s="1"/>
  <c r="U313" i="57" a="1"/>
  <c r="U313" i="57" s="1"/>
  <c r="U305" i="57" a="1"/>
  <c r="U305" i="57" s="1"/>
  <c r="U143" i="57" a="1"/>
  <c r="U143" i="57" s="1"/>
  <c r="U135" i="57" a="1"/>
  <c r="U135" i="57" s="1"/>
  <c r="U127" i="57" a="1"/>
  <c r="U127" i="57" s="1"/>
  <c r="U119" i="57" a="1"/>
  <c r="U119" i="57" s="1"/>
  <c r="U111" i="57" a="1"/>
  <c r="U111" i="57" s="1"/>
  <c r="U103" i="57" a="1"/>
  <c r="U103" i="57" s="1"/>
  <c r="U95" i="57" a="1"/>
  <c r="U95" i="57" s="1"/>
  <c r="U259" i="57" a="1"/>
  <c r="U259" i="57" s="1"/>
  <c r="U251" i="57" a="1"/>
  <c r="U251" i="57" s="1"/>
  <c r="U27" i="57" a="1"/>
  <c r="U27" i="57" s="1"/>
  <c r="U19" i="57" a="1"/>
  <c r="U19" i="57" s="1"/>
  <c r="U11" i="57" a="1"/>
  <c r="U11" i="57" s="1"/>
  <c r="U3" i="57" a="1"/>
  <c r="U3" i="57" s="1"/>
  <c r="U325" i="57" a="1"/>
  <c r="U325" i="57" s="1"/>
  <c r="U289" i="57" a="1"/>
  <c r="U289" i="57" s="1"/>
  <c r="U281" i="57" a="1"/>
  <c r="U281" i="57" s="1"/>
  <c r="U273" i="57" a="1"/>
  <c r="U273" i="57" s="1"/>
  <c r="U265" i="57" a="1"/>
  <c r="U265" i="57" s="1"/>
  <c r="U299" i="57" a="1"/>
  <c r="U299" i="57" s="1"/>
  <c r="U291" i="57" a="1"/>
  <c r="U291" i="57" s="1"/>
  <c r="U381" i="57" a="1"/>
  <c r="U381" i="57" s="1"/>
  <c r="U373" i="57" a="1"/>
  <c r="U373" i="57" s="1"/>
  <c r="U365" i="57" a="1"/>
  <c r="U365" i="57" s="1"/>
  <c r="U399" i="57" a="1"/>
  <c r="U399" i="57" s="1"/>
  <c r="U363" i="57" a="1"/>
  <c r="U363" i="57" s="1"/>
  <c r="U232" i="57" a="1"/>
  <c r="U232" i="57" s="1"/>
  <c r="U356" i="57" a="1"/>
  <c r="U356" i="57" s="1"/>
  <c r="U219" i="57" a="1"/>
  <c r="U219" i="57" s="1"/>
  <c r="U332" i="57" a="1"/>
  <c r="U332" i="57" s="1"/>
  <c r="U34" i="57" a="1"/>
  <c r="U34" i="57" s="1"/>
  <c r="U312" i="57" a="1"/>
  <c r="U312" i="57" s="1"/>
  <c r="U304" i="57" a="1"/>
  <c r="U304" i="57" s="1"/>
  <c r="U142" i="57" a="1"/>
  <c r="U142" i="57" s="1"/>
  <c r="U126" i="57" a="1"/>
  <c r="U126" i="57" s="1"/>
  <c r="U110" i="57" a="1"/>
  <c r="U110" i="57" s="1"/>
  <c r="U102" i="57" a="1"/>
  <c r="U102" i="57" s="1"/>
  <c r="U94" i="57" a="1"/>
  <c r="U94" i="57" s="1"/>
  <c r="U258" i="57" a="1"/>
  <c r="U258" i="57" s="1"/>
  <c r="U250" i="57" a="1"/>
  <c r="U250" i="57" s="1"/>
  <c r="U18" i="57" a="1"/>
  <c r="U18" i="57" s="1"/>
  <c r="U10" i="57" a="1"/>
  <c r="U10" i="57" s="1"/>
  <c r="U2" i="57" a="1"/>
  <c r="U2" i="57" s="1"/>
  <c r="U324" i="57" a="1"/>
  <c r="U324" i="57" s="1"/>
  <c r="U288" i="57" a="1"/>
  <c r="U288" i="57" s="1"/>
  <c r="U280" i="57" a="1"/>
  <c r="U280" i="57" s="1"/>
  <c r="U272" i="57" a="1"/>
  <c r="U272" i="57" s="1"/>
  <c r="U264" i="57" a="1"/>
  <c r="U264" i="57" s="1"/>
  <c r="U298" i="57" a="1"/>
  <c r="U298" i="57" s="1"/>
  <c r="U290" i="57" a="1"/>
  <c r="U290" i="57" s="1"/>
  <c r="U380" i="57" a="1"/>
  <c r="U380" i="57" s="1"/>
  <c r="U361" i="57" a="1"/>
  <c r="U361" i="57" s="1"/>
  <c r="U230" i="57" a="1"/>
  <c r="U230" i="57" s="1"/>
  <c r="U196" i="57" a="1"/>
  <c r="U196" i="57" s="1"/>
  <c r="U202" i="57" a="1"/>
  <c r="U202" i="57" s="1"/>
  <c r="U348" i="57" a="1"/>
  <c r="U348" i="57" s="1"/>
  <c r="U82" i="57" a="1"/>
  <c r="U82" i="57" s="1"/>
  <c r="U58" i="57" a="1"/>
  <c r="U58" i="57" s="1"/>
  <c r="U241" i="57" a="1"/>
  <c r="U241" i="57" s="1"/>
  <c r="U225" i="57" a="1"/>
  <c r="U225" i="57" s="1"/>
  <c r="U209" i="57" a="1"/>
  <c r="U209" i="57" s="1"/>
  <c r="U193" i="57" a="1"/>
  <c r="U193" i="57" s="1"/>
  <c r="U161" i="57" a="1"/>
  <c r="U161" i="57" s="1"/>
  <c r="U355" i="57" a="1"/>
  <c r="U355" i="57" s="1"/>
  <c r="U347" i="57" a="1"/>
  <c r="U347" i="57" s="1"/>
  <c r="U339" i="57" a="1"/>
  <c r="U339" i="57" s="1"/>
  <c r="U89" i="57" a="1"/>
  <c r="U89" i="57" s="1"/>
  <c r="U81" i="57" a="1"/>
  <c r="U81" i="57" s="1"/>
  <c r="U65" i="57" a="1"/>
  <c r="U65" i="57" s="1"/>
  <c r="U57" i="57" a="1"/>
  <c r="U57" i="57" s="1"/>
  <c r="U49" i="57" a="1"/>
  <c r="U49" i="57" s="1"/>
  <c r="U41" i="57" a="1"/>
  <c r="U41" i="57" s="1"/>
  <c r="U33" i="57" a="1"/>
  <c r="U33" i="57" s="1"/>
  <c r="U311" i="57" a="1"/>
  <c r="U311" i="57" s="1"/>
  <c r="U149" i="57" a="1"/>
  <c r="U149" i="57" s="1"/>
  <c r="U141" i="57" a="1"/>
  <c r="U141" i="57" s="1"/>
  <c r="U133" i="57" a="1"/>
  <c r="U133" i="57" s="1"/>
  <c r="U125" i="57" a="1"/>
  <c r="U125" i="57" s="1"/>
  <c r="U117" i="57" a="1"/>
  <c r="U117" i="57" s="1"/>
  <c r="U109" i="57" a="1"/>
  <c r="U109" i="57" s="1"/>
  <c r="U101" i="57" a="1"/>
  <c r="U101" i="57" s="1"/>
  <c r="U93" i="57" a="1"/>
  <c r="U93" i="57" s="1"/>
  <c r="U257" i="57" a="1"/>
  <c r="U257" i="57" s="1"/>
  <c r="U249" i="57" a="1"/>
  <c r="U249" i="57" s="1"/>
  <c r="U25" i="57" a="1"/>
  <c r="U25" i="57" s="1"/>
  <c r="U17" i="57" a="1"/>
  <c r="U17" i="57" s="1"/>
  <c r="U9" i="57" a="1"/>
  <c r="U9" i="57" s="1"/>
  <c r="U331" i="57" a="1"/>
  <c r="U331" i="57" s="1"/>
  <c r="U323" i="57" a="1"/>
  <c r="U323" i="57" s="1"/>
  <c r="U287" i="57" a="1"/>
  <c r="U287" i="57" s="1"/>
  <c r="U279" i="57" a="1"/>
  <c r="U279" i="57" s="1"/>
  <c r="U271" i="57" a="1"/>
  <c r="U271" i="57" s="1"/>
  <c r="U263" i="57" a="1"/>
  <c r="U263" i="57" s="1"/>
  <c r="U297" i="57" a="1"/>
  <c r="U297" i="57" s="1"/>
  <c r="U387" i="57" a="1"/>
  <c r="U387" i="57" s="1"/>
  <c r="U379" i="57" a="1"/>
  <c r="U379" i="57" s="1"/>
  <c r="U176" i="57" a="1"/>
  <c r="U176" i="57" s="1"/>
  <c r="U397" i="57" a="1"/>
  <c r="U397" i="57" s="1"/>
  <c r="U224" i="57" a="1"/>
  <c r="U224" i="57" s="1"/>
  <c r="U345" i="57" a="1"/>
  <c r="U345" i="57" s="1"/>
  <c r="U237" i="57" a="1"/>
  <c r="U237" i="57" s="1"/>
  <c r="U243" i="57" a="1"/>
  <c r="U243" i="57" s="1"/>
  <c r="U154" i="57" a="1"/>
  <c r="U154" i="57" s="1"/>
  <c r="U340" i="57" a="1"/>
  <c r="U340" i="57" s="1"/>
  <c r="U74" i="57" a="1"/>
  <c r="U74" i="57" s="1"/>
  <c r="U42" i="57" a="1"/>
  <c r="U42" i="57" s="1"/>
  <c r="U233" i="57" a="1"/>
  <c r="U233" i="57" s="1"/>
  <c r="U217" i="57" a="1"/>
  <c r="U217" i="57" s="1"/>
  <c r="U201" i="57" a="1"/>
  <c r="U201" i="57" s="1"/>
  <c r="U177" i="57" a="1"/>
  <c r="U177" i="57" s="1"/>
  <c r="U153" i="57" a="1"/>
  <c r="U153" i="57" s="1"/>
  <c r="U170" i="57" a="1"/>
  <c r="U170" i="57" s="1"/>
  <c r="U208" i="57" a="1"/>
  <c r="U208" i="57" s="1"/>
  <c r="U160" i="57" a="1"/>
  <c r="U160" i="57" s="1"/>
  <c r="U354" i="57" a="1"/>
  <c r="U354" i="57" s="1"/>
  <c r="U346" i="57" a="1"/>
  <c r="U346" i="57" s="1"/>
  <c r="U338" i="57" a="1"/>
  <c r="U338" i="57" s="1"/>
  <c r="U88" i="57" a="1"/>
  <c r="U88" i="57" s="1"/>
  <c r="U80" i="57" a="1"/>
  <c r="U80" i="57" s="1"/>
  <c r="U64" i="57" a="1"/>
  <c r="U64" i="57" s="1"/>
  <c r="U48" i="57" a="1"/>
  <c r="U48" i="57" s="1"/>
  <c r="U40" i="57" a="1"/>
  <c r="U40" i="57" s="1"/>
  <c r="U32" i="57" a="1"/>
  <c r="U32" i="57" s="1"/>
  <c r="U310" i="57" a="1"/>
  <c r="U310" i="57" s="1"/>
  <c r="U148" i="57" a="1"/>
  <c r="U148" i="57" s="1"/>
  <c r="U132" i="57" a="1"/>
  <c r="U132" i="57" s="1"/>
  <c r="U116" i="57" a="1"/>
  <c r="U116" i="57" s="1"/>
  <c r="U108" i="57" a="1"/>
  <c r="U108" i="57" s="1"/>
  <c r="U100" i="57" a="1"/>
  <c r="U100" i="57" s="1"/>
  <c r="U92" i="57" a="1"/>
  <c r="U92" i="57" s="1"/>
  <c r="U256" i="57" a="1"/>
  <c r="U256" i="57" s="1"/>
  <c r="U248" i="57" a="1"/>
  <c r="U248" i="57" s="1"/>
  <c r="U24" i="57" a="1"/>
  <c r="U24" i="57" s="1"/>
  <c r="U16" i="57" a="1"/>
  <c r="U16" i="57" s="1"/>
  <c r="U8" i="57" a="1"/>
  <c r="U8" i="57" s="1"/>
  <c r="U330" i="57" a="1"/>
  <c r="U330" i="57" s="1"/>
  <c r="U322" i="57" a="1"/>
  <c r="U322" i="57" s="1"/>
  <c r="U286" i="57" a="1"/>
  <c r="U286" i="57" s="1"/>
  <c r="U278" i="57" a="1"/>
  <c r="U278" i="57" s="1"/>
  <c r="U270" i="57" a="1"/>
  <c r="U270" i="57" s="1"/>
  <c r="U262" i="57" a="1"/>
  <c r="U262" i="57" s="1"/>
  <c r="U296" i="57" a="1"/>
  <c r="U296" i="57" s="1"/>
  <c r="U386" i="57" a="1"/>
  <c r="U386" i="57" s="1"/>
  <c r="U378" i="57" a="1"/>
  <c r="U378" i="57" s="1"/>
  <c r="U372" i="57" a="1"/>
  <c r="U372" i="57" s="1"/>
  <c r="U395" i="57" a="1"/>
  <c r="U395" i="57" s="1"/>
  <c r="U245" i="57" a="1"/>
  <c r="U245" i="57" s="1"/>
  <c r="U235" i="57" a="1"/>
  <c r="U235" i="57" s="1"/>
  <c r="U207" i="57" a="1"/>
  <c r="U207" i="57" s="1"/>
  <c r="U191" i="57" a="1"/>
  <c r="U191" i="57" s="1"/>
  <c r="U183" i="57" a="1"/>
  <c r="U183" i="57" s="1"/>
  <c r="U175" i="57" a="1"/>
  <c r="U175" i="57" s="1"/>
  <c r="U167" i="57" a="1"/>
  <c r="U167" i="57" s="1"/>
  <c r="U159" i="57" a="1"/>
  <c r="U159" i="57" s="1"/>
  <c r="U151" i="57" a="1"/>
  <c r="U151" i="57" s="1"/>
  <c r="U353" i="57" a="1"/>
  <c r="U353" i="57" s="1"/>
  <c r="U337" i="57" a="1"/>
  <c r="U337" i="57" s="1"/>
  <c r="U87" i="57" a="1"/>
  <c r="U87" i="57" s="1"/>
  <c r="U79" i="57" a="1"/>
  <c r="U79" i="57" s="1"/>
  <c r="U71" i="57" a="1"/>
  <c r="U71" i="57" s="1"/>
  <c r="U63" i="57" a="1"/>
  <c r="U63" i="57" s="1"/>
  <c r="U55" i="57" a="1"/>
  <c r="U55" i="57" s="1"/>
  <c r="U47" i="57" a="1"/>
  <c r="U47" i="57" s="1"/>
  <c r="U39" i="57" a="1"/>
  <c r="U39" i="57" s="1"/>
  <c r="U317" i="57" a="1"/>
  <c r="U317" i="57" s="1"/>
  <c r="U309" i="57" a="1"/>
  <c r="U309" i="57" s="1"/>
  <c r="U147" i="57" a="1"/>
  <c r="U147" i="57" s="1"/>
  <c r="U139" i="57" a="1"/>
  <c r="U139" i="57" s="1"/>
  <c r="U131" i="57" a="1"/>
  <c r="U131" i="57" s="1"/>
  <c r="U123" i="57" a="1"/>
  <c r="U123" i="57" s="1"/>
  <c r="U115" i="57" a="1"/>
  <c r="U115" i="57" s="1"/>
  <c r="U107" i="57" a="1"/>
  <c r="U107" i="57" s="1"/>
  <c r="U99" i="57" a="1"/>
  <c r="U99" i="57" s="1"/>
  <c r="U91" i="57" a="1"/>
  <c r="U91" i="57" s="1"/>
  <c r="U255" i="57" a="1"/>
  <c r="U255" i="57" s="1"/>
  <c r="U31" i="57" a="1"/>
  <c r="U31" i="57" s="1"/>
  <c r="U23" i="57" a="1"/>
  <c r="U23" i="57" s="1"/>
  <c r="U15" i="57" a="1"/>
  <c r="U15" i="57" s="1"/>
  <c r="U7" i="57" a="1"/>
  <c r="U7" i="57" s="1"/>
  <c r="U329" i="57" a="1"/>
  <c r="U329" i="57" s="1"/>
  <c r="U321" i="57" a="1"/>
  <c r="U321" i="57" s="1"/>
  <c r="U285" i="57" a="1"/>
  <c r="U285" i="57" s="1"/>
  <c r="U277" i="57" a="1"/>
  <c r="U277" i="57" s="1"/>
  <c r="U269" i="57" a="1"/>
  <c r="U269" i="57" s="1"/>
  <c r="U303" i="57" a="1"/>
  <c r="U303" i="57" s="1"/>
  <c r="U295" i="57" a="1"/>
  <c r="U295" i="57" s="1"/>
  <c r="U385" i="57" a="1"/>
  <c r="U385" i="57" s="1"/>
  <c r="U377" i="57" a="1"/>
  <c r="U377" i="57" s="1"/>
  <c r="U371" i="57" a="1"/>
  <c r="U371" i="57" s="1"/>
  <c r="U389" i="57" a="1"/>
  <c r="U389" i="57" s="1"/>
  <c r="U216" i="57" a="1"/>
  <c r="U216" i="57" s="1"/>
  <c r="U169" i="57" a="1"/>
  <c r="U169" i="57" s="1"/>
  <c r="U222" i="57" a="1"/>
  <c r="U222" i="57" s="1"/>
  <c r="U214" i="57" a="1"/>
  <c r="U214" i="57" s="1"/>
  <c r="U206" i="57" a="1"/>
  <c r="U206" i="57" s="1"/>
  <c r="U198" i="57" a="1"/>
  <c r="U198" i="57" s="1"/>
  <c r="U190" i="57" a="1"/>
  <c r="U190" i="57" s="1"/>
  <c r="U174" i="57" a="1"/>
  <c r="U174" i="57" s="1"/>
  <c r="U166" i="57" a="1"/>
  <c r="U166" i="57" s="1"/>
  <c r="U158" i="57" a="1"/>
  <c r="U158" i="57" s="1"/>
  <c r="U150" i="57" a="1"/>
  <c r="U150" i="57" s="1"/>
  <c r="U352" i="57" a="1"/>
  <c r="U352" i="57" s="1"/>
  <c r="U344" i="57" a="1"/>
  <c r="U344" i="57" s="1"/>
  <c r="U336" i="57" a="1"/>
  <c r="U336" i="57" s="1"/>
  <c r="U78" i="57" a="1"/>
  <c r="U78" i="57" s="1"/>
  <c r="U70" i="57" a="1"/>
  <c r="U70" i="57" s="1"/>
  <c r="U62" i="57" a="1"/>
  <c r="U62" i="57" s="1"/>
  <c r="U54" i="57" a="1"/>
  <c r="U54" i="57" s="1"/>
  <c r="U46" i="57" a="1"/>
  <c r="U46" i="57" s="1"/>
  <c r="U38" i="57" a="1"/>
  <c r="U38" i="57" s="1"/>
  <c r="U316" i="57" a="1"/>
  <c r="U316" i="57" s="1"/>
  <c r="U308" i="57" a="1"/>
  <c r="U308" i="57" s="1"/>
  <c r="U146" i="57" a="1"/>
  <c r="U146" i="57" s="1"/>
  <c r="U138" i="57" a="1"/>
  <c r="U138" i="57" s="1"/>
  <c r="U130" i="57" a="1"/>
  <c r="U130" i="57" s="1"/>
  <c r="U122" i="57" a="1"/>
  <c r="U122" i="57" s="1"/>
  <c r="U114" i="57" a="1"/>
  <c r="U114" i="57" s="1"/>
  <c r="U106" i="57" a="1"/>
  <c r="U106" i="57" s="1"/>
  <c r="U98" i="57" a="1"/>
  <c r="U98" i="57" s="1"/>
  <c r="U90" i="57" a="1"/>
  <c r="U90" i="57" s="1"/>
  <c r="U254" i="57" a="1"/>
  <c r="U254" i="57" s="1"/>
  <c r="U30" i="57" a="1"/>
  <c r="U30" i="57" s="1"/>
  <c r="U22" i="57" a="1"/>
  <c r="U22" i="57" s="1"/>
  <c r="U14" i="57" a="1"/>
  <c r="U14" i="57" s="1"/>
  <c r="U6" i="57" a="1"/>
  <c r="U6" i="57" s="1"/>
  <c r="U328" i="57" a="1"/>
  <c r="U328" i="57" s="1"/>
  <c r="U320" i="57" a="1"/>
  <c r="U320" i="57" s="1"/>
  <c r="U284" i="57" a="1"/>
  <c r="U284" i="57" s="1"/>
  <c r="U276" i="57" a="1"/>
  <c r="U276" i="57" s="1"/>
  <c r="U268" i="57" a="1"/>
  <c r="U268" i="57" s="1"/>
  <c r="U302" i="57" a="1"/>
  <c r="U302" i="57" s="1"/>
  <c r="U294" i="57" a="1"/>
  <c r="U294" i="57" s="1"/>
  <c r="U384" i="57" a="1"/>
  <c r="U384" i="57" s="1"/>
  <c r="U376" i="57" a="1"/>
  <c r="U376" i="57" s="1"/>
  <c r="U368" i="57" a="1"/>
  <c r="U368" i="57" s="1"/>
  <c r="U360" i="57" a="1"/>
  <c r="U360" i="57" s="1"/>
  <c r="U394" i="57" a="1"/>
  <c r="U394" i="57" s="1"/>
  <c r="U370" i="57" a="1"/>
  <c r="U370" i="57" s="1"/>
  <c r="U210" i="57" a="1"/>
  <c r="U210" i="57" s="1"/>
  <c r="U229" i="57" a="1"/>
  <c r="U229" i="57" s="1"/>
  <c r="U221" i="57" a="1"/>
  <c r="U221" i="57" s="1"/>
  <c r="U213" i="57" a="1"/>
  <c r="U213" i="57" s="1"/>
  <c r="U197" i="57" a="1"/>
  <c r="U197" i="57" s="1"/>
  <c r="U189" i="57" a="1"/>
  <c r="U189" i="57" s="1"/>
  <c r="U181" i="57" a="1"/>
  <c r="U181" i="57" s="1"/>
  <c r="U173" i="57" a="1"/>
  <c r="U173" i="57" s="1"/>
  <c r="U165" i="57" a="1"/>
  <c r="U165" i="57" s="1"/>
  <c r="U157" i="57" a="1"/>
  <c r="U157" i="57" s="1"/>
  <c r="U359" i="57" a="1"/>
  <c r="U359" i="57" s="1"/>
  <c r="U343" i="57" a="1"/>
  <c r="U343" i="57" s="1"/>
  <c r="U335" i="57" a="1"/>
  <c r="U335" i="57" s="1"/>
  <c r="U85" i="57" a="1"/>
  <c r="U85" i="57" s="1"/>
  <c r="U77" i="57" a="1"/>
  <c r="U77" i="57" s="1"/>
  <c r="U69" i="57" a="1"/>
  <c r="U69" i="57" s="1"/>
  <c r="U61" i="57" a="1"/>
  <c r="U61" i="57" s="1"/>
  <c r="U53" i="57" a="1"/>
  <c r="U53" i="57" s="1"/>
  <c r="U45" i="57" a="1"/>
  <c r="U45" i="57" s="1"/>
  <c r="U37" i="57" a="1"/>
  <c r="U37" i="57" s="1"/>
  <c r="U315" i="57" a="1"/>
  <c r="U315" i="57" s="1"/>
  <c r="U307" i="57" a="1"/>
  <c r="U307" i="57" s="1"/>
  <c r="U145" i="57" a="1"/>
  <c r="U145" i="57" s="1"/>
  <c r="U137" i="57" a="1"/>
  <c r="U137" i="57" s="1"/>
  <c r="U129" i="57" a="1"/>
  <c r="U129" i="57" s="1"/>
  <c r="U121" i="57" a="1"/>
  <c r="U121" i="57" s="1"/>
  <c r="U113" i="57" a="1"/>
  <c r="U113" i="57" s="1"/>
  <c r="U105" i="57" a="1"/>
  <c r="U105" i="57" s="1"/>
  <c r="U97" i="57" a="1"/>
  <c r="U97" i="57" s="1"/>
  <c r="U261" i="57" a="1"/>
  <c r="U261" i="57" s="1"/>
  <c r="U253" i="57" a="1"/>
  <c r="U253" i="57" s="1"/>
  <c r="U29" i="57" a="1"/>
  <c r="U29" i="57" s="1"/>
  <c r="U21" i="57" a="1"/>
  <c r="U21" i="57" s="1"/>
  <c r="U13" i="57" a="1"/>
  <c r="U13" i="57" s="1"/>
  <c r="U5" i="57" a="1"/>
  <c r="U5" i="57" s="1"/>
  <c r="U327" i="57" a="1"/>
  <c r="U327" i="57" s="1"/>
  <c r="U319" i="57" a="1"/>
  <c r="U319" i="57" s="1"/>
  <c r="U283" i="57" a="1"/>
  <c r="U283" i="57" s="1"/>
  <c r="U275" i="57" a="1"/>
  <c r="U275" i="57" s="1"/>
  <c r="U267" i="57" a="1"/>
  <c r="U267" i="57" s="1"/>
  <c r="U301" i="57" a="1"/>
  <c r="U301" i="57" s="1"/>
  <c r="U293" i="57" a="1"/>
  <c r="U293" i="57" s="1"/>
  <c r="U383" i="57" a="1"/>
  <c r="U383" i="57" s="1"/>
  <c r="U375" i="57" a="1"/>
  <c r="U375" i="57" s="1"/>
  <c r="U367" i="57" a="1"/>
  <c r="U367" i="57" s="1"/>
  <c r="U401" i="57" a="1"/>
  <c r="U401" i="57" s="1"/>
  <c r="U393" i="57" a="1"/>
  <c r="U393" i="57" s="1"/>
  <c r="U369" i="57" a="1"/>
  <c r="U369" i="57" s="1"/>
  <c r="U391" i="57" a="1"/>
  <c r="U391" i="57" s="1"/>
  <c r="U231" i="57" a="1"/>
  <c r="U231" i="57" s="1"/>
  <c r="U185" i="57" a="1"/>
  <c r="U185" i="57" s="1"/>
  <c r="U215" i="57" a="1"/>
  <c r="U215" i="57" s="1"/>
  <c r="U247" i="57" a="1"/>
  <c r="U247" i="57" s="1"/>
  <c r="U223" i="57" a="1"/>
  <c r="U223" i="57" s="1"/>
  <c r="U239" i="57" a="1"/>
  <c r="U239" i="57" s="1"/>
  <c r="U362" i="57" a="1"/>
  <c r="U362" i="57" s="1"/>
  <c r="U73" i="57" a="1"/>
  <c r="U73" i="57" s="1"/>
  <c r="U56" i="57" a="1"/>
  <c r="U56" i="57" s="1"/>
  <c r="U50" i="57" a="1"/>
  <c r="U50" i="57" s="1"/>
  <c r="U124" i="57" a="1"/>
  <c r="U124" i="57" s="1"/>
  <c r="U118" i="57" a="1"/>
  <c r="U118" i="57" s="1"/>
  <c r="U396" i="57" a="1"/>
  <c r="U396" i="57" s="1"/>
  <c r="U192" i="57" a="1"/>
  <c r="U192" i="57" s="1"/>
  <c r="U186" i="57" a="1"/>
  <c r="U186" i="57" s="1"/>
  <c r="U168" i="57" a="1"/>
  <c r="U168" i="57" s="1"/>
  <c r="U66" i="57" a="1"/>
  <c r="U66" i="57" s="1"/>
  <c r="U26" i="57" a="1"/>
  <c r="U26" i="57" s="1"/>
  <c r="U162" i="57" a="1"/>
  <c r="U162" i="57" s="1"/>
  <c r="U72" i="57" a="1"/>
  <c r="U72" i="57" s="1"/>
  <c r="U140" i="57" a="1"/>
  <c r="U140" i="57" s="1"/>
  <c r="U134" i="57" a="1"/>
  <c r="U134" i="57" s="1"/>
  <c r="U242" i="57" a="1"/>
  <c r="U242" i="57" s="1"/>
  <c r="U226" i="57" a="1"/>
  <c r="U226" i="57" s="1"/>
  <c r="U178" i="57" a="1"/>
  <c r="U178" i="57" s="1"/>
  <c r="U234" i="57" a="1"/>
  <c r="U234" i="57" s="1"/>
  <c r="U218" i="57" a="1"/>
  <c r="U218" i="57" s="1"/>
  <c r="U184" i="57" a="1"/>
  <c r="U184" i="57" s="1"/>
  <c r="U388" i="57" a="1"/>
  <c r="U388" i="57" s="1"/>
  <c r="U200" i="57" a="1"/>
  <c r="U200" i="57" s="1"/>
  <c r="U194" i="57" a="1"/>
  <c r="U194" i="57" s="1"/>
  <c r="U398" i="57" a="1"/>
  <c r="U398" i="57" s="1"/>
  <c r="U390" i="57" a="1"/>
  <c r="U390" i="57" s="1"/>
  <c r="AC30" i="8"/>
  <c r="O22" i="8"/>
  <c r="N22" i="8"/>
  <c r="N15" i="8"/>
  <c r="I41" i="35" s="1"/>
  <c r="H41" i="35"/>
  <c r="N41" i="35" s="1"/>
  <c r="O15" i="8"/>
  <c r="J41" i="35" s="1"/>
  <c r="O18" i="8"/>
  <c r="J44" i="35" s="1"/>
  <c r="N18" i="8"/>
  <c r="I44" i="35" s="1"/>
  <c r="H44" i="35"/>
  <c r="K42" i="35"/>
  <c r="L42" i="35" s="1"/>
  <c r="O27" i="8"/>
  <c r="N27" i="8"/>
  <c r="O9" i="8"/>
  <c r="K34" i="36" s="1"/>
  <c r="I34" i="36"/>
  <c r="N9" i="8"/>
  <c r="J34" i="36" s="1"/>
  <c r="O8" i="8"/>
  <c r="K33" i="36" s="1"/>
  <c r="N8" i="8"/>
  <c r="J33" i="36" s="1"/>
  <c r="L33" i="36" s="1"/>
  <c r="I33" i="36"/>
  <c r="O12" i="8"/>
  <c r="N12" i="8"/>
  <c r="O25" i="8"/>
  <c r="H21" i="34" s="1"/>
  <c r="F21" i="34"/>
  <c r="N25" i="8"/>
  <c r="G21" i="34" s="1"/>
  <c r="AA30" i="8"/>
  <c r="K41" i="35"/>
  <c r="L41" i="35" s="1"/>
  <c r="AC30" i="27"/>
  <c r="AA30" i="22"/>
  <c r="O17" i="3"/>
  <c r="J105" i="35" s="1"/>
  <c r="N17" i="3"/>
  <c r="I105" i="35" s="1"/>
  <c r="H105" i="35"/>
  <c r="AV20" i="55"/>
  <c r="F51" i="34"/>
  <c r="O25" i="3"/>
  <c r="H51" i="34" s="1"/>
  <c r="N25" i="3"/>
  <c r="G51" i="34" s="1"/>
  <c r="N16" i="3"/>
  <c r="I104" i="35" s="1"/>
  <c r="H104" i="35"/>
  <c r="O16" i="3"/>
  <c r="J104" i="35" s="1"/>
  <c r="AM28" i="55" s="1"/>
  <c r="N27" i="3"/>
  <c r="O27" i="3"/>
  <c r="N10" i="3"/>
  <c r="J85" i="36" s="1"/>
  <c r="H40" i="3"/>
  <c r="H41" i="3" s="1"/>
  <c r="I85" i="36"/>
  <c r="L106" i="35"/>
  <c r="M106" i="35"/>
  <c r="H107" i="35"/>
  <c r="N19" i="3"/>
  <c r="I107" i="35" s="1"/>
  <c r="O19" i="3"/>
  <c r="J107" i="35" s="1"/>
  <c r="N15" i="3"/>
  <c r="I103" i="35" s="1"/>
  <c r="AL20" i="55" s="1"/>
  <c r="O15" i="3"/>
  <c r="J103" i="35" s="1"/>
  <c r="H103" i="35"/>
  <c r="O12" i="3"/>
  <c r="N12" i="3"/>
  <c r="K52" i="34"/>
  <c r="N109" i="35"/>
  <c r="K21" i="5"/>
  <c r="J21" i="5"/>
  <c r="K7" i="5"/>
  <c r="G12" i="36" s="1"/>
  <c r="J7" i="5"/>
  <c r="F12" i="36" s="1"/>
  <c r="E12" i="36"/>
  <c r="J8" i="5"/>
  <c r="F13" i="36" s="1"/>
  <c r="E13" i="36"/>
  <c r="K8" i="5"/>
  <c r="G13" i="36" s="1"/>
  <c r="V52" i="55" s="1"/>
  <c r="J22" i="5"/>
  <c r="M10" i="18"/>
  <c r="H90" i="36"/>
  <c r="M25" i="18"/>
  <c r="E54" i="34"/>
  <c r="AC28" i="47"/>
  <c r="A5" i="34"/>
  <c r="AN8" i="47"/>
  <c r="X5" i="47"/>
  <c r="AO5" i="47"/>
  <c r="X8" i="47"/>
  <c r="AA6" i="47"/>
  <c r="AC4" i="47"/>
  <c r="AC22" i="47"/>
  <c r="AC25" i="47"/>
  <c r="AC16" i="47"/>
  <c r="AC19" i="47"/>
  <c r="AC31" i="47"/>
  <c r="AC27" i="47"/>
  <c r="AC30" i="47"/>
  <c r="AJ160" i="55"/>
  <c r="AJ137" i="55"/>
  <c r="K5" i="34"/>
  <c r="X7" i="47"/>
  <c r="J63" i="34"/>
  <c r="K63" i="34"/>
  <c r="O110" i="36"/>
  <c r="M42" i="35"/>
  <c r="AJ166" i="55"/>
  <c r="AJ177" i="55"/>
  <c r="AA7" i="47"/>
  <c r="J7" i="34"/>
  <c r="K7" i="34"/>
  <c r="K109" i="35"/>
  <c r="Y6" i="47"/>
  <c r="AJ162" i="55"/>
  <c r="AJ133" i="55"/>
  <c r="AJ136" i="55"/>
  <c r="M10" i="36"/>
  <c r="L22" i="35"/>
  <c r="AJ170" i="55"/>
  <c r="AJ183" i="55"/>
  <c r="L10" i="35"/>
  <c r="N64" i="33"/>
  <c r="L64" i="34"/>
  <c r="N42" i="35"/>
  <c r="M35" i="33"/>
  <c r="M57" i="33"/>
  <c r="N58" i="33"/>
  <c r="AC11" i="47"/>
  <c r="AC14" i="47"/>
  <c r="AC17" i="47"/>
  <c r="AC5" i="47"/>
  <c r="M9" i="33"/>
  <c r="N57" i="33"/>
  <c r="AC33" i="47"/>
  <c r="AN5" i="47"/>
  <c r="AC15" i="47"/>
  <c r="AC18" i="47"/>
  <c r="AC21" i="47"/>
  <c r="AC24" i="47"/>
  <c r="M28" i="33"/>
  <c r="N17" i="33"/>
  <c r="N16" i="33"/>
  <c r="M6" i="55" s="1"/>
  <c r="Y4" i="47"/>
  <c r="AL5" i="47"/>
  <c r="AN4" i="47"/>
  <c r="X4" i="47"/>
  <c r="Z5" i="47"/>
  <c r="AC3" i="47"/>
  <c r="AC6" i="47"/>
  <c r="AC9" i="47"/>
  <c r="AC12" i="47"/>
  <c r="N6" i="33"/>
  <c r="AC23" i="47"/>
  <c r="AC26" i="47"/>
  <c r="AC29" i="47"/>
  <c r="AC32" i="47"/>
  <c r="AC20" i="47"/>
  <c r="AC8" i="47"/>
  <c r="Y5" i="47"/>
  <c r="AO4" i="47"/>
  <c r="A6" i="34"/>
  <c r="A7" i="34" s="1"/>
  <c r="A8" i="34" s="1"/>
  <c r="A9" i="34" s="1"/>
  <c r="AU17" i="55"/>
  <c r="AO8" i="47"/>
  <c r="N37" i="33"/>
  <c r="Z6" i="47"/>
  <c r="M6" i="33"/>
  <c r="AL4" i="47"/>
  <c r="A5" i="33"/>
  <c r="A6" i="33" s="1"/>
  <c r="A7" i="33" s="1"/>
  <c r="A8" i="33" s="1"/>
  <c r="AC34" i="47"/>
  <c r="AC7" i="47"/>
  <c r="AC10" i="47"/>
  <c r="AC13" i="47"/>
  <c r="AL105" i="47"/>
  <c r="A5" i="35"/>
  <c r="M30" i="33"/>
  <c r="E40" i="25"/>
  <c r="E41" i="25" s="1"/>
  <c r="N15" i="29"/>
  <c r="I184" i="35" s="1"/>
  <c r="O15" i="29"/>
  <c r="J184" i="35" s="1"/>
  <c r="J18" i="16"/>
  <c r="E93" i="35" s="1"/>
  <c r="K18" i="16"/>
  <c r="F93" i="35" s="1"/>
  <c r="K16" i="16"/>
  <c r="F91" i="35" s="1"/>
  <c r="AI14" i="55" s="1"/>
  <c r="J16" i="16"/>
  <c r="E91" i="35" s="1"/>
  <c r="F40" i="14"/>
  <c r="F41" i="14" s="1"/>
  <c r="J2" i="11"/>
  <c r="AO105" i="47"/>
  <c r="S5" i="47"/>
  <c r="A4" i="36"/>
  <c r="N27" i="21"/>
  <c r="O27" i="21"/>
  <c r="AN106" i="47"/>
  <c r="AH117" i="55"/>
  <c r="K11" i="4"/>
  <c r="J11" i="4"/>
  <c r="L8" i="5"/>
  <c r="E3" i="5"/>
  <c r="L21" i="5"/>
  <c r="M21" i="5" s="1"/>
  <c r="L9" i="5"/>
  <c r="L25" i="5"/>
  <c r="L18" i="5"/>
  <c r="L11" i="5"/>
  <c r="L19" i="5"/>
  <c r="L27" i="5"/>
  <c r="M27" i="5" s="1"/>
  <c r="L12" i="5"/>
  <c r="M12" i="5" s="1"/>
  <c r="J4" i="6"/>
  <c r="K4" i="6"/>
  <c r="O22" i="3"/>
  <c r="N22" i="3"/>
  <c r="O24" i="3"/>
  <c r="H50" i="34" s="1"/>
  <c r="N24" i="3"/>
  <c r="G50" i="34" s="1"/>
  <c r="F34" i="3"/>
  <c r="R5" i="47"/>
  <c r="AI117" i="55"/>
  <c r="F3" i="11"/>
  <c r="E34" i="11"/>
  <c r="M7" i="8"/>
  <c r="L16" i="15"/>
  <c r="L27" i="17"/>
  <c r="M27" i="17" s="1"/>
  <c r="E3" i="17"/>
  <c r="L24" i="17"/>
  <c r="L22" i="17"/>
  <c r="M22" i="17" s="1"/>
  <c r="L7" i="17"/>
  <c r="L25" i="17"/>
  <c r="L8" i="17"/>
  <c r="M8" i="17" s="1"/>
  <c r="L11" i="17"/>
  <c r="L17" i="17"/>
  <c r="L10" i="17"/>
  <c r="M10" i="17" s="1"/>
  <c r="L20" i="17"/>
  <c r="M20" i="17" s="1"/>
  <c r="L12" i="17"/>
  <c r="M12" i="17" s="1"/>
  <c r="L21" i="17"/>
  <c r="M21" i="17" s="1"/>
  <c r="L18" i="17"/>
  <c r="M18" i="17" s="1"/>
  <c r="L15" i="17"/>
  <c r="L16" i="12"/>
  <c r="E3" i="12"/>
  <c r="L15" i="12"/>
  <c r="L12" i="12"/>
  <c r="M12" i="12" s="1"/>
  <c r="O12" i="12" s="1"/>
  <c r="L24" i="12"/>
  <c r="L27" i="12"/>
  <c r="M27" i="12" s="1"/>
  <c r="N27" i="12" s="1"/>
  <c r="L26" i="12"/>
  <c r="L8" i="12"/>
  <c r="L7" i="12"/>
  <c r="L10" i="12"/>
  <c r="L25" i="12"/>
  <c r="L20" i="12"/>
  <c r="E40" i="27"/>
  <c r="E41" i="27" s="1"/>
  <c r="L22" i="9"/>
  <c r="M22" i="9" s="1"/>
  <c r="L24" i="9"/>
  <c r="L20" i="9"/>
  <c r="E4" i="9"/>
  <c r="AI63" i="55"/>
  <c r="K10" i="20"/>
  <c r="G105" i="36" s="1"/>
  <c r="J10" i="20"/>
  <c r="F105" i="36" s="1"/>
  <c r="G2" i="4"/>
  <c r="L10" i="9"/>
  <c r="K10" i="29"/>
  <c r="G150" i="36" s="1"/>
  <c r="J10" i="29"/>
  <c r="F150" i="36" s="1"/>
  <c r="D40" i="25"/>
  <c r="D41" i="25" s="1"/>
  <c r="K10" i="25"/>
  <c r="F2" i="4"/>
  <c r="N11" i="8"/>
  <c r="J36" i="36" s="1"/>
  <c r="L36" i="36" s="1"/>
  <c r="L15" i="9"/>
  <c r="L11" i="9"/>
  <c r="O10" i="3"/>
  <c r="K85" i="36" s="1"/>
  <c r="E40" i="2"/>
  <c r="E41" i="2" s="1"/>
  <c r="L20" i="8"/>
  <c r="M20" i="8" s="1"/>
  <c r="L17" i="8"/>
  <c r="L26" i="8"/>
  <c r="L21" i="8"/>
  <c r="M21" i="8" s="1"/>
  <c r="L10" i="8"/>
  <c r="L24" i="8"/>
  <c r="D40" i="26"/>
  <c r="D41" i="26" s="1"/>
  <c r="K16" i="26"/>
  <c r="F4" i="7"/>
  <c r="H4" i="7"/>
  <c r="G4" i="7"/>
  <c r="I15" i="21"/>
  <c r="W30" i="21"/>
  <c r="J17" i="22"/>
  <c r="E143" i="35" s="1"/>
  <c r="K17" i="22"/>
  <c r="F143" i="35" s="1"/>
  <c r="K3" i="3"/>
  <c r="L21" i="4"/>
  <c r="M21" i="4" s="1"/>
  <c r="L22" i="4"/>
  <c r="M22" i="4" s="1"/>
  <c r="I4" i="13"/>
  <c r="I3" i="13"/>
  <c r="L11" i="21"/>
  <c r="L18" i="21"/>
  <c r="L17" i="21"/>
  <c r="L19" i="21"/>
  <c r="L8" i="21"/>
  <c r="E3" i="21"/>
  <c r="L12" i="21"/>
  <c r="M12" i="21" s="1"/>
  <c r="L7" i="21"/>
  <c r="L17" i="23"/>
  <c r="L25" i="23"/>
  <c r="L10" i="23"/>
  <c r="L9" i="23"/>
  <c r="L27" i="23"/>
  <c r="M27" i="23" s="1"/>
  <c r="L16" i="23"/>
  <c r="L21" i="23"/>
  <c r="M21" i="23" s="1"/>
  <c r="E3" i="23"/>
  <c r="J8" i="22"/>
  <c r="F113" i="36" s="1"/>
  <c r="K8" i="22"/>
  <c r="G113" i="36" s="1"/>
  <c r="W30" i="29"/>
  <c r="I8" i="29"/>
  <c r="I8" i="13"/>
  <c r="I15" i="13"/>
  <c r="I11" i="13"/>
  <c r="E4" i="33"/>
  <c r="E4" i="32"/>
  <c r="L26" i="32"/>
  <c r="F37" i="32"/>
  <c r="E37" i="32"/>
  <c r="G4" i="27"/>
  <c r="H61" i="33" s="1"/>
  <c r="F4" i="27"/>
  <c r="G61" i="33" s="1"/>
  <c r="M61" i="33" s="1"/>
  <c r="E4" i="28"/>
  <c r="L15" i="28"/>
  <c r="I12" i="13"/>
  <c r="I19" i="13"/>
  <c r="I17" i="13"/>
  <c r="AA30" i="4"/>
  <c r="D4" i="25"/>
  <c r="E4" i="25" s="1"/>
  <c r="G4" i="3"/>
  <c r="G34" i="3" s="1"/>
  <c r="F4" i="3"/>
  <c r="H4" i="3"/>
  <c r="I10" i="3"/>
  <c r="I17" i="3"/>
  <c r="I19" i="3"/>
  <c r="I12" i="3"/>
  <c r="I11" i="3"/>
  <c r="I15" i="3"/>
  <c r="I8" i="3"/>
  <c r="I7" i="3"/>
  <c r="I9" i="3"/>
  <c r="I20" i="3"/>
  <c r="E37" i="3"/>
  <c r="I16" i="3"/>
  <c r="F37" i="3"/>
  <c r="H4" i="19"/>
  <c r="G4" i="19"/>
  <c r="F4" i="19"/>
  <c r="AE30" i="24"/>
  <c r="Q3" i="24"/>
  <c r="D3" i="24" s="1"/>
  <c r="I7" i="24"/>
  <c r="I15" i="24"/>
  <c r="I3" i="24"/>
  <c r="I9" i="24"/>
  <c r="I4" i="24"/>
  <c r="F37" i="24"/>
  <c r="I20" i="24"/>
  <c r="I22" i="24"/>
  <c r="I16" i="24"/>
  <c r="I12" i="24"/>
  <c r="I17" i="24"/>
  <c r="I2" i="24"/>
  <c r="I11" i="24"/>
  <c r="I19" i="24"/>
  <c r="L24" i="27"/>
  <c r="L9" i="27"/>
  <c r="L10" i="27"/>
  <c r="L7" i="27"/>
  <c r="L15" i="27"/>
  <c r="L16" i="27"/>
  <c r="L11" i="27"/>
  <c r="L19" i="27"/>
  <c r="L20" i="27"/>
  <c r="L8" i="27"/>
  <c r="L17" i="27"/>
  <c r="E2" i="27"/>
  <c r="L12" i="27"/>
  <c r="M12" i="27" s="1"/>
  <c r="L25" i="27"/>
  <c r="L22" i="27"/>
  <c r="M22" i="27" s="1"/>
  <c r="L21" i="27"/>
  <c r="M21" i="27" s="1"/>
  <c r="L27" i="27"/>
  <c r="M27" i="27" s="1"/>
  <c r="F4" i="2"/>
  <c r="G66" i="33" s="1"/>
  <c r="H4" i="2"/>
  <c r="I66" i="33" s="1"/>
  <c r="G4" i="2"/>
  <c r="H66" i="33" s="1"/>
  <c r="F37" i="28"/>
  <c r="I16" i="28"/>
  <c r="I12" i="28"/>
  <c r="I7" i="28"/>
  <c r="E37" i="28"/>
  <c r="I22" i="28"/>
  <c r="I17" i="28"/>
  <c r="I2" i="28"/>
  <c r="I20" i="28"/>
  <c r="I18" i="28"/>
  <c r="I11" i="28"/>
  <c r="I21" i="28"/>
  <c r="I3" i="28"/>
  <c r="I4" i="28"/>
  <c r="I19" i="28"/>
  <c r="I9" i="28"/>
  <c r="I10" i="28"/>
  <c r="I8" i="28"/>
  <c r="I15" i="28"/>
  <c r="L16" i="4"/>
  <c r="L7" i="4"/>
  <c r="L12" i="4"/>
  <c r="M12" i="4" s="1"/>
  <c r="L19" i="4"/>
  <c r="I18" i="13"/>
  <c r="I2" i="13"/>
  <c r="I21" i="13"/>
  <c r="L12" i="20"/>
  <c r="M12" i="20" s="1"/>
  <c r="L8" i="20"/>
  <c r="AC30" i="4"/>
  <c r="J7" i="11"/>
  <c r="F47" i="36" s="1"/>
  <c r="K7" i="11"/>
  <c r="G47" i="36" s="1"/>
  <c r="E40" i="26"/>
  <c r="E41" i="26" s="1"/>
  <c r="L9" i="4"/>
  <c r="I22" i="13"/>
  <c r="L16" i="21"/>
  <c r="W30" i="4"/>
  <c r="G4" i="23"/>
  <c r="H4" i="23"/>
  <c r="F4" i="23"/>
  <c r="K20" i="29"/>
  <c r="F189" i="35" s="1"/>
  <c r="J20" i="29"/>
  <c r="E189" i="35" s="1"/>
  <c r="D2" i="25"/>
  <c r="L20" i="28"/>
  <c r="M20" i="28" s="1"/>
  <c r="L26" i="28"/>
  <c r="I9" i="30"/>
  <c r="I17" i="30"/>
  <c r="I11" i="32"/>
  <c r="I21" i="32"/>
  <c r="L25" i="32"/>
  <c r="L9" i="1"/>
  <c r="I21" i="11"/>
  <c r="I15" i="11"/>
  <c r="I22" i="11"/>
  <c r="I17" i="11"/>
  <c r="E37" i="11"/>
  <c r="I20" i="11"/>
  <c r="I19" i="11"/>
  <c r="L16" i="13"/>
  <c r="AA30" i="25"/>
  <c r="W30" i="26"/>
  <c r="I11" i="29"/>
  <c r="I9" i="29"/>
  <c r="I3" i="29"/>
  <c r="I2" i="29"/>
  <c r="I7" i="29"/>
  <c r="I17" i="29"/>
  <c r="I15" i="29"/>
  <c r="L16" i="28"/>
  <c r="I8" i="30"/>
  <c r="I15" i="30"/>
  <c r="I21" i="30"/>
  <c r="J21" i="30" s="1"/>
  <c r="E196" i="35" s="1"/>
  <c r="I16" i="32"/>
  <c r="L21" i="32"/>
  <c r="M21" i="32" s="1"/>
  <c r="AE30" i="4"/>
  <c r="AA30" i="6"/>
  <c r="W30" i="8"/>
  <c r="W30" i="11"/>
  <c r="I9" i="11"/>
  <c r="J11" i="11"/>
  <c r="F51" i="36" s="1"/>
  <c r="F37" i="11"/>
  <c r="I2" i="15"/>
  <c r="I8" i="18"/>
  <c r="I18" i="18"/>
  <c r="L10" i="20"/>
  <c r="L20" i="20"/>
  <c r="L24" i="20"/>
  <c r="AA30" i="21"/>
  <c r="D26" i="22"/>
  <c r="E26" i="22" s="1"/>
  <c r="D3" i="22"/>
  <c r="D2" i="22"/>
  <c r="AE30" i="26"/>
  <c r="AE4" i="26"/>
  <c r="Q4" i="26" s="1"/>
  <c r="D4" i="26" s="1"/>
  <c r="L11" i="2"/>
  <c r="M11" i="2" s="1"/>
  <c r="E37" i="31"/>
  <c r="I7" i="31"/>
  <c r="F37" i="31"/>
  <c r="L12" i="28"/>
  <c r="M12" i="28" s="1"/>
  <c r="L11" i="28"/>
  <c r="I18" i="30"/>
  <c r="I3" i="30"/>
  <c r="G3" i="31"/>
  <c r="H73" i="33" s="1"/>
  <c r="I2" i="32"/>
  <c r="K2" i="32" s="1"/>
  <c r="L2" i="33" s="1"/>
  <c r="I4" i="32"/>
  <c r="J4" i="33" s="1"/>
  <c r="I12" i="32"/>
  <c r="I22" i="32"/>
  <c r="W30" i="25"/>
  <c r="I21" i="23"/>
  <c r="E37" i="23"/>
  <c r="E37" i="29"/>
  <c r="D3" i="30"/>
  <c r="D4" i="30"/>
  <c r="D2" i="30"/>
  <c r="L19" i="28"/>
  <c r="L8" i="28"/>
  <c r="I22" i="30"/>
  <c r="I10" i="30"/>
  <c r="I7" i="32"/>
  <c r="I17" i="32"/>
  <c r="L17" i="1"/>
  <c r="I17" i="1"/>
  <c r="F37" i="1"/>
  <c r="I2" i="1"/>
  <c r="I18" i="1"/>
  <c r="I7" i="1"/>
  <c r="I9" i="15"/>
  <c r="I19" i="15"/>
  <c r="K19" i="15" s="1"/>
  <c r="F88" i="35" s="1"/>
  <c r="D4" i="15"/>
  <c r="AC30" i="25"/>
  <c r="I9" i="19"/>
  <c r="J9" i="19" s="1"/>
  <c r="F99" i="36" s="1"/>
  <c r="I19" i="19"/>
  <c r="J19" i="19" s="1"/>
  <c r="E125" i="35" s="1"/>
  <c r="I7" i="23"/>
  <c r="I17" i="23"/>
  <c r="F37" i="23"/>
  <c r="D4" i="24"/>
  <c r="L15" i="24" s="1"/>
  <c r="L10" i="2"/>
  <c r="L10" i="28"/>
  <c r="E3" i="28"/>
  <c r="F37" i="30"/>
  <c r="I20" i="30"/>
  <c r="I10" i="32"/>
  <c r="I20" i="32"/>
  <c r="L8" i="1"/>
  <c r="H23" i="36" s="1"/>
  <c r="F37" i="10"/>
  <c r="E37" i="10"/>
  <c r="I12" i="11"/>
  <c r="L25" i="11"/>
  <c r="AC30" i="16"/>
  <c r="Q3" i="25"/>
  <c r="D3" i="25" s="1"/>
  <c r="W30" i="3"/>
  <c r="E37" i="18"/>
  <c r="AC30" i="21"/>
  <c r="L9" i="28"/>
  <c r="I21" i="29"/>
  <c r="V25" i="55"/>
  <c r="E37" i="30"/>
  <c r="I7" i="30"/>
  <c r="L10" i="32"/>
  <c r="I15" i="32"/>
  <c r="L8" i="9"/>
  <c r="L18" i="9"/>
  <c r="I21" i="9"/>
  <c r="K21" i="9" s="1"/>
  <c r="L25" i="9"/>
  <c r="L21" i="11"/>
  <c r="M21" i="11" s="1"/>
  <c r="Q3" i="13"/>
  <c r="D3" i="13" s="1"/>
  <c r="AE30" i="13"/>
  <c r="I7" i="15"/>
  <c r="J7" i="15" s="1"/>
  <c r="F67" i="36" s="1"/>
  <c r="I17" i="15"/>
  <c r="K17" i="15" s="1"/>
  <c r="F86" i="35" s="1"/>
  <c r="AA30" i="3"/>
  <c r="I2" i="18"/>
  <c r="I7" i="18"/>
  <c r="I17" i="18"/>
  <c r="J17" i="18" s="1"/>
  <c r="E112" i="35" s="1"/>
  <c r="D2" i="19"/>
  <c r="L15" i="19" s="1"/>
  <c r="F37" i="19"/>
  <c r="E37" i="19"/>
  <c r="AC30" i="22"/>
  <c r="J18" i="22"/>
  <c r="E144" i="35" s="1"/>
  <c r="K18" i="22"/>
  <c r="F144" i="35" s="1"/>
  <c r="I2" i="23"/>
  <c r="L20" i="2"/>
  <c r="I19" i="29"/>
  <c r="I4" i="30"/>
  <c r="I3" i="32"/>
  <c r="I8" i="32"/>
  <c r="J8" i="32" s="1"/>
  <c r="F3" i="36" s="1"/>
  <c r="I18" i="32"/>
  <c r="L7" i="5"/>
  <c r="M7" i="5" s="1"/>
  <c r="L17" i="5"/>
  <c r="L12" i="11"/>
  <c r="M12" i="11" s="1"/>
  <c r="L11" i="12"/>
  <c r="H56" i="36" s="1"/>
  <c r="L21" i="12"/>
  <c r="M21" i="12" s="1"/>
  <c r="F37" i="12"/>
  <c r="E37" i="12"/>
  <c r="I10" i="15"/>
  <c r="I20" i="15"/>
  <c r="D4" i="16"/>
  <c r="E4" i="16" s="1"/>
  <c r="D2" i="16"/>
  <c r="H4" i="17"/>
  <c r="G4" i="17"/>
  <c r="AC30" i="3"/>
  <c r="I10" i="19"/>
  <c r="L17" i="19"/>
  <c r="I20" i="19"/>
  <c r="K20" i="19" s="1"/>
  <c r="F128" i="35" s="1"/>
  <c r="D4" i="22"/>
  <c r="I8" i="23"/>
  <c r="I18" i="23"/>
  <c r="W30" i="24"/>
  <c r="I3" i="10"/>
  <c r="I11" i="10"/>
  <c r="I21" i="10"/>
  <c r="L15" i="11"/>
  <c r="I15" i="12"/>
  <c r="L11" i="15"/>
  <c r="I16" i="15"/>
  <c r="L21" i="15"/>
  <c r="M21" i="15" s="1"/>
  <c r="L9" i="17"/>
  <c r="I12" i="17"/>
  <c r="K12" i="17" s="1"/>
  <c r="L19" i="17"/>
  <c r="G101" i="35" s="1"/>
  <c r="I22" i="17"/>
  <c r="I4" i="18"/>
  <c r="L9" i="18"/>
  <c r="I12" i="18"/>
  <c r="I22" i="18"/>
  <c r="I20" i="20"/>
  <c r="I11" i="22"/>
  <c r="I21" i="22"/>
  <c r="I12" i="23"/>
  <c r="L11" i="24"/>
  <c r="D3" i="2"/>
  <c r="L17" i="2" s="1"/>
  <c r="M17" i="2" s="1"/>
  <c r="I3" i="31"/>
  <c r="I15" i="31"/>
  <c r="I9" i="1"/>
  <c r="L11" i="1"/>
  <c r="L20" i="1"/>
  <c r="M20" i="1" s="1"/>
  <c r="N20" i="1" s="1"/>
  <c r="I32" i="35" s="1"/>
  <c r="L24" i="1"/>
  <c r="M24" i="1" s="1"/>
  <c r="O24" i="1" s="1"/>
  <c r="H14" i="34" s="1"/>
  <c r="I11" i="12"/>
  <c r="I21" i="12"/>
  <c r="I4" i="15"/>
  <c r="I12" i="15"/>
  <c r="I22" i="15"/>
  <c r="K22" i="15" s="1"/>
  <c r="I20" i="17"/>
  <c r="I3" i="18"/>
  <c r="I10" i="18"/>
  <c r="I20" i="18"/>
  <c r="I12" i="19"/>
  <c r="K12" i="19" s="1"/>
  <c r="I22" i="19"/>
  <c r="I8" i="20"/>
  <c r="I7" i="22"/>
  <c r="I10" i="22"/>
  <c r="I20" i="22"/>
  <c r="I3" i="23"/>
  <c r="I10" i="23"/>
  <c r="I20" i="23"/>
  <c r="L15" i="2"/>
  <c r="M15" i="2" s="1"/>
  <c r="D2" i="31"/>
  <c r="D4" i="31"/>
  <c r="I11" i="31"/>
  <c r="I21" i="31"/>
  <c r="W16" i="55"/>
  <c r="AJ180" i="55"/>
  <c r="AJ172" i="55"/>
  <c r="AJ164" i="55"/>
  <c r="AJ156" i="55"/>
  <c r="AJ140" i="55"/>
  <c r="AJ132" i="55"/>
  <c r="L10" i="5"/>
  <c r="I15" i="5"/>
  <c r="J15" i="5" s="1"/>
  <c r="E14" i="35" s="1"/>
  <c r="AH44" i="55" s="1"/>
  <c r="L20" i="5"/>
  <c r="L24" i="5"/>
  <c r="I9" i="7"/>
  <c r="I19" i="7"/>
  <c r="I20" i="10"/>
  <c r="L7" i="11"/>
  <c r="H47" i="36" s="1"/>
  <c r="L18" i="11"/>
  <c r="L26" i="11"/>
  <c r="I4" i="12"/>
  <c r="L9" i="12"/>
  <c r="M9" i="12" s="1"/>
  <c r="I12" i="12"/>
  <c r="L19" i="12"/>
  <c r="I22" i="12"/>
  <c r="I15" i="15"/>
  <c r="I10" i="16"/>
  <c r="I20" i="16"/>
  <c r="I11" i="17"/>
  <c r="I21" i="17"/>
  <c r="I11" i="18"/>
  <c r="I21" i="18"/>
  <c r="I15" i="19"/>
  <c r="I9" i="20"/>
  <c r="I19" i="20"/>
  <c r="I11" i="23"/>
  <c r="L18" i="23"/>
  <c r="L9" i="2"/>
  <c r="L16" i="2"/>
  <c r="M16" i="2" s="1"/>
  <c r="L26" i="2"/>
  <c r="L26" i="29"/>
  <c r="M26" i="29" s="1"/>
  <c r="I16" i="30"/>
  <c r="L21" i="30"/>
  <c r="I12" i="31"/>
  <c r="K12" i="31" s="1"/>
  <c r="I22" i="31"/>
  <c r="AJ179" i="55"/>
  <c r="AJ171" i="55"/>
  <c r="AJ163" i="55"/>
  <c r="AJ139" i="55"/>
  <c r="AY7" i="55"/>
  <c r="L15" i="5"/>
  <c r="L9" i="6"/>
  <c r="I12" i="6"/>
  <c r="L19" i="6"/>
  <c r="I22" i="6"/>
  <c r="L10" i="1"/>
  <c r="I19" i="1"/>
  <c r="D2" i="10"/>
  <c r="I2" i="12"/>
  <c r="I7" i="12"/>
  <c r="I17" i="12"/>
  <c r="D2" i="14"/>
  <c r="L11" i="18"/>
  <c r="I16" i="18"/>
  <c r="L21" i="18"/>
  <c r="M21" i="18" s="1"/>
  <c r="I3" i="19"/>
  <c r="K3" i="19" s="1"/>
  <c r="L44" i="33" s="1"/>
  <c r="I8" i="19"/>
  <c r="K8" i="19" s="1"/>
  <c r="G98" i="36" s="1"/>
  <c r="V63" i="55" s="1"/>
  <c r="I18" i="19"/>
  <c r="I3" i="22"/>
  <c r="I4" i="22"/>
  <c r="I16" i="22"/>
  <c r="I16" i="23"/>
  <c r="I8" i="24"/>
  <c r="I18" i="24"/>
  <c r="L19" i="2"/>
  <c r="L18" i="29"/>
  <c r="L20" i="29"/>
  <c r="G189" i="35" s="1"/>
  <c r="I17" i="31"/>
  <c r="I7" i="6"/>
  <c r="I8" i="1"/>
  <c r="I22" i="1"/>
  <c r="K22" i="1" s="1"/>
  <c r="I8" i="10"/>
  <c r="I18" i="10"/>
  <c r="L11" i="11"/>
  <c r="L27" i="11"/>
  <c r="M27" i="11" s="1"/>
  <c r="I3" i="12"/>
  <c r="I10" i="12"/>
  <c r="I20" i="12"/>
  <c r="I11" i="15"/>
  <c r="J11" i="15" s="1"/>
  <c r="F71" i="36" s="1"/>
  <c r="I21" i="15"/>
  <c r="I3" i="17"/>
  <c r="L16" i="17"/>
  <c r="L26" i="17"/>
  <c r="I9" i="18"/>
  <c r="I19" i="18"/>
  <c r="L26" i="18"/>
  <c r="M26" i="18" s="1"/>
  <c r="I11" i="19"/>
  <c r="I21" i="19"/>
  <c r="K21" i="19" s="1"/>
  <c r="F127" i="35" s="1"/>
  <c r="I7" i="20"/>
  <c r="I17" i="20"/>
  <c r="I19" i="23"/>
  <c r="L7" i="2"/>
  <c r="L12" i="2"/>
  <c r="M12" i="2" s="1"/>
  <c r="O12" i="2" s="1"/>
  <c r="L27" i="2"/>
  <c r="M27" i="2" s="1"/>
  <c r="I10" i="31"/>
  <c r="K10" i="31" s="1"/>
  <c r="G160" i="36" s="1"/>
  <c r="I20" i="31"/>
  <c r="U53" i="55"/>
  <c r="T5" i="55"/>
  <c r="U42" i="55"/>
  <c r="T37" i="55"/>
  <c r="V13" i="55"/>
  <c r="G34" i="1"/>
  <c r="A9" i="33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D4" i="47"/>
  <c r="E4" i="47"/>
  <c r="E5" i="47"/>
  <c r="C4" i="47"/>
  <c r="C5" i="47"/>
  <c r="K54" i="55"/>
  <c r="M17" i="33"/>
  <c r="H77" i="55"/>
  <c r="H69" i="55"/>
  <c r="E61" i="55"/>
  <c r="K53" i="55"/>
  <c r="I5" i="55"/>
  <c r="J30" i="55"/>
  <c r="M34" i="33"/>
  <c r="H76" i="55"/>
  <c r="F68" i="55"/>
  <c r="H60" i="55"/>
  <c r="J52" i="55"/>
  <c r="E36" i="55"/>
  <c r="J70" i="55"/>
  <c r="F75" i="55"/>
  <c r="K67" i="55"/>
  <c r="K59" i="55"/>
  <c r="E3" i="55"/>
  <c r="L6" i="55"/>
  <c r="N66" i="33"/>
  <c r="I66" i="55"/>
  <c r="F58" i="55"/>
  <c r="F34" i="55"/>
  <c r="G18" i="55"/>
  <c r="J62" i="55"/>
  <c r="F55" i="55"/>
  <c r="J73" i="55"/>
  <c r="J65" i="55"/>
  <c r="G57" i="55"/>
  <c r="F33" i="55"/>
  <c r="F9" i="55"/>
  <c r="K78" i="55"/>
  <c r="F80" i="55"/>
  <c r="G72" i="55"/>
  <c r="E79" i="55"/>
  <c r="J79" i="55"/>
  <c r="K71" i="55"/>
  <c r="I63" i="55"/>
  <c r="K55" i="55"/>
  <c r="E39" i="55"/>
  <c r="G31" i="55"/>
  <c r="E7" i="55"/>
  <c r="H63" i="55"/>
  <c r="AL209" i="55"/>
  <c r="H79" i="55"/>
  <c r="J7" i="55"/>
  <c r="AN201" i="55"/>
  <c r="V37" i="55"/>
  <c r="Z5" i="55"/>
  <c r="G59" i="55"/>
  <c r="AV7" i="55"/>
  <c r="AW7" i="55"/>
  <c r="G79" i="55"/>
  <c r="G55" i="55"/>
  <c r="H55" i="55"/>
  <c r="I39" i="55"/>
  <c r="AU7" i="55"/>
  <c r="J63" i="55"/>
  <c r="M7" i="55"/>
  <c r="I7" i="55"/>
  <c r="AX7" i="55"/>
  <c r="G71" i="55"/>
  <c r="I55" i="55"/>
  <c r="F63" i="55"/>
  <c r="E63" i="55"/>
  <c r="L7" i="55"/>
  <c r="K63" i="55"/>
  <c r="AF217" i="55"/>
  <c r="H71" i="55"/>
  <c r="G63" i="55"/>
  <c r="G7" i="55"/>
  <c r="F7" i="55"/>
  <c r="F71" i="55"/>
  <c r="K7" i="55"/>
  <c r="J55" i="55"/>
  <c r="H7" i="55"/>
  <c r="F79" i="55"/>
  <c r="J71" i="55"/>
  <c r="AI209" i="55"/>
  <c r="K79" i="55"/>
  <c r="I71" i="55"/>
  <c r="I15" i="55"/>
  <c r="I79" i="55"/>
  <c r="E55" i="55"/>
  <c r="E71" i="55"/>
  <c r="I75" i="55"/>
  <c r="E59" i="55"/>
  <c r="H73" i="55"/>
  <c r="E33" i="55"/>
  <c r="H59" i="55"/>
  <c r="K7" i="19"/>
  <c r="E97" i="36"/>
  <c r="W30" i="19"/>
  <c r="K22" i="19"/>
  <c r="J22" i="19"/>
  <c r="E98" i="36"/>
  <c r="T63" i="55" s="1"/>
  <c r="K18" i="19"/>
  <c r="F126" i="35" s="1"/>
  <c r="J18" i="19"/>
  <c r="E126" i="35" s="1"/>
  <c r="G97" i="36"/>
  <c r="V40" i="55" s="1"/>
  <c r="K19" i="19"/>
  <c r="F125" i="35" s="1"/>
  <c r="J12" i="19"/>
  <c r="K17" i="19"/>
  <c r="F124" i="35" s="1"/>
  <c r="J17" i="19"/>
  <c r="E124" i="35" s="1"/>
  <c r="AH105" i="55" s="1"/>
  <c r="J15" i="19"/>
  <c r="E122" i="35" s="1"/>
  <c r="K15" i="19"/>
  <c r="F122" i="35" s="1"/>
  <c r="L10" i="55"/>
  <c r="J7" i="19"/>
  <c r="F97" i="36" s="1"/>
  <c r="G65" i="55"/>
  <c r="X5" i="55"/>
  <c r="W5" i="55"/>
  <c r="T69" i="55"/>
  <c r="AJ217" i="55"/>
  <c r="F73" i="55"/>
  <c r="T53" i="55"/>
  <c r="AM193" i="55"/>
  <c r="AH217" i="55"/>
  <c r="AF201" i="55"/>
  <c r="V53" i="55"/>
  <c r="AM201" i="55"/>
  <c r="AK193" i="55"/>
  <c r="AL217" i="55"/>
  <c r="AH209" i="55"/>
  <c r="AF209" i="55"/>
  <c r="AK217" i="55"/>
  <c r="Y5" i="55"/>
  <c r="K73" i="55"/>
  <c r="AN209" i="55"/>
  <c r="W53" i="55"/>
  <c r="U69" i="55"/>
  <c r="U13" i="55"/>
  <c r="T13" i="55"/>
  <c r="AH193" i="55"/>
  <c r="AN217" i="55"/>
  <c r="AG201" i="55"/>
  <c r="AG193" i="55"/>
  <c r="J57" i="55"/>
  <c r="V69" i="55"/>
  <c r="U5" i="55"/>
  <c r="V5" i="55"/>
  <c r="AI201" i="55"/>
  <c r="AJ193" i="55"/>
  <c r="AG217" i="55"/>
  <c r="AL201" i="55"/>
  <c r="AK201" i="55"/>
  <c r="AM217" i="55"/>
  <c r="AK209" i="55"/>
  <c r="AJ201" i="55"/>
  <c r="AL221" i="55"/>
  <c r="AL197" i="55"/>
  <c r="AL193" i="55"/>
  <c r="AJ209" i="55"/>
  <c r="AG209" i="55"/>
  <c r="AI193" i="55"/>
  <c r="AN213" i="55"/>
  <c r="G33" i="55"/>
  <c r="H33" i="55"/>
  <c r="AN193" i="55"/>
  <c r="K65" i="55"/>
  <c r="M9" i="17"/>
  <c r="H79" i="36"/>
  <c r="W69" i="55" s="1"/>
  <c r="M19" i="17"/>
  <c r="G102" i="35"/>
  <c r="H80" i="36"/>
  <c r="AT7" i="55"/>
  <c r="M11" i="12"/>
  <c r="AA30" i="12"/>
  <c r="H66" i="35"/>
  <c r="AK102" i="55" s="1"/>
  <c r="O18" i="12"/>
  <c r="J66" i="35" s="1"/>
  <c r="AM102" i="55" s="1"/>
  <c r="N18" i="12"/>
  <c r="I66" i="35" s="1"/>
  <c r="AL102" i="55" s="1"/>
  <c r="N21" i="12"/>
  <c r="O21" i="12"/>
  <c r="O17" i="12"/>
  <c r="J67" i="35" s="1"/>
  <c r="N17" i="12"/>
  <c r="I67" i="35" s="1"/>
  <c r="H67" i="35"/>
  <c r="O22" i="12"/>
  <c r="N22" i="12"/>
  <c r="G69" i="35"/>
  <c r="AJ118" i="55" s="1"/>
  <c r="M19" i="12"/>
  <c r="O27" i="12"/>
  <c r="AC30" i="15"/>
  <c r="K8" i="12"/>
  <c r="G53" i="36" s="1"/>
  <c r="J8" i="12"/>
  <c r="F53" i="36" s="1"/>
  <c r="E53" i="36"/>
  <c r="K17" i="12"/>
  <c r="F67" i="35" s="1"/>
  <c r="J17" i="12"/>
  <c r="E67" i="35" s="1"/>
  <c r="AH81" i="55" s="1"/>
  <c r="J16" i="12"/>
  <c r="E64" i="35" s="1"/>
  <c r="K16" i="12"/>
  <c r="F64" i="35" s="1"/>
  <c r="K18" i="12"/>
  <c r="F66" i="35" s="1"/>
  <c r="J18" i="12"/>
  <c r="E66" i="35" s="1"/>
  <c r="AH102" i="55" s="1"/>
  <c r="J3" i="12"/>
  <c r="K25" i="33" s="1"/>
  <c r="K3" i="12"/>
  <c r="L25" i="33" s="1"/>
  <c r="J25" i="33"/>
  <c r="K15" i="12"/>
  <c r="F65" i="35" s="1"/>
  <c r="AI7" i="55" s="1"/>
  <c r="J15" i="12"/>
  <c r="E65" i="35" s="1"/>
  <c r="J7" i="12"/>
  <c r="F52" i="36" s="1"/>
  <c r="E52" i="36"/>
  <c r="K7" i="12"/>
  <c r="G52" i="36" s="1"/>
  <c r="K12" i="12"/>
  <c r="J12" i="12"/>
  <c r="K9" i="12"/>
  <c r="G54" i="36" s="1"/>
  <c r="E54" i="36"/>
  <c r="J9" i="12"/>
  <c r="F54" i="36" s="1"/>
  <c r="J21" i="12"/>
  <c r="K21" i="12"/>
  <c r="E55" i="36"/>
  <c r="K10" i="12"/>
  <c r="G55" i="36" s="1"/>
  <c r="J10" i="12"/>
  <c r="F55" i="36" s="1"/>
  <c r="K19" i="12"/>
  <c r="F69" i="35" s="1"/>
  <c r="AI118" i="55" s="1"/>
  <c r="J19" i="12"/>
  <c r="E69" i="35" s="1"/>
  <c r="K22" i="12"/>
  <c r="J22" i="12"/>
  <c r="K11" i="12"/>
  <c r="G56" i="36" s="1"/>
  <c r="J11" i="12"/>
  <c r="F56" i="36" s="1"/>
  <c r="E56" i="36"/>
  <c r="K2" i="12"/>
  <c r="J2" i="12"/>
  <c r="J24" i="33"/>
  <c r="K20" i="12"/>
  <c r="F68" i="35" s="1"/>
  <c r="J20" i="12"/>
  <c r="E68" i="35" s="1"/>
  <c r="G14" i="55"/>
  <c r="H2" i="55"/>
  <c r="I21" i="55"/>
  <c r="K4" i="55"/>
  <c r="I11" i="55"/>
  <c r="K2" i="5"/>
  <c r="L7" i="33" s="1"/>
  <c r="L5" i="55" s="1"/>
  <c r="J7" i="33"/>
  <c r="J5" i="55" s="1"/>
  <c r="J2" i="5"/>
  <c r="K7" i="33" s="1"/>
  <c r="J11" i="5"/>
  <c r="F16" i="36" s="1"/>
  <c r="K11" i="5"/>
  <c r="G16" i="36" s="1"/>
  <c r="J10" i="5"/>
  <c r="F15" i="36" s="1"/>
  <c r="K10" i="5"/>
  <c r="G15" i="36" s="1"/>
  <c r="K9" i="5"/>
  <c r="G14" i="36" s="1"/>
  <c r="J9" i="5"/>
  <c r="F14" i="36" s="1"/>
  <c r="U71" i="55" s="1"/>
  <c r="E14" i="36"/>
  <c r="T71" i="55" s="1"/>
  <c r="W25" i="55"/>
  <c r="V90" i="55"/>
  <c r="V17" i="55"/>
  <c r="W89" i="55"/>
  <c r="U25" i="55"/>
  <c r="T17" i="55"/>
  <c r="U64" i="55"/>
  <c r="Z56" i="55"/>
  <c r="AC30" i="5"/>
  <c r="N27" i="5"/>
  <c r="O27" i="5"/>
  <c r="M17" i="5"/>
  <c r="O17" i="5" s="1"/>
  <c r="J16" i="35" s="1"/>
  <c r="G16" i="35"/>
  <c r="M10" i="5"/>
  <c r="H15" i="36"/>
  <c r="E8" i="34"/>
  <c r="AU3" i="55" s="1"/>
  <c r="M24" i="5"/>
  <c r="M15" i="5"/>
  <c r="G14" i="35"/>
  <c r="N7" i="5"/>
  <c r="J12" i="36" s="1"/>
  <c r="I12" i="36"/>
  <c r="O7" i="5"/>
  <c r="K12" i="36" s="1"/>
  <c r="H12" i="36"/>
  <c r="AJ63" i="55"/>
  <c r="AH3" i="55"/>
  <c r="AC30" i="20"/>
  <c r="T76" i="55"/>
  <c r="W4" i="55"/>
  <c r="W41" i="55"/>
  <c r="U32" i="55"/>
  <c r="E53" i="55"/>
  <c r="E5" i="55"/>
  <c r="U40" i="55"/>
  <c r="G76" i="55"/>
  <c r="G60" i="55"/>
  <c r="F37" i="55"/>
  <c r="F69" i="55"/>
  <c r="E68" i="55"/>
  <c r="T25" i="55"/>
  <c r="K52" i="55"/>
  <c r="H52" i="55"/>
  <c r="F52" i="55"/>
  <c r="J76" i="55"/>
  <c r="M26" i="11"/>
  <c r="E31" i="34"/>
  <c r="M7" i="11"/>
  <c r="G63" i="35"/>
  <c r="M15" i="11"/>
  <c r="G58" i="35"/>
  <c r="AJ38" i="55" s="1"/>
  <c r="M18" i="11"/>
  <c r="G61" i="35"/>
  <c r="AK122" i="55"/>
  <c r="AJ59" i="55"/>
  <c r="AK28" i="55"/>
  <c r="AJ64" i="55"/>
  <c r="AJ122" i="55"/>
  <c r="W75" i="55"/>
  <c r="V89" i="55"/>
  <c r="U49" i="55"/>
  <c r="AI3" i="55"/>
  <c r="AH107" i="55"/>
  <c r="I52" i="55"/>
  <c r="I60" i="55"/>
  <c r="I4" i="55"/>
  <c r="F60" i="55"/>
  <c r="F76" i="55"/>
  <c r="E4" i="55"/>
  <c r="E76" i="55"/>
  <c r="I76" i="55"/>
  <c r="F4" i="55"/>
  <c r="K68" i="55"/>
  <c r="AH198" i="55"/>
  <c r="I20" i="55"/>
  <c r="G52" i="55"/>
  <c r="I68" i="55"/>
  <c r="G4" i="55"/>
  <c r="E52" i="55"/>
  <c r="J60" i="55"/>
  <c r="J58" i="55"/>
  <c r="E60" i="55"/>
  <c r="K60" i="55"/>
  <c r="J68" i="55"/>
  <c r="H4" i="55"/>
  <c r="H68" i="55"/>
  <c r="J4" i="55"/>
  <c r="L4" i="55"/>
  <c r="AJ214" i="55"/>
  <c r="G68" i="55"/>
  <c r="W50" i="55"/>
  <c r="J75" i="55"/>
  <c r="G67" i="55"/>
  <c r="I59" i="55"/>
  <c r="I3" i="55"/>
  <c r="F59" i="55"/>
  <c r="AL208" i="55"/>
  <c r="H75" i="55"/>
  <c r="E67" i="55"/>
  <c r="V15" i="55"/>
  <c r="J3" i="55"/>
  <c r="AN219" i="55"/>
  <c r="I67" i="55"/>
  <c r="G11" i="55"/>
  <c r="H67" i="55"/>
  <c r="AI200" i="55"/>
  <c r="AJ216" i="55"/>
  <c r="E75" i="55"/>
  <c r="AM211" i="55"/>
  <c r="F62" i="55"/>
  <c r="W11" i="55"/>
  <c r="J54" i="55"/>
  <c r="AH203" i="55"/>
  <c r="AF189" i="55"/>
  <c r="Y3" i="55"/>
  <c r="T27" i="55"/>
  <c r="AI197" i="55"/>
  <c r="AH211" i="55"/>
  <c r="AJ203" i="55"/>
  <c r="H54" i="55"/>
  <c r="G54" i="55"/>
  <c r="G78" i="55"/>
  <c r="E65" i="55"/>
  <c r="AK219" i="55"/>
  <c r="AJ197" i="55"/>
  <c r="E42" i="55"/>
  <c r="K30" i="55"/>
  <c r="K14" i="55"/>
  <c r="I54" i="55"/>
  <c r="I34" i="55"/>
  <c r="H58" i="55"/>
  <c r="F30" i="55"/>
  <c r="E54" i="55"/>
  <c r="I78" i="55"/>
  <c r="H70" i="55"/>
  <c r="G77" i="55"/>
  <c r="F6" i="55"/>
  <c r="K5" i="55"/>
  <c r="J61" i="55"/>
  <c r="K77" i="55"/>
  <c r="AK213" i="55"/>
  <c r="AJ213" i="55"/>
  <c r="I77" i="55"/>
  <c r="H78" i="55"/>
  <c r="H6" i="55"/>
  <c r="F77" i="55"/>
  <c r="L45" i="55"/>
  <c r="V49" i="55"/>
  <c r="T49" i="55"/>
  <c r="AJ221" i="55"/>
  <c r="X16" i="55"/>
  <c r="F54" i="55"/>
  <c r="H5" i="55"/>
  <c r="X56" i="55"/>
  <c r="Y56" i="55"/>
  <c r="I69" i="55"/>
  <c r="G6" i="55"/>
  <c r="I62" i="55"/>
  <c r="F70" i="55"/>
  <c r="E62" i="55"/>
  <c r="E6" i="55"/>
  <c r="K62" i="55"/>
  <c r="K70" i="55"/>
  <c r="T89" i="55"/>
  <c r="AI189" i="55"/>
  <c r="I70" i="55"/>
  <c r="I6" i="55"/>
  <c r="H62" i="55"/>
  <c r="F5" i="55"/>
  <c r="E37" i="55"/>
  <c r="E69" i="55"/>
  <c r="K45" i="55"/>
  <c r="U89" i="55"/>
  <c r="AH204" i="55"/>
  <c r="AF212" i="55"/>
  <c r="AM189" i="55"/>
  <c r="I30" i="55"/>
  <c r="G62" i="55"/>
  <c r="Z16" i="55"/>
  <c r="E70" i="55"/>
  <c r="J77" i="55"/>
  <c r="AI92" i="55"/>
  <c r="AI205" i="55"/>
  <c r="AH197" i="55"/>
  <c r="AM213" i="55"/>
  <c r="AM197" i="55"/>
  <c r="AG196" i="55"/>
  <c r="AK189" i="55"/>
  <c r="AG189" i="55"/>
  <c r="I37" i="55"/>
  <c r="F78" i="55"/>
  <c r="J6" i="55"/>
  <c r="AL204" i="55"/>
  <c r="AK196" i="55"/>
  <c r="AG221" i="55"/>
  <c r="AL189" i="55"/>
  <c r="AF213" i="55"/>
  <c r="Y16" i="55"/>
  <c r="G37" i="55"/>
  <c r="V64" i="55"/>
  <c r="AN204" i="55"/>
  <c r="AJ220" i="55"/>
  <c r="AI188" i="55"/>
  <c r="AH92" i="55"/>
  <c r="AC30" i="29"/>
  <c r="AA30" i="29"/>
  <c r="O16" i="29"/>
  <c r="J185" i="35" s="1"/>
  <c r="N16" i="29"/>
  <c r="I185" i="35" s="1"/>
  <c r="H185" i="35"/>
  <c r="O8" i="29"/>
  <c r="I148" i="36"/>
  <c r="N8" i="29"/>
  <c r="E91" i="34"/>
  <c r="O12" i="29"/>
  <c r="N12" i="29"/>
  <c r="M18" i="29"/>
  <c r="G187" i="35"/>
  <c r="AJ120" i="55" s="1"/>
  <c r="M20" i="29"/>
  <c r="O22" i="29"/>
  <c r="N22" i="29"/>
  <c r="I151" i="36"/>
  <c r="O11" i="29"/>
  <c r="K151" i="36" s="1"/>
  <c r="N11" i="29"/>
  <c r="J151" i="36" s="1"/>
  <c r="N27" i="29"/>
  <c r="O27" i="29"/>
  <c r="H186" i="35"/>
  <c r="AK87" i="55" s="1"/>
  <c r="O17" i="29"/>
  <c r="J186" i="35" s="1"/>
  <c r="AM87" i="55" s="1"/>
  <c r="N17" i="29"/>
  <c r="I186" i="35" s="1"/>
  <c r="N9" i="29"/>
  <c r="J149" i="36" s="1"/>
  <c r="Y81" i="55" s="1"/>
  <c r="O9" i="29"/>
  <c r="K149" i="36" s="1"/>
  <c r="Z80" i="55" s="1"/>
  <c r="I149" i="36"/>
  <c r="F90" i="34"/>
  <c r="O25" i="29"/>
  <c r="H90" i="34" s="1"/>
  <c r="N25" i="29"/>
  <c r="G90" i="34" s="1"/>
  <c r="O10" i="29"/>
  <c r="K150" i="36" s="1"/>
  <c r="Z75" i="55" s="1"/>
  <c r="I150" i="36"/>
  <c r="X75" i="55" s="1"/>
  <c r="N10" i="29"/>
  <c r="J150" i="36" s="1"/>
  <c r="Y75" i="55" s="1"/>
  <c r="F89" i="34"/>
  <c r="O24" i="29"/>
  <c r="H89" i="34" s="1"/>
  <c r="N24" i="29"/>
  <c r="G89" i="34" s="1"/>
  <c r="N19" i="29"/>
  <c r="I188" i="35" s="1"/>
  <c r="O19" i="29"/>
  <c r="J188" i="35" s="1"/>
  <c r="H188" i="35"/>
  <c r="G185" i="35"/>
  <c r="H149" i="36"/>
  <c r="W81" i="55" s="1"/>
  <c r="G186" i="35"/>
  <c r="AJ87" i="55" s="1"/>
  <c r="N21" i="29"/>
  <c r="G40" i="29"/>
  <c r="G41" i="29" s="1"/>
  <c r="AC30" i="26"/>
  <c r="AA30" i="26"/>
  <c r="M110" i="36"/>
  <c r="L109" i="36"/>
  <c r="N109" i="36" s="1"/>
  <c r="M11" i="18"/>
  <c r="N11" i="18" s="1"/>
  <c r="J91" i="36" s="1"/>
  <c r="H91" i="36"/>
  <c r="AA30" i="18"/>
  <c r="G115" i="35"/>
  <c r="AC30" i="18"/>
  <c r="N18" i="18"/>
  <c r="I113" i="35" s="1"/>
  <c r="O18" i="18"/>
  <c r="J113" i="35" s="1"/>
  <c r="AM91" i="55" s="1"/>
  <c r="N19" i="18"/>
  <c r="I114" i="35" s="1"/>
  <c r="O19" i="18"/>
  <c r="J114" i="35" s="1"/>
  <c r="H114" i="35"/>
  <c r="O22" i="18"/>
  <c r="N22" i="18"/>
  <c r="H110" i="35"/>
  <c r="O16" i="18"/>
  <c r="J110" i="35" s="1"/>
  <c r="N16" i="18"/>
  <c r="I110" i="35" s="1"/>
  <c r="E55" i="34"/>
  <c r="N17" i="18"/>
  <c r="I112" i="35" s="1"/>
  <c r="O17" i="18"/>
  <c r="J112" i="35" s="1"/>
  <c r="H112" i="35"/>
  <c r="O8" i="18"/>
  <c r="K88" i="36" s="1"/>
  <c r="I88" i="36"/>
  <c r="N8" i="18"/>
  <c r="J88" i="36" s="1"/>
  <c r="Y58" i="55" s="1"/>
  <c r="M9" i="18"/>
  <c r="H89" i="36"/>
  <c r="N27" i="18"/>
  <c r="O27" i="18"/>
  <c r="O10" i="18"/>
  <c r="K90" i="36" s="1"/>
  <c r="N10" i="18"/>
  <c r="J90" i="36" s="1"/>
  <c r="I90" i="36"/>
  <c r="N12" i="18"/>
  <c r="O12" i="18"/>
  <c r="O20" i="18"/>
  <c r="J115" i="35" s="1"/>
  <c r="H115" i="35"/>
  <c r="N20" i="18"/>
  <c r="I115" i="35" s="1"/>
  <c r="N24" i="18"/>
  <c r="G53" i="34" s="1"/>
  <c r="F53" i="34"/>
  <c r="O24" i="18"/>
  <c r="H53" i="34" s="1"/>
  <c r="AX10" i="55" s="1"/>
  <c r="F54" i="34"/>
  <c r="O25" i="18"/>
  <c r="H54" i="34" s="1"/>
  <c r="N25" i="18"/>
  <c r="G54" i="34" s="1"/>
  <c r="H113" i="35"/>
  <c r="H88" i="36"/>
  <c r="M15" i="18"/>
  <c r="L7" i="18"/>
  <c r="M16" i="17"/>
  <c r="G98" i="35"/>
  <c r="M26" i="17"/>
  <c r="F49" i="34" s="1"/>
  <c r="E49" i="34"/>
  <c r="H78" i="36"/>
  <c r="G100" i="35"/>
  <c r="AC30" i="17"/>
  <c r="J16" i="17"/>
  <c r="E98" i="35" s="1"/>
  <c r="W30" i="17"/>
  <c r="K17" i="17"/>
  <c r="F99" i="35" s="1"/>
  <c r="J17" i="17"/>
  <c r="E99" i="35" s="1"/>
  <c r="AH51" i="55" s="1"/>
  <c r="K20" i="17"/>
  <c r="F102" i="35" s="1"/>
  <c r="J20" i="17"/>
  <c r="E102" i="35" s="1"/>
  <c r="K8" i="17"/>
  <c r="G78" i="36" s="1"/>
  <c r="E78" i="36"/>
  <c r="J8" i="17"/>
  <c r="F78" i="36" s="1"/>
  <c r="U43" i="55" s="1"/>
  <c r="J18" i="17"/>
  <c r="E100" i="35" s="1"/>
  <c r="K18" i="17"/>
  <c r="F100" i="35" s="1"/>
  <c r="K3" i="17"/>
  <c r="J3" i="17"/>
  <c r="J36" i="33"/>
  <c r="K21" i="17"/>
  <c r="J21" i="17"/>
  <c r="J22" i="17"/>
  <c r="K22" i="17"/>
  <c r="K7" i="17"/>
  <c r="G77" i="36" s="1"/>
  <c r="J7" i="17"/>
  <c r="F77" i="36" s="1"/>
  <c r="AC30" i="12"/>
  <c r="AU43" i="55"/>
  <c r="AY18" i="55"/>
  <c r="AX18" i="55"/>
  <c r="AU18" i="55"/>
  <c r="AU38" i="55"/>
  <c r="AU10" i="55"/>
  <c r="AV17" i="55"/>
  <c r="AU5" i="55"/>
  <c r="AW15" i="55"/>
  <c r="AX43" i="55"/>
  <c r="AU15" i="55"/>
  <c r="AV43" i="55"/>
  <c r="AV18" i="55"/>
  <c r="M25" i="11"/>
  <c r="E30" i="34"/>
  <c r="G59" i="35"/>
  <c r="AK50" i="55"/>
  <c r="AH15" i="55"/>
  <c r="AJ82" i="55"/>
  <c r="AN99" i="55"/>
  <c r="AI109" i="55"/>
  <c r="AH76" i="55"/>
  <c r="AJ100" i="55"/>
  <c r="AJ123" i="55"/>
  <c r="L19" i="10"/>
  <c r="L10" i="10"/>
  <c r="G40" i="10" s="1"/>
  <c r="G41" i="10" s="1"/>
  <c r="L24" i="10"/>
  <c r="L27" i="10"/>
  <c r="M27" i="10" s="1"/>
  <c r="L8" i="10"/>
  <c r="M8" i="10" s="1"/>
  <c r="L20" i="10"/>
  <c r="M20" i="10" s="1"/>
  <c r="L7" i="10"/>
  <c r="H42" i="36" s="1"/>
  <c r="L12" i="10"/>
  <c r="M12" i="10" s="1"/>
  <c r="O12" i="10" s="1"/>
  <c r="L25" i="10"/>
  <c r="M25" i="10" s="1"/>
  <c r="L17" i="10"/>
  <c r="M17" i="10" s="1"/>
  <c r="L18" i="10"/>
  <c r="L9" i="10"/>
  <c r="E20" i="33"/>
  <c r="E2" i="10"/>
  <c r="L22" i="10"/>
  <c r="M22" i="10" s="1"/>
  <c r="L15" i="10"/>
  <c r="E3" i="10"/>
  <c r="E21" i="33"/>
  <c r="E46" i="55" s="1"/>
  <c r="AE30" i="10"/>
  <c r="L11" i="10"/>
  <c r="L21" i="10"/>
  <c r="M21" i="10" s="1"/>
  <c r="L16" i="10"/>
  <c r="L26" i="10"/>
  <c r="H36" i="55"/>
  <c r="H31" i="55"/>
  <c r="H14" i="55"/>
  <c r="G44" i="55"/>
  <c r="H11" i="55"/>
  <c r="E44" i="55"/>
  <c r="E35" i="55"/>
  <c r="E20" i="55"/>
  <c r="J29" i="55"/>
  <c r="K44" i="55"/>
  <c r="K31" i="55"/>
  <c r="H12" i="55"/>
  <c r="I31" i="55"/>
  <c r="H49" i="55"/>
  <c r="G20" i="55"/>
  <c r="F15" i="55"/>
  <c r="E38" i="55"/>
  <c r="E23" i="55"/>
  <c r="J31" i="55"/>
  <c r="L2" i="55"/>
  <c r="H15" i="55"/>
  <c r="I23" i="55"/>
  <c r="G19" i="55"/>
  <c r="H19" i="55"/>
  <c r="F36" i="55"/>
  <c r="G23" i="55"/>
  <c r="E9" i="55"/>
  <c r="J27" i="55"/>
  <c r="K27" i="55"/>
  <c r="M2" i="55"/>
  <c r="H20" i="55"/>
  <c r="I35" i="55"/>
  <c r="I9" i="55"/>
  <c r="I19" i="55"/>
  <c r="G49" i="55"/>
  <c r="G32" i="55"/>
  <c r="F35" i="55"/>
  <c r="F21" i="55"/>
  <c r="J25" i="55"/>
  <c r="K25" i="55"/>
  <c r="J44" i="55"/>
  <c r="H44" i="55"/>
  <c r="H23" i="55"/>
  <c r="G15" i="55"/>
  <c r="G12" i="55"/>
  <c r="F14" i="55"/>
  <c r="F23" i="55"/>
  <c r="F3" i="55"/>
  <c r="E31" i="55"/>
  <c r="L25" i="55"/>
  <c r="K9" i="55"/>
  <c r="M31" i="55"/>
  <c r="F12" i="55"/>
  <c r="G36" i="55"/>
  <c r="F31" i="55"/>
  <c r="F39" i="55"/>
  <c r="F19" i="55"/>
  <c r="F20" i="55"/>
  <c r="F11" i="55"/>
  <c r="E12" i="55"/>
  <c r="E19" i="55"/>
  <c r="E15" i="55"/>
  <c r="L29" i="55"/>
  <c r="L19" i="55"/>
  <c r="I36" i="55"/>
  <c r="I12" i="55"/>
  <c r="I14" i="55"/>
  <c r="I44" i="55"/>
  <c r="H13" i="55"/>
  <c r="H39" i="55"/>
  <c r="F44" i="55"/>
  <c r="G39" i="55"/>
  <c r="L31" i="55"/>
  <c r="Q3" i="7"/>
  <c r="D3" i="7" s="1"/>
  <c r="L8" i="7" s="1"/>
  <c r="K29" i="55"/>
  <c r="E21" i="55"/>
  <c r="E13" i="55"/>
  <c r="L27" i="55"/>
  <c r="J19" i="55"/>
  <c r="H3" i="55"/>
  <c r="J2" i="55"/>
  <c r="H50" i="55"/>
  <c r="F49" i="55"/>
  <c r="E41" i="55"/>
  <c r="G9" i="55"/>
  <c r="E48" i="55"/>
  <c r="L40" i="55"/>
  <c r="I24" i="55"/>
  <c r="L14" i="55"/>
  <c r="O16" i="1"/>
  <c r="J28" i="35" s="1"/>
  <c r="H28" i="35"/>
  <c r="O18" i="1"/>
  <c r="J30" i="35" s="1"/>
  <c r="AM95" i="55" s="1"/>
  <c r="H30" i="35"/>
  <c r="AK95" i="55" s="1"/>
  <c r="G31" i="35"/>
  <c r="AJ84" i="55" s="1"/>
  <c r="AJ71" i="55"/>
  <c r="G27" i="35"/>
  <c r="AJ47" i="55" s="1"/>
  <c r="G30" i="35"/>
  <c r="AJ95" i="55" s="1"/>
  <c r="M11" i="1"/>
  <c r="I26" i="36" s="1"/>
  <c r="H26" i="36"/>
  <c r="G32" i="35"/>
  <c r="H33" i="35"/>
  <c r="N21" i="1"/>
  <c r="I33" i="35" s="1"/>
  <c r="O21" i="1"/>
  <c r="J33" i="35" s="1"/>
  <c r="G33" i="35"/>
  <c r="AA30" i="1"/>
  <c r="AC30" i="1"/>
  <c r="U17" i="55"/>
  <c r="E24" i="36"/>
  <c r="J9" i="1"/>
  <c r="F24" i="36" s="1"/>
  <c r="U79" i="55" s="1"/>
  <c r="K9" i="1"/>
  <c r="G24" i="36" s="1"/>
  <c r="L12" i="33"/>
  <c r="L44" i="55" s="1"/>
  <c r="L13" i="33"/>
  <c r="J21" i="1"/>
  <c r="E33" i="35" s="1"/>
  <c r="K21" i="1"/>
  <c r="F33" i="35" s="1"/>
  <c r="H27" i="35"/>
  <c r="N15" i="1"/>
  <c r="I27" i="35" s="1"/>
  <c r="O15" i="1"/>
  <c r="J27" i="35" s="1"/>
  <c r="H25" i="36"/>
  <c r="M10" i="1"/>
  <c r="O22" i="1"/>
  <c r="N22" i="1"/>
  <c r="O25" i="1"/>
  <c r="H15" i="34" s="1"/>
  <c r="F15" i="34"/>
  <c r="N25" i="1"/>
  <c r="G15" i="34" s="1"/>
  <c r="K8" i="1"/>
  <c r="G23" i="36" s="1"/>
  <c r="J8" i="1"/>
  <c r="F23" i="36" s="1"/>
  <c r="E23" i="36"/>
  <c r="J22" i="1"/>
  <c r="O12" i="1"/>
  <c r="N12" i="1"/>
  <c r="J15" i="1"/>
  <c r="E27" i="35" s="1"/>
  <c r="K15" i="1"/>
  <c r="F27" i="35" s="1"/>
  <c r="M17" i="1"/>
  <c r="G29" i="35"/>
  <c r="AJ57" i="55" s="1"/>
  <c r="N27" i="1"/>
  <c r="O27" i="1"/>
  <c r="O26" i="1"/>
  <c r="H16" i="34" s="1"/>
  <c r="F16" i="34"/>
  <c r="N26" i="1"/>
  <c r="G16" i="34" s="1"/>
  <c r="K61" i="55"/>
  <c r="J53" i="55"/>
  <c r="J10" i="1"/>
  <c r="F25" i="36" s="1"/>
  <c r="K2" i="1"/>
  <c r="K76" i="55"/>
  <c r="K10" i="1"/>
  <c r="G25" i="36" s="1"/>
  <c r="J12" i="1"/>
  <c r="W30" i="1"/>
  <c r="J67" i="55"/>
  <c r="J59" i="55"/>
  <c r="N16" i="1"/>
  <c r="I28" i="35" s="1"/>
  <c r="K28" i="35" s="1"/>
  <c r="J11" i="1"/>
  <c r="F26" i="36" s="1"/>
  <c r="J74" i="55"/>
  <c r="L73" i="55"/>
  <c r="L65" i="55"/>
  <c r="L57" i="55"/>
  <c r="J17" i="1"/>
  <c r="E29" i="35" s="1"/>
  <c r="AH52" i="55" s="1"/>
  <c r="E16" i="34"/>
  <c r="J72" i="55"/>
  <c r="J64" i="55"/>
  <c r="N18" i="1"/>
  <c r="O19" i="1"/>
  <c r="J31" i="35" s="1"/>
  <c r="N19" i="1"/>
  <c r="I31" i="35" s="1"/>
  <c r="AL99" i="55"/>
  <c r="AJ116" i="55"/>
  <c r="AI110" i="55"/>
  <c r="AH99" i="55"/>
  <c r="AH37" i="55"/>
  <c r="AH25" i="55"/>
  <c r="AH58" i="55"/>
  <c r="AI84" i="55"/>
  <c r="AI99" i="55"/>
  <c r="AH118" i="55"/>
  <c r="AI76" i="55"/>
  <c r="AI74" i="55"/>
  <c r="AI16" i="55"/>
  <c r="AL50" i="55"/>
  <c r="AJ33" i="55"/>
  <c r="AJ119" i="55"/>
  <c r="AJ101" i="55"/>
  <c r="AI80" i="55"/>
  <c r="AI37" i="55"/>
  <c r="AH10" i="55"/>
  <c r="AI115" i="55"/>
  <c r="AH123" i="55"/>
  <c r="AI32" i="55"/>
  <c r="AH116" i="55"/>
  <c r="AI62" i="55"/>
  <c r="AH16" i="55"/>
  <c r="AI21" i="55"/>
  <c r="AJ103" i="55"/>
  <c r="AJ56" i="55"/>
  <c r="AJ99" i="55"/>
  <c r="AJ16" i="55"/>
  <c r="AJ49" i="55"/>
  <c r="AJ28" i="55"/>
  <c r="AJ61" i="55"/>
  <c r="AI85" i="55"/>
  <c r="AI79" i="55"/>
  <c r="AH110" i="55"/>
  <c r="AH34" i="55"/>
  <c r="AH72" i="55"/>
  <c r="AI31" i="55"/>
  <c r="AI39" i="55"/>
  <c r="AI12" i="55"/>
  <c r="AH21" i="55"/>
  <c r="AH22" i="55"/>
  <c r="AL28" i="55"/>
  <c r="AK20" i="55"/>
  <c r="AH80" i="55"/>
  <c r="AH32" i="55"/>
  <c r="AH97" i="55"/>
  <c r="AI81" i="55"/>
  <c r="AI42" i="55"/>
  <c r="AI72" i="55"/>
  <c r="AH55" i="55"/>
  <c r="AH12" i="55"/>
  <c r="AH54" i="55"/>
  <c r="AH56" i="55"/>
  <c r="AI56" i="55"/>
  <c r="AH109" i="55"/>
  <c r="AM99" i="55"/>
  <c r="AJ50" i="55"/>
  <c r="AJ129" i="55"/>
  <c r="AJ108" i="55"/>
  <c r="AJ31" i="55"/>
  <c r="AM20" i="55"/>
  <c r="AM49" i="55"/>
  <c r="AJ20" i="55"/>
  <c r="AJ39" i="55"/>
  <c r="AJ3" i="55"/>
  <c r="AJ44" i="55"/>
  <c r="AI82" i="55"/>
  <c r="AH79" i="55"/>
  <c r="AH119" i="55"/>
  <c r="AH115" i="55"/>
  <c r="AI114" i="55"/>
  <c r="AI103" i="55"/>
  <c r="AI57" i="55"/>
  <c r="AI51" i="55"/>
  <c r="AI58" i="55"/>
  <c r="AH14" i="55"/>
  <c r="AM50" i="55"/>
  <c r="AK99" i="55"/>
  <c r="AJ130" i="55"/>
  <c r="AL87" i="55"/>
  <c r="AJ40" i="55"/>
  <c r="AJ68" i="55"/>
  <c r="AJ91" i="55"/>
  <c r="AJ131" i="55"/>
  <c r="AJ2" i="55"/>
  <c r="AH85" i="55"/>
  <c r="AH82" i="55"/>
  <c r="AI116" i="55"/>
  <c r="AI119" i="55"/>
  <c r="AI40" i="55"/>
  <c r="AH62" i="55"/>
  <c r="AH128" i="55"/>
  <c r="AH7" i="55"/>
  <c r="AI55" i="55"/>
  <c r="AI10" i="55"/>
  <c r="AH5" i="55"/>
  <c r="AJ110" i="55"/>
  <c r="AL91" i="55"/>
  <c r="AJ23" i="55"/>
  <c r="AH31" i="55"/>
  <c r="AI25" i="55"/>
  <c r="AI123" i="55"/>
  <c r="AH84" i="55"/>
  <c r="AI105" i="55"/>
  <c r="AI89" i="55"/>
  <c r="AI8" i="55"/>
  <c r="AH103" i="55"/>
  <c r="AI34" i="55"/>
  <c r="AI54" i="55"/>
  <c r="AC30" i="6"/>
  <c r="I18" i="36"/>
  <c r="N8" i="6"/>
  <c r="J18" i="36" s="1"/>
  <c r="L18" i="36" s="1"/>
  <c r="N18" i="36" s="1"/>
  <c r="O8" i="6"/>
  <c r="K18" i="36" s="1"/>
  <c r="O15" i="6"/>
  <c r="J20" i="35" s="1"/>
  <c r="H20" i="35"/>
  <c r="J7" i="6"/>
  <c r="F17" i="36" s="1"/>
  <c r="E17" i="36"/>
  <c r="AI102" i="55"/>
  <c r="N23" i="35"/>
  <c r="K23" i="35"/>
  <c r="M23" i="35" s="1"/>
  <c r="M22" i="35"/>
  <c r="M10" i="33"/>
  <c r="J20" i="6"/>
  <c r="E25" i="35" s="1"/>
  <c r="K16" i="6"/>
  <c r="F21" i="35" s="1"/>
  <c r="J16" i="6"/>
  <c r="E21" i="35" s="1"/>
  <c r="AH39" i="55" s="1"/>
  <c r="J10" i="6"/>
  <c r="F20" i="36" s="1"/>
  <c r="K21" i="6"/>
  <c r="F26" i="35" s="1"/>
  <c r="K7" i="6"/>
  <c r="G17" i="36" s="1"/>
  <c r="K10" i="6"/>
  <c r="G20" i="36" s="1"/>
  <c r="K15" i="6"/>
  <c r="F20" i="35" s="1"/>
  <c r="AI6" i="55" s="1"/>
  <c r="N9" i="33"/>
  <c r="N10" i="33"/>
  <c r="M9" i="6"/>
  <c r="I19" i="36" s="1"/>
  <c r="X82" i="55" s="1"/>
  <c r="G40" i="6"/>
  <c r="G41" i="6" s="1"/>
  <c r="H19" i="36"/>
  <c r="W82" i="55" s="1"/>
  <c r="G24" i="35"/>
  <c r="AJ107" i="55" s="1"/>
  <c r="M19" i="6"/>
  <c r="I21" i="36"/>
  <c r="N11" i="6"/>
  <c r="J21" i="36" s="1"/>
  <c r="O11" i="6"/>
  <c r="K21" i="36" s="1"/>
  <c r="O25" i="6"/>
  <c r="H12" i="34" s="1"/>
  <c r="N25" i="6"/>
  <c r="G12" i="34" s="1"/>
  <c r="F12" i="34"/>
  <c r="AV15" i="55" s="1"/>
  <c r="H26" i="35"/>
  <c r="N21" i="6"/>
  <c r="I26" i="35" s="1"/>
  <c r="O21" i="6"/>
  <c r="J26" i="35" s="1"/>
  <c r="O24" i="6"/>
  <c r="H11" i="34" s="1"/>
  <c r="AX27" i="55" s="1"/>
  <c r="F11" i="34"/>
  <c r="AV27" i="55" s="1"/>
  <c r="N24" i="6"/>
  <c r="G11" i="34" s="1"/>
  <c r="N26" i="6"/>
  <c r="G13" i="34" s="1"/>
  <c r="O26" i="6"/>
  <c r="H13" i="34" s="1"/>
  <c r="F13" i="34"/>
  <c r="O12" i="6"/>
  <c r="N12" i="6"/>
  <c r="N10" i="6"/>
  <c r="J20" i="36" s="1"/>
  <c r="I20" i="36"/>
  <c r="O10" i="6"/>
  <c r="K20" i="36" s="1"/>
  <c r="O16" i="6"/>
  <c r="J21" i="35" s="1"/>
  <c r="N16" i="6"/>
  <c r="I21" i="35" s="1"/>
  <c r="H21" i="35"/>
  <c r="O20" i="6"/>
  <c r="J25" i="35" s="1"/>
  <c r="H25" i="35"/>
  <c r="N20" i="6"/>
  <c r="I25" i="35" s="1"/>
  <c r="O27" i="6"/>
  <c r="N27" i="6"/>
  <c r="N15" i="6"/>
  <c r="I20" i="35" s="1"/>
  <c r="G25" i="35"/>
  <c r="O22" i="6"/>
  <c r="E11" i="34"/>
  <c r="K22" i="6"/>
  <c r="J22" i="6"/>
  <c r="AH6" i="55"/>
  <c r="K12" i="6"/>
  <c r="J12" i="6"/>
  <c r="D40" i="6"/>
  <c r="D41" i="6" s="1"/>
  <c r="F21" i="36"/>
  <c r="K11" i="6"/>
  <c r="W30" i="6"/>
  <c r="O9" i="6"/>
  <c r="O21" i="5"/>
  <c r="N21" i="5"/>
  <c r="O16" i="5"/>
  <c r="J15" i="35" s="1"/>
  <c r="N16" i="5"/>
  <c r="I15" i="35" s="1"/>
  <c r="H15" i="35"/>
  <c r="O10" i="5"/>
  <c r="K15" i="36" s="1"/>
  <c r="N10" i="5"/>
  <c r="J15" i="36" s="1"/>
  <c r="I15" i="36"/>
  <c r="AA30" i="5"/>
  <c r="O22" i="5"/>
  <c r="N22" i="5"/>
  <c r="N12" i="5"/>
  <c r="O12" i="5"/>
  <c r="N26" i="5"/>
  <c r="G10" i="34" s="1"/>
  <c r="O26" i="5"/>
  <c r="H10" i="34" s="1"/>
  <c r="F10" i="34"/>
  <c r="J17" i="5"/>
  <c r="E16" i="35" s="1"/>
  <c r="AH49" i="55" s="1"/>
  <c r="K17" i="5"/>
  <c r="J19" i="5"/>
  <c r="E17" i="35" s="1"/>
  <c r="J18" i="5"/>
  <c r="E19" i="35" s="1"/>
  <c r="W30" i="5"/>
  <c r="K20" i="32"/>
  <c r="F7" i="35" s="1"/>
  <c r="AI174" i="55" s="1"/>
  <c r="J20" i="32"/>
  <c r="E7" i="35" s="1"/>
  <c r="AH129" i="55" s="1"/>
  <c r="J22" i="32"/>
  <c r="K22" i="32"/>
  <c r="K19" i="32"/>
  <c r="F6" i="35" s="1"/>
  <c r="AI127" i="55" s="1"/>
  <c r="J19" i="32"/>
  <c r="E6" i="35" s="1"/>
  <c r="AH127" i="55" s="1"/>
  <c r="K3" i="32"/>
  <c r="L3" i="33" s="1"/>
  <c r="L33" i="55" s="1"/>
  <c r="J3" i="32"/>
  <c r="K3" i="33" s="1"/>
  <c r="K33" i="55" s="1"/>
  <c r="J3" i="33"/>
  <c r="K21" i="32"/>
  <c r="J21" i="32"/>
  <c r="AI186" i="55"/>
  <c r="E4" i="34"/>
  <c r="M26" i="32"/>
  <c r="F4" i="34" s="1"/>
  <c r="AV50" i="55" s="1"/>
  <c r="I2" i="36"/>
  <c r="O7" i="32"/>
  <c r="K2" i="36" s="1"/>
  <c r="N7" i="32"/>
  <c r="J2" i="36" s="1"/>
  <c r="M15" i="32"/>
  <c r="H2" i="35" s="1"/>
  <c r="AJ161" i="55"/>
  <c r="AJ149" i="55"/>
  <c r="AJ175" i="55"/>
  <c r="AJ184" i="55"/>
  <c r="AJ151" i="55"/>
  <c r="AJ181" i="55"/>
  <c r="AC30" i="32"/>
  <c r="AI177" i="55"/>
  <c r="AI185" i="55"/>
  <c r="K5" i="47"/>
  <c r="J5" i="47"/>
  <c r="L5" i="47"/>
  <c r="T51" i="55"/>
  <c r="A5" i="36"/>
  <c r="K10" i="32"/>
  <c r="G5" i="36" s="1"/>
  <c r="E5" i="36"/>
  <c r="J10" i="32"/>
  <c r="F5" i="36" s="1"/>
  <c r="U106" i="55" s="1"/>
  <c r="K8" i="32"/>
  <c r="G3" i="36" s="1"/>
  <c r="V95" i="55" s="1"/>
  <c r="J11" i="32"/>
  <c r="F6" i="36" s="1"/>
  <c r="K11" i="32"/>
  <c r="G6" i="36" s="1"/>
  <c r="E6" i="36"/>
  <c r="K4" i="32"/>
  <c r="L4" i="33" s="1"/>
  <c r="L41" i="55" s="1"/>
  <c r="J4" i="32"/>
  <c r="K4" i="33" s="1"/>
  <c r="K41" i="55" s="1"/>
  <c r="K7" i="32"/>
  <c r="G2" i="36" s="1"/>
  <c r="E2" i="36"/>
  <c r="T22" i="55" s="1"/>
  <c r="AI179" i="55"/>
  <c r="AI172" i="55"/>
  <c r="AI180" i="55"/>
  <c r="W30" i="32"/>
  <c r="AH174" i="55"/>
  <c r="AI176" i="55"/>
  <c r="AI173" i="55"/>
  <c r="K17" i="32"/>
  <c r="F4" i="35" s="1"/>
  <c r="AI122" i="55" s="1"/>
  <c r="J17" i="32"/>
  <c r="E4" i="35" s="1"/>
  <c r="L19" i="32"/>
  <c r="AA30" i="32"/>
  <c r="O21" i="32"/>
  <c r="N21" i="32"/>
  <c r="M25" i="32"/>
  <c r="E3" i="34"/>
  <c r="O22" i="32"/>
  <c r="N22" i="32"/>
  <c r="AJ148" i="55"/>
  <c r="AJ142" i="55"/>
  <c r="AJ154" i="55"/>
  <c r="AJ186" i="55"/>
  <c r="AJ138" i="55"/>
  <c r="AJ176" i="55"/>
  <c r="AJ165" i="55"/>
  <c r="AJ135" i="55"/>
  <c r="AJ153" i="55"/>
  <c r="AJ173" i="55"/>
  <c r="AJ141" i="55"/>
  <c r="AJ178" i="55"/>
  <c r="AJ167" i="55"/>
  <c r="AJ147" i="55"/>
  <c r="AJ155" i="55"/>
  <c r="AJ134" i="55"/>
  <c r="AJ146" i="55"/>
  <c r="O17" i="32"/>
  <c r="J4" i="35" s="1"/>
  <c r="AM122" i="55" s="1"/>
  <c r="N17" i="32"/>
  <c r="I4" i="35" s="1"/>
  <c r="AL122" i="55" s="1"/>
  <c r="O24" i="32"/>
  <c r="H2" i="34" s="1"/>
  <c r="N24" i="32"/>
  <c r="G2" i="34" s="1"/>
  <c r="AW17" i="55" s="1"/>
  <c r="N27" i="32"/>
  <c r="O27" i="32"/>
  <c r="J9" i="32"/>
  <c r="F4" i="36" s="1"/>
  <c r="L4" i="36" s="1"/>
  <c r="E4" i="36"/>
  <c r="J15" i="32"/>
  <c r="E2" i="35" s="1"/>
  <c r="K15" i="32"/>
  <c r="F2" i="35" s="1"/>
  <c r="AI30" i="55" s="1"/>
  <c r="O20" i="32"/>
  <c r="J7" i="35" s="1"/>
  <c r="N20" i="32"/>
  <c r="I7" i="35" s="1"/>
  <c r="H7" i="35"/>
  <c r="H3" i="35"/>
  <c r="AK68" i="55" s="1"/>
  <c r="O16" i="32"/>
  <c r="J3" i="35" s="1"/>
  <c r="AM68" i="55" s="1"/>
  <c r="N16" i="32"/>
  <c r="I3" i="35" s="1"/>
  <c r="AL68" i="55" s="1"/>
  <c r="K18" i="32"/>
  <c r="F5" i="35" s="1"/>
  <c r="J18" i="32"/>
  <c r="E5" i="35" s="1"/>
  <c r="O8" i="32"/>
  <c r="N8" i="32"/>
  <c r="D40" i="32"/>
  <c r="D41" i="32" s="1"/>
  <c r="J2" i="33"/>
  <c r="J34" i="55" s="1"/>
  <c r="J2" i="32"/>
  <c r="V103" i="55"/>
  <c r="V137" i="55"/>
  <c r="K16" i="32"/>
  <c r="F3" i="35" s="1"/>
  <c r="J16" i="32"/>
  <c r="E3" i="35" s="1"/>
  <c r="AH68" i="55" s="1"/>
  <c r="O12" i="32"/>
  <c r="N12" i="32"/>
  <c r="K12" i="32"/>
  <c r="J12" i="32"/>
  <c r="AJ143" i="55"/>
  <c r="AJ169" i="55"/>
  <c r="AJ185" i="55"/>
  <c r="AJ152" i="55"/>
  <c r="AV92" i="55"/>
  <c r="O11" i="32"/>
  <c r="K6" i="36" s="1"/>
  <c r="N11" i="32"/>
  <c r="J6" i="36" s="1"/>
  <c r="I6" i="36"/>
  <c r="O18" i="32"/>
  <c r="J5" i="35" s="1"/>
  <c r="N18" i="32"/>
  <c r="I5" i="35" s="1"/>
  <c r="H5" i="35"/>
  <c r="J7" i="32"/>
  <c r="F2" i="36" s="1"/>
  <c r="L10" i="47"/>
  <c r="A6" i="36"/>
  <c r="A7" i="36" s="1"/>
  <c r="A8" i="36" s="1"/>
  <c r="A9" i="36" s="1"/>
  <c r="A10" i="36" s="1"/>
  <c r="A11" i="36" s="1"/>
  <c r="A12" i="36" s="1"/>
  <c r="A13" i="36" s="1"/>
  <c r="A14" i="36" s="1"/>
  <c r="A15" i="36" s="1"/>
  <c r="A16" i="36" s="1"/>
  <c r="A17" i="36" s="1"/>
  <c r="A18" i="36" s="1"/>
  <c r="A19" i="36" s="1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V70" i="55"/>
  <c r="U52" i="55"/>
  <c r="V170" i="55"/>
  <c r="V82" i="55"/>
  <c r="T96" i="55"/>
  <c r="T64" i="55"/>
  <c r="M10" i="20"/>
  <c r="O10" i="20" s="1"/>
  <c r="K105" i="36" s="1"/>
  <c r="H105" i="36"/>
  <c r="N26" i="20"/>
  <c r="G61" i="34" s="1"/>
  <c r="F61" i="34"/>
  <c r="L61" i="34" s="1"/>
  <c r="O26" i="20"/>
  <c r="H61" i="34" s="1"/>
  <c r="F60" i="34"/>
  <c r="O25" i="20"/>
  <c r="H60" i="34" s="1"/>
  <c r="N25" i="20"/>
  <c r="G60" i="34" s="1"/>
  <c r="H129" i="35"/>
  <c r="AK2" i="55" s="1"/>
  <c r="O15" i="20"/>
  <c r="J129" i="35" s="1"/>
  <c r="AM2" i="55" s="1"/>
  <c r="N15" i="20"/>
  <c r="I129" i="35" s="1"/>
  <c r="AL2" i="55" s="1"/>
  <c r="H131" i="35"/>
  <c r="O17" i="20"/>
  <c r="J131" i="35" s="1"/>
  <c r="N17" i="20"/>
  <c r="I131" i="35" s="1"/>
  <c r="N9" i="20"/>
  <c r="J104" i="36" s="1"/>
  <c r="O9" i="20"/>
  <c r="K104" i="36" s="1"/>
  <c r="I104" i="36"/>
  <c r="N27" i="20"/>
  <c r="O27" i="20"/>
  <c r="AA30" i="20"/>
  <c r="M45" i="33"/>
  <c r="O16" i="20"/>
  <c r="J130" i="35" s="1"/>
  <c r="AM40" i="55" s="1"/>
  <c r="N16" i="20"/>
  <c r="I130" i="35" s="1"/>
  <c r="AL40" i="55" s="1"/>
  <c r="H130" i="35"/>
  <c r="AK40" i="55" s="1"/>
  <c r="I106" i="36"/>
  <c r="O11" i="20"/>
  <c r="K106" i="36" s="1"/>
  <c r="N11" i="20"/>
  <c r="J106" i="36" s="1"/>
  <c r="J8" i="20"/>
  <c r="F103" i="36" s="1"/>
  <c r="E103" i="36"/>
  <c r="T57" i="55" s="1"/>
  <c r="K8" i="20"/>
  <c r="G103" i="36" s="1"/>
  <c r="G134" i="35"/>
  <c r="M20" i="20"/>
  <c r="G40" i="20"/>
  <c r="G41" i="20" s="1"/>
  <c r="M24" i="20"/>
  <c r="E59" i="34"/>
  <c r="O19" i="20"/>
  <c r="J133" i="35" s="1"/>
  <c r="AM131" i="55" s="1"/>
  <c r="N19" i="20"/>
  <c r="I133" i="35" s="1"/>
  <c r="AL131" i="55" s="1"/>
  <c r="H133" i="35"/>
  <c r="AK131" i="55" s="1"/>
  <c r="O21" i="20"/>
  <c r="N21" i="20"/>
  <c r="O12" i="20"/>
  <c r="N12" i="20"/>
  <c r="O22" i="20"/>
  <c r="N22" i="20"/>
  <c r="H132" i="35"/>
  <c r="H106" i="36"/>
  <c r="N18" i="20"/>
  <c r="I132" i="35" s="1"/>
  <c r="K132" i="35" s="1"/>
  <c r="M11" i="15"/>
  <c r="H71" i="36"/>
  <c r="AA30" i="15"/>
  <c r="O21" i="15"/>
  <c r="N21" i="15"/>
  <c r="AU45" i="55"/>
  <c r="E68" i="36"/>
  <c r="J8" i="15"/>
  <c r="F68" i="36" s="1"/>
  <c r="T93" i="55"/>
  <c r="K12" i="15"/>
  <c r="J12" i="15"/>
  <c r="Y9" i="47"/>
  <c r="AO9" i="47"/>
  <c r="Z9" i="47"/>
  <c r="X9" i="47"/>
  <c r="AL9" i="47"/>
  <c r="AL10" i="47"/>
  <c r="AN16" i="47"/>
  <c r="Y13" i="47"/>
  <c r="A10" i="34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50" i="34" s="1"/>
  <c r="A51" i="34" s="1"/>
  <c r="A52" i="34" s="1"/>
  <c r="A53" i="34" s="1"/>
  <c r="A54" i="34" s="1"/>
  <c r="A55" i="34" s="1"/>
  <c r="A56" i="34" s="1"/>
  <c r="A57" i="34" s="1"/>
  <c r="A58" i="34" s="1"/>
  <c r="A59" i="34" s="1"/>
  <c r="A60" i="34" s="1"/>
  <c r="A61" i="34" s="1"/>
  <c r="A62" i="34" s="1"/>
  <c r="A63" i="34" s="1"/>
  <c r="AN9" i="47"/>
  <c r="Y17" i="47"/>
  <c r="X12" i="47"/>
  <c r="AN39" i="47"/>
  <c r="AO42" i="47"/>
  <c r="AI22" i="55"/>
  <c r="AI94" i="55"/>
  <c r="AS7" i="55"/>
  <c r="M26" i="2"/>
  <c r="O26" i="2" s="1"/>
  <c r="H88" i="34" s="1"/>
  <c r="E88" i="34"/>
  <c r="AC30" i="2"/>
  <c r="M20" i="2"/>
  <c r="H183" i="35" s="1"/>
  <c r="G183" i="35"/>
  <c r="AA30" i="2"/>
  <c r="M7" i="2"/>
  <c r="H142" i="36"/>
  <c r="W2" i="55" s="1"/>
  <c r="N27" i="2"/>
  <c r="O27" i="2"/>
  <c r="N17" i="2"/>
  <c r="I180" i="35" s="1"/>
  <c r="H180" i="35"/>
  <c r="O17" i="2"/>
  <c r="J180" i="35" s="1"/>
  <c r="M19" i="2"/>
  <c r="G182" i="35"/>
  <c r="M9" i="2"/>
  <c r="H144" i="36"/>
  <c r="O11" i="2"/>
  <c r="K146" i="36" s="1"/>
  <c r="N11" i="2"/>
  <c r="J146" i="36" s="1"/>
  <c r="I146" i="36"/>
  <c r="H146" i="36"/>
  <c r="G180" i="35"/>
  <c r="AJ114" i="55" s="1"/>
  <c r="M15" i="19"/>
  <c r="N15" i="19" s="1"/>
  <c r="I122" i="35" s="1"/>
  <c r="G122" i="35"/>
  <c r="AJ5" i="55" s="1"/>
  <c r="W30" i="30"/>
  <c r="M21" i="30"/>
  <c r="O21" i="30" s="1"/>
  <c r="J196" i="35" s="1"/>
  <c r="G196" i="35"/>
  <c r="J16" i="30"/>
  <c r="E191" i="35" s="1"/>
  <c r="AH46" i="55" s="1"/>
  <c r="K16" i="30"/>
  <c r="F191" i="35" s="1"/>
  <c r="AI46" i="55" s="1"/>
  <c r="J70" i="33"/>
  <c r="I2" i="30"/>
  <c r="K21" i="30"/>
  <c r="F196" i="35" s="1"/>
  <c r="W33" i="55"/>
  <c r="V99" i="55"/>
  <c r="V93" i="55"/>
  <c r="M16" i="10"/>
  <c r="H53" i="35" s="1"/>
  <c r="G53" i="35"/>
  <c r="AJ41" i="55" s="1"/>
  <c r="M26" i="10"/>
  <c r="E28" i="34"/>
  <c r="E27" i="34"/>
  <c r="G57" i="35"/>
  <c r="AC30" i="10"/>
  <c r="H43" i="36"/>
  <c r="M11" i="10"/>
  <c r="O11" i="10" s="1"/>
  <c r="K46" i="36" s="1"/>
  <c r="H46" i="36"/>
  <c r="O27" i="10"/>
  <c r="N27" i="10"/>
  <c r="J16" i="10"/>
  <c r="E53" i="35" s="1"/>
  <c r="AH42" i="55" s="1"/>
  <c r="J17" i="55"/>
  <c r="M7" i="10"/>
  <c r="AJ70" i="55"/>
  <c r="K8" i="31"/>
  <c r="G158" i="36" s="1"/>
  <c r="V33" i="55" s="1"/>
  <c r="J8" i="31"/>
  <c r="F158" i="36" s="1"/>
  <c r="U33" i="55" s="1"/>
  <c r="E158" i="36"/>
  <c r="T33" i="55" s="1"/>
  <c r="K15" i="31"/>
  <c r="F197" i="35" s="1"/>
  <c r="AI24" i="55" s="1"/>
  <c r="J15" i="31"/>
  <c r="E197" i="35" s="1"/>
  <c r="K3" i="31"/>
  <c r="L73" i="33" s="1"/>
  <c r="J3" i="31"/>
  <c r="K73" i="33" s="1"/>
  <c r="J73" i="33"/>
  <c r="K11" i="31"/>
  <c r="G161" i="36" s="1"/>
  <c r="J11" i="31"/>
  <c r="F161" i="36" s="1"/>
  <c r="E161" i="36"/>
  <c r="W30" i="31"/>
  <c r="J74" i="33"/>
  <c r="K4" i="31"/>
  <c r="L74" i="33" s="1"/>
  <c r="J4" i="31"/>
  <c r="K74" i="33" s="1"/>
  <c r="E159" i="36"/>
  <c r="K9" i="31"/>
  <c r="G159" i="36" s="1"/>
  <c r="J9" i="31"/>
  <c r="F159" i="36" s="1"/>
  <c r="K22" i="31"/>
  <c r="J22" i="31"/>
  <c r="J20" i="31"/>
  <c r="E202" i="35" s="1"/>
  <c r="K20" i="31"/>
  <c r="F202" i="35" s="1"/>
  <c r="J18" i="31"/>
  <c r="E200" i="35" s="1"/>
  <c r="K18" i="31"/>
  <c r="F200" i="35" s="1"/>
  <c r="K17" i="31"/>
  <c r="F199" i="35" s="1"/>
  <c r="AI23" i="55" s="1"/>
  <c r="J17" i="31"/>
  <c r="E199" i="35" s="1"/>
  <c r="AH23" i="55" s="1"/>
  <c r="K16" i="31"/>
  <c r="F198" i="35" s="1"/>
  <c r="J16" i="31"/>
  <c r="E198" i="35" s="1"/>
  <c r="J21" i="31"/>
  <c r="E203" i="35" s="1"/>
  <c r="K21" i="31"/>
  <c r="F203" i="35" s="1"/>
  <c r="E160" i="36"/>
  <c r="J12" i="31"/>
  <c r="K19" i="31"/>
  <c r="F201" i="35" s="1"/>
  <c r="I2" i="31"/>
  <c r="J10" i="31"/>
  <c r="AC30" i="31"/>
  <c r="J38" i="55"/>
  <c r="O37" i="36"/>
  <c r="AA5" i="55" s="1"/>
  <c r="N19" i="33"/>
  <c r="N18" i="33"/>
  <c r="M18" i="33"/>
  <c r="M37" i="36"/>
  <c r="N37" i="36"/>
  <c r="G40" i="9"/>
  <c r="G41" i="9" s="1"/>
  <c r="M8" i="9"/>
  <c r="H38" i="36"/>
  <c r="M25" i="9"/>
  <c r="O25" i="9" s="1"/>
  <c r="H24" i="34" s="1"/>
  <c r="E24" i="34"/>
  <c r="M18" i="9"/>
  <c r="G49" i="35"/>
  <c r="AJ121" i="55" s="1"/>
  <c r="F25" i="34"/>
  <c r="O26" i="9"/>
  <c r="H25" i="34" s="1"/>
  <c r="N26" i="9"/>
  <c r="G25" i="34" s="1"/>
  <c r="E41" i="36"/>
  <c r="J11" i="9"/>
  <c r="F41" i="36" s="1"/>
  <c r="M19" i="33"/>
  <c r="T15" i="55"/>
  <c r="V30" i="55"/>
  <c r="T100" i="55"/>
  <c r="T67" i="55"/>
  <c r="T43" i="55"/>
  <c r="T34" i="55"/>
  <c r="T99" i="55"/>
  <c r="T88" i="55"/>
  <c r="T48" i="55"/>
  <c r="T32" i="55"/>
  <c r="J18" i="24"/>
  <c r="E157" i="35" s="1"/>
  <c r="AH130" i="55" s="1"/>
  <c r="K18" i="24"/>
  <c r="F157" i="35" s="1"/>
  <c r="AI130" i="55" s="1"/>
  <c r="M15" i="24"/>
  <c r="O15" i="24" s="1"/>
  <c r="J154" i="35" s="1"/>
  <c r="AM11" i="55" s="1"/>
  <c r="G154" i="35"/>
  <c r="AJ11" i="55" s="1"/>
  <c r="K8" i="24"/>
  <c r="G123" i="36" s="1"/>
  <c r="V35" i="55" s="1"/>
  <c r="J8" i="24"/>
  <c r="F123" i="36" s="1"/>
  <c r="E123" i="36"/>
  <c r="T36" i="55" s="1"/>
  <c r="E124" i="36"/>
  <c r="J3" i="24"/>
  <c r="K3" i="24"/>
  <c r="T79" i="55"/>
  <c r="V54" i="55"/>
  <c r="U6" i="55"/>
  <c r="T84" i="55"/>
  <c r="W68" i="55"/>
  <c r="U36" i="55"/>
  <c r="U35" i="55"/>
  <c r="V27" i="55"/>
  <c r="T98" i="55"/>
  <c r="T42" i="55"/>
  <c r="T10" i="55"/>
  <c r="T40" i="55"/>
  <c r="I80" i="55"/>
  <c r="H80" i="55"/>
  <c r="H56" i="55"/>
  <c r="F64" i="55"/>
  <c r="J16" i="55"/>
  <c r="K56" i="55"/>
  <c r="U162" i="55"/>
  <c r="V106" i="55"/>
  <c r="AM214" i="55"/>
  <c r="AN198" i="55"/>
  <c r="AF190" i="55"/>
  <c r="X18" i="55"/>
  <c r="I64" i="55"/>
  <c r="E80" i="55"/>
  <c r="J24" i="55"/>
  <c r="J8" i="55"/>
  <c r="U130" i="55"/>
  <c r="V130" i="55"/>
  <c r="V122" i="55"/>
  <c r="AN214" i="55"/>
  <c r="AF214" i="55"/>
  <c r="AG198" i="55"/>
  <c r="AL190" i="55"/>
  <c r="X50" i="55"/>
  <c r="X74" i="55"/>
  <c r="G80" i="55"/>
  <c r="H32" i="55"/>
  <c r="G64" i="55"/>
  <c r="F24" i="55"/>
  <c r="E32" i="55"/>
  <c r="E16" i="55"/>
  <c r="E72" i="55"/>
  <c r="V138" i="55"/>
  <c r="T90" i="55"/>
  <c r="AG214" i="55"/>
  <c r="W58" i="55"/>
  <c r="H24" i="55"/>
  <c r="F72" i="55"/>
  <c r="U2" i="55"/>
  <c r="T2" i="55"/>
  <c r="AL206" i="55"/>
  <c r="AH190" i="55"/>
  <c r="X58" i="55"/>
  <c r="W18" i="55"/>
  <c r="G24" i="55"/>
  <c r="G56" i="55"/>
  <c r="F56" i="55"/>
  <c r="K72" i="55"/>
  <c r="U90" i="55"/>
  <c r="I56" i="55"/>
  <c r="W74" i="55"/>
  <c r="K40" i="55"/>
  <c r="V154" i="55"/>
  <c r="H72" i="55"/>
  <c r="J80" i="55"/>
  <c r="U50" i="55"/>
  <c r="V50" i="55"/>
  <c r="V114" i="55"/>
  <c r="AM190" i="55"/>
  <c r="V110" i="55"/>
  <c r="T6" i="55"/>
  <c r="AI218" i="55"/>
  <c r="AK202" i="55"/>
  <c r="K75" i="55"/>
  <c r="AL195" i="55"/>
  <c r="AM195" i="55"/>
  <c r="AF211" i="55"/>
  <c r="K3" i="55"/>
  <c r="V6" i="55"/>
  <c r="T54" i="55"/>
  <c r="G75" i="55"/>
  <c r="H35" i="55"/>
  <c r="G3" i="55"/>
  <c r="F67" i="55"/>
  <c r="E11" i="55"/>
  <c r="L59" i="55"/>
  <c r="L3" i="55"/>
  <c r="AG203" i="55"/>
  <c r="AL218" i="55"/>
  <c r="L75" i="55"/>
  <c r="G35" i="55"/>
  <c r="AN203" i="55"/>
  <c r="V124" i="55"/>
  <c r="V42" i="55"/>
  <c r="U82" i="55"/>
  <c r="V10" i="55"/>
  <c r="T156" i="55"/>
  <c r="T82" i="55"/>
  <c r="AK208" i="55"/>
  <c r="AK197" i="55"/>
  <c r="AH221" i="55"/>
  <c r="AL214" i="55"/>
  <c r="AN197" i="55"/>
  <c r="AM221" i="55"/>
  <c r="AJ206" i="55"/>
  <c r="AF205" i="55"/>
  <c r="AG205" i="55"/>
  <c r="AG216" i="55"/>
  <c r="AG192" i="55"/>
  <c r="AG190" i="55"/>
  <c r="AJ190" i="55"/>
  <c r="AN208" i="55"/>
  <c r="L72" i="55"/>
  <c r="U76" i="55"/>
  <c r="V116" i="55"/>
  <c r="V108" i="55"/>
  <c r="AL205" i="55"/>
  <c r="AI216" i="55"/>
  <c r="AH208" i="55"/>
  <c r="AM198" i="55"/>
  <c r="AK206" i="55"/>
  <c r="AN205" i="55"/>
  <c r="AJ200" i="55"/>
  <c r="AF221" i="55"/>
  <c r="AG213" i="55"/>
  <c r="AM192" i="55"/>
  <c r="AI192" i="55"/>
  <c r="AN221" i="55"/>
  <c r="AF206" i="55"/>
  <c r="E24" i="55"/>
  <c r="E56" i="55"/>
  <c r="E78" i="55"/>
  <c r="L30" i="55"/>
  <c r="L56" i="55"/>
  <c r="J78" i="55"/>
  <c r="V132" i="55"/>
  <c r="V146" i="55"/>
  <c r="V68" i="55"/>
  <c r="T68" i="55"/>
  <c r="AL216" i="55"/>
  <c r="AK200" i="55"/>
  <c r="AI208" i="55"/>
  <c r="AH206" i="55"/>
  <c r="AK214" i="55"/>
  <c r="AM200" i="55"/>
  <c r="AJ208" i="55"/>
  <c r="AF198" i="55"/>
  <c r="AK190" i="55"/>
  <c r="AM205" i="55"/>
  <c r="L24" i="55"/>
  <c r="L64" i="55"/>
  <c r="K64" i="55"/>
  <c r="K80" i="55"/>
  <c r="V76" i="55"/>
  <c r="V140" i="55"/>
  <c r="V34" i="55"/>
  <c r="T52" i="55"/>
  <c r="T92" i="55"/>
  <c r="AL200" i="55"/>
  <c r="AK221" i="55"/>
  <c r="AH213" i="55"/>
  <c r="AL198" i="55"/>
  <c r="AN206" i="55"/>
  <c r="AI198" i="55"/>
  <c r="AJ205" i="55"/>
  <c r="AF200" i="55"/>
  <c r="AG206" i="55"/>
  <c r="AN190" i="55"/>
  <c r="AJ192" i="55"/>
  <c r="AN189" i="55"/>
  <c r="AN216" i="55"/>
  <c r="AF192" i="55"/>
  <c r="J40" i="55"/>
  <c r="K8" i="55"/>
  <c r="K24" i="55"/>
  <c r="J56" i="55"/>
  <c r="L80" i="55"/>
  <c r="V36" i="55"/>
  <c r="U68" i="55"/>
  <c r="AH200" i="55"/>
  <c r="AM216" i="55"/>
  <c r="AF208" i="55"/>
  <c r="AN192" i="55"/>
  <c r="AH192" i="55"/>
  <c r="AN200" i="55"/>
  <c r="I72" i="55"/>
  <c r="G70" i="55"/>
  <c r="I32" i="55"/>
  <c r="H64" i="55"/>
  <c r="F32" i="55"/>
  <c r="E64" i="55"/>
  <c r="E30" i="55"/>
  <c r="J14" i="55"/>
  <c r="V98" i="55"/>
  <c r="V2" i="55"/>
  <c r="AK216" i="55"/>
  <c r="AH216" i="55"/>
  <c r="AM206" i="55"/>
  <c r="AI214" i="55"/>
  <c r="AM208" i="55"/>
  <c r="AL192" i="55"/>
  <c r="AK198" i="55"/>
  <c r="M24" i="55"/>
  <c r="E14" i="55"/>
  <c r="K6" i="55"/>
  <c r="L16" i="55"/>
  <c r="U10" i="55"/>
  <c r="AL213" i="55"/>
  <c r="AK205" i="55"/>
  <c r="AG197" i="55"/>
  <c r="AH189" i="55"/>
  <c r="AM187" i="55"/>
  <c r="H53" i="55"/>
  <c r="F53" i="55"/>
  <c r="M9" i="55"/>
  <c r="G73" i="55"/>
  <c r="X3" i="55"/>
  <c r="G5" i="55"/>
  <c r="I65" i="55"/>
  <c r="I61" i="55"/>
  <c r="F61" i="55"/>
  <c r="F13" i="55"/>
  <c r="E25" i="55"/>
  <c r="J33" i="55"/>
  <c r="E77" i="55"/>
  <c r="K57" i="55"/>
  <c r="K2" i="55"/>
  <c r="L77" i="55"/>
  <c r="J69" i="55"/>
  <c r="V127" i="55"/>
  <c r="AI203" i="55"/>
  <c r="AM219" i="55"/>
  <c r="AK207" i="55"/>
  <c r="AG211" i="55"/>
  <c r="AL191" i="55"/>
  <c r="G53" i="55"/>
  <c r="I53" i="55"/>
  <c r="I33" i="55"/>
  <c r="G69" i="55"/>
  <c r="Z3" i="55"/>
  <c r="I49" i="55"/>
  <c r="H57" i="55"/>
  <c r="I2" i="55"/>
  <c r="I57" i="55"/>
  <c r="G13" i="55"/>
  <c r="H65" i="55"/>
  <c r="H61" i="55"/>
  <c r="F65" i="55"/>
  <c r="W67" i="55"/>
  <c r="W3" i="55"/>
  <c r="E57" i="55"/>
  <c r="E17" i="55"/>
  <c r="E2" i="55"/>
  <c r="E73" i="55"/>
  <c r="J9" i="55"/>
  <c r="L53" i="55"/>
  <c r="L9" i="55"/>
  <c r="J41" i="55"/>
  <c r="K69" i="55"/>
  <c r="U119" i="55"/>
  <c r="U51" i="55"/>
  <c r="V67" i="55"/>
  <c r="AK203" i="55"/>
  <c r="AH219" i="55"/>
  <c r="AM215" i="55"/>
  <c r="AM203" i="55"/>
  <c r="AF199" i="55"/>
  <c r="AF195" i="55"/>
  <c r="AG219" i="55"/>
  <c r="AF187" i="55"/>
  <c r="AN211" i="55"/>
  <c r="I73" i="55"/>
  <c r="H9" i="55"/>
  <c r="H21" i="55"/>
  <c r="I13" i="55"/>
  <c r="G61" i="55"/>
  <c r="F2" i="55"/>
  <c r="E49" i="55"/>
  <c r="L61" i="55"/>
  <c r="J45" i="55"/>
  <c r="V135" i="55"/>
  <c r="V147" i="55"/>
  <c r="V159" i="55"/>
  <c r="V115" i="55"/>
  <c r="T35" i="55"/>
  <c r="AL203" i="55"/>
  <c r="AI219" i="55"/>
  <c r="AJ195" i="55"/>
  <c r="AG199" i="55"/>
  <c r="AK191" i="55"/>
  <c r="AI187" i="55"/>
  <c r="AI199" i="55"/>
  <c r="AJ187" i="55"/>
  <c r="AH187" i="55"/>
  <c r="AN187" i="55"/>
  <c r="H37" i="55"/>
  <c r="F57" i="55"/>
  <c r="G21" i="55"/>
  <c r="G2" i="55"/>
  <c r="U167" i="55"/>
  <c r="V171" i="55"/>
  <c r="V71" i="55"/>
  <c r="V43" i="55"/>
  <c r="V123" i="55"/>
  <c r="AH195" i="55"/>
  <c r="AI211" i="55"/>
  <c r="AL219" i="55"/>
  <c r="AL215" i="55"/>
  <c r="AJ211" i="55"/>
  <c r="AF219" i="55"/>
  <c r="AJ191" i="55"/>
  <c r="AL207" i="55"/>
  <c r="AI195" i="55"/>
  <c r="AK211" i="55"/>
  <c r="AK199" i="55"/>
  <c r="AN215" i="55"/>
  <c r="AJ207" i="55"/>
  <c r="AN195" i="55"/>
  <c r="AG187" i="55"/>
  <c r="V163" i="55"/>
  <c r="AK195" i="55"/>
  <c r="AN191" i="55"/>
  <c r="AL187" i="55"/>
  <c r="AH215" i="55"/>
  <c r="V11" i="55"/>
  <c r="F66" i="55"/>
  <c r="L26" i="55"/>
  <c r="L66" i="55"/>
  <c r="H18" i="55"/>
  <c r="E18" i="55"/>
  <c r="E66" i="55"/>
  <c r="K66" i="55"/>
  <c r="K50" i="55"/>
  <c r="K58" i="55"/>
  <c r="K10" i="55"/>
  <c r="J66" i="55"/>
  <c r="V126" i="55"/>
  <c r="U54" i="55"/>
  <c r="V32" i="55"/>
  <c r="V112" i="55"/>
  <c r="V118" i="55"/>
  <c r="T11" i="55"/>
  <c r="AM220" i="55"/>
  <c r="AL220" i="55"/>
  <c r="AK220" i="55"/>
  <c r="AI194" i="55"/>
  <c r="AH199" i="55"/>
  <c r="AI207" i="55"/>
  <c r="AH207" i="55"/>
  <c r="AN196" i="55"/>
  <c r="AJ215" i="55"/>
  <c r="AF218" i="55"/>
  <c r="AF220" i="55"/>
  <c r="G50" i="55"/>
  <c r="J26" i="55"/>
  <c r="L58" i="55"/>
  <c r="U70" i="55"/>
  <c r="U62" i="55"/>
  <c r="T72" i="55"/>
  <c r="AM212" i="55"/>
  <c r="AK204" i="55"/>
  <c r="AI215" i="55"/>
  <c r="AL199" i="55"/>
  <c r="AN212" i="55"/>
  <c r="AN199" i="55"/>
  <c r="AN202" i="55"/>
  <c r="AG202" i="55"/>
  <c r="AG204" i="55"/>
  <c r="AG191" i="55"/>
  <c r="AK188" i="55"/>
  <c r="AH220" i="55"/>
  <c r="AH212" i="55"/>
  <c r="AI204" i="55"/>
  <c r="AI196" i="55"/>
  <c r="AI191" i="55"/>
  <c r="G34" i="55"/>
  <c r="E34" i="55"/>
  <c r="H74" i="55"/>
  <c r="G66" i="55"/>
  <c r="E50" i="55"/>
  <c r="E74" i="55"/>
  <c r="J10" i="55"/>
  <c r="L34" i="55"/>
  <c r="J50" i="55"/>
  <c r="J42" i="55"/>
  <c r="V166" i="55"/>
  <c r="V94" i="55"/>
  <c r="T142" i="55"/>
  <c r="T70" i="55"/>
  <c r="T30" i="55"/>
  <c r="AL210" i="55"/>
  <c r="AK215" i="55"/>
  <c r="AI202" i="55"/>
  <c r="AI220" i="55"/>
  <c r="AH218" i="55"/>
  <c r="AM207" i="55"/>
  <c r="AN220" i="55"/>
  <c r="AN207" i="55"/>
  <c r="AN210" i="55"/>
  <c r="AG210" i="55"/>
  <c r="AG212" i="55"/>
  <c r="AL188" i="55"/>
  <c r="AG188" i="55"/>
  <c r="AH188" i="55"/>
  <c r="AM188" i="55"/>
  <c r="AG194" i="55"/>
  <c r="E58" i="55"/>
  <c r="L42" i="55"/>
  <c r="V158" i="55"/>
  <c r="U30" i="55"/>
  <c r="T134" i="55"/>
  <c r="AM204" i="55"/>
  <c r="AH196" i="55"/>
  <c r="AM210" i="55"/>
  <c r="AI212" i="55"/>
  <c r="AM202" i="55"/>
  <c r="AH210" i="55"/>
  <c r="AJ196" i="55"/>
  <c r="AG218" i="55"/>
  <c r="AJ218" i="55"/>
  <c r="AJ210" i="55"/>
  <c r="AJ202" i="55"/>
  <c r="AF194" i="55"/>
  <c r="AN194" i="55"/>
  <c r="I18" i="55"/>
  <c r="H66" i="55"/>
  <c r="F74" i="55"/>
  <c r="F18" i="55"/>
  <c r="C34" i="55"/>
  <c r="I74" i="55"/>
  <c r="G74" i="55"/>
  <c r="I50" i="55"/>
  <c r="F50" i="55"/>
  <c r="K26" i="55"/>
  <c r="L50" i="55"/>
  <c r="K42" i="55"/>
  <c r="V142" i="55"/>
  <c r="V120" i="55"/>
  <c r="V102" i="55"/>
  <c r="T94" i="55"/>
  <c r="AL202" i="55"/>
  <c r="AL212" i="55"/>
  <c r="AL196" i="55"/>
  <c r="AK212" i="55"/>
  <c r="AK218" i="55"/>
  <c r="AH202" i="55"/>
  <c r="AM199" i="55"/>
  <c r="AK210" i="55"/>
  <c r="AJ204" i="55"/>
  <c r="AF207" i="55"/>
  <c r="AF196" i="55"/>
  <c r="AF188" i="55"/>
  <c r="AM191" i="55"/>
  <c r="AH191" i="55"/>
  <c r="AJ188" i="55"/>
  <c r="L17" i="55"/>
  <c r="AH194" i="55"/>
  <c r="H34" i="55"/>
  <c r="D34" i="55"/>
  <c r="M50" i="55"/>
  <c r="I58" i="55"/>
  <c r="G58" i="55"/>
  <c r="L74" i="55"/>
  <c r="AI210" i="55"/>
  <c r="AK194" i="55"/>
  <c r="AM194" i="55"/>
  <c r="AM218" i="55"/>
  <c r="AF215" i="55"/>
  <c r="K74" i="55"/>
  <c r="AL194" i="55"/>
  <c r="AA30" i="31"/>
  <c r="L7" i="31"/>
  <c r="AC30" i="30"/>
  <c r="AA30" i="30"/>
  <c r="AC30" i="28"/>
  <c r="O22" i="28"/>
  <c r="N22" i="28"/>
  <c r="H176" i="35"/>
  <c r="O18" i="28"/>
  <c r="J176" i="35" s="1"/>
  <c r="N18" i="28"/>
  <c r="I176" i="35" s="1"/>
  <c r="AA30" i="28"/>
  <c r="M9" i="28"/>
  <c r="H139" i="36"/>
  <c r="O21" i="28"/>
  <c r="N21" i="28"/>
  <c r="O24" i="28"/>
  <c r="H83" i="34" s="1"/>
  <c r="AX26" i="55" s="1"/>
  <c r="N24" i="28"/>
  <c r="G83" i="34" s="1"/>
  <c r="F83" i="34"/>
  <c r="AV26" i="55" s="1"/>
  <c r="E83" i="34"/>
  <c r="L7" i="28"/>
  <c r="N27" i="28"/>
  <c r="O27" i="28"/>
  <c r="N12" i="28"/>
  <c r="O12" i="28"/>
  <c r="H175" i="35"/>
  <c r="O17" i="28"/>
  <c r="J175" i="35" s="1"/>
  <c r="N17" i="28"/>
  <c r="I175" i="35" s="1"/>
  <c r="O20" i="28"/>
  <c r="N20" i="28"/>
  <c r="O25" i="28"/>
  <c r="H84" i="34" s="1"/>
  <c r="N25" i="28"/>
  <c r="G84" i="34" s="1"/>
  <c r="F84" i="34"/>
  <c r="O12" i="27"/>
  <c r="N12" i="27"/>
  <c r="N21" i="27"/>
  <c r="O21" i="27"/>
  <c r="N22" i="27"/>
  <c r="O22" i="27"/>
  <c r="AA30" i="27"/>
  <c r="O18" i="27"/>
  <c r="J170" i="35" s="1"/>
  <c r="N18" i="27"/>
  <c r="I170" i="35" s="1"/>
  <c r="H170" i="35"/>
  <c r="N27" i="27"/>
  <c r="O27" i="27"/>
  <c r="N26" i="27"/>
  <c r="G82" i="34" s="1"/>
  <c r="O26" i="27"/>
  <c r="H82" i="34" s="1"/>
  <c r="F82" i="34"/>
  <c r="M11" i="24"/>
  <c r="N11" i="24" s="1"/>
  <c r="J126" i="36" s="1"/>
  <c r="H126" i="36"/>
  <c r="AA30" i="24"/>
  <c r="O11" i="24"/>
  <c r="K126" i="36" s="1"/>
  <c r="AC30" i="23"/>
  <c r="AA30" i="23"/>
  <c r="H152" i="35"/>
  <c r="AK100" i="55" s="1"/>
  <c r="O20" i="23"/>
  <c r="J152" i="35" s="1"/>
  <c r="AM100" i="55" s="1"/>
  <c r="N20" i="23"/>
  <c r="I152" i="35" s="1"/>
  <c r="AL100" i="55" s="1"/>
  <c r="H147" i="35"/>
  <c r="AK115" i="55" s="1"/>
  <c r="O15" i="23"/>
  <c r="J147" i="35" s="1"/>
  <c r="AM115" i="55" s="1"/>
  <c r="N15" i="23"/>
  <c r="I147" i="35" s="1"/>
  <c r="N19" i="23"/>
  <c r="I151" i="35" s="1"/>
  <c r="O19" i="23"/>
  <c r="J151" i="35" s="1"/>
  <c r="H151" i="35"/>
  <c r="H121" i="36"/>
  <c r="G153" i="35"/>
  <c r="O11" i="23"/>
  <c r="K121" i="36" s="1"/>
  <c r="N11" i="23"/>
  <c r="J121" i="36" s="1"/>
  <c r="I121" i="36"/>
  <c r="O21" i="23"/>
  <c r="J153" i="35" s="1"/>
  <c r="N21" i="23"/>
  <c r="I153" i="35" s="1"/>
  <c r="H153" i="35"/>
  <c r="M18" i="23"/>
  <c r="G150" i="35"/>
  <c r="F70" i="34"/>
  <c r="O26" i="23"/>
  <c r="H70" i="34" s="1"/>
  <c r="N26" i="23"/>
  <c r="G70" i="34" s="1"/>
  <c r="O12" i="23"/>
  <c r="N12" i="23"/>
  <c r="N22" i="23"/>
  <c r="O22" i="23"/>
  <c r="O7" i="23"/>
  <c r="I117" i="36"/>
  <c r="X4" i="55" s="1"/>
  <c r="N7" i="23"/>
  <c r="N27" i="23"/>
  <c r="O27" i="23"/>
  <c r="O24" i="23"/>
  <c r="H68" i="34" s="1"/>
  <c r="AX5" i="55" s="1"/>
  <c r="N24" i="23"/>
  <c r="G68" i="34" s="1"/>
  <c r="F68" i="34"/>
  <c r="L8" i="23"/>
  <c r="AJ115" i="55"/>
  <c r="E121" i="36"/>
  <c r="J11" i="23"/>
  <c r="F121" i="36" s="1"/>
  <c r="K11" i="23"/>
  <c r="G121" i="36" s="1"/>
  <c r="K19" i="23"/>
  <c r="F151" i="35" s="1"/>
  <c r="J19" i="23"/>
  <c r="E151" i="35" s="1"/>
  <c r="J7" i="23"/>
  <c r="F117" i="36" s="1"/>
  <c r="U4" i="55" s="1"/>
  <c r="K7" i="23"/>
  <c r="G117" i="36" s="1"/>
  <c r="E117" i="36"/>
  <c r="T4" i="55" s="1"/>
  <c r="J17" i="23"/>
  <c r="E149" i="35" s="1"/>
  <c r="AH67" i="55" s="1"/>
  <c r="K17" i="23"/>
  <c r="F149" i="35" s="1"/>
  <c r="AI69" i="55" s="1"/>
  <c r="K12" i="23"/>
  <c r="J12" i="23"/>
  <c r="J10" i="23"/>
  <c r="F120" i="36" s="1"/>
  <c r="E120" i="36"/>
  <c r="K10" i="23"/>
  <c r="G120" i="36" s="1"/>
  <c r="K8" i="23"/>
  <c r="G118" i="36" s="1"/>
  <c r="V72" i="55" s="1"/>
  <c r="J8" i="23"/>
  <c r="F118" i="36" s="1"/>
  <c r="U72" i="55" s="1"/>
  <c r="E118" i="36"/>
  <c r="K22" i="23"/>
  <c r="J22" i="23"/>
  <c r="J20" i="23"/>
  <c r="E152" i="35" s="1"/>
  <c r="AH108" i="55" s="1"/>
  <c r="K20" i="23"/>
  <c r="F152" i="35" s="1"/>
  <c r="AI108" i="55" s="1"/>
  <c r="D40" i="23"/>
  <c r="D41" i="23" s="1"/>
  <c r="K2" i="23"/>
  <c r="J2" i="23"/>
  <c r="J52" i="33"/>
  <c r="J11" i="55" s="1"/>
  <c r="K18" i="23"/>
  <c r="F150" i="35" s="1"/>
  <c r="AI93" i="55" s="1"/>
  <c r="J18" i="23"/>
  <c r="E150" i="35" s="1"/>
  <c r="AH93" i="55" s="1"/>
  <c r="K3" i="23"/>
  <c r="L53" i="33" s="1"/>
  <c r="L39" i="55" s="1"/>
  <c r="J3" i="23"/>
  <c r="K53" i="33" s="1"/>
  <c r="J53" i="33"/>
  <c r="J16" i="23"/>
  <c r="E148" i="35" s="1"/>
  <c r="AH90" i="55" s="1"/>
  <c r="K16" i="23"/>
  <c r="F148" i="35" s="1"/>
  <c r="AI104" i="55" s="1"/>
  <c r="N45" i="33"/>
  <c r="K15" i="20"/>
  <c r="F129" i="35" s="1"/>
  <c r="AI2" i="55" s="1"/>
  <c r="J15" i="20"/>
  <c r="E129" i="35" s="1"/>
  <c r="AH2" i="55" s="1"/>
  <c r="AH40" i="55"/>
  <c r="W30" i="20"/>
  <c r="E106" i="36"/>
  <c r="J12" i="20"/>
  <c r="J4" i="20"/>
  <c r="E102" i="36"/>
  <c r="T23" i="55" s="1"/>
  <c r="J7" i="20"/>
  <c r="F102" i="36" s="1"/>
  <c r="U23" i="55" s="1"/>
  <c r="K7" i="20"/>
  <c r="G102" i="36" s="1"/>
  <c r="J9" i="20"/>
  <c r="F104" i="36" s="1"/>
  <c r="K9" i="20"/>
  <c r="G104" i="36" s="1"/>
  <c r="V75" i="55" s="1"/>
  <c r="E104" i="36"/>
  <c r="K21" i="20"/>
  <c r="J21" i="20"/>
  <c r="K19" i="20"/>
  <c r="F133" i="35" s="1"/>
  <c r="AI131" i="55" s="1"/>
  <c r="J19" i="20"/>
  <c r="E133" i="35" s="1"/>
  <c r="AH131" i="55" s="1"/>
  <c r="J17" i="20"/>
  <c r="E131" i="35" s="1"/>
  <c r="K17" i="20"/>
  <c r="F131" i="35" s="1"/>
  <c r="AI71" i="55" s="1"/>
  <c r="J20" i="20"/>
  <c r="E134" i="35" s="1"/>
  <c r="K20" i="20"/>
  <c r="F134" i="35" s="1"/>
  <c r="I3" i="20"/>
  <c r="K11" i="20"/>
  <c r="G106" i="36" s="1"/>
  <c r="L106" i="36" s="1"/>
  <c r="AC30" i="19"/>
  <c r="O15" i="19"/>
  <c r="J122" i="35" s="1"/>
  <c r="AM5" i="55" s="1"/>
  <c r="AA30" i="19"/>
  <c r="M17" i="19"/>
  <c r="G124" i="35"/>
  <c r="AJ105" i="55" s="1"/>
  <c r="AY43" i="55"/>
  <c r="L7" i="19"/>
  <c r="J40" i="33"/>
  <c r="J49" i="55" s="1"/>
  <c r="J3" i="18"/>
  <c r="K40" i="33" s="1"/>
  <c r="K3" i="18"/>
  <c r="L40" i="33" s="1"/>
  <c r="K22" i="18"/>
  <c r="J22" i="18"/>
  <c r="E90" i="36"/>
  <c r="K10" i="18"/>
  <c r="G90" i="36" s="1"/>
  <c r="J10" i="18"/>
  <c r="F90" i="36" s="1"/>
  <c r="K15" i="18"/>
  <c r="F111" i="35" s="1"/>
  <c r="AI9" i="55" s="1"/>
  <c r="J15" i="18"/>
  <c r="E111" i="35" s="1"/>
  <c r="K18" i="18"/>
  <c r="F113" i="35" s="1"/>
  <c r="AI91" i="55" s="1"/>
  <c r="J18" i="18"/>
  <c r="E113" i="35" s="1"/>
  <c r="AH91" i="55" s="1"/>
  <c r="J2" i="18"/>
  <c r="K39" i="33" s="1"/>
  <c r="K2" i="18"/>
  <c r="L39" i="33" s="1"/>
  <c r="J39" i="33"/>
  <c r="J7" i="18"/>
  <c r="F87" i="36" s="1"/>
  <c r="E87" i="36"/>
  <c r="T20" i="55" s="1"/>
  <c r="K4" i="18"/>
  <c r="J4" i="18"/>
  <c r="D40" i="18"/>
  <c r="D41" i="18" s="1"/>
  <c r="K11" i="18"/>
  <c r="G91" i="36" s="1"/>
  <c r="J11" i="18"/>
  <c r="F91" i="36" s="1"/>
  <c r="E91" i="36"/>
  <c r="K20" i="18"/>
  <c r="F115" i="35" s="1"/>
  <c r="J20" i="18"/>
  <c r="E115" i="35" s="1"/>
  <c r="J9" i="18"/>
  <c r="F89" i="36" s="1"/>
  <c r="E89" i="36"/>
  <c r="T87" i="55" s="1"/>
  <c r="K9" i="18"/>
  <c r="G89" i="36" s="1"/>
  <c r="K16" i="18"/>
  <c r="F110" i="35" s="1"/>
  <c r="J16" i="18"/>
  <c r="E110" i="35" s="1"/>
  <c r="K12" i="18"/>
  <c r="J12" i="18"/>
  <c r="K21" i="18"/>
  <c r="J21" i="18"/>
  <c r="E88" i="36"/>
  <c r="T56" i="55" s="1"/>
  <c r="K8" i="18"/>
  <c r="G88" i="36" s="1"/>
  <c r="J8" i="18"/>
  <c r="F88" i="36" s="1"/>
  <c r="U56" i="55" s="1"/>
  <c r="AH98" i="55"/>
  <c r="J19" i="18"/>
  <c r="E114" i="35" s="1"/>
  <c r="K19" i="18"/>
  <c r="F114" i="35" s="1"/>
  <c r="K7" i="18"/>
  <c r="G87" i="36" s="1"/>
  <c r="K17" i="18"/>
  <c r="F112" i="35" s="1"/>
  <c r="AI98" i="55" s="1"/>
  <c r="N27" i="17"/>
  <c r="O27" i="17"/>
  <c r="O22" i="17"/>
  <c r="N22" i="17"/>
  <c r="AA30" i="17"/>
  <c r="O19" i="17"/>
  <c r="J101" i="35" s="1"/>
  <c r="N19" i="17"/>
  <c r="I101" i="35" s="1"/>
  <c r="AL84" i="55" s="1"/>
  <c r="H101" i="35"/>
  <c r="AK84" i="55" s="1"/>
  <c r="O20" i="17"/>
  <c r="J102" i="35" s="1"/>
  <c r="N20" i="17"/>
  <c r="I102" i="35" s="1"/>
  <c r="AL82" i="55" s="1"/>
  <c r="H102" i="35"/>
  <c r="AK82" i="55" s="1"/>
  <c r="O12" i="17"/>
  <c r="N12" i="17"/>
  <c r="O21" i="17"/>
  <c r="N21" i="17"/>
  <c r="O8" i="17"/>
  <c r="I78" i="36"/>
  <c r="X41" i="55" s="1"/>
  <c r="N8" i="17"/>
  <c r="O18" i="17"/>
  <c r="J100" i="35" s="1"/>
  <c r="AM116" i="55" s="1"/>
  <c r="N18" i="17"/>
  <c r="I100" i="35" s="1"/>
  <c r="H100" i="35"/>
  <c r="N9" i="17"/>
  <c r="J79" i="36" s="1"/>
  <c r="I79" i="36"/>
  <c r="O9" i="17"/>
  <c r="K79" i="36" s="1"/>
  <c r="Z69" i="55" s="1"/>
  <c r="N10" i="17"/>
  <c r="J80" i="36" s="1"/>
  <c r="I80" i="36"/>
  <c r="O10" i="17"/>
  <c r="K80" i="36" s="1"/>
  <c r="Z89" i="55" s="1"/>
  <c r="J3" i="15"/>
  <c r="K32" i="33" s="1"/>
  <c r="K37" i="55" s="1"/>
  <c r="J32" i="33"/>
  <c r="J36" i="55" s="1"/>
  <c r="J31" i="33"/>
  <c r="K2" i="15"/>
  <c r="L31" i="33" s="1"/>
  <c r="L12" i="55" s="1"/>
  <c r="J2" i="15"/>
  <c r="K31" i="33" s="1"/>
  <c r="K10" i="15"/>
  <c r="G70" i="36" s="1"/>
  <c r="V60" i="55" s="1"/>
  <c r="J10" i="15"/>
  <c r="F70" i="36" s="1"/>
  <c r="U60" i="55" s="1"/>
  <c r="E70" i="36"/>
  <c r="T60" i="55" s="1"/>
  <c r="J17" i="15"/>
  <c r="E86" i="35" s="1"/>
  <c r="W30" i="15"/>
  <c r="K16" i="15"/>
  <c r="F85" i="35" s="1"/>
  <c r="AI83" i="55" s="1"/>
  <c r="J16" i="15"/>
  <c r="E85" i="35" s="1"/>
  <c r="K21" i="15"/>
  <c r="J21" i="15"/>
  <c r="AI113" i="55"/>
  <c r="K4" i="15"/>
  <c r="J4" i="15"/>
  <c r="K15" i="15"/>
  <c r="F84" i="35" s="1"/>
  <c r="J15" i="15"/>
  <c r="E84" i="35" s="1"/>
  <c r="AH43" i="55" s="1"/>
  <c r="K9" i="15"/>
  <c r="G69" i="36" s="1"/>
  <c r="V73" i="55" s="1"/>
  <c r="E69" i="36"/>
  <c r="J9" i="15"/>
  <c r="F69" i="36" s="1"/>
  <c r="K20" i="15"/>
  <c r="F89" i="35" s="1"/>
  <c r="J20" i="15"/>
  <c r="E89" i="35" s="1"/>
  <c r="K3" i="15"/>
  <c r="AC30" i="13"/>
  <c r="M16" i="13"/>
  <c r="G71" i="35"/>
  <c r="AJ60" i="55" s="1"/>
  <c r="AA30" i="13"/>
  <c r="AC30" i="11"/>
  <c r="O26" i="11"/>
  <c r="H31" i="34" s="1"/>
  <c r="AX38" i="55" s="1"/>
  <c r="N26" i="11"/>
  <c r="G31" i="34" s="1"/>
  <c r="F31" i="34"/>
  <c r="G40" i="11"/>
  <c r="G41" i="11" s="1"/>
  <c r="M11" i="11"/>
  <c r="N11" i="11" s="1"/>
  <c r="J51" i="36" s="1"/>
  <c r="H51" i="36"/>
  <c r="M8" i="11"/>
  <c r="O19" i="11"/>
  <c r="J62" i="35" s="1"/>
  <c r="N19" i="11"/>
  <c r="I62" i="35" s="1"/>
  <c r="H62" i="35"/>
  <c r="AA30" i="11"/>
  <c r="O15" i="11"/>
  <c r="J58" i="35" s="1"/>
  <c r="AM38" i="55" s="1"/>
  <c r="N15" i="11"/>
  <c r="I58" i="35" s="1"/>
  <c r="H58" i="35"/>
  <c r="AK39" i="55" s="1"/>
  <c r="O17" i="11"/>
  <c r="J60" i="35" s="1"/>
  <c r="H60" i="35"/>
  <c r="N17" i="11"/>
  <c r="I60" i="35" s="1"/>
  <c r="O25" i="11"/>
  <c r="H30" i="34" s="1"/>
  <c r="N25" i="11"/>
  <c r="G30" i="34" s="1"/>
  <c r="F30" i="34"/>
  <c r="N21" i="11"/>
  <c r="O21" i="11"/>
  <c r="O20" i="11"/>
  <c r="J63" i="35" s="1"/>
  <c r="AM123" i="55" s="1"/>
  <c r="N20" i="11"/>
  <c r="I63" i="35" s="1"/>
  <c r="H63" i="35"/>
  <c r="N12" i="11"/>
  <c r="O12" i="11"/>
  <c r="N16" i="11"/>
  <c r="I59" i="35" s="1"/>
  <c r="H59" i="35"/>
  <c r="O16" i="11"/>
  <c r="J59" i="35" s="1"/>
  <c r="N27" i="11"/>
  <c r="O27" i="11"/>
  <c r="O24" i="11"/>
  <c r="H29" i="34" s="1"/>
  <c r="AX22" i="55" s="1"/>
  <c r="N24" i="11"/>
  <c r="G29" i="34" s="1"/>
  <c r="F29" i="34"/>
  <c r="O22" i="11"/>
  <c r="N22" i="11"/>
  <c r="O9" i="11"/>
  <c r="K49" i="36" s="1"/>
  <c r="N9" i="11"/>
  <c r="J49" i="36" s="1"/>
  <c r="I49" i="36"/>
  <c r="H61" i="35"/>
  <c r="O18" i="11"/>
  <c r="J61" i="35" s="1"/>
  <c r="N18" i="11"/>
  <c r="I61" i="35" s="1"/>
  <c r="I50" i="36"/>
  <c r="O10" i="11"/>
  <c r="K50" i="36" s="1"/>
  <c r="N10" i="11"/>
  <c r="J50" i="36" s="1"/>
  <c r="AI33" i="55"/>
  <c r="W30" i="10"/>
  <c r="J2" i="10"/>
  <c r="K20" i="33" s="1"/>
  <c r="K16" i="55" s="1"/>
  <c r="J10" i="10"/>
  <c r="F45" i="36" s="1"/>
  <c r="U45" i="55" s="1"/>
  <c r="N20" i="10"/>
  <c r="I57" i="35" s="1"/>
  <c r="H57" i="35"/>
  <c r="O20" i="10"/>
  <c r="J57" i="35" s="1"/>
  <c r="O8" i="10"/>
  <c r="K43" i="36" s="1"/>
  <c r="N8" i="10"/>
  <c r="J43" i="36" s="1"/>
  <c r="I43" i="36"/>
  <c r="AA30" i="10"/>
  <c r="N12" i="10"/>
  <c r="O26" i="10"/>
  <c r="H28" i="34" s="1"/>
  <c r="F28" i="34"/>
  <c r="N26" i="10"/>
  <c r="G28" i="34" s="1"/>
  <c r="O21" i="10"/>
  <c r="N21" i="10"/>
  <c r="O17" i="10"/>
  <c r="J54" i="35" s="1"/>
  <c r="N17" i="10"/>
  <c r="I54" i="35" s="1"/>
  <c r="H54" i="35"/>
  <c r="N11" i="10"/>
  <c r="J46" i="36" s="1"/>
  <c r="I46" i="36"/>
  <c r="O25" i="10"/>
  <c r="H27" i="34" s="1"/>
  <c r="N25" i="10"/>
  <c r="G27" i="34" s="1"/>
  <c r="F27" i="34"/>
  <c r="O22" i="10"/>
  <c r="N22" i="10"/>
  <c r="K18" i="10"/>
  <c r="F55" i="35" s="1"/>
  <c r="J18" i="10"/>
  <c r="E55" i="35" s="1"/>
  <c r="AH126" i="55" s="1"/>
  <c r="K11" i="10"/>
  <c r="G46" i="36" s="1"/>
  <c r="J11" i="10"/>
  <c r="F46" i="36" s="1"/>
  <c r="E46" i="36"/>
  <c r="K21" i="10"/>
  <c r="J21" i="10"/>
  <c r="E43" i="36"/>
  <c r="K8" i="10"/>
  <c r="G43" i="36" s="1"/>
  <c r="J8" i="10"/>
  <c r="F43" i="36" s="1"/>
  <c r="U65" i="55" s="1"/>
  <c r="K7" i="10"/>
  <c r="G42" i="36" s="1"/>
  <c r="J7" i="10"/>
  <c r="F42" i="36" s="1"/>
  <c r="U8" i="55" s="1"/>
  <c r="E42" i="36"/>
  <c r="T8" i="55" s="1"/>
  <c r="K12" i="10"/>
  <c r="J12" i="10"/>
  <c r="K22" i="10"/>
  <c r="J22" i="10"/>
  <c r="K17" i="10"/>
  <c r="F54" i="35" s="1"/>
  <c r="AI77" i="55" s="1"/>
  <c r="J17" i="10"/>
  <c r="E54" i="35" s="1"/>
  <c r="D40" i="10"/>
  <c r="D41" i="10" s="1"/>
  <c r="K3" i="10"/>
  <c r="J3" i="10"/>
  <c r="J21" i="33"/>
  <c r="J46" i="55" s="1"/>
  <c r="K20" i="10"/>
  <c r="F57" i="35" s="1"/>
  <c r="J20" i="10"/>
  <c r="E57" i="35" s="1"/>
  <c r="J15" i="10"/>
  <c r="E52" i="35" s="1"/>
  <c r="AH8" i="55" s="1"/>
  <c r="AC30" i="9"/>
  <c r="N21" i="9"/>
  <c r="O21" i="9"/>
  <c r="N16" i="9"/>
  <c r="I47" i="35" s="1"/>
  <c r="AL64" i="55" s="1"/>
  <c r="O16" i="9"/>
  <c r="J47" i="35" s="1"/>
  <c r="AM64" i="55" s="1"/>
  <c r="H47" i="35"/>
  <c r="AK64" i="55" s="1"/>
  <c r="AA30" i="9"/>
  <c r="N27" i="9"/>
  <c r="O27" i="9"/>
  <c r="O12" i="9"/>
  <c r="N12" i="9"/>
  <c r="O17" i="9"/>
  <c r="J48" i="35" s="1"/>
  <c r="AM56" i="55" s="1"/>
  <c r="H48" i="35"/>
  <c r="AK56" i="55" s="1"/>
  <c r="N17" i="9"/>
  <c r="I48" i="35" s="1"/>
  <c r="AL56" i="55" s="1"/>
  <c r="O18" i="9"/>
  <c r="J49" i="35" s="1"/>
  <c r="H49" i="35"/>
  <c r="N18" i="9"/>
  <c r="I49" i="35" s="1"/>
  <c r="O19" i="9"/>
  <c r="J50" i="35" s="1"/>
  <c r="H50" i="35"/>
  <c r="N19" i="9"/>
  <c r="I50" i="35" s="1"/>
  <c r="O9" i="9"/>
  <c r="N9" i="9"/>
  <c r="I39" i="36"/>
  <c r="X66" i="55" s="1"/>
  <c r="O22" i="9"/>
  <c r="N22" i="9"/>
  <c r="J16" i="9"/>
  <c r="E47" i="35" s="1"/>
  <c r="AI64" i="55"/>
  <c r="K19" i="9"/>
  <c r="F50" i="35" s="1"/>
  <c r="K18" i="9"/>
  <c r="F49" i="35" s="1"/>
  <c r="J18" i="9"/>
  <c r="E49" i="35" s="1"/>
  <c r="AH121" i="55" s="1"/>
  <c r="W30" i="9"/>
  <c r="E50" i="35"/>
  <c r="J21" i="9"/>
  <c r="D40" i="9"/>
  <c r="D41" i="9" s="1"/>
  <c r="J22" i="8"/>
  <c r="I10" i="8"/>
  <c r="J7" i="8"/>
  <c r="F32" i="36" s="1"/>
  <c r="K12" i="8"/>
  <c r="F45" i="35"/>
  <c r="J19" i="8"/>
  <c r="E45" i="35" s="1"/>
  <c r="D40" i="8"/>
  <c r="D41" i="8" s="1"/>
  <c r="AC30" i="7"/>
  <c r="AA30" i="7"/>
  <c r="W30" i="7"/>
  <c r="D40" i="7"/>
  <c r="D41" i="7" s="1"/>
  <c r="J9" i="7"/>
  <c r="F29" i="36" s="1"/>
  <c r="K9" i="7"/>
  <c r="G29" i="36" s="1"/>
  <c r="E29" i="36"/>
  <c r="T45" i="55" s="1"/>
  <c r="K19" i="7"/>
  <c r="F38" i="35" s="1"/>
  <c r="AI124" i="55" s="1"/>
  <c r="J19" i="7"/>
  <c r="E38" i="35" s="1"/>
  <c r="K49" i="55"/>
  <c r="J7" i="7"/>
  <c r="F27" i="36" s="1"/>
  <c r="K7" i="7"/>
  <c r="J17" i="7"/>
  <c r="E36" i="35" s="1"/>
  <c r="AH89" i="55" s="1"/>
  <c r="J16" i="7"/>
  <c r="E35" i="35" s="1"/>
  <c r="AH74" i="55" s="1"/>
  <c r="K10" i="16"/>
  <c r="J10" i="16"/>
  <c r="F75" i="36" s="1"/>
  <c r="E75" i="36"/>
  <c r="D40" i="16"/>
  <c r="D41" i="16" s="1"/>
  <c r="K20" i="16"/>
  <c r="F95" i="35" s="1"/>
  <c r="J20" i="16"/>
  <c r="E95" i="35" s="1"/>
  <c r="N34" i="33"/>
  <c r="F72" i="36"/>
  <c r="L8" i="55"/>
  <c r="J15" i="16"/>
  <c r="E90" i="35" s="1"/>
  <c r="W30" i="16"/>
  <c r="N44" i="35" l="1"/>
  <c r="K44" i="35"/>
  <c r="L21" i="34"/>
  <c r="AA20" i="47" s="1"/>
  <c r="L44" i="35"/>
  <c r="M44" i="35"/>
  <c r="O33" i="36"/>
  <c r="M41" i="35"/>
  <c r="N33" i="36"/>
  <c r="M33" i="36"/>
  <c r="I21" i="34"/>
  <c r="J21" i="34" s="1"/>
  <c r="L34" i="36"/>
  <c r="O34" i="36"/>
  <c r="J8" i="19"/>
  <c r="F98" i="36" s="1"/>
  <c r="U63" i="55" s="1"/>
  <c r="J20" i="19"/>
  <c r="E128" i="35" s="1"/>
  <c r="E99" i="36"/>
  <c r="J44" i="33"/>
  <c r="K9" i="19"/>
  <c r="G99" i="36" s="1"/>
  <c r="J3" i="19"/>
  <c r="K44" i="33" s="1"/>
  <c r="AH4" i="55"/>
  <c r="L51" i="34"/>
  <c r="I40" i="3"/>
  <c r="I51" i="34"/>
  <c r="M8" i="1"/>
  <c r="I15" i="34"/>
  <c r="E14" i="34"/>
  <c r="O11" i="1"/>
  <c r="K26" i="36" s="1"/>
  <c r="AJ88" i="55"/>
  <c r="AJ52" i="55"/>
  <c r="D40" i="5"/>
  <c r="D41" i="5" s="1"/>
  <c r="K15" i="5"/>
  <c r="F14" i="35" s="1"/>
  <c r="AI44" i="55" s="1"/>
  <c r="D40" i="15"/>
  <c r="D41" i="15" s="1"/>
  <c r="J19" i="15"/>
  <c r="E88" i="35" s="1"/>
  <c r="E67" i="36"/>
  <c r="T14" i="55" s="1"/>
  <c r="K7" i="15"/>
  <c r="G67" i="36" s="1"/>
  <c r="E71" i="36"/>
  <c r="K11" i="15"/>
  <c r="G71" i="36" s="1"/>
  <c r="J22" i="15"/>
  <c r="O16" i="2"/>
  <c r="J179" i="35" s="1"/>
  <c r="N16" i="2"/>
  <c r="I179" i="35" s="1"/>
  <c r="N12" i="2"/>
  <c r="G178" i="35"/>
  <c r="G179" i="35"/>
  <c r="O20" i="2"/>
  <c r="J183" i="35" s="1"/>
  <c r="N26" i="2"/>
  <c r="G88" i="34" s="1"/>
  <c r="N12" i="12"/>
  <c r="H54" i="36"/>
  <c r="U87" i="55"/>
  <c r="U88" i="55"/>
  <c r="AH112" i="55"/>
  <c r="AH101" i="55"/>
  <c r="J20" i="55"/>
  <c r="T44" i="55"/>
  <c r="T19" i="55"/>
  <c r="V47" i="55"/>
  <c r="V45" i="55"/>
  <c r="U14" i="55"/>
  <c r="V59" i="55"/>
  <c r="V56" i="55"/>
  <c r="AH24" i="55"/>
  <c r="AH26" i="55"/>
  <c r="W65" i="55"/>
  <c r="W66" i="55"/>
  <c r="AM88" i="55"/>
  <c r="AM82" i="55"/>
  <c r="AK33" i="55"/>
  <c r="AK31" i="55"/>
  <c r="AL39" i="55"/>
  <c r="AL38" i="55"/>
  <c r="U66" i="55"/>
  <c r="V9" i="55"/>
  <c r="V8" i="55"/>
  <c r="AL31" i="55"/>
  <c r="Y69" i="55"/>
  <c r="V20" i="55"/>
  <c r="V19" i="55"/>
  <c r="U44" i="55"/>
  <c r="U166" i="55"/>
  <c r="U142" i="55"/>
  <c r="U115" i="55"/>
  <c r="U139" i="55"/>
  <c r="U111" i="55"/>
  <c r="U116" i="55"/>
  <c r="U164" i="55"/>
  <c r="U100" i="55"/>
  <c r="U122" i="55"/>
  <c r="U99" i="55"/>
  <c r="V57" i="55"/>
  <c r="V48" i="55"/>
  <c r="AI59" i="55"/>
  <c r="AI26" i="55"/>
  <c r="AI128" i="55"/>
  <c r="D40" i="17"/>
  <c r="D41" i="17" s="1"/>
  <c r="N16" i="10"/>
  <c r="I53" i="35" s="1"/>
  <c r="AV22" i="55"/>
  <c r="X69" i="55"/>
  <c r="U20" i="55"/>
  <c r="U19" i="55"/>
  <c r="AH73" i="55"/>
  <c r="AH71" i="55"/>
  <c r="H196" i="35"/>
  <c r="U158" i="55"/>
  <c r="U127" i="55"/>
  <c r="U163" i="55"/>
  <c r="U123" i="55"/>
  <c r="U103" i="55"/>
  <c r="U148" i="55"/>
  <c r="U156" i="55"/>
  <c r="N20" i="2"/>
  <c r="I183" i="35" s="1"/>
  <c r="X17" i="47"/>
  <c r="AL25" i="47"/>
  <c r="AN34" i="47"/>
  <c r="E3" i="36"/>
  <c r="AJ4" i="55"/>
  <c r="J12" i="17"/>
  <c r="M10" i="28"/>
  <c r="H140" i="36"/>
  <c r="W86" i="55" s="1"/>
  <c r="K17" i="1"/>
  <c r="F29" i="35" s="1"/>
  <c r="AI52" i="55" s="1"/>
  <c r="D40" i="1"/>
  <c r="D41" i="1" s="1"/>
  <c r="H24" i="36"/>
  <c r="G40" i="1"/>
  <c r="G41" i="1" s="1"/>
  <c r="M9" i="1"/>
  <c r="L26" i="25"/>
  <c r="L18" i="25"/>
  <c r="L7" i="25"/>
  <c r="L25" i="25"/>
  <c r="L12" i="25"/>
  <c r="M12" i="25" s="1"/>
  <c r="L20" i="25"/>
  <c r="L19" i="25"/>
  <c r="L24" i="25"/>
  <c r="L15" i="25"/>
  <c r="L21" i="25"/>
  <c r="M21" i="25" s="1"/>
  <c r="L10" i="25"/>
  <c r="L17" i="25"/>
  <c r="L11" i="25"/>
  <c r="E2" i="25"/>
  <c r="L16" i="25"/>
  <c r="L9" i="25"/>
  <c r="L22" i="25"/>
  <c r="M22" i="25" s="1"/>
  <c r="L27" i="25"/>
  <c r="M27" i="25" s="1"/>
  <c r="L8" i="25"/>
  <c r="E41" i="33"/>
  <c r="K22" i="13"/>
  <c r="J22" i="13"/>
  <c r="U57" i="55"/>
  <c r="U48" i="55"/>
  <c r="U128" i="55"/>
  <c r="U98" i="55"/>
  <c r="U101" i="55"/>
  <c r="U96" i="55"/>
  <c r="U97" i="55"/>
  <c r="X80" i="55"/>
  <c r="X81" i="55"/>
  <c r="K11" i="19"/>
  <c r="G101" i="36" s="1"/>
  <c r="J11" i="19"/>
  <c r="F101" i="36" s="1"/>
  <c r="E101" i="36"/>
  <c r="N21" i="18"/>
  <c r="O21" i="18"/>
  <c r="J19" i="1"/>
  <c r="E31" i="35" s="1"/>
  <c r="K19" i="1"/>
  <c r="F31" i="35" s="1"/>
  <c r="AI88" i="55" s="1"/>
  <c r="K11" i="22"/>
  <c r="G116" i="36" s="1"/>
  <c r="J11" i="22"/>
  <c r="F116" i="36" s="1"/>
  <c r="E116" i="36"/>
  <c r="E100" i="36"/>
  <c r="T46" i="55" s="1"/>
  <c r="K10" i="19"/>
  <c r="G100" i="36" s="1"/>
  <c r="J10" i="19"/>
  <c r="F100" i="36" s="1"/>
  <c r="U46" i="55" s="1"/>
  <c r="U110" i="55"/>
  <c r="AH65" i="55"/>
  <c r="U93" i="55"/>
  <c r="T171" i="55"/>
  <c r="T101" i="55"/>
  <c r="T97" i="55"/>
  <c r="N20" i="35"/>
  <c r="AI5" i="55"/>
  <c r="G26" i="22"/>
  <c r="H26" i="22"/>
  <c r="F26" i="22"/>
  <c r="J2" i="29"/>
  <c r="K2" i="29"/>
  <c r="D40" i="29"/>
  <c r="D41" i="29" s="1"/>
  <c r="J67" i="33"/>
  <c r="U102" i="55"/>
  <c r="V23" i="55"/>
  <c r="U159" i="55"/>
  <c r="U154" i="55"/>
  <c r="U92" i="55"/>
  <c r="AI65" i="55"/>
  <c r="G54" i="35"/>
  <c r="AO18" i="47"/>
  <c r="V161" i="55"/>
  <c r="V92" i="55"/>
  <c r="V96" i="55"/>
  <c r="V101" i="55"/>
  <c r="V97" i="55"/>
  <c r="V100" i="55"/>
  <c r="L20" i="36"/>
  <c r="AX15" i="55"/>
  <c r="AI129" i="55"/>
  <c r="L9" i="31"/>
  <c r="E2" i="31"/>
  <c r="L19" i="31"/>
  <c r="L11" i="31"/>
  <c r="L25" i="31"/>
  <c r="L17" i="31"/>
  <c r="G40" i="31" s="1"/>
  <c r="G41" i="31" s="1"/>
  <c r="L21" i="31"/>
  <c r="L8" i="31"/>
  <c r="L18" i="31"/>
  <c r="L24" i="31"/>
  <c r="E72" i="33"/>
  <c r="E22" i="55" s="1"/>
  <c r="L10" i="31"/>
  <c r="L12" i="31"/>
  <c r="M12" i="31" s="1"/>
  <c r="L26" i="31"/>
  <c r="L20" i="31"/>
  <c r="L22" i="31"/>
  <c r="M22" i="31" s="1"/>
  <c r="L15" i="31"/>
  <c r="L27" i="31"/>
  <c r="M27" i="31" s="1"/>
  <c r="M20" i="9"/>
  <c r="G51" i="35"/>
  <c r="M8" i="12"/>
  <c r="H53" i="36"/>
  <c r="W30" i="55" s="1"/>
  <c r="G40" i="12"/>
  <c r="G41" i="12" s="1"/>
  <c r="M11" i="17"/>
  <c r="H81" i="36"/>
  <c r="G40" i="17"/>
  <c r="G41" i="17" s="1"/>
  <c r="M16" i="15"/>
  <c r="G85" i="35"/>
  <c r="Z11" i="47"/>
  <c r="Y11" i="47"/>
  <c r="AI75" i="55"/>
  <c r="U95" i="55"/>
  <c r="AI178" i="55"/>
  <c r="AK38" i="55"/>
  <c r="AI90" i="55"/>
  <c r="E3" i="25"/>
  <c r="E42" i="33"/>
  <c r="L16" i="31"/>
  <c r="M11" i="5"/>
  <c r="H16" i="36"/>
  <c r="G40" i="5"/>
  <c r="G41" i="5" s="1"/>
  <c r="G11" i="36"/>
  <c r="F40" i="4"/>
  <c r="F41" i="4" s="1"/>
  <c r="T66" i="55"/>
  <c r="U94" i="55"/>
  <c r="U138" i="55"/>
  <c r="V87" i="55"/>
  <c r="V88" i="55"/>
  <c r="Z14" i="47"/>
  <c r="Y21" i="47"/>
  <c r="AI67" i="55"/>
  <c r="N11" i="15"/>
  <c r="J71" i="36" s="1"/>
  <c r="AX20" i="55"/>
  <c r="AX17" i="55"/>
  <c r="J3" i="30"/>
  <c r="K70" i="33" s="1"/>
  <c r="K43" i="55" s="1"/>
  <c r="K3" i="30"/>
  <c r="L70" i="33" s="1"/>
  <c r="L43" i="55" s="1"/>
  <c r="J12" i="13"/>
  <c r="K12" i="13"/>
  <c r="F4" i="33"/>
  <c r="F4" i="32"/>
  <c r="H4" i="32"/>
  <c r="I4" i="33" s="1"/>
  <c r="I41" i="55" s="1"/>
  <c r="G4" i="32"/>
  <c r="E34" i="32"/>
  <c r="U37" i="55"/>
  <c r="M17" i="23"/>
  <c r="G149" i="35"/>
  <c r="AJ67" i="55" s="1"/>
  <c r="M11" i="21"/>
  <c r="H111" i="36"/>
  <c r="M10" i="8"/>
  <c r="H35" i="36"/>
  <c r="W83" i="55" s="1"/>
  <c r="G40" i="8"/>
  <c r="G41" i="8" s="1"/>
  <c r="M15" i="9"/>
  <c r="G46" i="35"/>
  <c r="K22" i="33"/>
  <c r="AI100" i="55"/>
  <c r="U134" i="55"/>
  <c r="U170" i="55"/>
  <c r="O11" i="15"/>
  <c r="K71" i="36" s="1"/>
  <c r="K26" i="35"/>
  <c r="O18" i="36"/>
  <c r="AJ58" i="55"/>
  <c r="AI68" i="55"/>
  <c r="V77" i="55"/>
  <c r="V79" i="55"/>
  <c r="O11" i="12"/>
  <c r="K56" i="36" s="1"/>
  <c r="I56" i="36"/>
  <c r="J11" i="17"/>
  <c r="F81" i="36" s="1"/>
  <c r="K11" i="17"/>
  <c r="G81" i="36" s="1"/>
  <c r="E81" i="36"/>
  <c r="J4" i="12"/>
  <c r="D40" i="12"/>
  <c r="D41" i="12" s="1"/>
  <c r="K4" i="12"/>
  <c r="M20" i="5"/>
  <c r="G19" i="35"/>
  <c r="E4" i="26"/>
  <c r="L15" i="26"/>
  <c r="L21" i="26"/>
  <c r="M21" i="26" s="1"/>
  <c r="L9" i="26"/>
  <c r="L17" i="26"/>
  <c r="L24" i="26"/>
  <c r="L18" i="26"/>
  <c r="L20" i="26"/>
  <c r="L27" i="26"/>
  <c r="M27" i="26" s="1"/>
  <c r="L10" i="26"/>
  <c r="L22" i="26"/>
  <c r="M22" i="26" s="1"/>
  <c r="L12" i="26"/>
  <c r="M12" i="26" s="1"/>
  <c r="L8" i="26"/>
  <c r="L7" i="26"/>
  <c r="L19" i="26"/>
  <c r="L11" i="26"/>
  <c r="L16" i="26"/>
  <c r="L26" i="26"/>
  <c r="L25" i="26"/>
  <c r="M8" i="20"/>
  <c r="H103" i="36"/>
  <c r="M16" i="4"/>
  <c r="G9" i="35"/>
  <c r="K21" i="28"/>
  <c r="J21" i="28"/>
  <c r="J7" i="28"/>
  <c r="F137" i="36" s="1"/>
  <c r="U28" i="55" s="1"/>
  <c r="K7" i="28"/>
  <c r="G137" i="36" s="1"/>
  <c r="V28" i="55" s="1"/>
  <c r="E137" i="36"/>
  <c r="T28" i="55" s="1"/>
  <c r="M19" i="27"/>
  <c r="G171" i="35"/>
  <c r="AJ80" i="55" s="1"/>
  <c r="K19" i="24"/>
  <c r="F158" i="35" s="1"/>
  <c r="AI106" i="55" s="1"/>
  <c r="J19" i="24"/>
  <c r="E158" i="35" s="1"/>
  <c r="J7" i="3"/>
  <c r="K7" i="3"/>
  <c r="G82" i="36" s="1"/>
  <c r="V3" i="55" s="1"/>
  <c r="E82" i="36"/>
  <c r="D40" i="3"/>
  <c r="D41" i="3" s="1"/>
  <c r="K20" i="22"/>
  <c r="F146" i="35" s="1"/>
  <c r="J20" i="22"/>
  <c r="E146" i="35" s="1"/>
  <c r="E4" i="22"/>
  <c r="E51" i="33"/>
  <c r="F4" i="16"/>
  <c r="H4" i="16"/>
  <c r="G4" i="16"/>
  <c r="K20" i="30"/>
  <c r="F195" i="35" s="1"/>
  <c r="J20" i="30"/>
  <c r="E195" i="35" s="1"/>
  <c r="K18" i="1"/>
  <c r="F30" i="35" s="1"/>
  <c r="AI95" i="55" s="1"/>
  <c r="J18" i="1"/>
  <c r="E30" i="35" s="1"/>
  <c r="AH95" i="55" s="1"/>
  <c r="K22" i="30"/>
  <c r="J22" i="30"/>
  <c r="E4" i="30"/>
  <c r="E71" i="33"/>
  <c r="K7" i="31"/>
  <c r="G157" i="36" s="1"/>
  <c r="V31" i="55" s="1"/>
  <c r="J7" i="31"/>
  <c r="F157" i="36" s="1"/>
  <c r="U31" i="55" s="1"/>
  <c r="E157" i="36"/>
  <c r="T31" i="55" s="1"/>
  <c r="K15" i="29"/>
  <c r="F184" i="35" s="1"/>
  <c r="J15" i="29"/>
  <c r="E184" i="35" s="1"/>
  <c r="AH35" i="55" s="1"/>
  <c r="K22" i="11"/>
  <c r="J22" i="11"/>
  <c r="K9" i="30"/>
  <c r="G154" i="36" s="1"/>
  <c r="J9" i="30"/>
  <c r="F154" i="36" s="1"/>
  <c r="E154" i="36"/>
  <c r="M19" i="4"/>
  <c r="G12" i="35"/>
  <c r="K19" i="28"/>
  <c r="F177" i="35" s="1"/>
  <c r="AI53" i="55" s="1"/>
  <c r="J19" i="28"/>
  <c r="E177" i="35" s="1"/>
  <c r="AH53" i="55" s="1"/>
  <c r="J17" i="28"/>
  <c r="E175" i="35" s="1"/>
  <c r="K17" i="28"/>
  <c r="F175" i="35" s="1"/>
  <c r="M17" i="27"/>
  <c r="G169" i="35"/>
  <c r="M10" i="27"/>
  <c r="H135" i="36"/>
  <c r="K16" i="24"/>
  <c r="F155" i="35" s="1"/>
  <c r="AI45" i="55" s="1"/>
  <c r="J16" i="24"/>
  <c r="E155" i="35" s="1"/>
  <c r="J7" i="24"/>
  <c r="F122" i="36" s="1"/>
  <c r="U26" i="55" s="1"/>
  <c r="K7" i="24"/>
  <c r="G122" i="36" s="1"/>
  <c r="V26" i="55" s="1"/>
  <c r="E122" i="36"/>
  <c r="K19" i="3"/>
  <c r="F107" i="35" s="1"/>
  <c r="J19" i="3"/>
  <c r="E107" i="35" s="1"/>
  <c r="K8" i="29"/>
  <c r="G148" i="36" s="1"/>
  <c r="V74" i="55" s="1"/>
  <c r="J8" i="29"/>
  <c r="F148" i="36" s="1"/>
  <c r="U74" i="55" s="1"/>
  <c r="E148" i="36"/>
  <c r="T74" i="55" s="1"/>
  <c r="M9" i="23"/>
  <c r="H119" i="36"/>
  <c r="M19" i="21"/>
  <c r="G139" i="35"/>
  <c r="L38" i="33"/>
  <c r="F40" i="26"/>
  <c r="F41" i="26" s="1"/>
  <c r="F162" i="35"/>
  <c r="AI15" i="55" s="1"/>
  <c r="M25" i="12"/>
  <c r="E33" i="34"/>
  <c r="M15" i="12"/>
  <c r="G65" i="35"/>
  <c r="AJ6" i="55" s="1"/>
  <c r="M24" i="17"/>
  <c r="E47" i="34"/>
  <c r="AU2" i="55" s="1"/>
  <c r="I41" i="3"/>
  <c r="H3" i="5"/>
  <c r="I8" i="33" s="1"/>
  <c r="I42" i="55" s="1"/>
  <c r="F3" i="5"/>
  <c r="E34" i="5"/>
  <c r="G3" i="5"/>
  <c r="F8" i="33"/>
  <c r="J51" i="34"/>
  <c r="K51" i="34"/>
  <c r="N11" i="1"/>
  <c r="J26" i="36" s="1"/>
  <c r="AU31" i="55"/>
  <c r="U34" i="55"/>
  <c r="D40" i="19"/>
  <c r="D41" i="19" s="1"/>
  <c r="K10" i="22"/>
  <c r="G115" i="36" s="1"/>
  <c r="J10" i="22"/>
  <c r="F115" i="36" s="1"/>
  <c r="E115" i="36"/>
  <c r="M10" i="32"/>
  <c r="H5" i="36"/>
  <c r="J2" i="1"/>
  <c r="K11" i="33" s="1"/>
  <c r="K18" i="55" s="1"/>
  <c r="J11" i="33"/>
  <c r="J18" i="55" s="1"/>
  <c r="M8" i="28"/>
  <c r="H138" i="36"/>
  <c r="E3" i="30"/>
  <c r="E70" i="33"/>
  <c r="E43" i="55" s="1"/>
  <c r="E2" i="22"/>
  <c r="L8" i="22"/>
  <c r="L16" i="22"/>
  <c r="L7" i="22"/>
  <c r="L9" i="22"/>
  <c r="L27" i="22"/>
  <c r="M27" i="22" s="1"/>
  <c r="L21" i="22"/>
  <c r="M21" i="22" s="1"/>
  <c r="L12" i="22"/>
  <c r="M12" i="22" s="1"/>
  <c r="L15" i="22"/>
  <c r="L20" i="22"/>
  <c r="L24" i="22"/>
  <c r="L18" i="22"/>
  <c r="L22" i="22"/>
  <c r="M22" i="22" s="1"/>
  <c r="L11" i="22"/>
  <c r="L26" i="22"/>
  <c r="L17" i="22"/>
  <c r="L10" i="22"/>
  <c r="L19" i="22"/>
  <c r="L25" i="22"/>
  <c r="E49" i="33"/>
  <c r="E26" i="55" s="1"/>
  <c r="K17" i="29"/>
  <c r="F186" i="35" s="1"/>
  <c r="AI87" i="55" s="1"/>
  <c r="J17" i="29"/>
  <c r="E186" i="35" s="1"/>
  <c r="AH87" i="55" s="1"/>
  <c r="J15" i="11"/>
  <c r="E58" i="35" s="1"/>
  <c r="AH38" i="55" s="1"/>
  <c r="K15" i="11"/>
  <c r="F58" i="35" s="1"/>
  <c r="AI38" i="55" s="1"/>
  <c r="M26" i="28"/>
  <c r="E85" i="34"/>
  <c r="N12" i="4"/>
  <c r="O12" i="4"/>
  <c r="K4" i="28"/>
  <c r="J4" i="28"/>
  <c r="K22" i="28"/>
  <c r="J22" i="28"/>
  <c r="M66" i="33"/>
  <c r="M8" i="27"/>
  <c r="H133" i="36"/>
  <c r="W43" i="55" s="1"/>
  <c r="M9" i="27"/>
  <c r="H134" i="36"/>
  <c r="J22" i="24"/>
  <c r="K22" i="24"/>
  <c r="E3" i="24"/>
  <c r="L20" i="24"/>
  <c r="L18" i="24"/>
  <c r="L22" i="24"/>
  <c r="M22" i="24" s="1"/>
  <c r="L21" i="24"/>
  <c r="L25" i="24"/>
  <c r="L27" i="24"/>
  <c r="M27" i="24" s="1"/>
  <c r="L26" i="24"/>
  <c r="L7" i="24"/>
  <c r="L9" i="24"/>
  <c r="L10" i="24"/>
  <c r="L8" i="24"/>
  <c r="L17" i="24"/>
  <c r="L16" i="24"/>
  <c r="L12" i="24"/>
  <c r="M12" i="24" s="1"/>
  <c r="L24" i="24"/>
  <c r="L19" i="24"/>
  <c r="E55" i="33"/>
  <c r="K20" i="3"/>
  <c r="F108" i="35" s="1"/>
  <c r="J20" i="3"/>
  <c r="E108" i="35" s="1"/>
  <c r="J17" i="3"/>
  <c r="E105" i="35" s="1"/>
  <c r="K17" i="3"/>
  <c r="F105" i="35" s="1"/>
  <c r="AI60" i="55" s="1"/>
  <c r="K17" i="13"/>
  <c r="F72" i="35" s="1"/>
  <c r="AI66" i="55" s="1"/>
  <c r="J17" i="13"/>
  <c r="E72" i="35" s="1"/>
  <c r="M10" i="23"/>
  <c r="H120" i="36"/>
  <c r="M17" i="21"/>
  <c r="G137" i="35"/>
  <c r="M10" i="12"/>
  <c r="H55" i="36"/>
  <c r="E34" i="12"/>
  <c r="G3" i="12"/>
  <c r="F3" i="12"/>
  <c r="H3" i="12"/>
  <c r="I25" i="33" s="1"/>
  <c r="F25" i="33"/>
  <c r="G3" i="17"/>
  <c r="E34" i="17"/>
  <c r="H3" i="17"/>
  <c r="I36" i="33" s="1"/>
  <c r="F3" i="17"/>
  <c r="F36" i="33"/>
  <c r="I50" i="34"/>
  <c r="L50" i="34"/>
  <c r="M8" i="5"/>
  <c r="H13" i="36"/>
  <c r="W54" i="55" s="1"/>
  <c r="J40" i="3"/>
  <c r="J41" i="3" s="1"/>
  <c r="Y8" i="47"/>
  <c r="X6" i="47"/>
  <c r="AO7" i="47"/>
  <c r="Y7" i="47"/>
  <c r="Z81" i="55"/>
  <c r="E4" i="31"/>
  <c r="E74" i="33"/>
  <c r="J7" i="22"/>
  <c r="F112" i="36" s="1"/>
  <c r="K7" i="22"/>
  <c r="G112" i="36" s="1"/>
  <c r="V21" i="55" s="1"/>
  <c r="E112" i="36"/>
  <c r="K21" i="22"/>
  <c r="J21" i="22"/>
  <c r="K19" i="29"/>
  <c r="F188" i="35" s="1"/>
  <c r="J19" i="29"/>
  <c r="E188" i="35" s="1"/>
  <c r="K188" i="35" s="1"/>
  <c r="L25" i="19"/>
  <c r="E2" i="19"/>
  <c r="L12" i="19"/>
  <c r="M12" i="19" s="1"/>
  <c r="L22" i="19"/>
  <c r="M22" i="19" s="1"/>
  <c r="L8" i="19"/>
  <c r="L19" i="19"/>
  <c r="L9" i="19"/>
  <c r="L26" i="19"/>
  <c r="L11" i="19"/>
  <c r="L20" i="19"/>
  <c r="L27" i="19"/>
  <c r="M27" i="19" s="1"/>
  <c r="L16" i="19"/>
  <c r="L18" i="19"/>
  <c r="L21" i="19"/>
  <c r="E43" i="33"/>
  <c r="E10" i="55" s="1"/>
  <c r="E3" i="13"/>
  <c r="L19" i="13"/>
  <c r="L21" i="13"/>
  <c r="L15" i="13"/>
  <c r="L17" i="13"/>
  <c r="L9" i="13"/>
  <c r="L11" i="13"/>
  <c r="L27" i="13"/>
  <c r="M27" i="13" s="1"/>
  <c r="L7" i="13"/>
  <c r="L12" i="13"/>
  <c r="M12" i="13" s="1"/>
  <c r="L22" i="13"/>
  <c r="M22" i="13" s="1"/>
  <c r="L20" i="13"/>
  <c r="L24" i="13"/>
  <c r="L10" i="13"/>
  <c r="E27" i="33"/>
  <c r="J7" i="30"/>
  <c r="F152" i="36" s="1"/>
  <c r="K7" i="30"/>
  <c r="G152" i="36" s="1"/>
  <c r="V7" i="55" s="1"/>
  <c r="E152" i="36"/>
  <c r="J21" i="29"/>
  <c r="K21" i="29"/>
  <c r="K12" i="11"/>
  <c r="J12" i="11"/>
  <c r="G3" i="28"/>
  <c r="H3" i="28"/>
  <c r="I63" i="33" s="1"/>
  <c r="I48" i="55" s="1"/>
  <c r="E34" i="28"/>
  <c r="F3" i="28"/>
  <c r="F63" i="33"/>
  <c r="M19" i="28"/>
  <c r="G177" i="35"/>
  <c r="AJ53" i="55" s="1"/>
  <c r="E3" i="22"/>
  <c r="E50" i="33"/>
  <c r="J7" i="29"/>
  <c r="F147" i="36" s="1"/>
  <c r="K7" i="29"/>
  <c r="G147" i="36" s="1"/>
  <c r="V16" i="55" s="1"/>
  <c r="E147" i="36"/>
  <c r="L26" i="13"/>
  <c r="J21" i="11"/>
  <c r="K21" i="11"/>
  <c r="M16" i="21"/>
  <c r="G136" i="35"/>
  <c r="G40" i="4"/>
  <c r="G41" i="4" s="1"/>
  <c r="M7" i="4"/>
  <c r="H7" i="36"/>
  <c r="K3" i="28"/>
  <c r="L63" i="33" s="1"/>
  <c r="L48" i="55" s="1"/>
  <c r="J3" i="28"/>
  <c r="K63" i="33" s="1"/>
  <c r="K48" i="55" s="1"/>
  <c r="J63" i="33"/>
  <c r="J48" i="55" s="1"/>
  <c r="M20" i="27"/>
  <c r="G172" i="35"/>
  <c r="M24" i="27"/>
  <c r="E80" i="34"/>
  <c r="AU11" i="55" s="1"/>
  <c r="K20" i="24"/>
  <c r="F159" i="35" s="1"/>
  <c r="J20" i="24"/>
  <c r="E159" i="35" s="1"/>
  <c r="K9" i="3"/>
  <c r="G84" i="36" s="1"/>
  <c r="V58" i="55" s="1"/>
  <c r="J9" i="3"/>
  <c r="F84" i="36" s="1"/>
  <c r="E84" i="36"/>
  <c r="K10" i="3"/>
  <c r="G85" i="36" s="1"/>
  <c r="J10" i="3"/>
  <c r="F85" i="36" s="1"/>
  <c r="L85" i="36" s="1"/>
  <c r="E85" i="36"/>
  <c r="O85" i="36" s="1"/>
  <c r="J19" i="13"/>
  <c r="E74" i="35" s="1"/>
  <c r="K19" i="13"/>
  <c r="F74" i="35" s="1"/>
  <c r="M25" i="23"/>
  <c r="E69" i="34"/>
  <c r="M18" i="21"/>
  <c r="G138" i="35"/>
  <c r="M24" i="8"/>
  <c r="E20" i="34"/>
  <c r="M11" i="9"/>
  <c r="H41" i="36"/>
  <c r="H4" i="9"/>
  <c r="G4" i="9"/>
  <c r="G34" i="9" s="1"/>
  <c r="F4" i="9"/>
  <c r="F34" i="9" s="1"/>
  <c r="E34" i="9"/>
  <c r="M7" i="12"/>
  <c r="H52" i="36"/>
  <c r="W15" i="55" s="1"/>
  <c r="M16" i="12"/>
  <c r="G64" i="35"/>
  <c r="AJ79" i="55" s="1"/>
  <c r="M17" i="17"/>
  <c r="G99" i="35"/>
  <c r="AJ54" i="55" s="1"/>
  <c r="M19" i="5"/>
  <c r="G18" i="35"/>
  <c r="E40" i="4"/>
  <c r="E41" i="4" s="1"/>
  <c r="F11" i="36"/>
  <c r="D40" i="11"/>
  <c r="D41" i="11" s="1"/>
  <c r="W56" i="55"/>
  <c r="K16" i="22"/>
  <c r="F142" i="35" s="1"/>
  <c r="AI13" i="55" s="1"/>
  <c r="J16" i="22"/>
  <c r="E142" i="35" s="1"/>
  <c r="M10" i="2"/>
  <c r="H145" i="36"/>
  <c r="W70" i="55" s="1"/>
  <c r="E4" i="15"/>
  <c r="L20" i="15"/>
  <c r="L26" i="15"/>
  <c r="L22" i="15"/>
  <c r="M22" i="15" s="1"/>
  <c r="L8" i="15"/>
  <c r="L7" i="15"/>
  <c r="L19" i="15"/>
  <c r="L18" i="15"/>
  <c r="L25" i="15"/>
  <c r="L17" i="15"/>
  <c r="L9" i="15"/>
  <c r="L15" i="15"/>
  <c r="L12" i="15"/>
  <c r="M12" i="15" s="1"/>
  <c r="L27" i="15"/>
  <c r="M27" i="15" s="1"/>
  <c r="L10" i="15"/>
  <c r="L24" i="15"/>
  <c r="J21" i="23"/>
  <c r="E153" i="35" s="1"/>
  <c r="K21" i="23"/>
  <c r="F153" i="35" s="1"/>
  <c r="J18" i="30"/>
  <c r="E193" i="35" s="1"/>
  <c r="K18" i="30"/>
  <c r="F193" i="35" s="1"/>
  <c r="L21" i="2"/>
  <c r="M21" i="2" s="1"/>
  <c r="K3" i="29"/>
  <c r="L68" i="33" s="1"/>
  <c r="L32" i="55" s="1"/>
  <c r="J3" i="29"/>
  <c r="K68" i="33" s="1"/>
  <c r="J68" i="33"/>
  <c r="K19" i="11"/>
  <c r="F62" i="35" s="1"/>
  <c r="J19" i="11"/>
  <c r="E62" i="35" s="1"/>
  <c r="M9" i="4"/>
  <c r="H9" i="36"/>
  <c r="W55" i="55" s="1"/>
  <c r="J15" i="28"/>
  <c r="E173" i="35" s="1"/>
  <c r="AH17" i="55" s="1"/>
  <c r="K15" i="28"/>
  <c r="F173" i="35" s="1"/>
  <c r="AI17" i="55" s="1"/>
  <c r="K11" i="28"/>
  <c r="G141" i="36" s="1"/>
  <c r="J11" i="28"/>
  <c r="F141" i="36" s="1"/>
  <c r="E141" i="36"/>
  <c r="J12" i="28"/>
  <c r="K12" i="28"/>
  <c r="M11" i="27"/>
  <c r="H136" i="36"/>
  <c r="J11" i="24"/>
  <c r="F126" i="36" s="1"/>
  <c r="K11" i="24"/>
  <c r="G126" i="36" s="1"/>
  <c r="E126" i="36"/>
  <c r="J4" i="24"/>
  <c r="K56" i="33" s="1"/>
  <c r="K4" i="24"/>
  <c r="L56" i="33" s="1"/>
  <c r="J56" i="33"/>
  <c r="K8" i="3"/>
  <c r="G83" i="36" s="1"/>
  <c r="V80" i="55" s="1"/>
  <c r="J8" i="3"/>
  <c r="F83" i="36" s="1"/>
  <c r="E83" i="36"/>
  <c r="M15" i="28"/>
  <c r="G173" i="35"/>
  <c r="AJ17" i="55" s="1"/>
  <c r="E34" i="23"/>
  <c r="H3" i="23"/>
  <c r="I53" i="33" s="1"/>
  <c r="I38" i="55" s="1"/>
  <c r="G3" i="23"/>
  <c r="F3" i="23"/>
  <c r="F53" i="33"/>
  <c r="F38" i="55" s="1"/>
  <c r="G40" i="21"/>
  <c r="G41" i="21" s="1"/>
  <c r="M7" i="21"/>
  <c r="H107" i="36"/>
  <c r="J3" i="13"/>
  <c r="K27" i="33" s="1"/>
  <c r="K3" i="13"/>
  <c r="L27" i="33" s="1"/>
  <c r="J27" i="33"/>
  <c r="K15" i="21"/>
  <c r="J15" i="21"/>
  <c r="D40" i="21"/>
  <c r="D41" i="21" s="1"/>
  <c r="O21" i="8"/>
  <c r="N21" i="8"/>
  <c r="N36" i="36"/>
  <c r="M36" i="36"/>
  <c r="M10" i="9"/>
  <c r="H40" i="36"/>
  <c r="M24" i="9"/>
  <c r="E23" i="34"/>
  <c r="AU12" i="55" s="1"/>
  <c r="M26" i="12"/>
  <c r="E34" i="34"/>
  <c r="M15" i="17"/>
  <c r="G97" i="35"/>
  <c r="AJ73" i="55" s="1"/>
  <c r="M18" i="5"/>
  <c r="G17" i="35"/>
  <c r="Q7" i="47"/>
  <c r="Q6" i="47"/>
  <c r="AO107" i="47"/>
  <c r="AN107" i="47"/>
  <c r="A6" i="35"/>
  <c r="AL106" i="47"/>
  <c r="N61" i="33"/>
  <c r="AL7" i="47"/>
  <c r="AL8" i="47"/>
  <c r="AP5" i="47"/>
  <c r="AP6" i="47"/>
  <c r="AA5" i="47"/>
  <c r="AJ30" i="55"/>
  <c r="AU32" i="55"/>
  <c r="AH88" i="55"/>
  <c r="J21" i="19"/>
  <c r="E127" i="35" s="1"/>
  <c r="K4" i="22"/>
  <c r="L51" i="33" s="1"/>
  <c r="J4" i="22"/>
  <c r="K51" i="33" s="1"/>
  <c r="J51" i="33"/>
  <c r="L24" i="19"/>
  <c r="L25" i="13"/>
  <c r="J4" i="30"/>
  <c r="K71" i="33" s="1"/>
  <c r="K4" i="30"/>
  <c r="L71" i="33" s="1"/>
  <c r="L47" i="55" s="1"/>
  <c r="J71" i="33"/>
  <c r="E4" i="24"/>
  <c r="E56" i="33"/>
  <c r="M11" i="28"/>
  <c r="H141" i="36"/>
  <c r="K9" i="11"/>
  <c r="G49" i="36" s="1"/>
  <c r="J9" i="11"/>
  <c r="F49" i="36" s="1"/>
  <c r="E49" i="36"/>
  <c r="K15" i="30"/>
  <c r="F190" i="35" s="1"/>
  <c r="AI19" i="55" s="1"/>
  <c r="J15" i="30"/>
  <c r="E190" i="35" s="1"/>
  <c r="AH19" i="55" s="1"/>
  <c r="K9" i="29"/>
  <c r="G149" i="36" s="1"/>
  <c r="V81" i="55" s="1"/>
  <c r="J9" i="29"/>
  <c r="F149" i="36" s="1"/>
  <c r="U81" i="55" s="1"/>
  <c r="E149" i="36"/>
  <c r="T81" i="55" s="1"/>
  <c r="K20" i="11"/>
  <c r="F63" i="35" s="1"/>
  <c r="J20" i="11"/>
  <c r="E63" i="35" s="1"/>
  <c r="J21" i="13"/>
  <c r="E76" i="35" s="1"/>
  <c r="K21" i="13"/>
  <c r="F76" i="35" s="1"/>
  <c r="K8" i="28"/>
  <c r="G138" i="36" s="1"/>
  <c r="J8" i="28"/>
  <c r="F138" i="36" s="1"/>
  <c r="E138" i="36"/>
  <c r="J18" i="28"/>
  <c r="E176" i="35" s="1"/>
  <c r="K18" i="28"/>
  <c r="F176" i="35" s="1"/>
  <c r="K16" i="28"/>
  <c r="F174" i="35" s="1"/>
  <c r="AI27" i="55" s="1"/>
  <c r="J16" i="28"/>
  <c r="E174" i="35" s="1"/>
  <c r="AH27" i="55" s="1"/>
  <c r="M25" i="27"/>
  <c r="E81" i="34"/>
  <c r="M16" i="27"/>
  <c r="G168" i="35"/>
  <c r="AJ32" i="55" s="1"/>
  <c r="K2" i="24"/>
  <c r="L54" i="33" s="1"/>
  <c r="L15" i="55" s="1"/>
  <c r="J2" i="24"/>
  <c r="K54" i="33" s="1"/>
  <c r="J54" i="33"/>
  <c r="J9" i="24"/>
  <c r="F124" i="36" s="1"/>
  <c r="U84" i="55" s="1"/>
  <c r="K9" i="24"/>
  <c r="G124" i="36" s="1"/>
  <c r="V84" i="55" s="1"/>
  <c r="J15" i="3"/>
  <c r="E103" i="35" s="1"/>
  <c r="K15" i="3"/>
  <c r="F103" i="35" s="1"/>
  <c r="AI20" i="55" s="1"/>
  <c r="F4" i="28"/>
  <c r="G4" i="28"/>
  <c r="H4" i="28"/>
  <c r="J11" i="13"/>
  <c r="F61" i="36" s="1"/>
  <c r="K11" i="13"/>
  <c r="G61" i="36" s="1"/>
  <c r="E61" i="36"/>
  <c r="O12" i="21"/>
  <c r="N12" i="21"/>
  <c r="J4" i="13"/>
  <c r="K4" i="13"/>
  <c r="M26" i="8"/>
  <c r="E22" i="34"/>
  <c r="F34" i="4"/>
  <c r="G5" i="33"/>
  <c r="G34" i="4"/>
  <c r="H5" i="33"/>
  <c r="H30" i="55" s="1"/>
  <c r="M25" i="17"/>
  <c r="E48" i="34"/>
  <c r="N7" i="8"/>
  <c r="O7" i="8"/>
  <c r="I32" i="36"/>
  <c r="X11" i="55" s="1"/>
  <c r="M25" i="5"/>
  <c r="E9" i="34"/>
  <c r="AU39" i="55" s="1"/>
  <c r="R7" i="47"/>
  <c r="AF7" i="44"/>
  <c r="AE23" i="44"/>
  <c r="AD10" i="44"/>
  <c r="AE4" i="44"/>
  <c r="AD18" i="44"/>
  <c r="AF27" i="44"/>
  <c r="AE28" i="44"/>
  <c r="AF13" i="44"/>
  <c r="AF3" i="44"/>
  <c r="AE16" i="44"/>
  <c r="AE13" i="44"/>
  <c r="AF18" i="44"/>
  <c r="AF9" i="44"/>
  <c r="AE22" i="44"/>
  <c r="AE25" i="44"/>
  <c r="AD20" i="44"/>
  <c r="AE33" i="44"/>
  <c r="AD15" i="44"/>
  <c r="AF21" i="44"/>
  <c r="AD6" i="44"/>
  <c r="AD3" i="44"/>
  <c r="AD32" i="44"/>
  <c r="AD29" i="44"/>
  <c r="AF16" i="44"/>
  <c r="AE9" i="44"/>
  <c r="AF17" i="44"/>
  <c r="AE6" i="44"/>
  <c r="AF4" i="44"/>
  <c r="AF31" i="44"/>
  <c r="AE30" i="44"/>
  <c r="AD12" i="44"/>
  <c r="AE21" i="44"/>
  <c r="AE18" i="44"/>
  <c r="AF28" i="44"/>
  <c r="AF22" i="44"/>
  <c r="AD25" i="44"/>
  <c r="AD9" i="44"/>
  <c r="AF8" i="44"/>
  <c r="AD19" i="44"/>
  <c r="AE32" i="44"/>
  <c r="AD14" i="44"/>
  <c r="AF19" i="44"/>
  <c r="AE20" i="44"/>
  <c r="AF32" i="44"/>
  <c r="AD31" i="44"/>
  <c r="AD28" i="44"/>
  <c r="AE8" i="44"/>
  <c r="AE7" i="44"/>
  <c r="AE10" i="44"/>
  <c r="AE5" i="44"/>
  <c r="AF2" i="44"/>
  <c r="AF29" i="44"/>
  <c r="AE29" i="44"/>
  <c r="AD11" i="44"/>
  <c r="AF5" i="44"/>
  <c r="AE17" i="44"/>
  <c r="AE14" i="44"/>
  <c r="AF20" i="44"/>
  <c r="AD24" i="44"/>
  <c r="AE26" i="44"/>
  <c r="AF26" i="44"/>
  <c r="AD8" i="44"/>
  <c r="AD21" i="44"/>
  <c r="AD2" i="44"/>
  <c r="AD16" i="44"/>
  <c r="AF23" i="44"/>
  <c r="AF15" i="44"/>
  <c r="AD4" i="44"/>
  <c r="AD33" i="44"/>
  <c r="AD30" i="44"/>
  <c r="AE11" i="44"/>
  <c r="AF12" i="44"/>
  <c r="AF11" i="44"/>
  <c r="AD13" i="44"/>
  <c r="AF24" i="44"/>
  <c r="AD22" i="44"/>
  <c r="AE27" i="44"/>
  <c r="AE12" i="44"/>
  <c r="AD26" i="44"/>
  <c r="AF33" i="44"/>
  <c r="AE19" i="44"/>
  <c r="AD23" i="44"/>
  <c r="AD7" i="44"/>
  <c r="AD17" i="44"/>
  <c r="AE2" i="44"/>
  <c r="AE31" i="44"/>
  <c r="AF30" i="44"/>
  <c r="AF14" i="44"/>
  <c r="AF6" i="44"/>
  <c r="AE3" i="44"/>
  <c r="AF25" i="44"/>
  <c r="AF10" i="44"/>
  <c r="AE15" i="44"/>
  <c r="AE24" i="44"/>
  <c r="AD5" i="44"/>
  <c r="AD27" i="44"/>
  <c r="AN7" i="47"/>
  <c r="L109" i="35"/>
  <c r="M109" i="35"/>
  <c r="AL6" i="47"/>
  <c r="AN6" i="47"/>
  <c r="V29" i="55"/>
  <c r="K3" i="22"/>
  <c r="J3" i="22"/>
  <c r="D40" i="22"/>
  <c r="D41" i="22" s="1"/>
  <c r="J50" i="33"/>
  <c r="J51" i="55" s="1"/>
  <c r="L17" i="14"/>
  <c r="L24" i="14"/>
  <c r="L8" i="14"/>
  <c r="E2" i="14"/>
  <c r="L18" i="14"/>
  <c r="L7" i="14"/>
  <c r="L16" i="14"/>
  <c r="L22" i="14"/>
  <c r="M22" i="14" s="1"/>
  <c r="L26" i="14"/>
  <c r="L21" i="14"/>
  <c r="L9" i="14"/>
  <c r="L19" i="14"/>
  <c r="L10" i="14"/>
  <c r="L12" i="14"/>
  <c r="M12" i="14" s="1"/>
  <c r="L11" i="14"/>
  <c r="L25" i="14"/>
  <c r="L27" i="14"/>
  <c r="M27" i="14" s="1"/>
  <c r="L20" i="14"/>
  <c r="L15" i="14"/>
  <c r="E29" i="33"/>
  <c r="L18" i="13"/>
  <c r="J8" i="30"/>
  <c r="F153" i="36" s="1"/>
  <c r="K8" i="30"/>
  <c r="G153" i="36" s="1"/>
  <c r="V61" i="55" s="1"/>
  <c r="E153" i="36"/>
  <c r="K11" i="29"/>
  <c r="G151" i="36" s="1"/>
  <c r="J11" i="29"/>
  <c r="F151" i="36" s="1"/>
  <c r="O151" i="36" s="1"/>
  <c r="E151" i="36"/>
  <c r="K2" i="13"/>
  <c r="D40" i="13"/>
  <c r="D41" i="13" s="1"/>
  <c r="J2" i="13"/>
  <c r="J26" i="33"/>
  <c r="K10" i="28"/>
  <c r="G140" i="36" s="1"/>
  <c r="V86" i="55" s="1"/>
  <c r="J10" i="28"/>
  <c r="F140" i="36" s="1"/>
  <c r="U86" i="55" s="1"/>
  <c r="E140" i="36"/>
  <c r="T86" i="55" s="1"/>
  <c r="K20" i="28"/>
  <c r="J20" i="28"/>
  <c r="M15" i="27"/>
  <c r="G167" i="35"/>
  <c r="AJ34" i="55" s="1"/>
  <c r="K17" i="24"/>
  <c r="F156" i="35" s="1"/>
  <c r="J17" i="24"/>
  <c r="E156" i="35" s="1"/>
  <c r="D40" i="24"/>
  <c r="D41" i="24" s="1"/>
  <c r="J55" i="33"/>
  <c r="J11" i="3"/>
  <c r="F86" i="36" s="1"/>
  <c r="L86" i="36" s="1"/>
  <c r="K11" i="3"/>
  <c r="G86" i="36" s="1"/>
  <c r="E86" i="36"/>
  <c r="O86" i="36" s="1"/>
  <c r="K15" i="13"/>
  <c r="F70" i="35" s="1"/>
  <c r="AI18" i="55" s="1"/>
  <c r="J15" i="13"/>
  <c r="E70" i="35" s="1"/>
  <c r="AH18" i="55" s="1"/>
  <c r="M16" i="23"/>
  <c r="G148" i="35"/>
  <c r="AJ90" i="55" s="1"/>
  <c r="H3" i="21"/>
  <c r="I48" i="33" s="1"/>
  <c r="E34" i="21"/>
  <c r="G3" i="21"/>
  <c r="F3" i="21"/>
  <c r="F48" i="33"/>
  <c r="O22" i="4"/>
  <c r="N22" i="4"/>
  <c r="M17" i="8"/>
  <c r="G43" i="35"/>
  <c r="F40" i="25"/>
  <c r="F41" i="25" s="1"/>
  <c r="G95" i="36"/>
  <c r="M24" i="12"/>
  <c r="E32" i="34"/>
  <c r="AU23" i="55" s="1"/>
  <c r="M7" i="17"/>
  <c r="H77" i="36"/>
  <c r="W27" i="55" s="1"/>
  <c r="M9" i="5"/>
  <c r="H14" i="36"/>
  <c r="S6" i="47"/>
  <c r="O36" i="36"/>
  <c r="Z8" i="47"/>
  <c r="AJ92" i="55"/>
  <c r="AH106" i="55"/>
  <c r="W8" i="55"/>
  <c r="U27" i="55"/>
  <c r="AI101" i="55"/>
  <c r="L10" i="19"/>
  <c r="L8" i="13"/>
  <c r="E3" i="2"/>
  <c r="L22" i="2"/>
  <c r="M22" i="2" s="1"/>
  <c r="L24" i="2"/>
  <c r="L8" i="2"/>
  <c r="L18" i="2"/>
  <c r="E65" i="33"/>
  <c r="L26" i="16"/>
  <c r="L21" i="16"/>
  <c r="L10" i="16"/>
  <c r="L17" i="16"/>
  <c r="L16" i="16"/>
  <c r="L8" i="16"/>
  <c r="L27" i="16"/>
  <c r="M27" i="16" s="1"/>
  <c r="L24" i="16"/>
  <c r="L15" i="16"/>
  <c r="L12" i="16"/>
  <c r="M12" i="16" s="1"/>
  <c r="L19" i="16"/>
  <c r="L22" i="16"/>
  <c r="M22" i="16" s="1"/>
  <c r="L11" i="16"/>
  <c r="L20" i="16"/>
  <c r="E2" i="16"/>
  <c r="L25" i="16"/>
  <c r="L18" i="16"/>
  <c r="L7" i="16"/>
  <c r="L9" i="16"/>
  <c r="E33" i="33"/>
  <c r="J7" i="1"/>
  <c r="F22" i="36" s="1"/>
  <c r="K7" i="1"/>
  <c r="G22" i="36" s="1"/>
  <c r="V18" i="55" s="1"/>
  <c r="E22" i="36"/>
  <c r="K10" i="30"/>
  <c r="G155" i="36" s="1"/>
  <c r="J10" i="30"/>
  <c r="F155" i="36" s="1"/>
  <c r="E155" i="36"/>
  <c r="L19" i="30"/>
  <c r="L16" i="30"/>
  <c r="L25" i="30"/>
  <c r="L15" i="30"/>
  <c r="L24" i="30"/>
  <c r="L9" i="30"/>
  <c r="L17" i="30"/>
  <c r="L27" i="30"/>
  <c r="M27" i="30" s="1"/>
  <c r="L11" i="30"/>
  <c r="L22" i="30"/>
  <c r="M22" i="30" s="1"/>
  <c r="L7" i="30"/>
  <c r="L12" i="30"/>
  <c r="M12" i="30" s="1"/>
  <c r="L20" i="30"/>
  <c r="L26" i="30"/>
  <c r="L8" i="30"/>
  <c r="L10" i="30"/>
  <c r="E2" i="30"/>
  <c r="L18" i="30"/>
  <c r="E69" i="33"/>
  <c r="E28" i="55" s="1"/>
  <c r="M16" i="28"/>
  <c r="G174" i="35"/>
  <c r="AJ27" i="55" s="1"/>
  <c r="L25" i="2"/>
  <c r="K17" i="11"/>
  <c r="F60" i="35" s="1"/>
  <c r="AI61" i="55" s="1"/>
  <c r="J17" i="11"/>
  <c r="E60" i="35" s="1"/>
  <c r="K17" i="30"/>
  <c r="F192" i="35" s="1"/>
  <c r="AI111" i="55" s="1"/>
  <c r="J17" i="30"/>
  <c r="E192" i="35" s="1"/>
  <c r="J18" i="13"/>
  <c r="E73" i="35" s="1"/>
  <c r="K18" i="13"/>
  <c r="F73" i="35" s="1"/>
  <c r="K9" i="28"/>
  <c r="G139" i="36" s="1"/>
  <c r="V38" i="55" s="1"/>
  <c r="J9" i="28"/>
  <c r="F139" i="36" s="1"/>
  <c r="U38" i="55" s="1"/>
  <c r="E139" i="36"/>
  <c r="T38" i="55" s="1"/>
  <c r="J2" i="28"/>
  <c r="K2" i="28"/>
  <c r="D40" i="28"/>
  <c r="D41" i="28" s="1"/>
  <c r="J62" i="33"/>
  <c r="H2" i="27"/>
  <c r="I59" i="33" s="1"/>
  <c r="I25" i="55" s="1"/>
  <c r="F2" i="27"/>
  <c r="E34" i="27"/>
  <c r="G2" i="27"/>
  <c r="F59" i="33"/>
  <c r="G40" i="27"/>
  <c r="G41" i="27" s="1"/>
  <c r="M7" i="27"/>
  <c r="H132" i="36"/>
  <c r="J12" i="24"/>
  <c r="K12" i="24"/>
  <c r="J15" i="24"/>
  <c r="E154" i="35" s="1"/>
  <c r="AH11" i="55" s="1"/>
  <c r="K15" i="24"/>
  <c r="F154" i="35" s="1"/>
  <c r="AI11" i="55" s="1"/>
  <c r="J16" i="3"/>
  <c r="E104" i="35" s="1"/>
  <c r="K16" i="3"/>
  <c r="F104" i="35" s="1"/>
  <c r="AI28" i="55" s="1"/>
  <c r="K12" i="3"/>
  <c r="J12" i="3"/>
  <c r="F4" i="25"/>
  <c r="G4" i="25"/>
  <c r="H4" i="25"/>
  <c r="K8" i="13"/>
  <c r="G58" i="36" s="1"/>
  <c r="V39" i="55" s="1"/>
  <c r="E58" i="36"/>
  <c r="T39" i="55" s="1"/>
  <c r="J8" i="13"/>
  <c r="F58" i="36" s="1"/>
  <c r="U39" i="55" s="1"/>
  <c r="M8" i="21"/>
  <c r="H108" i="36"/>
  <c r="N21" i="4"/>
  <c r="O21" i="4"/>
  <c r="O20" i="8"/>
  <c r="N20" i="8"/>
  <c r="M20" i="12"/>
  <c r="G68" i="35"/>
  <c r="F34" i="11"/>
  <c r="G23" i="33"/>
  <c r="AO106" i="47"/>
  <c r="AO6" i="47"/>
  <c r="R6" i="47"/>
  <c r="AP7" i="47"/>
  <c r="Z7" i="47"/>
  <c r="T55" i="55"/>
  <c r="U55" i="55"/>
  <c r="T65" i="55"/>
  <c r="AI86" i="55"/>
  <c r="U41" i="55"/>
  <c r="V41" i="55"/>
  <c r="V66" i="55"/>
  <c r="T41" i="55"/>
  <c r="AJ86" i="55"/>
  <c r="AJ93" i="55"/>
  <c r="AL108" i="55"/>
  <c r="AK108" i="55"/>
  <c r="AM108" i="55"/>
  <c r="N21" i="30"/>
  <c r="I196" i="35" s="1"/>
  <c r="K196" i="35"/>
  <c r="AK91" i="55"/>
  <c r="AL101" i="55"/>
  <c r="Z58" i="55"/>
  <c r="I91" i="36"/>
  <c r="I54" i="34"/>
  <c r="K54" i="34" s="1"/>
  <c r="AX32" i="55"/>
  <c r="AM47" i="55"/>
  <c r="D33" i="55"/>
  <c r="C33" i="55"/>
  <c r="C10" i="47"/>
  <c r="C11" i="47"/>
  <c r="F17" i="47"/>
  <c r="J43" i="55"/>
  <c r="L49" i="55"/>
  <c r="M14" i="55"/>
  <c r="D10" i="47"/>
  <c r="K38" i="55"/>
  <c r="J37" i="55"/>
  <c r="C6" i="47"/>
  <c r="D5" i="47"/>
  <c r="C30" i="55" s="1"/>
  <c r="M3" i="55"/>
  <c r="D6" i="47"/>
  <c r="L38" i="55"/>
  <c r="H122" i="35"/>
  <c r="AK5" i="55" s="1"/>
  <c r="X51" i="55"/>
  <c r="M44" i="33"/>
  <c r="N44" i="33"/>
  <c r="F40" i="19"/>
  <c r="F41" i="19" s="1"/>
  <c r="E40" i="19"/>
  <c r="E41" i="19" s="1"/>
  <c r="N176" i="35"/>
  <c r="AM129" i="55"/>
  <c r="AM75" i="55"/>
  <c r="AL75" i="55"/>
  <c r="H154" i="35"/>
  <c r="AJ75" i="55"/>
  <c r="AK129" i="55"/>
  <c r="N15" i="24"/>
  <c r="I154" i="35" s="1"/>
  <c r="AK75" i="55"/>
  <c r="AL129" i="55"/>
  <c r="AK110" i="55"/>
  <c r="AL110" i="55"/>
  <c r="AJ42" i="55"/>
  <c r="AM110" i="55"/>
  <c r="X50" i="47"/>
  <c r="AL60" i="47"/>
  <c r="AL57" i="47"/>
  <c r="N11" i="12"/>
  <c r="J56" i="36" s="1"/>
  <c r="L56" i="36" s="1"/>
  <c r="I54" i="36"/>
  <c r="N9" i="12"/>
  <c r="J54" i="36" s="1"/>
  <c r="O9" i="12"/>
  <c r="K54" i="36" s="1"/>
  <c r="O19" i="12"/>
  <c r="J69" i="35" s="1"/>
  <c r="AM118" i="55" s="1"/>
  <c r="N19" i="12"/>
  <c r="I69" i="35" s="1"/>
  <c r="AL118" i="55" s="1"/>
  <c r="H69" i="35"/>
  <c r="AK118" i="55" s="1"/>
  <c r="AW22" i="55"/>
  <c r="AM119" i="55"/>
  <c r="AK119" i="55"/>
  <c r="AL119" i="55"/>
  <c r="K67" i="35"/>
  <c r="N67" i="35"/>
  <c r="T29" i="55"/>
  <c r="U29" i="55"/>
  <c r="N66" i="35"/>
  <c r="AN102" i="55" s="1"/>
  <c r="K66" i="35"/>
  <c r="K24" i="33"/>
  <c r="E40" i="12"/>
  <c r="E41" i="12" s="1"/>
  <c r="F40" i="12"/>
  <c r="F41" i="12" s="1"/>
  <c r="L24" i="33"/>
  <c r="L20" i="55" s="1"/>
  <c r="O56" i="36"/>
  <c r="L15" i="36"/>
  <c r="M15" i="36" s="1"/>
  <c r="M7" i="33"/>
  <c r="N7" i="33"/>
  <c r="AH48" i="55"/>
  <c r="H16" i="35"/>
  <c r="L12" i="36"/>
  <c r="H40" i="5"/>
  <c r="H41" i="5" s="1"/>
  <c r="N17" i="5"/>
  <c r="I16" i="35" s="1"/>
  <c r="O12" i="36"/>
  <c r="H14" i="35"/>
  <c r="AK44" i="55" s="1"/>
  <c r="O15" i="5"/>
  <c r="J14" i="35" s="1"/>
  <c r="AM44" i="55" s="1"/>
  <c r="N15" i="5"/>
  <c r="I14" i="35" s="1"/>
  <c r="K14" i="35" s="1"/>
  <c r="O24" i="5"/>
  <c r="H8" i="34" s="1"/>
  <c r="AX3" i="55" s="1"/>
  <c r="N24" i="5"/>
  <c r="G8" i="34" s="1"/>
  <c r="F8" i="34"/>
  <c r="I10" i="34"/>
  <c r="J10" i="34" s="1"/>
  <c r="O7" i="11"/>
  <c r="K47" i="36" s="1"/>
  <c r="Z25" i="55" s="1"/>
  <c r="I47" i="36"/>
  <c r="N7" i="11"/>
  <c r="J47" i="36" s="1"/>
  <c r="I90" i="34"/>
  <c r="J90" i="34" s="1"/>
  <c r="N186" i="35"/>
  <c r="AN87" i="55" s="1"/>
  <c r="I89" i="34"/>
  <c r="J89" i="34" s="1"/>
  <c r="K186" i="35"/>
  <c r="M186" i="35" s="1"/>
  <c r="F91" i="34"/>
  <c r="O26" i="29"/>
  <c r="H91" i="34" s="1"/>
  <c r="N26" i="29"/>
  <c r="G91" i="34" s="1"/>
  <c r="L89" i="34"/>
  <c r="H189" i="35"/>
  <c r="O20" i="29"/>
  <c r="J189" i="35" s="1"/>
  <c r="N20" i="29"/>
  <c r="I189" i="35" s="1"/>
  <c r="J148" i="36"/>
  <c r="Y74" i="55" s="1"/>
  <c r="W80" i="55"/>
  <c r="L150" i="36"/>
  <c r="N185" i="35"/>
  <c r="O150" i="36"/>
  <c r="K148" i="36"/>
  <c r="H187" i="35"/>
  <c r="O18" i="29"/>
  <c r="J187" i="35" s="1"/>
  <c r="N18" i="29"/>
  <c r="I187" i="35" s="1"/>
  <c r="H40" i="29"/>
  <c r="H41" i="29" s="1"/>
  <c r="Y80" i="55"/>
  <c r="L149" i="36"/>
  <c r="K185" i="35"/>
  <c r="L90" i="34"/>
  <c r="Y53" i="55"/>
  <c r="X53" i="55"/>
  <c r="M109" i="36"/>
  <c r="O11" i="18"/>
  <c r="K91" i="36" s="1"/>
  <c r="L91" i="36" s="1"/>
  <c r="L90" i="36"/>
  <c r="N90" i="36" s="1"/>
  <c r="L53" i="34"/>
  <c r="AY10" i="55" s="1"/>
  <c r="V55" i="55"/>
  <c r="V85" i="55"/>
  <c r="AV10" i="55"/>
  <c r="L54" i="34"/>
  <c r="AA52" i="47" s="1"/>
  <c r="AI96" i="55"/>
  <c r="G40" i="18"/>
  <c r="G41" i="18" s="1"/>
  <c r="H87" i="36"/>
  <c r="M7" i="18"/>
  <c r="O9" i="18"/>
  <c r="K89" i="36" s="1"/>
  <c r="N9" i="18"/>
  <c r="J89" i="36" s="1"/>
  <c r="I89" i="36"/>
  <c r="N26" i="18"/>
  <c r="G55" i="34" s="1"/>
  <c r="O26" i="18"/>
  <c r="H55" i="34" s="1"/>
  <c r="F55" i="34"/>
  <c r="AI97" i="55"/>
  <c r="H111" i="35"/>
  <c r="N15" i="18"/>
  <c r="I111" i="35" s="1"/>
  <c r="O15" i="18"/>
  <c r="J111" i="35" s="1"/>
  <c r="I53" i="34"/>
  <c r="AW10" i="55"/>
  <c r="AI112" i="55"/>
  <c r="O26" i="17"/>
  <c r="H49" i="34" s="1"/>
  <c r="H40" i="17"/>
  <c r="H41" i="17" s="1"/>
  <c r="N26" i="17"/>
  <c r="G49" i="34" s="1"/>
  <c r="O16" i="17"/>
  <c r="J98" i="35" s="1"/>
  <c r="N16" i="17"/>
  <c r="I98" i="35" s="1"/>
  <c r="H98" i="35"/>
  <c r="AK41" i="55" s="1"/>
  <c r="K36" i="33"/>
  <c r="E40" i="17"/>
  <c r="E41" i="17" s="1"/>
  <c r="L36" i="33"/>
  <c r="F40" i="17"/>
  <c r="F41" i="17" s="1"/>
  <c r="D26" i="47"/>
  <c r="X36" i="47"/>
  <c r="X53" i="47"/>
  <c r="X60" i="47"/>
  <c r="Z48" i="47"/>
  <c r="X38" i="47"/>
  <c r="AL44" i="47"/>
  <c r="AL55" i="47"/>
  <c r="AN49" i="47"/>
  <c r="Y34" i="47"/>
  <c r="X44" i="47"/>
  <c r="Z56" i="47"/>
  <c r="AL30" i="47"/>
  <c r="L50" i="36"/>
  <c r="AM39" i="55"/>
  <c r="I30" i="34"/>
  <c r="L49" i="36"/>
  <c r="AM61" i="55"/>
  <c r="AK61" i="55"/>
  <c r="AL61" i="55"/>
  <c r="M15" i="10"/>
  <c r="G52" i="35"/>
  <c r="G2" i="10"/>
  <c r="F2" i="10"/>
  <c r="F20" i="33"/>
  <c r="E34" i="10"/>
  <c r="H2" i="10"/>
  <c r="I20" i="33" s="1"/>
  <c r="O16" i="10"/>
  <c r="J53" i="35" s="1"/>
  <c r="M9" i="10"/>
  <c r="H44" i="36"/>
  <c r="M18" i="10"/>
  <c r="G55" i="35"/>
  <c r="M24" i="10"/>
  <c r="E26" i="34"/>
  <c r="M10" i="10"/>
  <c r="H45" i="36"/>
  <c r="H3" i="10"/>
  <c r="I21" i="33" s="1"/>
  <c r="I46" i="55" s="1"/>
  <c r="G3" i="10"/>
  <c r="H21" i="33" s="1"/>
  <c r="H46" i="55" s="1"/>
  <c r="F3" i="10"/>
  <c r="G21" i="33" s="1"/>
  <c r="G46" i="55" s="1"/>
  <c r="F21" i="33"/>
  <c r="F46" i="55" s="1"/>
  <c r="M19" i="10"/>
  <c r="G56" i="35"/>
  <c r="E31" i="47"/>
  <c r="Y60" i="47"/>
  <c r="AL37" i="47"/>
  <c r="AL35" i="47"/>
  <c r="AN52" i="47"/>
  <c r="AL20" i="47"/>
  <c r="H28" i="36"/>
  <c r="W90" i="55" s="1"/>
  <c r="M8" i="7"/>
  <c r="E3" i="7"/>
  <c r="L12" i="7"/>
  <c r="M12" i="7" s="1"/>
  <c r="L25" i="7"/>
  <c r="L18" i="7"/>
  <c r="L7" i="7"/>
  <c r="L22" i="7"/>
  <c r="M22" i="7" s="1"/>
  <c r="L27" i="7"/>
  <c r="M27" i="7" s="1"/>
  <c r="L11" i="7"/>
  <c r="L10" i="7"/>
  <c r="L17" i="7"/>
  <c r="L9" i="7"/>
  <c r="L21" i="7"/>
  <c r="L15" i="7"/>
  <c r="E15" i="33"/>
  <c r="L16" i="7"/>
  <c r="L24" i="7"/>
  <c r="L19" i="7"/>
  <c r="L26" i="7"/>
  <c r="L20" i="7"/>
  <c r="F14" i="34"/>
  <c r="O20" i="1"/>
  <c r="J32" i="35" s="1"/>
  <c r="K32" i="35" s="1"/>
  <c r="H32" i="35"/>
  <c r="N32" i="35" s="1"/>
  <c r="I24" i="36"/>
  <c r="N31" i="35"/>
  <c r="AM84" i="55"/>
  <c r="N24" i="1"/>
  <c r="G14" i="34" s="1"/>
  <c r="I14" i="34" s="1"/>
  <c r="I16" i="34"/>
  <c r="J16" i="34" s="1"/>
  <c r="L15" i="34"/>
  <c r="H40" i="1"/>
  <c r="H41" i="1" s="1"/>
  <c r="AH57" i="55"/>
  <c r="T61" i="55"/>
  <c r="N33" i="35"/>
  <c r="K33" i="35"/>
  <c r="E40" i="1"/>
  <c r="E41" i="1" s="1"/>
  <c r="U61" i="55"/>
  <c r="L78" i="55"/>
  <c r="L54" i="55"/>
  <c r="L68" i="55"/>
  <c r="N13" i="33"/>
  <c r="L76" i="55"/>
  <c r="L60" i="55"/>
  <c r="L69" i="55"/>
  <c r="L62" i="55"/>
  <c r="L71" i="55"/>
  <c r="L67" i="55"/>
  <c r="L79" i="55"/>
  <c r="L70" i="55"/>
  <c r="L55" i="55"/>
  <c r="L63" i="55"/>
  <c r="L52" i="55"/>
  <c r="M13" i="33"/>
  <c r="O10" i="1"/>
  <c r="K25" i="36" s="1"/>
  <c r="I25" i="36"/>
  <c r="N10" i="1"/>
  <c r="J25" i="36" s="1"/>
  <c r="N12" i="33"/>
  <c r="M44" i="55" s="1"/>
  <c r="M12" i="33"/>
  <c r="N17" i="1"/>
  <c r="I29" i="35" s="1"/>
  <c r="O17" i="1"/>
  <c r="J29" i="35" s="1"/>
  <c r="H29" i="35"/>
  <c r="AK52" i="55" s="1"/>
  <c r="U77" i="55"/>
  <c r="T77" i="55"/>
  <c r="AH45" i="55"/>
  <c r="K27" i="35"/>
  <c r="N27" i="35"/>
  <c r="L26" i="36"/>
  <c r="O26" i="36"/>
  <c r="N8" i="1"/>
  <c r="J23" i="36" s="1"/>
  <c r="I23" i="36"/>
  <c r="O8" i="1"/>
  <c r="J15" i="34"/>
  <c r="K15" i="34"/>
  <c r="L16" i="34"/>
  <c r="L28" i="35"/>
  <c r="M28" i="35"/>
  <c r="L11" i="33"/>
  <c r="L18" i="55" s="1"/>
  <c r="N28" i="35"/>
  <c r="K31" i="35"/>
  <c r="I30" i="35"/>
  <c r="N9" i="6"/>
  <c r="I40" i="6" s="1"/>
  <c r="I41" i="6" s="1"/>
  <c r="K20" i="35"/>
  <c r="M20" i="35" s="1"/>
  <c r="L13" i="34"/>
  <c r="AA13" i="47" s="1"/>
  <c r="N26" i="35"/>
  <c r="I13" i="34"/>
  <c r="J13" i="34" s="1"/>
  <c r="M18" i="36"/>
  <c r="K25" i="35"/>
  <c r="M25" i="35" s="1"/>
  <c r="O17" i="36"/>
  <c r="L23" i="35"/>
  <c r="M4" i="55"/>
  <c r="L17" i="36"/>
  <c r="E40" i="6"/>
  <c r="E41" i="6" s="1"/>
  <c r="H40" i="6"/>
  <c r="H41" i="6" s="1"/>
  <c r="O20" i="36"/>
  <c r="N25" i="35"/>
  <c r="O19" i="6"/>
  <c r="J24" i="35" s="1"/>
  <c r="N19" i="6"/>
  <c r="I24" i="35" s="1"/>
  <c r="H24" i="35"/>
  <c r="K21" i="35"/>
  <c r="L21" i="35" s="1"/>
  <c r="N21" i="35"/>
  <c r="L12" i="34"/>
  <c r="I12" i="34"/>
  <c r="L11" i="34"/>
  <c r="AY27" i="55" s="1"/>
  <c r="AU27" i="55"/>
  <c r="I11" i="34"/>
  <c r="AW27" i="55"/>
  <c r="L26" i="35"/>
  <c r="M26" i="35"/>
  <c r="L20" i="35"/>
  <c r="G21" i="36"/>
  <c r="L21" i="36" s="1"/>
  <c r="F40" i="6"/>
  <c r="F41" i="6" s="1"/>
  <c r="O21" i="36"/>
  <c r="N20" i="36"/>
  <c r="M20" i="36"/>
  <c r="K19" i="36"/>
  <c r="Z82" i="55" s="1"/>
  <c r="J19" i="36"/>
  <c r="Y82" i="55" s="1"/>
  <c r="N15" i="35"/>
  <c r="K15" i="35"/>
  <c r="L10" i="34"/>
  <c r="N14" i="35"/>
  <c r="E40" i="5"/>
  <c r="E41" i="5" s="1"/>
  <c r="F40" i="5"/>
  <c r="F41" i="5" s="1"/>
  <c r="F16" i="35"/>
  <c r="AH47" i="55"/>
  <c r="O15" i="36"/>
  <c r="M12" i="47" s="1"/>
  <c r="L21" i="47"/>
  <c r="K25" i="47"/>
  <c r="AI182" i="55"/>
  <c r="AI175" i="55"/>
  <c r="U168" i="55"/>
  <c r="U104" i="55"/>
  <c r="T119" i="55"/>
  <c r="T164" i="55"/>
  <c r="T132" i="55"/>
  <c r="T124" i="55"/>
  <c r="T170" i="55"/>
  <c r="T139" i="55"/>
  <c r="T114" i="55"/>
  <c r="T104" i="55"/>
  <c r="V169" i="55"/>
  <c r="AI184" i="55"/>
  <c r="T140" i="55"/>
  <c r="T120" i="55"/>
  <c r="T118" i="55"/>
  <c r="T102" i="55"/>
  <c r="T108" i="55"/>
  <c r="T130" i="55"/>
  <c r="T146" i="55"/>
  <c r="T158" i="55"/>
  <c r="T167" i="55"/>
  <c r="T148" i="55"/>
  <c r="T126" i="55"/>
  <c r="V162" i="55"/>
  <c r="V152" i="55"/>
  <c r="T138" i="55"/>
  <c r="U132" i="55"/>
  <c r="V151" i="55"/>
  <c r="V144" i="55"/>
  <c r="AI183" i="55"/>
  <c r="T107" i="55"/>
  <c r="V125" i="55"/>
  <c r="AI181" i="55"/>
  <c r="T136" i="55"/>
  <c r="V145" i="55"/>
  <c r="AH173" i="55"/>
  <c r="AH184" i="55"/>
  <c r="AH177" i="55"/>
  <c r="AH135" i="55"/>
  <c r="AH139" i="55"/>
  <c r="AH156" i="55"/>
  <c r="AH158" i="55"/>
  <c r="AH133" i="55"/>
  <c r="AH167" i="55"/>
  <c r="AH185" i="55"/>
  <c r="AH142" i="55"/>
  <c r="AH145" i="55"/>
  <c r="AH140" i="55"/>
  <c r="AH137" i="55"/>
  <c r="AH182" i="55"/>
  <c r="AH138" i="55"/>
  <c r="AH166" i="55"/>
  <c r="AH162" i="55"/>
  <c r="AH136" i="55"/>
  <c r="AH183" i="55"/>
  <c r="AH152" i="55"/>
  <c r="AH165" i="55"/>
  <c r="AH179" i="55"/>
  <c r="AH170" i="55"/>
  <c r="AH168" i="55"/>
  <c r="AH141" i="55"/>
  <c r="AH155" i="55"/>
  <c r="AH148" i="55"/>
  <c r="AH153" i="55"/>
  <c r="AH159" i="55"/>
  <c r="AH163" i="55"/>
  <c r="AH154" i="55"/>
  <c r="AH146" i="55"/>
  <c r="AH171" i="55"/>
  <c r="AH186" i="55"/>
  <c r="AH181" i="55"/>
  <c r="AH144" i="55"/>
  <c r="AH147" i="55"/>
  <c r="AH160" i="55"/>
  <c r="AH164" i="55"/>
  <c r="AH149" i="55"/>
  <c r="AH180" i="55"/>
  <c r="AH178" i="55"/>
  <c r="AH161" i="55"/>
  <c r="AH157" i="55"/>
  <c r="AH132" i="55"/>
  <c r="AH150" i="55"/>
  <c r="AH151" i="55"/>
  <c r="AH172" i="55"/>
  <c r="AH175" i="55"/>
  <c r="AH176" i="55"/>
  <c r="AH143" i="55"/>
  <c r="AH169" i="55"/>
  <c r="AH134" i="55"/>
  <c r="T166" i="55"/>
  <c r="V109" i="55"/>
  <c r="AI171" i="55"/>
  <c r="AI147" i="55"/>
  <c r="AI156" i="55"/>
  <c r="AI134" i="55"/>
  <c r="AI163" i="55"/>
  <c r="AI148" i="55"/>
  <c r="AI135" i="55"/>
  <c r="AI165" i="55"/>
  <c r="AI132" i="55"/>
  <c r="AI152" i="55"/>
  <c r="AI164" i="55"/>
  <c r="AI138" i="55"/>
  <c r="AI158" i="55"/>
  <c r="AI169" i="55"/>
  <c r="AI168" i="55"/>
  <c r="AI162" i="55"/>
  <c r="AI133" i="55"/>
  <c r="AI155" i="55"/>
  <c r="AI153" i="55"/>
  <c r="AI142" i="55"/>
  <c r="AI141" i="55"/>
  <c r="AI140" i="55"/>
  <c r="AI139" i="55"/>
  <c r="AI150" i="55"/>
  <c r="AI145" i="55"/>
  <c r="AI166" i="55"/>
  <c r="AI157" i="55"/>
  <c r="AI170" i="55"/>
  <c r="AI137" i="55"/>
  <c r="AI143" i="55"/>
  <c r="AI136" i="55"/>
  <c r="AI151" i="55"/>
  <c r="AI160" i="55"/>
  <c r="AI167" i="55"/>
  <c r="AI146" i="55"/>
  <c r="AI161" i="55"/>
  <c r="AI154" i="55"/>
  <c r="AI159" i="55"/>
  <c r="AI144" i="55"/>
  <c r="AI149" i="55"/>
  <c r="T62" i="55"/>
  <c r="T112" i="55"/>
  <c r="T154" i="55"/>
  <c r="U140" i="55"/>
  <c r="T131" i="55"/>
  <c r="V155" i="55"/>
  <c r="U135" i="55"/>
  <c r="N3" i="33"/>
  <c r="F4" i="47" s="1"/>
  <c r="U118" i="55"/>
  <c r="U160" i="55"/>
  <c r="T159" i="55"/>
  <c r="T115" i="55"/>
  <c r="U120" i="55"/>
  <c r="T123" i="55"/>
  <c r="M3" i="33"/>
  <c r="U136" i="55"/>
  <c r="U145" i="55"/>
  <c r="T168" i="55"/>
  <c r="T143" i="55"/>
  <c r="U117" i="55"/>
  <c r="AV47" i="55"/>
  <c r="AV75" i="55"/>
  <c r="AV79" i="55"/>
  <c r="O26" i="32"/>
  <c r="H4" i="34" s="1"/>
  <c r="AV73" i="55"/>
  <c r="N26" i="32"/>
  <c r="G4" i="34" s="1"/>
  <c r="AW69" i="55" s="1"/>
  <c r="AV86" i="55"/>
  <c r="O15" i="32"/>
  <c r="J2" i="35" s="1"/>
  <c r="AM30" i="55" s="1"/>
  <c r="AV69" i="55"/>
  <c r="N15" i="32"/>
  <c r="I2" i="35" s="1"/>
  <c r="AL30" i="55" s="1"/>
  <c r="AV54" i="55"/>
  <c r="AV68" i="55"/>
  <c r="AV80" i="55"/>
  <c r="AV53" i="55"/>
  <c r="AV98" i="55"/>
  <c r="AV70" i="55"/>
  <c r="AV64" i="55"/>
  <c r="AV87" i="55"/>
  <c r="AV90" i="55"/>
  <c r="AV97" i="55"/>
  <c r="AV62" i="55"/>
  <c r="AV94" i="55"/>
  <c r="AV49" i="55"/>
  <c r="AV91" i="55"/>
  <c r="AV60" i="55"/>
  <c r="AV85" i="55"/>
  <c r="AV82" i="55"/>
  <c r="AV74" i="55"/>
  <c r="AV67" i="55"/>
  <c r="AV65" i="55"/>
  <c r="AV101" i="55"/>
  <c r="AV59" i="55"/>
  <c r="AV96" i="55"/>
  <c r="AV51" i="55"/>
  <c r="AV89" i="55"/>
  <c r="AV88" i="55"/>
  <c r="AV78" i="55"/>
  <c r="AV61" i="55"/>
  <c r="AV66" i="55"/>
  <c r="AV100" i="55"/>
  <c r="AV48" i="55"/>
  <c r="AV52" i="55"/>
  <c r="AV76" i="55"/>
  <c r="AV95" i="55"/>
  <c r="AV55" i="55"/>
  <c r="AV56" i="55"/>
  <c r="AV58" i="55"/>
  <c r="AV81" i="55"/>
  <c r="AV72" i="55"/>
  <c r="AV99" i="55"/>
  <c r="AV84" i="55"/>
  <c r="AV71" i="55"/>
  <c r="AV83" i="55"/>
  <c r="AV63" i="55"/>
  <c r="AV93" i="55"/>
  <c r="AV57" i="55"/>
  <c r="AV77" i="55"/>
  <c r="AU67" i="55"/>
  <c r="AU51" i="55"/>
  <c r="AU77" i="55"/>
  <c r="AU86" i="55"/>
  <c r="AU74" i="55"/>
  <c r="AU82" i="55"/>
  <c r="AU47" i="55"/>
  <c r="AU88" i="55"/>
  <c r="AU54" i="55"/>
  <c r="AU83" i="55"/>
  <c r="AU98" i="55"/>
  <c r="AU84" i="55"/>
  <c r="AU63" i="55"/>
  <c r="AU92" i="55"/>
  <c r="AU97" i="55"/>
  <c r="AU57" i="55"/>
  <c r="AU55" i="55"/>
  <c r="AU53" i="55"/>
  <c r="AU90" i="55"/>
  <c r="AU75" i="55"/>
  <c r="AU65" i="55"/>
  <c r="AU66" i="55"/>
  <c r="AU73" i="55"/>
  <c r="AU70" i="55"/>
  <c r="AU101" i="55"/>
  <c r="AU99" i="55"/>
  <c r="AU52" i="55"/>
  <c r="AU56" i="55"/>
  <c r="AU85" i="55"/>
  <c r="AU61" i="55"/>
  <c r="AU62" i="55"/>
  <c r="AU59" i="55"/>
  <c r="AU100" i="55"/>
  <c r="AU48" i="55"/>
  <c r="AU50" i="55"/>
  <c r="AU60" i="55"/>
  <c r="AU79" i="55"/>
  <c r="AU95" i="55"/>
  <c r="AU94" i="55"/>
  <c r="AU96" i="55"/>
  <c r="AU76" i="55"/>
  <c r="AU71" i="55"/>
  <c r="AU69" i="55"/>
  <c r="AU93" i="55"/>
  <c r="AU49" i="55"/>
  <c r="AU87" i="55"/>
  <c r="AU58" i="55"/>
  <c r="AU78" i="55"/>
  <c r="AU89" i="55"/>
  <c r="AU91" i="55"/>
  <c r="AU68" i="55"/>
  <c r="AU72" i="55"/>
  <c r="AU64" i="55"/>
  <c r="AU80" i="55"/>
  <c r="AU81" i="55"/>
  <c r="T110" i="55"/>
  <c r="T127" i="55"/>
  <c r="V168" i="55"/>
  <c r="V153" i="55"/>
  <c r="O4" i="36"/>
  <c r="M5" i="47" s="1"/>
  <c r="U169" i="55"/>
  <c r="T106" i="55"/>
  <c r="T135" i="55"/>
  <c r="L6" i="36"/>
  <c r="M6" i="36" s="1"/>
  <c r="V128" i="55"/>
  <c r="V133" i="55"/>
  <c r="V62" i="55"/>
  <c r="V160" i="55"/>
  <c r="V131" i="55"/>
  <c r="V139" i="55"/>
  <c r="V165" i="55"/>
  <c r="V129" i="55"/>
  <c r="U146" i="55"/>
  <c r="U149" i="55"/>
  <c r="U124" i="55"/>
  <c r="U126" i="55"/>
  <c r="U131" i="55"/>
  <c r="K18" i="47"/>
  <c r="K27" i="47"/>
  <c r="L24" i="47"/>
  <c r="K24" i="47"/>
  <c r="J15" i="47"/>
  <c r="K16" i="47"/>
  <c r="K7" i="47"/>
  <c r="A40" i="36"/>
  <c r="M9" i="47"/>
  <c r="L25" i="47"/>
  <c r="K14" i="47"/>
  <c r="L20" i="47"/>
  <c r="J14" i="47"/>
  <c r="K21" i="47"/>
  <c r="J24" i="47"/>
  <c r="J20" i="47"/>
  <c r="K8" i="47"/>
  <c r="L13" i="47"/>
  <c r="J28" i="47"/>
  <c r="J11" i="47"/>
  <c r="L15" i="47"/>
  <c r="L26" i="47"/>
  <c r="L8" i="47"/>
  <c r="L28" i="47"/>
  <c r="L14" i="47"/>
  <c r="M27" i="47"/>
  <c r="J19" i="47"/>
  <c r="J18" i="47"/>
  <c r="J13" i="47"/>
  <c r="J8" i="47"/>
  <c r="L17" i="47"/>
  <c r="K6" i="47"/>
  <c r="J25" i="47"/>
  <c r="J16" i="47"/>
  <c r="J10" i="47"/>
  <c r="K15" i="47"/>
  <c r="M13" i="47"/>
  <c r="K10" i="47"/>
  <c r="J9" i="47"/>
  <c r="J27" i="47"/>
  <c r="K20" i="47"/>
  <c r="J12" i="47"/>
  <c r="M7" i="47"/>
  <c r="L7" i="47"/>
  <c r="K13" i="47"/>
  <c r="K17" i="47"/>
  <c r="K9" i="47"/>
  <c r="L18" i="47"/>
  <c r="L6" i="47"/>
  <c r="L27" i="47"/>
  <c r="L19" i="47"/>
  <c r="K19" i="47"/>
  <c r="J21" i="47"/>
  <c r="L11" i="47"/>
  <c r="K22" i="47"/>
  <c r="L23" i="47"/>
  <c r="K11" i="47"/>
  <c r="T144" i="55"/>
  <c r="U114" i="55"/>
  <c r="V148" i="55"/>
  <c r="V134" i="55"/>
  <c r="T103" i="55"/>
  <c r="V167" i="55"/>
  <c r="T147" i="55"/>
  <c r="V143" i="55"/>
  <c r="V121" i="55"/>
  <c r="V104" i="55"/>
  <c r="U161" i="55"/>
  <c r="U157" i="55"/>
  <c r="U150" i="55"/>
  <c r="U109" i="55"/>
  <c r="T152" i="55"/>
  <c r="T122" i="55"/>
  <c r="V156" i="55"/>
  <c r="V111" i="55"/>
  <c r="T163" i="55"/>
  <c r="V136" i="55"/>
  <c r="V107" i="55"/>
  <c r="V117" i="55"/>
  <c r="U107" i="55"/>
  <c r="U121" i="55"/>
  <c r="U141" i="55"/>
  <c r="U137" i="55"/>
  <c r="T160" i="55"/>
  <c r="V150" i="55"/>
  <c r="V119" i="55"/>
  <c r="V105" i="55"/>
  <c r="V157" i="55"/>
  <c r="U152" i="55"/>
  <c r="U147" i="55"/>
  <c r="U112" i="55"/>
  <c r="U125" i="55"/>
  <c r="U144" i="55"/>
  <c r="U143" i="55"/>
  <c r="U129" i="55"/>
  <c r="U171" i="55"/>
  <c r="U105" i="55"/>
  <c r="U108" i="55"/>
  <c r="U153" i="55"/>
  <c r="U151" i="55"/>
  <c r="U155" i="55"/>
  <c r="T155" i="55"/>
  <c r="T150" i="55"/>
  <c r="T117" i="55"/>
  <c r="T109" i="55"/>
  <c r="T133" i="55"/>
  <c r="T137" i="55"/>
  <c r="T141" i="55"/>
  <c r="T105" i="55"/>
  <c r="T162" i="55"/>
  <c r="T145" i="55"/>
  <c r="T116" i="55"/>
  <c r="T169" i="55"/>
  <c r="T151" i="55"/>
  <c r="T111" i="55"/>
  <c r="T125" i="55"/>
  <c r="T165" i="55"/>
  <c r="T113" i="55"/>
  <c r="T161" i="55"/>
  <c r="T129" i="55"/>
  <c r="T121" i="55"/>
  <c r="T153" i="55"/>
  <c r="T149" i="55"/>
  <c r="T128" i="55"/>
  <c r="T157" i="55"/>
  <c r="U133" i="55"/>
  <c r="U165" i="55"/>
  <c r="U113" i="55"/>
  <c r="V164" i="55"/>
  <c r="V149" i="55"/>
  <c r="V141" i="55"/>
  <c r="V113" i="55"/>
  <c r="AX67" i="55"/>
  <c r="AX70" i="55"/>
  <c r="AX53" i="55"/>
  <c r="AX80" i="55"/>
  <c r="AX79" i="55"/>
  <c r="AX97" i="55"/>
  <c r="AX50" i="55"/>
  <c r="AX72" i="55"/>
  <c r="AX78" i="55"/>
  <c r="AX63" i="55"/>
  <c r="AX81" i="55"/>
  <c r="AX48" i="55"/>
  <c r="AX101" i="55"/>
  <c r="AX52" i="55"/>
  <c r="AX56" i="55"/>
  <c r="AX74" i="55"/>
  <c r="AX69" i="55"/>
  <c r="AX61" i="55"/>
  <c r="AX87" i="55"/>
  <c r="AX49" i="55"/>
  <c r="AX93" i="55"/>
  <c r="AX60" i="55"/>
  <c r="AX59" i="55"/>
  <c r="AX71" i="55"/>
  <c r="AX62" i="55"/>
  <c r="AX84" i="55"/>
  <c r="AX99" i="55"/>
  <c r="AX57" i="55"/>
  <c r="AX64" i="55"/>
  <c r="AX47" i="55"/>
  <c r="AX54" i="55"/>
  <c r="AX83" i="55"/>
  <c r="AX94" i="55"/>
  <c r="AX86" i="55"/>
  <c r="AX75" i="55"/>
  <c r="AX91" i="55"/>
  <c r="AX58" i="55"/>
  <c r="AX96" i="55"/>
  <c r="AX90" i="55"/>
  <c r="AX76" i="55"/>
  <c r="AX68" i="55"/>
  <c r="AX51" i="55"/>
  <c r="AX55" i="55"/>
  <c r="AX92" i="55"/>
  <c r="AX88" i="55"/>
  <c r="AX85" i="55"/>
  <c r="AX66" i="55"/>
  <c r="AX82" i="55"/>
  <c r="AX100" i="55"/>
  <c r="AX98" i="55"/>
  <c r="AX95" i="55"/>
  <c r="AX73" i="55"/>
  <c r="AX89" i="55"/>
  <c r="AX77" i="55"/>
  <c r="AX65" i="55"/>
  <c r="AH59" i="55"/>
  <c r="K5" i="35"/>
  <c r="N5" i="35"/>
  <c r="G6" i="35"/>
  <c r="M19" i="32"/>
  <c r="G40" i="32"/>
  <c r="G41" i="32" s="1"/>
  <c r="L2" i="36"/>
  <c r="O2" i="36"/>
  <c r="M3" i="47" s="1"/>
  <c r="AH30" i="55"/>
  <c r="N2" i="35"/>
  <c r="AH122" i="55"/>
  <c r="N4" i="35"/>
  <c r="K4" i="35"/>
  <c r="AH75" i="55"/>
  <c r="N3" i="35"/>
  <c r="AN68" i="55" s="1"/>
  <c r="K3" i="35"/>
  <c r="M4" i="36"/>
  <c r="N4" i="36"/>
  <c r="AU30" i="55"/>
  <c r="J3" i="36"/>
  <c r="O25" i="32"/>
  <c r="H3" i="34" s="1"/>
  <c r="AX30" i="55" s="1"/>
  <c r="N25" i="32"/>
  <c r="G3" i="34" s="1"/>
  <c r="AW31" i="55" s="1"/>
  <c r="F3" i="34"/>
  <c r="AV30" i="55" s="1"/>
  <c r="O6" i="36"/>
  <c r="K3" i="36"/>
  <c r="Z50" i="55" s="1"/>
  <c r="AK152" i="55"/>
  <c r="AK186" i="55"/>
  <c r="AK164" i="55"/>
  <c r="AK132" i="55"/>
  <c r="AK184" i="55"/>
  <c r="AK172" i="55"/>
  <c r="AK139" i="55"/>
  <c r="AK167" i="55"/>
  <c r="AK147" i="55"/>
  <c r="AK143" i="55"/>
  <c r="AK156" i="55"/>
  <c r="AK171" i="55"/>
  <c r="AK169" i="55"/>
  <c r="AK136" i="55"/>
  <c r="AK153" i="55"/>
  <c r="AK157" i="55"/>
  <c r="AK176" i="55"/>
  <c r="AK168" i="55"/>
  <c r="AK138" i="55"/>
  <c r="AK151" i="55"/>
  <c r="AK155" i="55"/>
  <c r="AK146" i="55"/>
  <c r="AK137" i="55"/>
  <c r="AK180" i="55"/>
  <c r="AK135" i="55"/>
  <c r="AK142" i="55"/>
  <c r="AK165" i="55"/>
  <c r="AK148" i="55"/>
  <c r="AK163" i="55"/>
  <c r="AK149" i="55"/>
  <c r="AK145" i="55"/>
  <c r="AK181" i="55"/>
  <c r="AK185" i="55"/>
  <c r="AK160" i="55"/>
  <c r="AK134" i="55"/>
  <c r="AK154" i="55"/>
  <c r="AK140" i="55"/>
  <c r="AK159" i="55"/>
  <c r="AK144" i="55"/>
  <c r="AK162" i="55"/>
  <c r="AK150" i="55"/>
  <c r="AK179" i="55"/>
  <c r="AK175" i="55"/>
  <c r="AK133" i="55"/>
  <c r="AK166" i="55"/>
  <c r="AK141" i="55"/>
  <c r="AK161" i="55"/>
  <c r="N7" i="35"/>
  <c r="AK182" i="55"/>
  <c r="AK177" i="55"/>
  <c r="AK173" i="55"/>
  <c r="AK174" i="55"/>
  <c r="AK170" i="55"/>
  <c r="AK183" i="55"/>
  <c r="AK158" i="55"/>
  <c r="AK178" i="55"/>
  <c r="AL156" i="55"/>
  <c r="AL176" i="55"/>
  <c r="AL134" i="55"/>
  <c r="AL138" i="55"/>
  <c r="AL179" i="55"/>
  <c r="AL160" i="55"/>
  <c r="AL181" i="55"/>
  <c r="AL159" i="55"/>
  <c r="AL167" i="55"/>
  <c r="AL152" i="55"/>
  <c r="AL172" i="55"/>
  <c r="AL168" i="55"/>
  <c r="AL139" i="55"/>
  <c r="AL150" i="55"/>
  <c r="K7" i="35"/>
  <c r="AL137" i="55"/>
  <c r="AL136" i="55"/>
  <c r="AL157" i="55"/>
  <c r="AL171" i="55"/>
  <c r="AL132" i="55"/>
  <c r="AL178" i="55"/>
  <c r="AL161" i="55"/>
  <c r="AL174" i="55"/>
  <c r="AL173" i="55"/>
  <c r="AL142" i="55"/>
  <c r="AL177" i="55"/>
  <c r="AL166" i="55"/>
  <c r="AL183" i="55"/>
  <c r="AL184" i="55"/>
  <c r="AL169" i="55"/>
  <c r="AL182" i="55"/>
  <c r="AL140" i="55"/>
  <c r="AL165" i="55"/>
  <c r="AL164" i="55"/>
  <c r="AL154" i="55"/>
  <c r="AL151" i="55"/>
  <c r="AL175" i="55"/>
  <c r="AL143" i="55"/>
  <c r="AL163" i="55"/>
  <c r="AL158" i="55"/>
  <c r="AL145" i="55"/>
  <c r="AL155" i="55"/>
  <c r="AL170" i="55"/>
  <c r="AL133" i="55"/>
  <c r="AL147" i="55"/>
  <c r="AL180" i="55"/>
  <c r="AL148" i="55"/>
  <c r="AL162" i="55"/>
  <c r="AL146" i="55"/>
  <c r="AL135" i="55"/>
  <c r="AL186" i="55"/>
  <c r="AL144" i="55"/>
  <c r="AL149" i="55"/>
  <c r="AL153" i="55"/>
  <c r="AL141" i="55"/>
  <c r="AL185" i="55"/>
  <c r="AW20" i="55"/>
  <c r="I2" i="34"/>
  <c r="L2" i="34"/>
  <c r="AY17" i="55" s="1"/>
  <c r="F40" i="32"/>
  <c r="F41" i="32" s="1"/>
  <c r="K2" i="33"/>
  <c r="E40" i="32"/>
  <c r="E41" i="32" s="1"/>
  <c r="AM154" i="55"/>
  <c r="AM171" i="55"/>
  <c r="AM185" i="55"/>
  <c r="AM139" i="55"/>
  <c r="AM156" i="55"/>
  <c r="AM148" i="55"/>
  <c r="AM161" i="55"/>
  <c r="AM181" i="55"/>
  <c r="AM132" i="55"/>
  <c r="AM170" i="55"/>
  <c r="AM172" i="55"/>
  <c r="AM138" i="55"/>
  <c r="AM165" i="55"/>
  <c r="AM144" i="55"/>
  <c r="AM146" i="55"/>
  <c r="AM183" i="55"/>
  <c r="AM167" i="55"/>
  <c r="AM142" i="55"/>
  <c r="AM180" i="55"/>
  <c r="AM155" i="55"/>
  <c r="AM149" i="55"/>
  <c r="AM152" i="55"/>
  <c r="AM168" i="55"/>
  <c r="AM160" i="55"/>
  <c r="AM159" i="55"/>
  <c r="AM140" i="55"/>
  <c r="AM166" i="55"/>
  <c r="AM136" i="55"/>
  <c r="AM133" i="55"/>
  <c r="AM173" i="55"/>
  <c r="AM174" i="55"/>
  <c r="AM158" i="55"/>
  <c r="AM141" i="55"/>
  <c r="AM178" i="55"/>
  <c r="AM176" i="55"/>
  <c r="AM137" i="55"/>
  <c r="AM150" i="55"/>
  <c r="AM145" i="55"/>
  <c r="AM151" i="55"/>
  <c r="AM182" i="55"/>
  <c r="AM143" i="55"/>
  <c r="AM135" i="55"/>
  <c r="AM184" i="55"/>
  <c r="AM134" i="55"/>
  <c r="AM157" i="55"/>
  <c r="AM153" i="55"/>
  <c r="AM164" i="55"/>
  <c r="AM186" i="55"/>
  <c r="AM169" i="55"/>
  <c r="AM163" i="55"/>
  <c r="AM175" i="55"/>
  <c r="AM147" i="55"/>
  <c r="AM179" i="55"/>
  <c r="AM162" i="55"/>
  <c r="AM177" i="55"/>
  <c r="K23" i="47"/>
  <c r="J17" i="47"/>
  <c r="K26" i="47"/>
  <c r="J7" i="47"/>
  <c r="J6" i="47"/>
  <c r="L22" i="47"/>
  <c r="K28" i="47"/>
  <c r="L12" i="47"/>
  <c r="K12" i="47"/>
  <c r="L9" i="47"/>
  <c r="J26" i="47"/>
  <c r="L16" i="47"/>
  <c r="J22" i="47"/>
  <c r="J23" i="47"/>
  <c r="I61" i="34"/>
  <c r="J61" i="34" s="1"/>
  <c r="K130" i="35"/>
  <c r="M130" i="35" s="1"/>
  <c r="I105" i="36"/>
  <c r="N10" i="20"/>
  <c r="J105" i="36" s="1"/>
  <c r="L105" i="36" s="1"/>
  <c r="N132" i="35"/>
  <c r="H40" i="20"/>
  <c r="H41" i="20" s="1"/>
  <c r="N130" i="35"/>
  <c r="AN40" i="55" s="1"/>
  <c r="I60" i="34"/>
  <c r="L60" i="34"/>
  <c r="AA58" i="47" s="1"/>
  <c r="M132" i="35"/>
  <c r="L132" i="35"/>
  <c r="O24" i="20"/>
  <c r="H59" i="34" s="1"/>
  <c r="AX4" i="55" s="1"/>
  <c r="N24" i="20"/>
  <c r="G59" i="34" s="1"/>
  <c r="F59" i="34"/>
  <c r="AV4" i="55" s="1"/>
  <c r="AU4" i="55"/>
  <c r="N20" i="20"/>
  <c r="I134" i="35" s="1"/>
  <c r="H134" i="35"/>
  <c r="O20" i="20"/>
  <c r="J134" i="35" s="1"/>
  <c r="AI70" i="55"/>
  <c r="AI73" i="55"/>
  <c r="I71" i="36"/>
  <c r="AX45" i="55"/>
  <c r="AW32" i="55"/>
  <c r="AV32" i="55"/>
  <c r="U67" i="55"/>
  <c r="V91" i="55"/>
  <c r="V14" i="55"/>
  <c r="AI41" i="55"/>
  <c r="AI43" i="55"/>
  <c r="AH113" i="55"/>
  <c r="AH114" i="55"/>
  <c r="A64" i="34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A75" i="34" s="1"/>
  <c r="A76" i="34" s="1"/>
  <c r="A77" i="34" s="1"/>
  <c r="A78" i="34" s="1"/>
  <c r="A79" i="34" s="1"/>
  <c r="A80" i="34" s="1"/>
  <c r="A81" i="34" s="1"/>
  <c r="A82" i="34" s="1"/>
  <c r="A83" i="34" s="1"/>
  <c r="A84" i="34" s="1"/>
  <c r="A85" i="34" s="1"/>
  <c r="A86" i="34" s="1"/>
  <c r="A87" i="34" s="1"/>
  <c r="A88" i="34" s="1"/>
  <c r="A89" i="34" s="1"/>
  <c r="A90" i="34" s="1"/>
  <c r="A91" i="34" s="1"/>
  <c r="A92" i="34" s="1"/>
  <c r="A93" i="34" s="1"/>
  <c r="A94" i="34" s="1"/>
  <c r="A95" i="34" s="1"/>
  <c r="A96" i="34" s="1"/>
  <c r="A97" i="34" s="1"/>
  <c r="AP60" i="47"/>
  <c r="AN42" i="47"/>
  <c r="AN32" i="47"/>
  <c r="X48" i="47"/>
  <c r="AO24" i="47"/>
  <c r="X57" i="47"/>
  <c r="AL58" i="47"/>
  <c r="Y12" i="47"/>
  <c r="AL13" i="47"/>
  <c r="Y36" i="47"/>
  <c r="AO50" i="47"/>
  <c r="AL23" i="47"/>
  <c r="Y35" i="47"/>
  <c r="AL24" i="47"/>
  <c r="AN47" i="47"/>
  <c r="Y52" i="47"/>
  <c r="AL18" i="47"/>
  <c r="AO59" i="47"/>
  <c r="Z49" i="47"/>
  <c r="AO17" i="47"/>
  <c r="Z18" i="47"/>
  <c r="AO52" i="47"/>
  <c r="AL50" i="47"/>
  <c r="AN13" i="47"/>
  <c r="X39" i="47"/>
  <c r="AL59" i="47"/>
  <c r="Y49" i="47"/>
  <c r="Y10" i="47"/>
  <c r="X51" i="47"/>
  <c r="X46" i="47"/>
  <c r="Y30" i="47"/>
  <c r="AN55" i="47"/>
  <c r="Y46" i="47"/>
  <c r="AO31" i="47"/>
  <c r="Z15" i="47"/>
  <c r="Y48" i="47"/>
  <c r="AL53" i="47"/>
  <c r="AO16" i="47"/>
  <c r="X31" i="47"/>
  <c r="AN24" i="47"/>
  <c r="AN25" i="47"/>
  <c r="AO32" i="47"/>
  <c r="Z16" i="47"/>
  <c r="Z43" i="47"/>
  <c r="Y51" i="47"/>
  <c r="AL17" i="47"/>
  <c r="X55" i="47"/>
  <c r="Y54" i="47"/>
  <c r="AL16" i="47"/>
  <c r="AL22" i="47"/>
  <c r="Y38" i="47"/>
  <c r="Y14" i="47"/>
  <c r="AP59" i="47"/>
  <c r="Z26" i="47"/>
  <c r="AN20" i="47"/>
  <c r="AA59" i="47"/>
  <c r="Y42" i="47"/>
  <c r="Y50" i="47"/>
  <c r="AL11" i="47"/>
  <c r="AO43" i="47"/>
  <c r="AN57" i="47"/>
  <c r="Y22" i="47"/>
  <c r="AP52" i="47"/>
  <c r="AN58" i="47"/>
  <c r="Y57" i="47"/>
  <c r="AN14" i="47"/>
  <c r="AO26" i="47"/>
  <c r="AL38" i="47"/>
  <c r="Z39" i="47"/>
  <c r="Z35" i="47"/>
  <c r="X34" i="47"/>
  <c r="Y53" i="47"/>
  <c r="AO37" i="47"/>
  <c r="AN12" i="47"/>
  <c r="AN56" i="47"/>
  <c r="Y43" i="47"/>
  <c r="X19" i="47"/>
  <c r="X42" i="47"/>
  <c r="Z59" i="47"/>
  <c r="AL34" i="47"/>
  <c r="AA12" i="47"/>
  <c r="AO44" i="47"/>
  <c r="AO29" i="47"/>
  <c r="Y23" i="47"/>
  <c r="AO46" i="47"/>
  <c r="Z22" i="47"/>
  <c r="AO10" i="47"/>
  <c r="AP49" i="47"/>
  <c r="AN29" i="47"/>
  <c r="X41" i="47"/>
  <c r="AL26" i="47"/>
  <c r="AP15" i="47"/>
  <c r="Z55" i="47"/>
  <c r="AL40" i="47"/>
  <c r="X10" i="47"/>
  <c r="AL49" i="47"/>
  <c r="Y39" i="47"/>
  <c r="AO28" i="47"/>
  <c r="X24" i="47"/>
  <c r="Z28" i="47"/>
  <c r="AN36" i="47"/>
  <c r="Z45" i="47"/>
  <c r="Z10" i="47"/>
  <c r="AL14" i="47"/>
  <c r="Z47" i="47"/>
  <c r="AN18" i="47"/>
  <c r="AP12" i="47"/>
  <c r="AN15" i="47"/>
  <c r="Z17" i="47"/>
  <c r="AN38" i="47"/>
  <c r="Y47" i="47"/>
  <c r="AL33" i="47"/>
  <c r="AO33" i="47"/>
  <c r="Z44" i="47"/>
  <c r="Y19" i="47"/>
  <c r="X52" i="47"/>
  <c r="X26" i="47"/>
  <c r="Z46" i="47"/>
  <c r="Z36" i="47"/>
  <c r="X56" i="47"/>
  <c r="AL48" i="47"/>
  <c r="AN21" i="47"/>
  <c r="Y45" i="47"/>
  <c r="X58" i="47"/>
  <c r="X15" i="47"/>
  <c r="AO36" i="47"/>
  <c r="Y29" i="47"/>
  <c r="Z52" i="47"/>
  <c r="AL12" i="47"/>
  <c r="AO22" i="47"/>
  <c r="Y41" i="47"/>
  <c r="X32" i="47"/>
  <c r="AL54" i="47"/>
  <c r="AO14" i="47"/>
  <c r="AL45" i="47"/>
  <c r="AN19" i="47"/>
  <c r="AO60" i="47"/>
  <c r="AA60" i="47"/>
  <c r="AN31" i="47"/>
  <c r="AN35" i="47"/>
  <c r="AL43" i="47"/>
  <c r="AN22" i="47"/>
  <c r="Y27" i="47"/>
  <c r="AO41" i="47"/>
  <c r="AL41" i="47"/>
  <c r="AO57" i="47"/>
  <c r="Y16" i="47"/>
  <c r="AA49" i="47"/>
  <c r="AL29" i="47"/>
  <c r="X59" i="47"/>
  <c r="AN30" i="47"/>
  <c r="AL19" i="47"/>
  <c r="Z37" i="47"/>
  <c r="Y15" i="47"/>
  <c r="AP10" i="47"/>
  <c r="AO58" i="47"/>
  <c r="Z20" i="47"/>
  <c r="Z31" i="47"/>
  <c r="AL21" i="47"/>
  <c r="AA16" i="47"/>
  <c r="X47" i="47"/>
  <c r="Z41" i="47"/>
  <c r="X18" i="47"/>
  <c r="Y25" i="47"/>
  <c r="AO51" i="47"/>
  <c r="AL32" i="47"/>
  <c r="AA51" i="47"/>
  <c r="AO21" i="47"/>
  <c r="Z58" i="47"/>
  <c r="X33" i="47"/>
  <c r="AL52" i="47"/>
  <c r="AN26" i="47"/>
  <c r="Y56" i="47"/>
  <c r="AO27" i="47"/>
  <c r="X23" i="47"/>
  <c r="Z53" i="47"/>
  <c r="Z19" i="47"/>
  <c r="AA15" i="47"/>
  <c r="Y31" i="47"/>
  <c r="X54" i="47"/>
  <c r="Z32" i="47"/>
  <c r="AL47" i="47"/>
  <c r="Y37" i="47"/>
  <c r="X28" i="47"/>
  <c r="Y24" i="47"/>
  <c r="AN37" i="47"/>
  <c r="X21" i="47"/>
  <c r="AO20" i="47"/>
  <c r="AN59" i="47"/>
  <c r="Y44" i="47"/>
  <c r="X20" i="47"/>
  <c r="AO45" i="47"/>
  <c r="X40" i="47"/>
  <c r="Z30" i="47"/>
  <c r="AS39" i="55"/>
  <c r="AA11" i="47"/>
  <c r="AL39" i="47"/>
  <c r="AN45" i="47"/>
  <c r="AO19" i="47"/>
  <c r="X22" i="47"/>
  <c r="AO48" i="47"/>
  <c r="AO40" i="47"/>
  <c r="Y55" i="47"/>
  <c r="X16" i="47"/>
  <c r="AN33" i="47"/>
  <c r="Z42" i="47"/>
  <c r="AO34" i="47"/>
  <c r="Z40" i="47"/>
  <c r="Y33" i="47"/>
  <c r="AN10" i="47"/>
  <c r="AP16" i="47"/>
  <c r="AL36" i="47"/>
  <c r="AN50" i="47"/>
  <c r="Y40" i="47"/>
  <c r="X35" i="47"/>
  <c r="Z12" i="47"/>
  <c r="Y58" i="47"/>
  <c r="AN46" i="47"/>
  <c r="X11" i="47"/>
  <c r="Z24" i="47"/>
  <c r="AP13" i="47"/>
  <c r="AO56" i="47"/>
  <c r="AO23" i="47"/>
  <c r="AN41" i="47"/>
  <c r="Y28" i="47"/>
  <c r="AO49" i="47"/>
  <c r="AL31" i="47"/>
  <c r="Y20" i="47"/>
  <c r="AN48" i="47"/>
  <c r="X30" i="47"/>
  <c r="AO12" i="47"/>
  <c r="AN60" i="47"/>
  <c r="Z60" i="47"/>
  <c r="AP11" i="47"/>
  <c r="AL56" i="47"/>
  <c r="AL42" i="47"/>
  <c r="AO13" i="47"/>
  <c r="X25" i="47"/>
  <c r="AN28" i="47"/>
  <c r="AO39" i="47"/>
  <c r="AL46" i="47"/>
  <c r="X29" i="47"/>
  <c r="Z29" i="47"/>
  <c r="AO38" i="47"/>
  <c r="AO54" i="47"/>
  <c r="AN51" i="47"/>
  <c r="Z33" i="47"/>
  <c r="Y32" i="47"/>
  <c r="AO15" i="47"/>
  <c r="AO53" i="47"/>
  <c r="X49" i="47"/>
  <c r="Z21" i="47"/>
  <c r="AN27" i="47"/>
  <c r="AN40" i="47"/>
  <c r="Z34" i="47"/>
  <c r="AL15" i="47"/>
  <c r="AA10" i="47"/>
  <c r="AL27" i="47"/>
  <c r="Z51" i="47"/>
  <c r="AO47" i="47"/>
  <c r="AN23" i="47"/>
  <c r="X14" i="47"/>
  <c r="AN43" i="47"/>
  <c r="AN17" i="47"/>
  <c r="AN54" i="47"/>
  <c r="Y18" i="47"/>
  <c r="X27" i="47"/>
  <c r="AP20" i="47"/>
  <c r="AO35" i="47"/>
  <c r="X37" i="47"/>
  <c r="AL51" i="47"/>
  <c r="AN11" i="47"/>
  <c r="Z23" i="47"/>
  <c r="AN44" i="47"/>
  <c r="AO55" i="47"/>
  <c r="Z57" i="47"/>
  <c r="Z27" i="47"/>
  <c r="AO25" i="47"/>
  <c r="AT39" i="55"/>
  <c r="Z38" i="47"/>
  <c r="X43" i="47"/>
  <c r="Z13" i="47"/>
  <c r="Z25" i="47"/>
  <c r="AP50" i="47"/>
  <c r="AN53" i="47"/>
  <c r="Z50" i="47"/>
  <c r="Y59" i="47"/>
  <c r="AO11" i="47"/>
  <c r="X13" i="47"/>
  <c r="AA50" i="47"/>
  <c r="Z54" i="47"/>
  <c r="AO30" i="47"/>
  <c r="X45" i="47"/>
  <c r="AL28" i="47"/>
  <c r="Y26" i="47"/>
  <c r="F88" i="34"/>
  <c r="L88" i="34" s="1"/>
  <c r="L146" i="36"/>
  <c r="M146" i="36" s="1"/>
  <c r="H179" i="35"/>
  <c r="AK30" i="55" s="1"/>
  <c r="N183" i="35"/>
  <c r="I88" i="34"/>
  <c r="I144" i="36"/>
  <c r="O9" i="2"/>
  <c r="K144" i="36" s="1"/>
  <c r="N9" i="2"/>
  <c r="J144" i="36" s="1"/>
  <c r="O19" i="2"/>
  <c r="J182" i="35" s="1"/>
  <c r="H182" i="35"/>
  <c r="N19" i="2"/>
  <c r="I182" i="35" s="1"/>
  <c r="N180" i="35"/>
  <c r="Y50" i="55"/>
  <c r="O15" i="2"/>
  <c r="J178" i="35" s="1"/>
  <c r="AM25" i="55" s="1"/>
  <c r="N15" i="2"/>
  <c r="I178" i="35" s="1"/>
  <c r="AL25" i="55" s="1"/>
  <c r="H178" i="35"/>
  <c r="K180" i="35"/>
  <c r="O146" i="36"/>
  <c r="O7" i="2"/>
  <c r="N7" i="2"/>
  <c r="I142" i="36"/>
  <c r="X2" i="55" s="1"/>
  <c r="N146" i="36"/>
  <c r="N179" i="35"/>
  <c r="K183" i="35"/>
  <c r="K179" i="35"/>
  <c r="X68" i="55"/>
  <c r="N122" i="35"/>
  <c r="AN5" i="55" s="1"/>
  <c r="W48" i="55"/>
  <c r="W49" i="55"/>
  <c r="AO61" i="47"/>
  <c r="AO70" i="47"/>
  <c r="J2" i="30"/>
  <c r="K2" i="30"/>
  <c r="D40" i="30"/>
  <c r="D41" i="30" s="1"/>
  <c r="J69" i="33"/>
  <c r="AM107" i="55"/>
  <c r="AM103" i="55"/>
  <c r="AM101" i="55"/>
  <c r="H40" i="10"/>
  <c r="H41" i="10" s="1"/>
  <c r="L27" i="34"/>
  <c r="AA26" i="47" s="1"/>
  <c r="AI125" i="55"/>
  <c r="AI126" i="55"/>
  <c r="I42" i="36"/>
  <c r="N7" i="10"/>
  <c r="J42" i="36" s="1"/>
  <c r="O7" i="10"/>
  <c r="K42" i="36" s="1"/>
  <c r="AI78" i="55"/>
  <c r="AM42" i="55"/>
  <c r="AM41" i="55"/>
  <c r="X65" i="55"/>
  <c r="L46" i="36"/>
  <c r="N46" i="36" s="1"/>
  <c r="V65" i="55"/>
  <c r="AK71" i="55"/>
  <c r="AK70" i="55"/>
  <c r="Y18" i="55"/>
  <c r="AM71" i="55"/>
  <c r="AM70" i="55"/>
  <c r="N73" i="33"/>
  <c r="M73" i="33"/>
  <c r="AJ25" i="55"/>
  <c r="F160" i="36"/>
  <c r="J72" i="33"/>
  <c r="J22" i="55" s="1"/>
  <c r="K2" i="31"/>
  <c r="J2" i="31"/>
  <c r="K72" i="33" s="1"/>
  <c r="K22" i="55" s="1"/>
  <c r="D40" i="31"/>
  <c r="D41" i="31" s="1"/>
  <c r="AM63" i="55"/>
  <c r="L25" i="34"/>
  <c r="AP24" i="47" s="1"/>
  <c r="I25" i="34"/>
  <c r="K25" i="34" s="1"/>
  <c r="AH64" i="55"/>
  <c r="AH63" i="55"/>
  <c r="W71" i="55"/>
  <c r="AM121" i="55"/>
  <c r="H40" i="9"/>
  <c r="H41" i="9" s="1"/>
  <c r="J25" i="34"/>
  <c r="O8" i="9"/>
  <c r="K38" i="36" s="1"/>
  <c r="N8" i="9"/>
  <c r="J38" i="36" s="1"/>
  <c r="I38" i="36"/>
  <c r="AK120" i="55"/>
  <c r="AK121" i="55"/>
  <c r="F24" i="34"/>
  <c r="AM59" i="55"/>
  <c r="N25" i="9"/>
  <c r="G24" i="34" s="1"/>
  <c r="I24" i="34" s="1"/>
  <c r="AI120" i="55"/>
  <c r="AI121" i="55"/>
  <c r="AL120" i="55"/>
  <c r="AL121" i="55"/>
  <c r="D51" i="47"/>
  <c r="F76" i="47"/>
  <c r="D65" i="47"/>
  <c r="D83" i="47"/>
  <c r="C60" i="47"/>
  <c r="F59" i="47"/>
  <c r="F85" i="47"/>
  <c r="E62" i="47"/>
  <c r="D52" i="47"/>
  <c r="F78" i="47"/>
  <c r="C88" i="47"/>
  <c r="F95" i="47"/>
  <c r="D58" i="47"/>
  <c r="D57" i="47"/>
  <c r="F91" i="47"/>
  <c r="E40" i="24"/>
  <c r="E41" i="24" s="1"/>
  <c r="K55" i="33"/>
  <c r="AL130" i="55"/>
  <c r="L55" i="33"/>
  <c r="F40" i="24"/>
  <c r="F41" i="24" s="1"/>
  <c r="H157" i="36"/>
  <c r="M7" i="31"/>
  <c r="X33" i="55"/>
  <c r="AL23" i="55"/>
  <c r="AK23" i="55"/>
  <c r="AJ65" i="55"/>
  <c r="W87" i="55"/>
  <c r="L196" i="35"/>
  <c r="M196" i="35"/>
  <c r="AK103" i="55"/>
  <c r="AL107" i="55"/>
  <c r="AK107" i="55"/>
  <c r="AL103" i="55"/>
  <c r="Y51" i="55"/>
  <c r="N196" i="35"/>
  <c r="K176" i="35"/>
  <c r="M176" i="35" s="1"/>
  <c r="K175" i="35"/>
  <c r="M175" i="35" s="1"/>
  <c r="AU26" i="55"/>
  <c r="L83" i="34"/>
  <c r="W38" i="55"/>
  <c r="G40" i="28"/>
  <c r="G41" i="28" s="1"/>
  <c r="M7" i="28"/>
  <c r="H137" i="36"/>
  <c r="AW26" i="55"/>
  <c r="I83" i="34"/>
  <c r="O9" i="28"/>
  <c r="K139" i="36" s="1"/>
  <c r="Z38" i="55" s="1"/>
  <c r="N9" i="28"/>
  <c r="J139" i="36" s="1"/>
  <c r="I139" i="36"/>
  <c r="X38" i="55" s="1"/>
  <c r="AV45" i="55"/>
  <c r="L84" i="34"/>
  <c r="AY45" i="55" s="1"/>
  <c r="I84" i="34"/>
  <c r="AW45" i="55"/>
  <c r="N175" i="35"/>
  <c r="I82" i="34"/>
  <c r="K82" i="34" s="1"/>
  <c r="L82" i="34"/>
  <c r="N170" i="35"/>
  <c r="K170" i="35"/>
  <c r="AL88" i="47"/>
  <c r="Z81" i="47"/>
  <c r="Z94" i="47"/>
  <c r="Y79" i="47"/>
  <c r="AL93" i="47"/>
  <c r="Z97" i="47"/>
  <c r="AN91" i="47"/>
  <c r="AN95" i="47"/>
  <c r="Z80" i="47"/>
  <c r="AO98" i="47"/>
  <c r="X91" i="47"/>
  <c r="AA101" i="47"/>
  <c r="Y82" i="47"/>
  <c r="AP84" i="47"/>
  <c r="AN98" i="47"/>
  <c r="Z91" i="47"/>
  <c r="AN81" i="47"/>
  <c r="AP99" i="47"/>
  <c r="AL80" i="47"/>
  <c r="X85" i="47"/>
  <c r="Z93" i="47"/>
  <c r="Z89" i="47"/>
  <c r="AA95" i="47"/>
  <c r="X81" i="47"/>
  <c r="AL81" i="47"/>
  <c r="AO89" i="47"/>
  <c r="AL84" i="47"/>
  <c r="X102" i="47"/>
  <c r="AP102" i="47"/>
  <c r="AL85" i="47"/>
  <c r="X87" i="47"/>
  <c r="AN85" i="47"/>
  <c r="AL95" i="47"/>
  <c r="I126" i="36"/>
  <c r="O126" i="36" s="1"/>
  <c r="AL44" i="55"/>
  <c r="L126" i="36"/>
  <c r="AK11" i="55"/>
  <c r="N154" i="35"/>
  <c r="AN11" i="55" s="1"/>
  <c r="AL11" i="55"/>
  <c r="K154" i="35"/>
  <c r="K153" i="35"/>
  <c r="M153" i="35" s="1"/>
  <c r="K147" i="35"/>
  <c r="AL115" i="55"/>
  <c r="N153" i="35"/>
  <c r="N147" i="35"/>
  <c r="AN115" i="55" s="1"/>
  <c r="O18" i="23"/>
  <c r="J150" i="35" s="1"/>
  <c r="N18" i="23"/>
  <c r="I150" i="35" s="1"/>
  <c r="H150" i="35"/>
  <c r="J117" i="36"/>
  <c r="Y4" i="55" s="1"/>
  <c r="L68" i="34"/>
  <c r="AA64" i="47" s="1"/>
  <c r="AV5" i="55"/>
  <c r="K117" i="36"/>
  <c r="Z4" i="55" s="1"/>
  <c r="I70" i="34"/>
  <c r="G40" i="23"/>
  <c r="G41" i="23" s="1"/>
  <c r="H118" i="36"/>
  <c r="W72" i="55" s="1"/>
  <c r="M8" i="23"/>
  <c r="AW5" i="55"/>
  <c r="I68" i="34"/>
  <c r="L70" i="34"/>
  <c r="N151" i="35"/>
  <c r="AH61" i="55"/>
  <c r="K151" i="35"/>
  <c r="L121" i="36"/>
  <c r="O121" i="36"/>
  <c r="V4" i="55"/>
  <c r="AH69" i="55"/>
  <c r="AH104" i="55"/>
  <c r="F40" i="23"/>
  <c r="F41" i="23" s="1"/>
  <c r="L52" i="33"/>
  <c r="T85" i="55"/>
  <c r="J39" i="55"/>
  <c r="U85" i="55"/>
  <c r="K39" i="55"/>
  <c r="AH86" i="55"/>
  <c r="N152" i="35"/>
  <c r="AN108" i="55" s="1"/>
  <c r="K152" i="35"/>
  <c r="AH100" i="55"/>
  <c r="J13" i="55"/>
  <c r="K52" i="33"/>
  <c r="K11" i="55" s="1"/>
  <c r="E40" i="23"/>
  <c r="E41" i="23" s="1"/>
  <c r="K129" i="35"/>
  <c r="L129" i="35" s="1"/>
  <c r="N129" i="35"/>
  <c r="AN2" i="55" s="1"/>
  <c r="L130" i="35"/>
  <c r="N106" i="36"/>
  <c r="M106" i="36"/>
  <c r="J46" i="33"/>
  <c r="J3" i="20"/>
  <c r="K3" i="20"/>
  <c r="D40" i="20"/>
  <c r="D41" i="20" s="1"/>
  <c r="T75" i="55"/>
  <c r="O104" i="36"/>
  <c r="AA75" i="55" s="1"/>
  <c r="N131" i="35"/>
  <c r="K131" i="35"/>
  <c r="AH70" i="55"/>
  <c r="N133" i="35"/>
  <c r="AN131" i="55" s="1"/>
  <c r="K133" i="35"/>
  <c r="L104" i="36"/>
  <c r="U75" i="55"/>
  <c r="K134" i="35"/>
  <c r="U24" i="55"/>
  <c r="L102" i="36"/>
  <c r="O102" i="36"/>
  <c r="T24" i="55"/>
  <c r="O106" i="36"/>
  <c r="M129" i="35"/>
  <c r="K122" i="35"/>
  <c r="AL5" i="55"/>
  <c r="N17" i="19"/>
  <c r="I124" i="35" s="1"/>
  <c r="H124" i="35"/>
  <c r="O17" i="19"/>
  <c r="J124" i="35" s="1"/>
  <c r="AM105" i="55" s="1"/>
  <c r="G40" i="19"/>
  <c r="G41" i="19" s="1"/>
  <c r="M7" i="19"/>
  <c r="H97" i="36"/>
  <c r="O90" i="36"/>
  <c r="M39" i="33"/>
  <c r="AI4" i="55"/>
  <c r="N113" i="35"/>
  <c r="AN91" i="55" s="1"/>
  <c r="K113" i="35"/>
  <c r="M90" i="36"/>
  <c r="K47" i="55"/>
  <c r="M40" i="33"/>
  <c r="N39" i="33"/>
  <c r="J47" i="55"/>
  <c r="N40" i="33"/>
  <c r="M49" i="55" s="1"/>
  <c r="T59" i="55"/>
  <c r="O88" i="36"/>
  <c r="L89" i="36"/>
  <c r="AH96" i="55"/>
  <c r="N114" i="35"/>
  <c r="K114" i="35"/>
  <c r="N115" i="35"/>
  <c r="AH111" i="55"/>
  <c r="K115" i="35"/>
  <c r="K112" i="35"/>
  <c r="E40" i="18"/>
  <c r="E41" i="18" s="1"/>
  <c r="N112" i="35"/>
  <c r="O91" i="36"/>
  <c r="F40" i="18"/>
  <c r="F41" i="18" s="1"/>
  <c r="AH66" i="55"/>
  <c r="K110" i="35"/>
  <c r="N110" i="35"/>
  <c r="L88" i="36"/>
  <c r="U59" i="55"/>
  <c r="I49" i="34"/>
  <c r="J49" i="34" s="1"/>
  <c r="L80" i="36"/>
  <c r="Y89" i="55"/>
  <c r="N102" i="35"/>
  <c r="AN82" i="55" s="1"/>
  <c r="AK88" i="55"/>
  <c r="K102" i="35"/>
  <c r="AL88" i="55"/>
  <c r="J78" i="36"/>
  <c r="Y41" i="55" s="1"/>
  <c r="L49" i="34"/>
  <c r="K78" i="36"/>
  <c r="O79" i="36"/>
  <c r="AA69" i="55" s="1"/>
  <c r="L79" i="36"/>
  <c r="N101" i="35"/>
  <c r="O80" i="36"/>
  <c r="AA89" i="55" s="1"/>
  <c r="X89" i="55"/>
  <c r="AK116" i="55"/>
  <c r="N100" i="35"/>
  <c r="AN110" i="55" s="1"/>
  <c r="K101" i="35"/>
  <c r="AL116" i="55"/>
  <c r="K100" i="35"/>
  <c r="L71" i="36"/>
  <c r="N71" i="36" s="1"/>
  <c r="M31" i="33"/>
  <c r="K12" i="55"/>
  <c r="E40" i="15"/>
  <c r="E41" i="15" s="1"/>
  <c r="N31" i="33"/>
  <c r="J12" i="55"/>
  <c r="O71" i="36"/>
  <c r="U12" i="55"/>
  <c r="K36" i="55"/>
  <c r="U73" i="55"/>
  <c r="AH41" i="55"/>
  <c r="T73" i="55"/>
  <c r="L32" i="33"/>
  <c r="F40" i="15"/>
  <c r="F41" i="15" s="1"/>
  <c r="AH83" i="55"/>
  <c r="T12" i="55"/>
  <c r="N16" i="13"/>
  <c r="I71" i="35" s="1"/>
  <c r="AL58" i="55" s="1"/>
  <c r="H71" i="35"/>
  <c r="AK58" i="55" s="1"/>
  <c r="O16" i="13"/>
  <c r="J71" i="35" s="1"/>
  <c r="AM60" i="55" s="1"/>
  <c r="AK60" i="55"/>
  <c r="AL71" i="55"/>
  <c r="L31" i="34"/>
  <c r="AV38" i="55"/>
  <c r="I31" i="34"/>
  <c r="AW38" i="55"/>
  <c r="I51" i="36"/>
  <c r="O11" i="11"/>
  <c r="K51" i="36" s="1"/>
  <c r="L51" i="36" s="1"/>
  <c r="H40" i="11"/>
  <c r="H41" i="11" s="1"/>
  <c r="K61" i="35"/>
  <c r="L61" i="35" s="1"/>
  <c r="I48" i="36"/>
  <c r="O8" i="11"/>
  <c r="K48" i="36" s="1"/>
  <c r="N8" i="11"/>
  <c r="J48" i="36" s="1"/>
  <c r="N61" i="35"/>
  <c r="O49" i="36"/>
  <c r="N62" i="35"/>
  <c r="AN129" i="55" s="1"/>
  <c r="K62" i="35"/>
  <c r="J30" i="34"/>
  <c r="K30" i="34"/>
  <c r="I29" i="34"/>
  <c r="O50" i="36"/>
  <c r="N63" i="35"/>
  <c r="AN123" i="55" s="1"/>
  <c r="AK123" i="55"/>
  <c r="K63" i="35"/>
  <c r="AL123" i="55"/>
  <c r="AL63" i="55"/>
  <c r="K60" i="35"/>
  <c r="L29" i="34"/>
  <c r="AK63" i="55"/>
  <c r="N60" i="35"/>
  <c r="N59" i="35"/>
  <c r="K59" i="35"/>
  <c r="N58" i="35"/>
  <c r="K58" i="35"/>
  <c r="M50" i="36"/>
  <c r="N50" i="36"/>
  <c r="M49" i="36"/>
  <c r="N49" i="36"/>
  <c r="L30" i="34"/>
  <c r="K17" i="55"/>
  <c r="I28" i="34"/>
  <c r="J28" i="34" s="1"/>
  <c r="I27" i="34"/>
  <c r="L28" i="34"/>
  <c r="AK42" i="55"/>
  <c r="N53" i="35"/>
  <c r="Y65" i="55"/>
  <c r="K53" i="35"/>
  <c r="AL42" i="55"/>
  <c r="U9" i="55"/>
  <c r="K21" i="33"/>
  <c r="K46" i="55" s="1"/>
  <c r="E40" i="10"/>
  <c r="E41" i="10" s="1"/>
  <c r="U91" i="55"/>
  <c r="L43" i="36"/>
  <c r="T91" i="55"/>
  <c r="O43" i="36"/>
  <c r="L21" i="33"/>
  <c r="L46" i="55" s="1"/>
  <c r="F40" i="10"/>
  <c r="F41" i="10" s="1"/>
  <c r="T9" i="55"/>
  <c r="O46" i="36"/>
  <c r="AH125" i="55"/>
  <c r="N54" i="35"/>
  <c r="AH77" i="55"/>
  <c r="K54" i="35"/>
  <c r="AH9" i="55"/>
  <c r="K57" i="35"/>
  <c r="N57" i="35"/>
  <c r="N47" i="35"/>
  <c r="J39" i="36"/>
  <c r="K39" i="36"/>
  <c r="Z66" i="55" s="1"/>
  <c r="J24" i="34"/>
  <c r="K24" i="34"/>
  <c r="K48" i="35"/>
  <c r="AL59" i="55"/>
  <c r="AK59" i="55"/>
  <c r="N48" i="35"/>
  <c r="K47" i="35"/>
  <c r="M47" i="35" s="1"/>
  <c r="AN64" i="55"/>
  <c r="AH120" i="55"/>
  <c r="K49" i="35"/>
  <c r="N49" i="35"/>
  <c r="AN121" i="55" s="1"/>
  <c r="E40" i="9"/>
  <c r="E41" i="9" s="1"/>
  <c r="F40" i="9"/>
  <c r="F41" i="9" s="1"/>
  <c r="K50" i="35"/>
  <c r="N50" i="35"/>
  <c r="A41" i="36"/>
  <c r="U11" i="55"/>
  <c r="E35" i="36"/>
  <c r="T83" i="55" s="1"/>
  <c r="K10" i="8"/>
  <c r="J10" i="8"/>
  <c r="F35" i="36" s="1"/>
  <c r="U83" i="55" s="1"/>
  <c r="K45" i="35"/>
  <c r="N45" i="35"/>
  <c r="O8" i="7"/>
  <c r="K28" i="36" s="1"/>
  <c r="N8" i="7"/>
  <c r="J28" i="36" s="1"/>
  <c r="I28" i="36"/>
  <c r="E40" i="7"/>
  <c r="E41" i="7" s="1"/>
  <c r="AH78" i="55"/>
  <c r="U22" i="55"/>
  <c r="T47" i="55"/>
  <c r="U47" i="55"/>
  <c r="AH94" i="55"/>
  <c r="G27" i="36"/>
  <c r="V24" i="55" s="1"/>
  <c r="F40" i="7"/>
  <c r="F41" i="7" s="1"/>
  <c r="AH124" i="55"/>
  <c r="AH33" i="55"/>
  <c r="E40" i="16"/>
  <c r="E41" i="16" s="1"/>
  <c r="U15" i="55"/>
  <c r="G75" i="36"/>
  <c r="F40" i="16"/>
  <c r="F41" i="16" s="1"/>
  <c r="N34" i="36" l="1"/>
  <c r="M34" i="36"/>
  <c r="K21" i="34"/>
  <c r="K90" i="34"/>
  <c r="AI36" i="55"/>
  <c r="AI35" i="55"/>
  <c r="M32" i="35"/>
  <c r="J54" i="34"/>
  <c r="M91" i="36"/>
  <c r="V12" i="55"/>
  <c r="V44" i="55"/>
  <c r="K184" i="35"/>
  <c r="L151" i="36"/>
  <c r="N188" i="35"/>
  <c r="O54" i="36"/>
  <c r="L54" i="36"/>
  <c r="N54" i="36" s="1"/>
  <c r="H40" i="12"/>
  <c r="H41" i="12" s="1"/>
  <c r="X91" i="55"/>
  <c r="X90" i="55"/>
  <c r="Z90" i="55"/>
  <c r="AK105" i="55"/>
  <c r="Z95" i="47"/>
  <c r="Z90" i="47"/>
  <c r="Y93" i="47"/>
  <c r="W29" i="55"/>
  <c r="W28" i="55"/>
  <c r="X78" i="47"/>
  <c r="AN83" i="47"/>
  <c r="AL74" i="47"/>
  <c r="L25" i="35"/>
  <c r="AJ126" i="55"/>
  <c r="AJ124" i="55"/>
  <c r="O149" i="36"/>
  <c r="F40" i="11"/>
  <c r="F41" i="11" s="1"/>
  <c r="E87" i="34"/>
  <c r="M25" i="2"/>
  <c r="M26" i="30"/>
  <c r="E94" i="34"/>
  <c r="M9" i="30"/>
  <c r="H154" i="36"/>
  <c r="M25" i="16"/>
  <c r="E45" i="34"/>
  <c r="M24" i="16"/>
  <c r="E44" i="34"/>
  <c r="E45" i="55"/>
  <c r="N7" i="17"/>
  <c r="O7" i="17"/>
  <c r="I77" i="36"/>
  <c r="M15" i="14"/>
  <c r="G77" i="35"/>
  <c r="M9" i="14"/>
  <c r="H64" i="36"/>
  <c r="M8" i="14"/>
  <c r="H63" i="36"/>
  <c r="E56" i="34"/>
  <c r="M24" i="19"/>
  <c r="O18" i="5"/>
  <c r="J17" i="35" s="1"/>
  <c r="N18" i="5"/>
  <c r="I17" i="35" s="1"/>
  <c r="K17" i="35" s="1"/>
  <c r="H17" i="35"/>
  <c r="N17" i="35" s="1"/>
  <c r="I40" i="36"/>
  <c r="O10" i="9"/>
  <c r="N10" i="9"/>
  <c r="H53" i="33"/>
  <c r="H38" i="55" s="1"/>
  <c r="G34" i="23"/>
  <c r="O9" i="4"/>
  <c r="K9" i="36" s="1"/>
  <c r="Z55" i="55" s="1"/>
  <c r="N9" i="4"/>
  <c r="J9" i="36" s="1"/>
  <c r="I9" i="36"/>
  <c r="X55" i="55" s="1"/>
  <c r="M9" i="15"/>
  <c r="H69" i="36"/>
  <c r="W77" i="55" s="1"/>
  <c r="M26" i="15"/>
  <c r="E43" i="34"/>
  <c r="AJ112" i="55"/>
  <c r="U16" i="55"/>
  <c r="L147" i="36"/>
  <c r="M7" i="13"/>
  <c r="H57" i="36"/>
  <c r="G40" i="13"/>
  <c r="G41" i="13" s="1"/>
  <c r="H3" i="13"/>
  <c r="I27" i="33" s="1"/>
  <c r="E34" i="13"/>
  <c r="G3" i="13"/>
  <c r="F3" i="13"/>
  <c r="F27" i="33"/>
  <c r="M26" i="19"/>
  <c r="E58" i="34"/>
  <c r="G4" i="31"/>
  <c r="H74" i="33" s="1"/>
  <c r="F4" i="31"/>
  <c r="G74" i="33" s="1"/>
  <c r="M74" i="33" s="1"/>
  <c r="H4" i="31"/>
  <c r="I74" i="33" s="1"/>
  <c r="F74" i="33"/>
  <c r="O8" i="5"/>
  <c r="K13" i="36" s="1"/>
  <c r="L13" i="36" s="1"/>
  <c r="I13" i="36"/>
  <c r="N8" i="5"/>
  <c r="J13" i="36" s="1"/>
  <c r="O17" i="21"/>
  <c r="J137" i="35" s="1"/>
  <c r="AM92" i="55" s="1"/>
  <c r="N17" i="21"/>
  <c r="I137" i="35" s="1"/>
  <c r="K137" i="35" s="1"/>
  <c r="H137" i="35"/>
  <c r="AK92" i="55" s="1"/>
  <c r="M10" i="24"/>
  <c r="H125" i="36"/>
  <c r="M18" i="24"/>
  <c r="G157" i="35"/>
  <c r="I133" i="36"/>
  <c r="X43" i="55" s="1"/>
  <c r="O8" i="27"/>
  <c r="K133" i="36" s="1"/>
  <c r="N8" i="27"/>
  <c r="J133" i="36" s="1"/>
  <c r="M19" i="22"/>
  <c r="G145" i="35"/>
  <c r="M20" i="22"/>
  <c r="G146" i="35"/>
  <c r="M8" i="22"/>
  <c r="H113" i="36"/>
  <c r="W94" i="55"/>
  <c r="W101" i="55"/>
  <c r="W104" i="55"/>
  <c r="W95" i="55"/>
  <c r="W97" i="55"/>
  <c r="W96" i="55"/>
  <c r="W100" i="55"/>
  <c r="W152" i="55"/>
  <c r="W136" i="55"/>
  <c r="W165" i="55"/>
  <c r="W115" i="55"/>
  <c r="W144" i="55"/>
  <c r="W119" i="55"/>
  <c r="W156" i="55"/>
  <c r="W114" i="55"/>
  <c r="W163" i="55"/>
  <c r="W126" i="55"/>
  <c r="W167" i="55"/>
  <c r="W108" i="55"/>
  <c r="W125" i="55"/>
  <c r="W155" i="55"/>
  <c r="W141" i="55"/>
  <c r="W123" i="55"/>
  <c r="W147" i="55"/>
  <c r="W150" i="55"/>
  <c r="W121" i="55"/>
  <c r="W127" i="55"/>
  <c r="W160" i="55"/>
  <c r="W107" i="55"/>
  <c r="W131" i="55"/>
  <c r="W129" i="55"/>
  <c r="W117" i="55"/>
  <c r="W99" i="55"/>
  <c r="W169" i="55"/>
  <c r="W116" i="55"/>
  <c r="W148" i="55"/>
  <c r="W137" i="55"/>
  <c r="W154" i="55"/>
  <c r="W106" i="55"/>
  <c r="W153" i="55"/>
  <c r="W170" i="55"/>
  <c r="W102" i="55"/>
  <c r="W143" i="55"/>
  <c r="W157" i="55"/>
  <c r="W139" i="55"/>
  <c r="W98" i="55"/>
  <c r="W171" i="55"/>
  <c r="W105" i="55"/>
  <c r="W128" i="55"/>
  <c r="W133" i="55"/>
  <c r="W113" i="55"/>
  <c r="W140" i="55"/>
  <c r="W130" i="55"/>
  <c r="W112" i="55"/>
  <c r="W151" i="55"/>
  <c r="W145" i="55"/>
  <c r="W132" i="55"/>
  <c r="W149" i="55"/>
  <c r="W109" i="55"/>
  <c r="W111" i="55"/>
  <c r="W164" i="55"/>
  <c r="W158" i="55"/>
  <c r="W166" i="55"/>
  <c r="W120" i="55"/>
  <c r="W161" i="55"/>
  <c r="W124" i="55"/>
  <c r="W168" i="55"/>
  <c r="W159" i="55"/>
  <c r="W135" i="55"/>
  <c r="W103" i="55"/>
  <c r="W142" i="55"/>
  <c r="W122" i="55"/>
  <c r="W146" i="55"/>
  <c r="W110" i="55"/>
  <c r="W134" i="55"/>
  <c r="W118" i="55"/>
  <c r="W138" i="55"/>
  <c r="W162" i="55"/>
  <c r="T26" i="55"/>
  <c r="O17" i="27"/>
  <c r="J169" i="35" s="1"/>
  <c r="H169" i="35"/>
  <c r="N17" i="27"/>
  <c r="I169" i="35" s="1"/>
  <c r="K169" i="35" s="1"/>
  <c r="M169" i="35" s="1"/>
  <c r="F82" i="36"/>
  <c r="E40" i="3"/>
  <c r="E41" i="3" s="1"/>
  <c r="M16" i="26"/>
  <c r="G162" i="35"/>
  <c r="AJ15" i="55" s="1"/>
  <c r="N27" i="26"/>
  <c r="O27" i="26"/>
  <c r="G4" i="26"/>
  <c r="G34" i="26" s="1"/>
  <c r="F4" i="26"/>
  <c r="F34" i="26" s="1"/>
  <c r="H4" i="26"/>
  <c r="E34" i="26"/>
  <c r="E40" i="11"/>
  <c r="E41" i="11" s="1"/>
  <c r="G4" i="33"/>
  <c r="F34" i="32"/>
  <c r="H160" i="36"/>
  <c r="M10" i="31"/>
  <c r="M11" i="31"/>
  <c r="H161" i="36"/>
  <c r="V51" i="55"/>
  <c r="V46" i="55"/>
  <c r="O22" i="25"/>
  <c r="N22" i="25"/>
  <c r="M15" i="25"/>
  <c r="G116" i="35"/>
  <c r="M26" i="25"/>
  <c r="E76" i="34"/>
  <c r="AL33" i="55"/>
  <c r="Z66" i="47"/>
  <c r="AN62" i="47"/>
  <c r="Y61" i="47"/>
  <c r="AN61" i="47"/>
  <c r="M21" i="35"/>
  <c r="AL57" i="55"/>
  <c r="AL52" i="55"/>
  <c r="AV31" i="55"/>
  <c r="F34" i="27"/>
  <c r="G59" i="33"/>
  <c r="M20" i="30"/>
  <c r="G195" i="35"/>
  <c r="M24" i="30"/>
  <c r="E92" i="34"/>
  <c r="O22" i="36"/>
  <c r="T18" i="55"/>
  <c r="H2" i="16"/>
  <c r="I33" i="33" s="1"/>
  <c r="I8" i="55" s="1"/>
  <c r="F2" i="16"/>
  <c r="E34" i="16"/>
  <c r="G2" i="16"/>
  <c r="F33" i="33"/>
  <c r="F8" i="55" s="1"/>
  <c r="N27" i="16"/>
  <c r="O27" i="16"/>
  <c r="M18" i="2"/>
  <c r="G181" i="35"/>
  <c r="M20" i="14"/>
  <c r="G82" i="35"/>
  <c r="M21" i="14"/>
  <c r="G83" i="35"/>
  <c r="M24" i="14"/>
  <c r="E38" i="34"/>
  <c r="F48" i="34"/>
  <c r="L48" i="34" s="1"/>
  <c r="AA47" i="47" s="1"/>
  <c r="O25" i="17"/>
  <c r="H48" i="34" s="1"/>
  <c r="N25" i="17"/>
  <c r="G48" i="34" s="1"/>
  <c r="I48" i="34" s="1"/>
  <c r="O11" i="28"/>
  <c r="K141" i="36" s="1"/>
  <c r="N11" i="28"/>
  <c r="J141" i="36" s="1"/>
  <c r="L141" i="36" s="1"/>
  <c r="I141" i="36"/>
  <c r="M17" i="15"/>
  <c r="G86" i="35"/>
  <c r="M20" i="15"/>
  <c r="G89" i="35"/>
  <c r="H99" i="35"/>
  <c r="N17" i="17"/>
  <c r="I99" i="35" s="1"/>
  <c r="O17" i="17"/>
  <c r="J99" i="35" s="1"/>
  <c r="N18" i="21"/>
  <c r="I138" i="35" s="1"/>
  <c r="O18" i="21"/>
  <c r="J138" i="35" s="1"/>
  <c r="AM112" i="55" s="1"/>
  <c r="H138" i="35"/>
  <c r="AK112" i="55" s="1"/>
  <c r="O84" i="36"/>
  <c r="AA58" i="55" s="1"/>
  <c r="T58" i="55"/>
  <c r="O20" i="27"/>
  <c r="J172" i="35" s="1"/>
  <c r="H172" i="35"/>
  <c r="N20" i="27"/>
  <c r="I172" i="35" s="1"/>
  <c r="K172" i="35" s="1"/>
  <c r="AJ72" i="55"/>
  <c r="E51" i="55"/>
  <c r="U7" i="55"/>
  <c r="N27" i="13"/>
  <c r="O27" i="13"/>
  <c r="M9" i="19"/>
  <c r="H99" i="36"/>
  <c r="M9" i="24"/>
  <c r="H124" i="36"/>
  <c r="M20" i="24"/>
  <c r="G159" i="35"/>
  <c r="N26" i="28"/>
  <c r="G85" i="34" s="1"/>
  <c r="O26" i="28"/>
  <c r="H85" i="34" s="1"/>
  <c r="F85" i="34"/>
  <c r="M10" i="22"/>
  <c r="H115" i="36"/>
  <c r="M15" i="22"/>
  <c r="G141" i="35"/>
  <c r="AJ36" i="55" s="1"/>
  <c r="E34" i="22"/>
  <c r="F2" i="22"/>
  <c r="G2" i="22"/>
  <c r="H2" i="22"/>
  <c r="I49" i="33" s="1"/>
  <c r="I26" i="55" s="1"/>
  <c r="F49" i="33"/>
  <c r="I5" i="36"/>
  <c r="O10" i="32"/>
  <c r="K5" i="36" s="1"/>
  <c r="Z92" i="55" s="1"/>
  <c r="N10" i="32"/>
  <c r="J5" i="36" s="1"/>
  <c r="G8" i="33"/>
  <c r="F34" i="5"/>
  <c r="O25" i="12"/>
  <c r="H33" i="34" s="1"/>
  <c r="N25" i="12"/>
  <c r="G33" i="34" s="1"/>
  <c r="F33" i="34"/>
  <c r="N9" i="23"/>
  <c r="J119" i="36" s="1"/>
  <c r="O9" i="23"/>
  <c r="K119" i="36" s="1"/>
  <c r="I119" i="36"/>
  <c r="E47" i="55"/>
  <c r="M11" i="26"/>
  <c r="H131" i="36"/>
  <c r="M20" i="26"/>
  <c r="G166" i="35"/>
  <c r="H149" i="35"/>
  <c r="O17" i="23"/>
  <c r="J149" i="35" s="1"/>
  <c r="N17" i="23"/>
  <c r="I149" i="35" s="1"/>
  <c r="F41" i="55"/>
  <c r="N16" i="15"/>
  <c r="I85" i="35" s="1"/>
  <c r="AL86" i="55" s="1"/>
  <c r="H85" i="35"/>
  <c r="AK86" i="55" s="1"/>
  <c r="O16" i="15"/>
  <c r="J85" i="35" s="1"/>
  <c r="AM86" i="55" s="1"/>
  <c r="N20" i="9"/>
  <c r="I51" i="35" s="1"/>
  <c r="K51" i="35" s="1"/>
  <c r="M51" i="35" s="1"/>
  <c r="H51" i="35"/>
  <c r="O20" i="9"/>
  <c r="J51" i="35" s="1"/>
  <c r="M19" i="31"/>
  <c r="G201" i="35"/>
  <c r="M9" i="25"/>
  <c r="H94" i="36"/>
  <c r="M24" i="25"/>
  <c r="E74" i="34"/>
  <c r="O9" i="1"/>
  <c r="K24" i="36" s="1"/>
  <c r="Z79" i="55" s="1"/>
  <c r="N9" i="1"/>
  <c r="J24" i="36" s="1"/>
  <c r="AJ9" i="55"/>
  <c r="AJ8" i="55"/>
  <c r="N16" i="28"/>
  <c r="I174" i="35" s="1"/>
  <c r="H174" i="35"/>
  <c r="O16" i="28"/>
  <c r="J174" i="35" s="1"/>
  <c r="AM27" i="55" s="1"/>
  <c r="N12" i="30"/>
  <c r="O12" i="30"/>
  <c r="M15" i="30"/>
  <c r="G190" i="35"/>
  <c r="M20" i="16"/>
  <c r="G95" i="35"/>
  <c r="M8" i="16"/>
  <c r="H73" i="36"/>
  <c r="M8" i="2"/>
  <c r="H143" i="36"/>
  <c r="G40" i="2"/>
  <c r="G41" i="2" s="1"/>
  <c r="F32" i="34"/>
  <c r="O24" i="12"/>
  <c r="H32" i="34" s="1"/>
  <c r="N24" i="12"/>
  <c r="G32" i="34" s="1"/>
  <c r="F34" i="21"/>
  <c r="G48" i="33"/>
  <c r="M48" i="33" s="1"/>
  <c r="N27" i="14"/>
  <c r="O27" i="14"/>
  <c r="M26" i="14"/>
  <c r="E40" i="34"/>
  <c r="M17" i="14"/>
  <c r="G79" i="35"/>
  <c r="N16" i="27"/>
  <c r="I168" i="35" s="1"/>
  <c r="H168" i="35"/>
  <c r="O16" i="27"/>
  <c r="J168" i="35" s="1"/>
  <c r="AM31" i="55" s="1"/>
  <c r="O15" i="17"/>
  <c r="J97" i="35" s="1"/>
  <c r="N15" i="17"/>
  <c r="I97" i="35" s="1"/>
  <c r="H97" i="35"/>
  <c r="M25" i="15"/>
  <c r="E42" i="34"/>
  <c r="F4" i="15"/>
  <c r="F34" i="15" s="1"/>
  <c r="G4" i="15"/>
  <c r="G34" i="15" s="1"/>
  <c r="E34" i="15"/>
  <c r="H4" i="15"/>
  <c r="L84" i="36"/>
  <c r="U58" i="55"/>
  <c r="O16" i="21"/>
  <c r="J136" i="35" s="1"/>
  <c r="AM72" i="55" s="1"/>
  <c r="N16" i="21"/>
  <c r="I136" i="35" s="1"/>
  <c r="H136" i="35"/>
  <c r="AK72" i="55" s="1"/>
  <c r="F3" i="22"/>
  <c r="G50" i="33" s="1"/>
  <c r="G51" i="55" s="1"/>
  <c r="H3" i="22"/>
  <c r="I50" i="33" s="1"/>
  <c r="I51" i="55" s="1"/>
  <c r="G3" i="22"/>
  <c r="H50" i="33" s="1"/>
  <c r="H51" i="55" s="1"/>
  <c r="F50" i="33"/>
  <c r="F51" i="55" s="1"/>
  <c r="G34" i="28"/>
  <c r="H63" i="33"/>
  <c r="M11" i="13"/>
  <c r="H61" i="36"/>
  <c r="M21" i="19"/>
  <c r="G127" i="35"/>
  <c r="M19" i="19"/>
  <c r="G125" i="35"/>
  <c r="J50" i="34"/>
  <c r="K50" i="34"/>
  <c r="F34" i="12"/>
  <c r="G25" i="33"/>
  <c r="O10" i="23"/>
  <c r="K120" i="36" s="1"/>
  <c r="N10" i="23"/>
  <c r="J120" i="36" s="1"/>
  <c r="I120" i="36"/>
  <c r="M19" i="24"/>
  <c r="G158" i="35"/>
  <c r="M7" i="24"/>
  <c r="H122" i="36"/>
  <c r="W26" i="55" s="1"/>
  <c r="G40" i="24"/>
  <c r="G41" i="24" s="1"/>
  <c r="H3" i="24"/>
  <c r="I55" i="33" s="1"/>
  <c r="G3" i="24"/>
  <c r="F3" i="24"/>
  <c r="E34" i="24"/>
  <c r="F55" i="33"/>
  <c r="M17" i="22"/>
  <c r="G143" i="35"/>
  <c r="N12" i="22"/>
  <c r="O12" i="22"/>
  <c r="G4" i="30"/>
  <c r="H71" i="33" s="1"/>
  <c r="H47" i="55" s="1"/>
  <c r="H4" i="30"/>
  <c r="I71" i="33" s="1"/>
  <c r="I47" i="55" s="1"/>
  <c r="F4" i="30"/>
  <c r="G71" i="33" s="1"/>
  <c r="F71" i="33"/>
  <c r="F47" i="55" s="1"/>
  <c r="AJ96" i="55"/>
  <c r="M19" i="26"/>
  <c r="G165" i="35"/>
  <c r="M18" i="26"/>
  <c r="G164" i="35"/>
  <c r="N20" i="5"/>
  <c r="I19" i="35" s="1"/>
  <c r="K19" i="35" s="1"/>
  <c r="H19" i="35"/>
  <c r="N19" i="35" s="1"/>
  <c r="O20" i="5"/>
  <c r="J19" i="35" s="1"/>
  <c r="O15" i="9"/>
  <c r="J46" i="35" s="1"/>
  <c r="N15" i="9"/>
  <c r="I46" i="35" s="1"/>
  <c r="K46" i="35" s="1"/>
  <c r="H46" i="35"/>
  <c r="N46" i="35" s="1"/>
  <c r="O27" i="31"/>
  <c r="N27" i="31"/>
  <c r="M24" i="31"/>
  <c r="E95" i="34"/>
  <c r="H2" i="31"/>
  <c r="I72" i="33" s="1"/>
  <c r="I22" i="55" s="1"/>
  <c r="E34" i="31"/>
  <c r="F2" i="31"/>
  <c r="G2" i="31"/>
  <c r="F72" i="33"/>
  <c r="F22" i="55" s="1"/>
  <c r="M16" i="25"/>
  <c r="G117" i="35"/>
  <c r="M19" i="25"/>
  <c r="G120" i="35"/>
  <c r="AA24" i="47"/>
  <c r="AO97" i="47"/>
  <c r="X61" i="47"/>
  <c r="AS30" i="55" s="1"/>
  <c r="Z76" i="47"/>
  <c r="J40" i="6"/>
  <c r="J41" i="6" s="1"/>
  <c r="F40" i="1"/>
  <c r="F41" i="1" s="1"/>
  <c r="AL47" i="55"/>
  <c r="AL49" i="55"/>
  <c r="M23" i="33"/>
  <c r="N23" i="33"/>
  <c r="W12" i="55"/>
  <c r="M7" i="30"/>
  <c r="H152" i="36"/>
  <c r="W7" i="55" s="1"/>
  <c r="G40" i="30"/>
  <c r="G41" i="30" s="1"/>
  <c r="M25" i="30"/>
  <c r="E93" i="34"/>
  <c r="L22" i="36"/>
  <c r="U18" i="55"/>
  <c r="M11" i="16"/>
  <c r="H76" i="36"/>
  <c r="M16" i="16"/>
  <c r="G91" i="35"/>
  <c r="M24" i="2"/>
  <c r="E86" i="34"/>
  <c r="G34" i="21"/>
  <c r="H48" i="33"/>
  <c r="H167" i="35"/>
  <c r="N15" i="27"/>
  <c r="I167" i="35" s="1"/>
  <c r="O15" i="27"/>
  <c r="J167" i="35" s="1"/>
  <c r="AM34" i="55" s="1"/>
  <c r="E40" i="13"/>
  <c r="E41" i="13" s="1"/>
  <c r="K26" i="33"/>
  <c r="N26" i="33" s="1"/>
  <c r="M25" i="14"/>
  <c r="E39" i="34"/>
  <c r="O22" i="14"/>
  <c r="N22" i="14"/>
  <c r="N25" i="5"/>
  <c r="G9" i="34" s="1"/>
  <c r="F9" i="34"/>
  <c r="O25" i="5"/>
  <c r="H9" i="34" s="1"/>
  <c r="AX39" i="55" s="1"/>
  <c r="N103" i="35"/>
  <c r="AN20" i="55" s="1"/>
  <c r="K103" i="35"/>
  <c r="AH20" i="55"/>
  <c r="F4" i="24"/>
  <c r="G56" i="33" s="1"/>
  <c r="G4" i="24"/>
  <c r="H56" i="33" s="1"/>
  <c r="H4" i="24"/>
  <c r="I56" i="33" s="1"/>
  <c r="F56" i="33"/>
  <c r="N56" i="33" s="1"/>
  <c r="W10" i="55"/>
  <c r="N68" i="33"/>
  <c r="M32" i="55" s="1"/>
  <c r="J32" i="55"/>
  <c r="M24" i="15"/>
  <c r="E41" i="34"/>
  <c r="M18" i="15"/>
  <c r="G87" i="35"/>
  <c r="H64" i="35"/>
  <c r="AK79" i="55" s="1"/>
  <c r="N16" i="12"/>
  <c r="I64" i="35" s="1"/>
  <c r="O16" i="12"/>
  <c r="J64" i="35" s="1"/>
  <c r="AM79" i="55" s="1"/>
  <c r="O11" i="9"/>
  <c r="K41" i="36" s="1"/>
  <c r="N11" i="9"/>
  <c r="J41" i="36" s="1"/>
  <c r="L41" i="36" s="1"/>
  <c r="I41" i="36"/>
  <c r="O41" i="36" s="1"/>
  <c r="O25" i="23"/>
  <c r="H69" i="34" s="1"/>
  <c r="N25" i="23"/>
  <c r="G69" i="34" s="1"/>
  <c r="F69" i="34"/>
  <c r="M10" i="13"/>
  <c r="H60" i="36"/>
  <c r="M9" i="13"/>
  <c r="H59" i="36"/>
  <c r="M18" i="19"/>
  <c r="G126" i="35"/>
  <c r="M8" i="19"/>
  <c r="H98" i="36"/>
  <c r="G34" i="12"/>
  <c r="H25" i="33"/>
  <c r="M24" i="24"/>
  <c r="E71" i="34"/>
  <c r="M26" i="24"/>
  <c r="E73" i="34"/>
  <c r="M26" i="22"/>
  <c r="E67" i="34"/>
  <c r="O21" i="22"/>
  <c r="N21" i="22"/>
  <c r="H3" i="30"/>
  <c r="I70" i="33" s="1"/>
  <c r="I43" i="55" s="1"/>
  <c r="G3" i="30"/>
  <c r="H70" i="33" s="1"/>
  <c r="H43" i="55" s="1"/>
  <c r="F3" i="30"/>
  <c r="G70" i="33" s="1"/>
  <c r="F70" i="33"/>
  <c r="F43" i="55" s="1"/>
  <c r="O16" i="4"/>
  <c r="J9" i="35" s="1"/>
  <c r="AM96" i="55" s="1"/>
  <c r="N16" i="4"/>
  <c r="I9" i="35" s="1"/>
  <c r="H9" i="35"/>
  <c r="AK96" i="55" s="1"/>
  <c r="M7" i="26"/>
  <c r="H127" i="36"/>
  <c r="G40" i="26"/>
  <c r="G41" i="26" s="1"/>
  <c r="M24" i="26"/>
  <c r="E77" i="34"/>
  <c r="M15" i="31"/>
  <c r="G197" i="35"/>
  <c r="M18" i="31"/>
  <c r="G200" i="35"/>
  <c r="M9" i="31"/>
  <c r="H159" i="36"/>
  <c r="J35" i="55"/>
  <c r="G2" i="25"/>
  <c r="E34" i="25"/>
  <c r="H2" i="25"/>
  <c r="I41" i="33" s="1"/>
  <c r="I29" i="55" s="1"/>
  <c r="F2" i="25"/>
  <c r="F41" i="33"/>
  <c r="F29" i="55" s="1"/>
  <c r="M20" i="25"/>
  <c r="G121" i="35"/>
  <c r="W79" i="55"/>
  <c r="J21" i="55"/>
  <c r="Y66" i="55"/>
  <c r="Y68" i="55"/>
  <c r="AN56" i="55"/>
  <c r="AN39" i="55"/>
  <c r="AN38" i="55"/>
  <c r="AY22" i="55"/>
  <c r="X71" i="55"/>
  <c r="AK25" i="55"/>
  <c r="Z8" i="55"/>
  <c r="Y96" i="47"/>
  <c r="X67" i="47"/>
  <c r="AO69" i="47"/>
  <c r="AI47" i="55"/>
  <c r="AI49" i="55"/>
  <c r="K24" i="35"/>
  <c r="AL92" i="55"/>
  <c r="AL95" i="55"/>
  <c r="K16" i="34"/>
  <c r="Z74" i="55"/>
  <c r="O8" i="21"/>
  <c r="K108" i="36" s="1"/>
  <c r="N8" i="21"/>
  <c r="J108" i="36" s="1"/>
  <c r="O108" i="36" s="1"/>
  <c r="I108" i="36"/>
  <c r="O7" i="27"/>
  <c r="N7" i="27"/>
  <c r="I132" i="36"/>
  <c r="X12" i="55" s="1"/>
  <c r="H40" i="27"/>
  <c r="H41" i="27" s="1"/>
  <c r="M18" i="30"/>
  <c r="G193" i="35"/>
  <c r="O22" i="30"/>
  <c r="N22" i="30"/>
  <c r="M16" i="30"/>
  <c r="G191" i="35"/>
  <c r="E8" i="55"/>
  <c r="O22" i="16"/>
  <c r="N22" i="16"/>
  <c r="M17" i="16"/>
  <c r="G92" i="35"/>
  <c r="O22" i="2"/>
  <c r="N22" i="2"/>
  <c r="N86" i="36"/>
  <c r="M86" i="36"/>
  <c r="M11" i="14"/>
  <c r="H66" i="36"/>
  <c r="M16" i="14"/>
  <c r="G78" i="35"/>
  <c r="M5" i="33"/>
  <c r="N5" i="33"/>
  <c r="G30" i="55"/>
  <c r="O25" i="27"/>
  <c r="H81" i="34" s="1"/>
  <c r="N25" i="27"/>
  <c r="G81" i="34" s="1"/>
  <c r="I81" i="34" s="1"/>
  <c r="J81" i="34" s="1"/>
  <c r="F81" i="34"/>
  <c r="O26" i="12"/>
  <c r="H34" i="34" s="1"/>
  <c r="N26" i="12"/>
  <c r="G34" i="34" s="1"/>
  <c r="F34" i="34"/>
  <c r="L34" i="34" s="1"/>
  <c r="O7" i="21"/>
  <c r="N7" i="21"/>
  <c r="H40" i="21"/>
  <c r="H41" i="21" s="1"/>
  <c r="I107" i="36"/>
  <c r="X10" i="55" s="1"/>
  <c r="H173" i="35"/>
  <c r="O15" i="28"/>
  <c r="J173" i="35" s="1"/>
  <c r="AM17" i="55" s="1"/>
  <c r="N15" i="28"/>
  <c r="I173" i="35" s="1"/>
  <c r="M68" i="33"/>
  <c r="K32" i="55"/>
  <c r="M10" i="15"/>
  <c r="H70" i="36"/>
  <c r="M19" i="15"/>
  <c r="G88" i="35"/>
  <c r="O10" i="2"/>
  <c r="K145" i="36" s="1"/>
  <c r="Z68" i="55" s="1"/>
  <c r="N10" i="2"/>
  <c r="J145" i="36" s="1"/>
  <c r="I145" i="36"/>
  <c r="O11" i="36"/>
  <c r="L11" i="36"/>
  <c r="AU24" i="55"/>
  <c r="M24" i="13"/>
  <c r="E35" i="34"/>
  <c r="M17" i="13"/>
  <c r="G72" i="35"/>
  <c r="M16" i="19"/>
  <c r="G123" i="35"/>
  <c r="O22" i="19"/>
  <c r="N22" i="19"/>
  <c r="T21" i="55"/>
  <c r="AS3" i="55"/>
  <c r="AT3" i="55"/>
  <c r="F34" i="17"/>
  <c r="G36" i="33"/>
  <c r="N12" i="24"/>
  <c r="O12" i="24"/>
  <c r="N27" i="24"/>
  <c r="O27" i="24"/>
  <c r="M11" i="22"/>
  <c r="H116" i="36"/>
  <c r="N27" i="22"/>
  <c r="O27" i="22"/>
  <c r="N38" i="33"/>
  <c r="F37" i="47" s="1"/>
  <c r="M38" i="33"/>
  <c r="N184" i="35"/>
  <c r="O19" i="27"/>
  <c r="J171" i="35" s="1"/>
  <c r="AM80" i="55" s="1"/>
  <c r="N19" i="27"/>
  <c r="I171" i="35" s="1"/>
  <c r="H171" i="35"/>
  <c r="AK80" i="55" s="1"/>
  <c r="M8" i="26"/>
  <c r="H128" i="36"/>
  <c r="M17" i="26"/>
  <c r="G163" i="35"/>
  <c r="N11" i="5"/>
  <c r="J16" i="36" s="1"/>
  <c r="L16" i="36" s="1"/>
  <c r="I16" i="36"/>
  <c r="O16" i="36" s="1"/>
  <c r="O11" i="5"/>
  <c r="K16" i="36" s="1"/>
  <c r="N11" i="17"/>
  <c r="J81" i="36" s="1"/>
  <c r="I81" i="36"/>
  <c r="O11" i="17"/>
  <c r="K81" i="36" s="1"/>
  <c r="O22" i="31"/>
  <c r="N22" i="31"/>
  <c r="M8" i="31"/>
  <c r="H158" i="36"/>
  <c r="W34" i="55" s="1"/>
  <c r="M11" i="25"/>
  <c r="H96" i="36"/>
  <c r="O12" i="25"/>
  <c r="N12" i="25"/>
  <c r="T95" i="55"/>
  <c r="T50" i="55"/>
  <c r="AL41" i="55"/>
  <c r="W40" i="55"/>
  <c r="W36" i="55"/>
  <c r="Y8" i="55"/>
  <c r="AN72" i="47"/>
  <c r="Y62" i="47"/>
  <c r="Z74" i="47"/>
  <c r="K13" i="34"/>
  <c r="AN84" i="55"/>
  <c r="F40" i="28"/>
  <c r="F41" i="28" s="1"/>
  <c r="L62" i="33"/>
  <c r="H2" i="30"/>
  <c r="I69" i="33" s="1"/>
  <c r="I28" i="55" s="1"/>
  <c r="E34" i="30"/>
  <c r="G2" i="30"/>
  <c r="F2" i="30"/>
  <c r="F69" i="33"/>
  <c r="F28" i="55" s="1"/>
  <c r="M11" i="30"/>
  <c r="H156" i="36"/>
  <c r="M19" i="30"/>
  <c r="G194" i="35"/>
  <c r="M9" i="16"/>
  <c r="H74" i="36"/>
  <c r="M19" i="16"/>
  <c r="G94" i="35"/>
  <c r="M10" i="16"/>
  <c r="H75" i="36"/>
  <c r="E34" i="2"/>
  <c r="H3" i="2"/>
  <c r="I65" i="33" s="1"/>
  <c r="I45" i="55" s="1"/>
  <c r="G3" i="2"/>
  <c r="F3" i="2"/>
  <c r="F65" i="33"/>
  <c r="F45" i="55" s="1"/>
  <c r="N9" i="5"/>
  <c r="J14" i="36" s="1"/>
  <c r="I14" i="36"/>
  <c r="O9" i="5"/>
  <c r="K14" i="36" s="1"/>
  <c r="AJ55" i="55"/>
  <c r="F40" i="13"/>
  <c r="F41" i="13" s="1"/>
  <c r="L26" i="33"/>
  <c r="L21" i="55" s="1"/>
  <c r="O12" i="14"/>
  <c r="N12" i="14"/>
  <c r="M7" i="14"/>
  <c r="G40" i="14"/>
  <c r="G41" i="14" s="1"/>
  <c r="H62" i="36"/>
  <c r="E40" i="22"/>
  <c r="E41" i="22" s="1"/>
  <c r="K50" i="33"/>
  <c r="K51" i="55" s="1"/>
  <c r="K32" i="36"/>
  <c r="Z11" i="55" s="1"/>
  <c r="O83" i="36"/>
  <c r="T80" i="55"/>
  <c r="O27" i="15"/>
  <c r="N27" i="15"/>
  <c r="M7" i="15"/>
  <c r="H67" i="36"/>
  <c r="G40" i="15"/>
  <c r="G41" i="15" s="1"/>
  <c r="AH13" i="55"/>
  <c r="O7" i="12"/>
  <c r="K52" i="36" s="1"/>
  <c r="Z15" i="55" s="1"/>
  <c r="N7" i="12"/>
  <c r="J52" i="36" s="1"/>
  <c r="I52" i="36"/>
  <c r="O24" i="8"/>
  <c r="H20" i="34" s="1"/>
  <c r="AX24" i="55" s="1"/>
  <c r="N24" i="8"/>
  <c r="G20" i="34" s="1"/>
  <c r="F20" i="34"/>
  <c r="AV24" i="55" s="1"/>
  <c r="M26" i="13"/>
  <c r="E37" i="34"/>
  <c r="O19" i="28"/>
  <c r="J177" i="35" s="1"/>
  <c r="AM53" i="55" s="1"/>
  <c r="N19" i="28"/>
  <c r="I177" i="35" s="1"/>
  <c r="H177" i="35"/>
  <c r="M20" i="13"/>
  <c r="G75" i="35"/>
  <c r="M15" i="13"/>
  <c r="G70" i="35"/>
  <c r="O27" i="19"/>
  <c r="N27" i="19"/>
  <c r="N12" i="19"/>
  <c r="O12" i="19"/>
  <c r="M16" i="24"/>
  <c r="G155" i="35"/>
  <c r="M25" i="24"/>
  <c r="E72" i="34"/>
  <c r="N22" i="22"/>
  <c r="O22" i="22"/>
  <c r="M9" i="22"/>
  <c r="H114" i="36"/>
  <c r="O8" i="28"/>
  <c r="K138" i="36" s="1"/>
  <c r="L138" i="36" s="1"/>
  <c r="N8" i="28"/>
  <c r="J138" i="36" s="1"/>
  <c r="I138" i="36"/>
  <c r="F47" i="34"/>
  <c r="N24" i="17"/>
  <c r="G47" i="34" s="1"/>
  <c r="O24" i="17"/>
  <c r="H47" i="34" s="1"/>
  <c r="AX2" i="55" s="1"/>
  <c r="F40" i="3"/>
  <c r="F41" i="3" s="1"/>
  <c r="N107" i="35"/>
  <c r="K107" i="35"/>
  <c r="H4" i="22"/>
  <c r="I51" i="33" s="1"/>
  <c r="G4" i="22"/>
  <c r="H51" i="33" s="1"/>
  <c r="F4" i="22"/>
  <c r="G51" i="33" s="1"/>
  <c r="M51" i="33" s="1"/>
  <c r="F51" i="33"/>
  <c r="I103" i="36"/>
  <c r="O8" i="20"/>
  <c r="K103" i="36" s="1"/>
  <c r="N8" i="20"/>
  <c r="J103" i="36" s="1"/>
  <c r="N12" i="26"/>
  <c r="O12" i="26"/>
  <c r="M9" i="26"/>
  <c r="H129" i="36"/>
  <c r="N10" i="8"/>
  <c r="J35" i="36" s="1"/>
  <c r="O10" i="8"/>
  <c r="K35" i="36" s="1"/>
  <c r="Z83" i="55" s="1"/>
  <c r="I35" i="36"/>
  <c r="X83" i="55" s="1"/>
  <c r="G198" i="35"/>
  <c r="AJ69" i="55" s="1"/>
  <c r="M16" i="31"/>
  <c r="M20" i="31"/>
  <c r="G202" i="35"/>
  <c r="M21" i="31"/>
  <c r="G203" i="35"/>
  <c r="F40" i="29"/>
  <c r="F41" i="29" s="1"/>
  <c r="L67" i="33"/>
  <c r="L35" i="55" s="1"/>
  <c r="E29" i="55"/>
  <c r="M17" i="25"/>
  <c r="G118" i="35"/>
  <c r="M25" i="25"/>
  <c r="E75" i="34"/>
  <c r="Y91" i="55"/>
  <c r="Y90" i="55"/>
  <c r="Z41" i="55"/>
  <c r="AA56" i="55"/>
  <c r="AM58" i="55"/>
  <c r="Z71" i="55"/>
  <c r="X8" i="55"/>
  <c r="AL61" i="47"/>
  <c r="AO95" i="47"/>
  <c r="AN89" i="47"/>
  <c r="Z69" i="47"/>
  <c r="M105" i="36"/>
  <c r="O24" i="36"/>
  <c r="AA79" i="55" s="1"/>
  <c r="X79" i="55"/>
  <c r="AU19" i="55"/>
  <c r="AK47" i="55"/>
  <c r="AK49" i="55"/>
  <c r="O20" i="12"/>
  <c r="J68" i="35" s="1"/>
  <c r="N20" i="12"/>
  <c r="I68" i="35" s="1"/>
  <c r="H68" i="35"/>
  <c r="K104" i="35"/>
  <c r="N104" i="35"/>
  <c r="AN28" i="55" s="1"/>
  <c r="AH28" i="55"/>
  <c r="F25" i="55"/>
  <c r="E40" i="28"/>
  <c r="E41" i="28" s="1"/>
  <c r="K62" i="33"/>
  <c r="M62" i="33" s="1"/>
  <c r="M10" i="30"/>
  <c r="H155" i="36"/>
  <c r="N27" i="30"/>
  <c r="O27" i="30"/>
  <c r="M7" i="16"/>
  <c r="G40" i="16"/>
  <c r="G41" i="16" s="1"/>
  <c r="H72" i="36"/>
  <c r="N12" i="16"/>
  <c r="O12" i="16"/>
  <c r="M21" i="16"/>
  <c r="G96" i="35"/>
  <c r="M8" i="13"/>
  <c r="H58" i="36"/>
  <c r="N17" i="8"/>
  <c r="I43" i="35" s="1"/>
  <c r="O17" i="8"/>
  <c r="J43" i="35" s="1"/>
  <c r="AM55" i="55" s="1"/>
  <c r="H43" i="35"/>
  <c r="AK55" i="55" s="1"/>
  <c r="M18" i="13"/>
  <c r="G73" i="35"/>
  <c r="M10" i="14"/>
  <c r="H65" i="36"/>
  <c r="M18" i="14"/>
  <c r="G80" i="35"/>
  <c r="L50" i="33"/>
  <c r="F40" i="22"/>
  <c r="F41" i="22" s="1"/>
  <c r="H40" i="8"/>
  <c r="H41" i="8" s="1"/>
  <c r="J15" i="55"/>
  <c r="N54" i="33"/>
  <c r="M15" i="55" s="1"/>
  <c r="F23" i="34"/>
  <c r="O24" i="9"/>
  <c r="H23" i="34" s="1"/>
  <c r="AX12" i="55" s="1"/>
  <c r="N24" i="9"/>
  <c r="G23" i="34" s="1"/>
  <c r="E40" i="21"/>
  <c r="E41" i="21" s="1"/>
  <c r="E135" i="35"/>
  <c r="L83" i="36"/>
  <c r="U80" i="55"/>
  <c r="O21" i="2"/>
  <c r="N21" i="2"/>
  <c r="O12" i="15"/>
  <c r="N12" i="15"/>
  <c r="M8" i="15"/>
  <c r="H68" i="36"/>
  <c r="W6" i="55"/>
  <c r="O147" i="36"/>
  <c r="AA16" i="55" s="1"/>
  <c r="T16" i="55"/>
  <c r="F48" i="55"/>
  <c r="N22" i="13"/>
  <c r="O22" i="13"/>
  <c r="M21" i="13"/>
  <c r="G76" i="35"/>
  <c r="M20" i="19"/>
  <c r="G128" i="35"/>
  <c r="F2" i="19"/>
  <c r="E34" i="19"/>
  <c r="H2" i="19"/>
  <c r="I43" i="33" s="1"/>
  <c r="I10" i="55" s="1"/>
  <c r="G2" i="19"/>
  <c r="F43" i="33"/>
  <c r="U21" i="55"/>
  <c r="N10" i="12"/>
  <c r="J55" i="36" s="1"/>
  <c r="I55" i="36"/>
  <c r="O10" i="12"/>
  <c r="K55" i="36" s="1"/>
  <c r="K105" i="35"/>
  <c r="N105" i="35"/>
  <c r="AH60" i="55"/>
  <c r="M17" i="24"/>
  <c r="G156" i="35"/>
  <c r="M21" i="24"/>
  <c r="G160" i="35"/>
  <c r="O9" i="27"/>
  <c r="K134" i="36" s="1"/>
  <c r="I134" i="36"/>
  <c r="N9" i="27"/>
  <c r="J134" i="36" s="1"/>
  <c r="L134" i="36" s="1"/>
  <c r="N134" i="36" s="1"/>
  <c r="M18" i="22"/>
  <c r="G144" i="35"/>
  <c r="G40" i="22"/>
  <c r="G41" i="22" s="1"/>
  <c r="M7" i="22"/>
  <c r="H112" i="36"/>
  <c r="W21" i="55" s="1"/>
  <c r="N8" i="33"/>
  <c r="F9" i="47" s="1"/>
  <c r="F42" i="55"/>
  <c r="AJ117" i="55"/>
  <c r="N10" i="27"/>
  <c r="J135" i="36" s="1"/>
  <c r="O10" i="27"/>
  <c r="K135" i="36" s="1"/>
  <c r="I135" i="36"/>
  <c r="O135" i="36" s="1"/>
  <c r="O19" i="4"/>
  <c r="J12" i="35" s="1"/>
  <c r="N19" i="4"/>
  <c r="I12" i="35" s="1"/>
  <c r="K12" i="35" s="1"/>
  <c r="H12" i="35"/>
  <c r="N12" i="35" s="1"/>
  <c r="O82" i="36"/>
  <c r="AA3" i="55" s="1"/>
  <c r="T3" i="55"/>
  <c r="M25" i="26"/>
  <c r="E78" i="34"/>
  <c r="O22" i="26"/>
  <c r="N22" i="26"/>
  <c r="O21" i="26"/>
  <c r="N21" i="26"/>
  <c r="H4" i="33"/>
  <c r="H41" i="55" s="1"/>
  <c r="G34" i="32"/>
  <c r="AM33" i="55"/>
  <c r="E40" i="55"/>
  <c r="M26" i="31"/>
  <c r="E97" i="34"/>
  <c r="M17" i="31"/>
  <c r="G199" i="35"/>
  <c r="E40" i="29"/>
  <c r="E41" i="29" s="1"/>
  <c r="K67" i="33"/>
  <c r="AX31" i="55"/>
  <c r="M8" i="25"/>
  <c r="H93" i="36"/>
  <c r="M10" i="25"/>
  <c r="H95" i="36"/>
  <c r="W78" i="55" s="1"/>
  <c r="G40" i="25"/>
  <c r="G41" i="25" s="1"/>
  <c r="M7" i="25"/>
  <c r="H92" i="36"/>
  <c r="AN76" i="47"/>
  <c r="Y66" i="47"/>
  <c r="AO64" i="47"/>
  <c r="K10" i="34"/>
  <c r="AY15" i="55"/>
  <c r="L184" i="35"/>
  <c r="M184" i="35"/>
  <c r="G34" i="27"/>
  <c r="H59" i="33"/>
  <c r="H25" i="55" s="1"/>
  <c r="M8" i="30"/>
  <c r="H153" i="36"/>
  <c r="W61" i="55" s="1"/>
  <c r="M17" i="30"/>
  <c r="G192" i="35"/>
  <c r="M18" i="16"/>
  <c r="G93" i="35"/>
  <c r="M15" i="16"/>
  <c r="G90" i="35"/>
  <c r="M26" i="16"/>
  <c r="E46" i="34"/>
  <c r="M10" i="19"/>
  <c r="H100" i="36"/>
  <c r="N16" i="23"/>
  <c r="I148" i="35" s="1"/>
  <c r="O16" i="23"/>
  <c r="J148" i="35" s="1"/>
  <c r="AM90" i="55" s="1"/>
  <c r="H148" i="35"/>
  <c r="E27" i="55"/>
  <c r="M19" i="14"/>
  <c r="G81" i="35"/>
  <c r="E34" i="14"/>
  <c r="H2" i="14"/>
  <c r="I29" i="33" s="1"/>
  <c r="I27" i="55" s="1"/>
  <c r="G2" i="14"/>
  <c r="F2" i="14"/>
  <c r="F29" i="33"/>
  <c r="F27" i="55" s="1"/>
  <c r="J32" i="36"/>
  <c r="N26" i="8"/>
  <c r="G22" i="34" s="1"/>
  <c r="O26" i="8"/>
  <c r="H22" i="34" s="1"/>
  <c r="F22" i="34"/>
  <c r="K15" i="55"/>
  <c r="M54" i="33"/>
  <c r="E36" i="34"/>
  <c r="M25" i="13"/>
  <c r="A7" i="35"/>
  <c r="S7" i="47"/>
  <c r="AL107" i="47"/>
  <c r="F40" i="21"/>
  <c r="F41" i="21" s="1"/>
  <c r="F135" i="35"/>
  <c r="AI50" i="55" s="1"/>
  <c r="F34" i="23"/>
  <c r="G53" i="33"/>
  <c r="I136" i="36"/>
  <c r="O11" i="27"/>
  <c r="K136" i="36" s="1"/>
  <c r="N11" i="27"/>
  <c r="J136" i="36" s="1"/>
  <c r="L136" i="36" s="1"/>
  <c r="O9" i="36"/>
  <c r="M8" i="47" s="1"/>
  <c r="M15" i="15"/>
  <c r="G84" i="35"/>
  <c r="O22" i="15"/>
  <c r="N22" i="15"/>
  <c r="O19" i="5"/>
  <c r="J18" i="35" s="1"/>
  <c r="H18" i="35"/>
  <c r="N18" i="35" s="1"/>
  <c r="N19" i="5"/>
  <c r="I18" i="35" s="1"/>
  <c r="K18" i="35" s="1"/>
  <c r="L18" i="35" s="1"/>
  <c r="M85" i="36"/>
  <c r="N85" i="36"/>
  <c r="O24" i="27"/>
  <c r="H80" i="34" s="1"/>
  <c r="AX11" i="55" s="1"/>
  <c r="F80" i="34"/>
  <c r="N24" i="27"/>
  <c r="G80" i="34" s="1"/>
  <c r="N7" i="4"/>
  <c r="H40" i="4"/>
  <c r="H41" i="4" s="1"/>
  <c r="O7" i="4"/>
  <c r="I7" i="36"/>
  <c r="X6" i="55" s="1"/>
  <c r="F34" i="28"/>
  <c r="G63" i="33"/>
  <c r="G48" i="55" s="1"/>
  <c r="T7" i="55"/>
  <c r="O12" i="13"/>
  <c r="N12" i="13"/>
  <c r="M19" i="13"/>
  <c r="G74" i="35"/>
  <c r="H101" i="36"/>
  <c r="M11" i="19"/>
  <c r="M25" i="19"/>
  <c r="E57" i="34"/>
  <c r="G34" i="17"/>
  <c r="H36" i="33"/>
  <c r="M36" i="33" s="1"/>
  <c r="K108" i="35"/>
  <c r="N108" i="35"/>
  <c r="M8" i="24"/>
  <c r="H123" i="36"/>
  <c r="N22" i="24"/>
  <c r="O22" i="24"/>
  <c r="M25" i="22"/>
  <c r="E66" i="34"/>
  <c r="M24" i="22"/>
  <c r="E65" i="34"/>
  <c r="AU21" i="55" s="1"/>
  <c r="M16" i="22"/>
  <c r="G142" i="35"/>
  <c r="AJ13" i="55" s="1"/>
  <c r="H8" i="33"/>
  <c r="H42" i="55" s="1"/>
  <c r="G34" i="5"/>
  <c r="H65" i="35"/>
  <c r="O15" i="12"/>
  <c r="J65" i="35" s="1"/>
  <c r="AM6" i="55" s="1"/>
  <c r="N15" i="12"/>
  <c r="I65" i="35" s="1"/>
  <c r="O19" i="21"/>
  <c r="J139" i="35" s="1"/>
  <c r="AM117" i="55" s="1"/>
  <c r="N19" i="21"/>
  <c r="I139" i="35" s="1"/>
  <c r="H139" i="35"/>
  <c r="AK117" i="55" s="1"/>
  <c r="M26" i="26"/>
  <c r="E79" i="34"/>
  <c r="M10" i="26"/>
  <c r="H130" i="36"/>
  <c r="M15" i="26"/>
  <c r="G161" i="35"/>
  <c r="AJ12" i="55" s="1"/>
  <c r="M22" i="33"/>
  <c r="N22" i="33"/>
  <c r="M19" i="55" s="1"/>
  <c r="K19" i="55"/>
  <c r="O11" i="21"/>
  <c r="K111" i="36" s="1"/>
  <c r="N11" i="21"/>
  <c r="J111" i="36" s="1"/>
  <c r="L111" i="36" s="1"/>
  <c r="I111" i="36"/>
  <c r="O111" i="36" s="1"/>
  <c r="F3" i="25"/>
  <c r="G42" i="33" s="1"/>
  <c r="H3" i="25"/>
  <c r="I42" i="33" s="1"/>
  <c r="I40" i="55" s="1"/>
  <c r="G3" i="25"/>
  <c r="H42" i="33" s="1"/>
  <c r="H40" i="55" s="1"/>
  <c r="F42" i="33"/>
  <c r="F40" i="55" s="1"/>
  <c r="I53" i="36"/>
  <c r="O8" i="12"/>
  <c r="K53" i="36" s="1"/>
  <c r="Z30" i="55" s="1"/>
  <c r="N8" i="12"/>
  <c r="J53" i="36" s="1"/>
  <c r="N12" i="31"/>
  <c r="O12" i="31"/>
  <c r="M25" i="31"/>
  <c r="E96" i="34"/>
  <c r="AH36" i="55"/>
  <c r="O27" i="25"/>
  <c r="N27" i="25"/>
  <c r="O21" i="25"/>
  <c r="N21" i="25"/>
  <c r="M18" i="25"/>
  <c r="G119" i="35"/>
  <c r="I140" i="36"/>
  <c r="O10" i="28"/>
  <c r="K140" i="36" s="1"/>
  <c r="N10" i="28"/>
  <c r="J140" i="36" s="1"/>
  <c r="W92" i="55"/>
  <c r="W91" i="55"/>
  <c r="Z91" i="55"/>
  <c r="AK93" i="55"/>
  <c r="L117" i="36"/>
  <c r="N117" i="36" s="1"/>
  <c r="AM93" i="55"/>
  <c r="AL93" i="55"/>
  <c r="W85" i="55"/>
  <c r="W73" i="55"/>
  <c r="O89" i="36"/>
  <c r="AN100" i="55"/>
  <c r="AP51" i="47"/>
  <c r="AM4" i="55"/>
  <c r="AM3" i="55"/>
  <c r="AL4" i="55"/>
  <c r="AL3" i="55"/>
  <c r="AK4" i="55"/>
  <c r="AK3" i="55"/>
  <c r="W20" i="55"/>
  <c r="W19" i="55"/>
  <c r="AN88" i="55"/>
  <c r="AM57" i="55"/>
  <c r="AM52" i="55"/>
  <c r="E30" i="47"/>
  <c r="D24" i="47"/>
  <c r="C9" i="47"/>
  <c r="C7" i="47"/>
  <c r="E6" i="47"/>
  <c r="D30" i="55" s="1"/>
  <c r="C81" i="47"/>
  <c r="C58" i="47"/>
  <c r="C78" i="47"/>
  <c r="E50" i="47"/>
  <c r="E63" i="47"/>
  <c r="C71" i="47"/>
  <c r="C56" i="47"/>
  <c r="E74" i="47"/>
  <c r="F84" i="47"/>
  <c r="D85" i="47"/>
  <c r="E66" i="47"/>
  <c r="C44" i="47"/>
  <c r="E94" i="47"/>
  <c r="F46" i="47"/>
  <c r="D43" i="47"/>
  <c r="D46" i="47"/>
  <c r="C45" i="47"/>
  <c r="D8" i="47"/>
  <c r="E68" i="47"/>
  <c r="C51" i="47"/>
  <c r="F73" i="47"/>
  <c r="D50" i="47"/>
  <c r="E69" i="47"/>
  <c r="C61" i="47"/>
  <c r="E51" i="47"/>
  <c r="F98" i="47"/>
  <c r="F94" i="47"/>
  <c r="C54" i="47"/>
  <c r="E101" i="47"/>
  <c r="D90" i="47"/>
  <c r="D48" i="47"/>
  <c r="N11" i="33"/>
  <c r="F12" i="47" s="1"/>
  <c r="E93" i="47"/>
  <c r="F96" i="47"/>
  <c r="C47" i="47"/>
  <c r="C74" i="47"/>
  <c r="D93" i="47"/>
  <c r="F81" i="47"/>
  <c r="C86" i="47"/>
  <c r="C72" i="47"/>
  <c r="E77" i="47"/>
  <c r="D79" i="47"/>
  <c r="C22" i="47"/>
  <c r="D42" i="47"/>
  <c r="E76" i="47"/>
  <c r="E20" i="47"/>
  <c r="F74" i="47"/>
  <c r="E29" i="47"/>
  <c r="E65" i="47"/>
  <c r="D38" i="47"/>
  <c r="E36" i="47"/>
  <c r="C32" i="47"/>
  <c r="E42" i="47"/>
  <c r="E21" i="47"/>
  <c r="D22" i="47"/>
  <c r="D12" i="47"/>
  <c r="C12" i="47"/>
  <c r="E34" i="47"/>
  <c r="D21" i="47"/>
  <c r="E8" i="47"/>
  <c r="C8" i="47"/>
  <c r="E58" i="47"/>
  <c r="E53" i="47"/>
  <c r="D47" i="47"/>
  <c r="E43" i="47"/>
  <c r="D27" i="47"/>
  <c r="E78" i="47"/>
  <c r="E49" i="47"/>
  <c r="E99" i="47"/>
  <c r="F93" i="47"/>
  <c r="C53" i="47"/>
  <c r="C83" i="47"/>
  <c r="M11" i="33"/>
  <c r="D80" i="47"/>
  <c r="E90" i="47"/>
  <c r="F67" i="47"/>
  <c r="F39" i="47"/>
  <c r="C25" i="47"/>
  <c r="D34" i="47"/>
  <c r="D40" i="47"/>
  <c r="F36" i="47"/>
  <c r="F33" i="47"/>
  <c r="E13" i="47"/>
  <c r="C63" i="47"/>
  <c r="C89" i="47"/>
  <c r="D98" i="47"/>
  <c r="C55" i="47"/>
  <c r="C67" i="47"/>
  <c r="D102" i="47"/>
  <c r="D99" i="47"/>
  <c r="D96" i="47"/>
  <c r="D101" i="47"/>
  <c r="C90" i="47"/>
  <c r="E67" i="47"/>
  <c r="C97" i="47"/>
  <c r="F83" i="47"/>
  <c r="D68" i="47"/>
  <c r="D84" i="47"/>
  <c r="C48" i="47"/>
  <c r="D88" i="47"/>
  <c r="E48" i="47"/>
  <c r="E61" i="47"/>
  <c r="C52" i="47"/>
  <c r="E60" i="47"/>
  <c r="E97" i="47"/>
  <c r="D67" i="47"/>
  <c r="D60" i="47"/>
  <c r="E52" i="47"/>
  <c r="E82" i="47"/>
  <c r="C34" i="47"/>
  <c r="E102" i="47"/>
  <c r="C28" i="47"/>
  <c r="C37" i="47"/>
  <c r="C36" i="47"/>
  <c r="C23" i="47"/>
  <c r="D69" i="47"/>
  <c r="E26" i="47"/>
  <c r="D28" i="47"/>
  <c r="C33" i="47"/>
  <c r="D31" i="47"/>
  <c r="C20" i="47"/>
  <c r="C27" i="47"/>
  <c r="E12" i="47"/>
  <c r="F8" i="47"/>
  <c r="E14" i="47"/>
  <c r="D17" i="47"/>
  <c r="E32" i="47"/>
  <c r="E16" i="47"/>
  <c r="C43" i="47"/>
  <c r="D15" i="47"/>
  <c r="C70" i="47"/>
  <c r="E96" i="47"/>
  <c r="D70" i="47"/>
  <c r="E17" i="47"/>
  <c r="D82" i="47"/>
  <c r="C77" i="47"/>
  <c r="E79" i="47"/>
  <c r="F86" i="47"/>
  <c r="E59" i="47"/>
  <c r="D49" i="47"/>
  <c r="D87" i="47"/>
  <c r="D86" i="47"/>
  <c r="D54" i="47"/>
  <c r="E89" i="47"/>
  <c r="E92" i="47"/>
  <c r="C59" i="47"/>
  <c r="E86" i="47"/>
  <c r="C69" i="47"/>
  <c r="E57" i="47"/>
  <c r="E85" i="47"/>
  <c r="E64" i="47"/>
  <c r="F88" i="47"/>
  <c r="D76" i="47"/>
  <c r="C64" i="47"/>
  <c r="D77" i="47"/>
  <c r="F97" i="47"/>
  <c r="D74" i="47"/>
  <c r="D78" i="47"/>
  <c r="E40" i="47"/>
  <c r="F70" i="47"/>
  <c r="E27" i="47"/>
  <c r="C40" i="47"/>
  <c r="D37" i="47"/>
  <c r="E22" i="47"/>
  <c r="I17" i="55"/>
  <c r="I16" i="55"/>
  <c r="D36" i="47"/>
  <c r="C31" i="47"/>
  <c r="C35" i="47"/>
  <c r="C16" i="47"/>
  <c r="D20" i="47"/>
  <c r="D13" i="47"/>
  <c r="D9" i="47"/>
  <c r="E46" i="47"/>
  <c r="F16" i="47"/>
  <c r="C15" i="47"/>
  <c r="D29" i="47"/>
  <c r="E15" i="47"/>
  <c r="D14" i="47"/>
  <c r="C68" i="47"/>
  <c r="D53" i="47"/>
  <c r="F82" i="47"/>
  <c r="E39" i="47"/>
  <c r="C93" i="47"/>
  <c r="E9" i="47"/>
  <c r="L36" i="55"/>
  <c r="L37" i="55"/>
  <c r="F43" i="47"/>
  <c r="E84" i="47"/>
  <c r="E80" i="47"/>
  <c r="C102" i="47"/>
  <c r="C98" i="47"/>
  <c r="C73" i="47"/>
  <c r="D91" i="47"/>
  <c r="C95" i="47"/>
  <c r="D75" i="47"/>
  <c r="D61" i="47"/>
  <c r="D55" i="47"/>
  <c r="D100" i="47"/>
  <c r="D64" i="47"/>
  <c r="E100" i="47"/>
  <c r="F87" i="47"/>
  <c r="C82" i="47"/>
  <c r="C65" i="47"/>
  <c r="F53" i="47"/>
  <c r="E55" i="47"/>
  <c r="F100" i="47"/>
  <c r="E73" i="47"/>
  <c r="F102" i="47"/>
  <c r="F56" i="47"/>
  <c r="E81" i="47"/>
  <c r="C75" i="47"/>
  <c r="F28" i="47"/>
  <c r="C79" i="47"/>
  <c r="D45" i="47"/>
  <c r="E35" i="47"/>
  <c r="D35" i="47"/>
  <c r="D33" i="47"/>
  <c r="E37" i="47"/>
  <c r="C21" i="47"/>
  <c r="E45" i="47"/>
  <c r="F10" i="47"/>
  <c r="F18" i="47"/>
  <c r="D18" i="47"/>
  <c r="D41" i="47"/>
  <c r="D16" i="47"/>
  <c r="E24" i="47"/>
  <c r="C13" i="47"/>
  <c r="E83" i="47"/>
  <c r="F71" i="47"/>
  <c r="E70" i="47"/>
  <c r="E44" i="47"/>
  <c r="E88" i="47"/>
  <c r="E47" i="47"/>
  <c r="F79" i="47"/>
  <c r="D89" i="47"/>
  <c r="E54" i="47"/>
  <c r="E71" i="47"/>
  <c r="C100" i="47"/>
  <c r="F72" i="47"/>
  <c r="C96" i="47"/>
  <c r="E98" i="47"/>
  <c r="D62" i="47"/>
  <c r="D73" i="47"/>
  <c r="D81" i="47"/>
  <c r="C91" i="47"/>
  <c r="C99" i="47"/>
  <c r="F89" i="47"/>
  <c r="E95" i="47"/>
  <c r="F90" i="47"/>
  <c r="C76" i="47"/>
  <c r="D94" i="47"/>
  <c r="E72" i="47"/>
  <c r="C39" i="47"/>
  <c r="D71" i="47"/>
  <c r="C84" i="47"/>
  <c r="F80" i="47"/>
  <c r="E87" i="47"/>
  <c r="E23" i="47"/>
  <c r="F54" i="47"/>
  <c r="E33" i="47"/>
  <c r="C38" i="47"/>
  <c r="E38" i="47"/>
  <c r="D44" i="47"/>
  <c r="F17" i="55"/>
  <c r="F16" i="55"/>
  <c r="C24" i="47"/>
  <c r="C30" i="47"/>
  <c r="C41" i="47"/>
  <c r="C29" i="47"/>
  <c r="C17" i="47"/>
  <c r="E11" i="47"/>
  <c r="C18" i="47"/>
  <c r="E7" i="47"/>
  <c r="E10" i="47"/>
  <c r="D23" i="47"/>
  <c r="C19" i="47"/>
  <c r="C14" i="47"/>
  <c r="F101" i="47"/>
  <c r="C42" i="47"/>
  <c r="C46" i="47"/>
  <c r="F77" i="47"/>
  <c r="L13" i="55"/>
  <c r="L11" i="55"/>
  <c r="C49" i="47"/>
  <c r="D63" i="47"/>
  <c r="C62" i="47"/>
  <c r="C85" i="47"/>
  <c r="D95" i="47"/>
  <c r="D56" i="47"/>
  <c r="D92" i="47"/>
  <c r="E75" i="47"/>
  <c r="F68" i="47"/>
  <c r="F69" i="47"/>
  <c r="C94" i="47"/>
  <c r="D72" i="47"/>
  <c r="D59" i="47"/>
  <c r="E91" i="47"/>
  <c r="C92" i="47"/>
  <c r="D97" i="47"/>
  <c r="F75" i="47"/>
  <c r="C80" i="47"/>
  <c r="F99" i="47"/>
  <c r="C87" i="47"/>
  <c r="D66" i="47"/>
  <c r="E56" i="47"/>
  <c r="C50" i="47"/>
  <c r="F92" i="47"/>
  <c r="C101" i="47"/>
  <c r="C57" i="47"/>
  <c r="D30" i="47"/>
  <c r="C66" i="47"/>
  <c r="D25" i="47"/>
  <c r="D39" i="47"/>
  <c r="E25" i="47"/>
  <c r="E41" i="47"/>
  <c r="D32" i="47"/>
  <c r="E28" i="47"/>
  <c r="C26" i="47"/>
  <c r="D7" i="47"/>
  <c r="E19" i="47"/>
  <c r="D11" i="47"/>
  <c r="F13" i="47"/>
  <c r="D19" i="47"/>
  <c r="E18" i="47"/>
  <c r="AA51" i="55"/>
  <c r="Z61" i="47"/>
  <c r="AT44" i="55"/>
  <c r="AS20" i="55"/>
  <c r="AS44" i="55"/>
  <c r="AT20" i="55"/>
  <c r="K69" i="35"/>
  <c r="L69" i="35" s="1"/>
  <c r="N69" i="35"/>
  <c r="AN118" i="55" s="1"/>
  <c r="AM120" i="55"/>
  <c r="AA67" i="55"/>
  <c r="AN114" i="55"/>
  <c r="AN119" i="55"/>
  <c r="N24" i="33"/>
  <c r="M54" i="36"/>
  <c r="M67" i="35"/>
  <c r="L67" i="35"/>
  <c r="M66" i="35"/>
  <c r="L66" i="35"/>
  <c r="M56" i="36"/>
  <c r="N56" i="36"/>
  <c r="M24" i="33"/>
  <c r="K20" i="55"/>
  <c r="N15" i="36"/>
  <c r="J40" i="5"/>
  <c r="J41" i="5" s="1"/>
  <c r="F7" i="47"/>
  <c r="M5" i="55"/>
  <c r="AI48" i="55"/>
  <c r="N16" i="35"/>
  <c r="L14" i="35"/>
  <c r="M14" i="35"/>
  <c r="N12" i="36"/>
  <c r="M12" i="36"/>
  <c r="O13" i="36"/>
  <c r="M10" i="47" s="1"/>
  <c r="I8" i="34"/>
  <c r="AW3" i="55"/>
  <c r="AV3" i="55"/>
  <c r="L8" i="34"/>
  <c r="Y25" i="55"/>
  <c r="L47" i="36"/>
  <c r="X25" i="55"/>
  <c r="O47" i="36"/>
  <c r="AA25" i="55" s="1"/>
  <c r="K98" i="35"/>
  <c r="L98" i="35" s="1"/>
  <c r="K49" i="34"/>
  <c r="N98" i="35"/>
  <c r="L186" i="35"/>
  <c r="L91" i="34"/>
  <c r="AP86" i="47" s="1"/>
  <c r="K189" i="35"/>
  <c r="L189" i="35" s="1"/>
  <c r="K89" i="34"/>
  <c r="N189" i="35"/>
  <c r="N187" i="35"/>
  <c r="L148" i="36"/>
  <c r="N148" i="36" s="1"/>
  <c r="M149" i="36"/>
  <c r="N149" i="36"/>
  <c r="L185" i="35"/>
  <c r="M185" i="35"/>
  <c r="N151" i="36"/>
  <c r="M151" i="36"/>
  <c r="O148" i="36"/>
  <c r="M188" i="35"/>
  <c r="L188" i="35"/>
  <c r="M150" i="36"/>
  <c r="N150" i="36"/>
  <c r="J40" i="29"/>
  <c r="J41" i="29" s="1"/>
  <c r="I91" i="34"/>
  <c r="K187" i="35"/>
  <c r="I40" i="29"/>
  <c r="I41" i="29" s="1"/>
  <c r="AL16" i="55"/>
  <c r="N91" i="36"/>
  <c r="L55" i="34"/>
  <c r="AA53" i="47" s="1"/>
  <c r="AA55" i="55"/>
  <c r="N111" i="35"/>
  <c r="I55" i="34"/>
  <c r="J53" i="34"/>
  <c r="K53" i="34"/>
  <c r="N7" i="18"/>
  <c r="I87" i="36"/>
  <c r="X19" i="55" s="1"/>
  <c r="H40" i="18"/>
  <c r="H41" i="18" s="1"/>
  <c r="O7" i="18"/>
  <c r="K111" i="35"/>
  <c r="N36" i="33"/>
  <c r="F34" i="47" s="1"/>
  <c r="Z43" i="55"/>
  <c r="AN116" i="55"/>
  <c r="AS14" i="55"/>
  <c r="Z63" i="47"/>
  <c r="AN61" i="55"/>
  <c r="N10" i="10"/>
  <c r="J45" i="36" s="1"/>
  <c r="I45" i="36"/>
  <c r="O10" i="10"/>
  <c r="K45" i="36" s="1"/>
  <c r="O19" i="10"/>
  <c r="J56" i="35" s="1"/>
  <c r="H56" i="35"/>
  <c r="N19" i="10"/>
  <c r="I56" i="35" s="1"/>
  <c r="K56" i="35" s="1"/>
  <c r="F26" i="34"/>
  <c r="AV19" i="55" s="1"/>
  <c r="O24" i="10"/>
  <c r="H26" i="34" s="1"/>
  <c r="N24" i="10"/>
  <c r="G26" i="34" s="1"/>
  <c r="AW19" i="55" s="1"/>
  <c r="F34" i="10"/>
  <c r="G20" i="33"/>
  <c r="G16" i="55" s="1"/>
  <c r="N18" i="10"/>
  <c r="I55" i="35" s="1"/>
  <c r="O18" i="10"/>
  <c r="J55" i="35" s="1"/>
  <c r="AM126" i="55" s="1"/>
  <c r="H55" i="35"/>
  <c r="G34" i="10"/>
  <c r="H20" i="33"/>
  <c r="N9" i="10"/>
  <c r="O9" i="10"/>
  <c r="K44" i="36" s="1"/>
  <c r="Z49" i="55" s="1"/>
  <c r="I44" i="36"/>
  <c r="X49" i="55" s="1"/>
  <c r="N15" i="10"/>
  <c r="I52" i="35" s="1"/>
  <c r="AL8" i="55" s="1"/>
  <c r="O15" i="10"/>
  <c r="J52" i="35" s="1"/>
  <c r="AM9" i="55" s="1"/>
  <c r="H52" i="35"/>
  <c r="AK8" i="55" s="1"/>
  <c r="AO84" i="47"/>
  <c r="X98" i="47"/>
  <c r="AS41" i="55"/>
  <c r="AO100" i="47"/>
  <c r="Y85" i="47"/>
  <c r="AO86" i="47"/>
  <c r="X88" i="47"/>
  <c r="X84" i="47"/>
  <c r="AN99" i="47"/>
  <c r="AN86" i="47"/>
  <c r="Z98" i="47"/>
  <c r="X96" i="47"/>
  <c r="AO99" i="47"/>
  <c r="AL99" i="47"/>
  <c r="AN87" i="47"/>
  <c r="X97" i="47"/>
  <c r="AL92" i="47"/>
  <c r="AO102" i="47"/>
  <c r="AL73" i="47"/>
  <c r="AA100" i="47"/>
  <c r="AN90" i="47"/>
  <c r="AO79" i="47"/>
  <c r="X68" i="47"/>
  <c r="AN67" i="47"/>
  <c r="X75" i="47"/>
  <c r="AT45" i="55" s="1"/>
  <c r="Z71" i="47"/>
  <c r="Y72" i="47"/>
  <c r="AO73" i="47"/>
  <c r="AL62" i="47"/>
  <c r="AL98" i="47"/>
  <c r="X86" i="47"/>
  <c r="Y102" i="47"/>
  <c r="Z83" i="47"/>
  <c r="Z84" i="47"/>
  <c r="Y78" i="47"/>
  <c r="Y100" i="47"/>
  <c r="Y97" i="47"/>
  <c r="Z99" i="47"/>
  <c r="AN93" i="47"/>
  <c r="AL100" i="47"/>
  <c r="AL83" i="47"/>
  <c r="AA98" i="47"/>
  <c r="Y81" i="47"/>
  <c r="X89" i="47"/>
  <c r="X93" i="47"/>
  <c r="AN94" i="47"/>
  <c r="AA79" i="47"/>
  <c r="AO101" i="47"/>
  <c r="X95" i="47"/>
  <c r="X94" i="47"/>
  <c r="Y64" i="47"/>
  <c r="Y80" i="47"/>
  <c r="X77" i="47"/>
  <c r="AO66" i="47"/>
  <c r="AL72" i="47"/>
  <c r="X72" i="47"/>
  <c r="AL69" i="47"/>
  <c r="AN73" i="47"/>
  <c r="X80" i="47"/>
  <c r="AL101" i="47"/>
  <c r="AA85" i="47"/>
  <c r="AL79" i="47"/>
  <c r="Z82" i="47"/>
  <c r="AN97" i="47"/>
  <c r="Z102" i="47"/>
  <c r="AL91" i="47"/>
  <c r="Y99" i="47"/>
  <c r="AN96" i="47"/>
  <c r="AA102" i="47"/>
  <c r="AA84" i="47"/>
  <c r="AP95" i="47"/>
  <c r="X83" i="47"/>
  <c r="AN88" i="47"/>
  <c r="Y95" i="47"/>
  <c r="AN80" i="47"/>
  <c r="AO91" i="47"/>
  <c r="Z79" i="47"/>
  <c r="AO92" i="47"/>
  <c r="Y87" i="47"/>
  <c r="AN65" i="47"/>
  <c r="AP85" i="47"/>
  <c r="AP98" i="47"/>
  <c r="AO67" i="47"/>
  <c r="AO96" i="47"/>
  <c r="AO93" i="47"/>
  <c r="AN82" i="47"/>
  <c r="Y101" i="47"/>
  <c r="AN79" i="47"/>
  <c r="Y84" i="47"/>
  <c r="AN101" i="47"/>
  <c r="AL94" i="47"/>
  <c r="AL87" i="47"/>
  <c r="X100" i="47"/>
  <c r="AL82" i="47"/>
  <c r="Z100" i="47"/>
  <c r="Z87" i="47"/>
  <c r="AL78" i="47"/>
  <c r="AN102" i="47"/>
  <c r="AO88" i="47"/>
  <c r="AA97" i="47"/>
  <c r="AN78" i="47"/>
  <c r="AO77" i="47"/>
  <c r="AL89" i="47"/>
  <c r="AN77" i="47"/>
  <c r="X63" i="47"/>
  <c r="X69" i="47"/>
  <c r="AP96" i="47"/>
  <c r="AN92" i="47"/>
  <c r="AS2" i="55"/>
  <c r="Y75" i="47"/>
  <c r="AL68" i="47"/>
  <c r="Z75" i="47"/>
  <c r="AN71" i="47"/>
  <c r="Y65" i="47"/>
  <c r="AO62" i="47"/>
  <c r="AN64" i="47"/>
  <c r="AP64" i="47"/>
  <c r="AO94" i="47"/>
  <c r="AP97" i="47"/>
  <c r="X82" i="47"/>
  <c r="AL102" i="47"/>
  <c r="AO82" i="47"/>
  <c r="Z78" i="47"/>
  <c r="Y88" i="47"/>
  <c r="AL90" i="47"/>
  <c r="X90" i="47"/>
  <c r="Y98" i="47"/>
  <c r="X99" i="47"/>
  <c r="AN100" i="47"/>
  <c r="Y91" i="47"/>
  <c r="AA96" i="47"/>
  <c r="AO85" i="47"/>
  <c r="AL97" i="47"/>
  <c r="Y90" i="47"/>
  <c r="AN69" i="47"/>
  <c r="AO78" i="47"/>
  <c r="Y86" i="47"/>
  <c r="AL65" i="47"/>
  <c r="Z73" i="47"/>
  <c r="Y83" i="47"/>
  <c r="AL70" i="47"/>
  <c r="Y94" i="47"/>
  <c r="X65" i="47"/>
  <c r="X66" i="47"/>
  <c r="AO75" i="47"/>
  <c r="AO76" i="47"/>
  <c r="AO68" i="47"/>
  <c r="AL71" i="47"/>
  <c r="AN75" i="47"/>
  <c r="X76" i="47"/>
  <c r="Y63" i="47"/>
  <c r="Z92" i="47"/>
  <c r="X92" i="47"/>
  <c r="X79" i="47"/>
  <c r="AL86" i="47"/>
  <c r="Z101" i="47"/>
  <c r="AP100" i="47"/>
  <c r="AO80" i="47"/>
  <c r="Z86" i="47"/>
  <c r="Y92" i="47"/>
  <c r="AO90" i="47"/>
  <c r="AO87" i="47"/>
  <c r="X101" i="47"/>
  <c r="AA99" i="47"/>
  <c r="Z96" i="47"/>
  <c r="AP101" i="47"/>
  <c r="AN84" i="47"/>
  <c r="AL96" i="47"/>
  <c r="AO83" i="47"/>
  <c r="Y70" i="47"/>
  <c r="Y77" i="47"/>
  <c r="AO74" i="47"/>
  <c r="X73" i="47"/>
  <c r="AN66" i="47"/>
  <c r="AL67" i="47"/>
  <c r="AO81" i="47"/>
  <c r="AO72" i="47"/>
  <c r="Y74" i="47"/>
  <c r="X70" i="47"/>
  <c r="AN74" i="47"/>
  <c r="Y71" i="47"/>
  <c r="N22" i="7"/>
  <c r="O22" i="7"/>
  <c r="M15" i="7"/>
  <c r="G34" i="35"/>
  <c r="AJ21" i="55" s="1"/>
  <c r="M7" i="7"/>
  <c r="G40" i="7"/>
  <c r="G41" i="7" s="1"/>
  <c r="H27" i="36"/>
  <c r="W24" i="55" s="1"/>
  <c r="O28" i="36"/>
  <c r="AA90" i="55" s="1"/>
  <c r="X92" i="55"/>
  <c r="M21" i="7"/>
  <c r="G40" i="35"/>
  <c r="M18" i="7"/>
  <c r="G37" i="35"/>
  <c r="L28" i="36"/>
  <c r="Y92" i="55"/>
  <c r="M20" i="7"/>
  <c r="G39" i="35"/>
  <c r="M9" i="7"/>
  <c r="H29" i="36"/>
  <c r="W45" i="55" s="1"/>
  <c r="M25" i="7"/>
  <c r="E18" i="34"/>
  <c r="E19" i="34"/>
  <c r="M26" i="7"/>
  <c r="M17" i="7"/>
  <c r="G36" i="35"/>
  <c r="AJ89" i="55" s="1"/>
  <c r="N12" i="7"/>
  <c r="O12" i="7"/>
  <c r="M19" i="7"/>
  <c r="G38" i="35"/>
  <c r="H30" i="36"/>
  <c r="W93" i="55" s="1"/>
  <c r="M10" i="7"/>
  <c r="H3" i="7"/>
  <c r="I15" i="33" s="1"/>
  <c r="E34" i="7"/>
  <c r="F3" i="7"/>
  <c r="G3" i="7"/>
  <c r="F15" i="33"/>
  <c r="E17" i="34"/>
  <c r="M24" i="7"/>
  <c r="M11" i="7"/>
  <c r="H31" i="36"/>
  <c r="M16" i="7"/>
  <c r="G35" i="35"/>
  <c r="AJ74" i="55" s="1"/>
  <c r="O27" i="7"/>
  <c r="N27" i="7"/>
  <c r="L14" i="34"/>
  <c r="AA14" i="47" s="1"/>
  <c r="O25" i="36"/>
  <c r="L32" i="35"/>
  <c r="L25" i="36"/>
  <c r="M25" i="36" s="1"/>
  <c r="I40" i="1"/>
  <c r="I41" i="1" s="1"/>
  <c r="K23" i="36"/>
  <c r="Z65" i="55" s="1"/>
  <c r="J40" i="1"/>
  <c r="J41" i="1" s="1"/>
  <c r="N29" i="35"/>
  <c r="AN52" i="55" s="1"/>
  <c r="AK57" i="55"/>
  <c r="M55" i="55"/>
  <c r="M70" i="55"/>
  <c r="M52" i="55"/>
  <c r="M54" i="55"/>
  <c r="M60" i="55"/>
  <c r="M68" i="55"/>
  <c r="M71" i="55"/>
  <c r="M73" i="55"/>
  <c r="M57" i="55"/>
  <c r="M78" i="55"/>
  <c r="M59" i="55"/>
  <c r="M63" i="55"/>
  <c r="M79" i="55"/>
  <c r="M61" i="55"/>
  <c r="M62" i="55"/>
  <c r="M76" i="55"/>
  <c r="M77" i="55"/>
  <c r="M74" i="55"/>
  <c r="M67" i="55"/>
  <c r="M80" i="55"/>
  <c r="M58" i="55"/>
  <c r="M66" i="55"/>
  <c r="M56" i="55"/>
  <c r="M75" i="55"/>
  <c r="M72" i="55"/>
  <c r="M69" i="55"/>
  <c r="M53" i="55"/>
  <c r="M64" i="55"/>
  <c r="M65" i="55"/>
  <c r="K14" i="34"/>
  <c r="J14" i="34"/>
  <c r="M33" i="35"/>
  <c r="L33" i="35"/>
  <c r="M27" i="35"/>
  <c r="L27" i="35"/>
  <c r="F11" i="47"/>
  <c r="M26" i="36"/>
  <c r="N26" i="36"/>
  <c r="M42" i="55"/>
  <c r="K29" i="35"/>
  <c r="K30" i="35"/>
  <c r="N30" i="35"/>
  <c r="L31" i="35"/>
  <c r="M31" i="35"/>
  <c r="N24" i="35"/>
  <c r="N17" i="36"/>
  <c r="M17" i="36"/>
  <c r="J12" i="34"/>
  <c r="K12" i="34"/>
  <c r="L24" i="35"/>
  <c r="M24" i="35"/>
  <c r="J11" i="34"/>
  <c r="K11" i="34"/>
  <c r="N21" i="36"/>
  <c r="M21" i="36"/>
  <c r="L19" i="36"/>
  <c r="O19" i="36"/>
  <c r="K29" i="47"/>
  <c r="L15" i="35"/>
  <c r="M15" i="35"/>
  <c r="Z51" i="55"/>
  <c r="M13" i="36"/>
  <c r="N13" i="36"/>
  <c r="AN47" i="55"/>
  <c r="K16" i="35"/>
  <c r="L17" i="35"/>
  <c r="M17" i="35"/>
  <c r="N6" i="36"/>
  <c r="M33" i="55"/>
  <c r="AW60" i="55"/>
  <c r="AW53" i="55"/>
  <c r="AW87" i="55"/>
  <c r="AW90" i="55"/>
  <c r="AW55" i="55"/>
  <c r="AW78" i="55"/>
  <c r="AW65" i="55"/>
  <c r="AW64" i="55"/>
  <c r="AW96" i="55"/>
  <c r="AW66" i="55"/>
  <c r="AW58" i="55"/>
  <c r="AW70" i="55"/>
  <c r="AW93" i="55"/>
  <c r="AW71" i="55"/>
  <c r="AW82" i="55"/>
  <c r="L4" i="34"/>
  <c r="AY83" i="55" s="1"/>
  <c r="AW63" i="55"/>
  <c r="AW73" i="55"/>
  <c r="AW85" i="55"/>
  <c r="AW91" i="55"/>
  <c r="AW51" i="55"/>
  <c r="AW83" i="55"/>
  <c r="AW50" i="55"/>
  <c r="I4" i="34"/>
  <c r="K4" i="34" s="1"/>
  <c r="AW68" i="55"/>
  <c r="AW79" i="55"/>
  <c r="AW77" i="55"/>
  <c r="AW74" i="55"/>
  <c r="AW86" i="55"/>
  <c r="AW48" i="55"/>
  <c r="AW88" i="55"/>
  <c r="AW95" i="55"/>
  <c r="AW49" i="55"/>
  <c r="AW100" i="55"/>
  <c r="AW72" i="55"/>
  <c r="AW76" i="55"/>
  <c r="AW81" i="55"/>
  <c r="AW59" i="55"/>
  <c r="AW84" i="55"/>
  <c r="AW56" i="55"/>
  <c r="AW92" i="55"/>
  <c r="AW57" i="55"/>
  <c r="AW75" i="55"/>
  <c r="AW61" i="55"/>
  <c r="AW62" i="55"/>
  <c r="AW47" i="55"/>
  <c r="AW89" i="55"/>
  <c r="AW97" i="55"/>
  <c r="AW98" i="55"/>
  <c r="AW67" i="55"/>
  <c r="K2" i="35"/>
  <c r="L2" i="35" s="1"/>
  <c r="AW94" i="55"/>
  <c r="AW101" i="55"/>
  <c r="AW54" i="55"/>
  <c r="AW99" i="55"/>
  <c r="AW52" i="55"/>
  <c r="AW80" i="55"/>
  <c r="L3" i="34"/>
  <c r="AA4" i="47" s="1"/>
  <c r="M2" i="33"/>
  <c r="K34" i="55"/>
  <c r="AN172" i="55"/>
  <c r="AN159" i="55"/>
  <c r="AN185" i="55"/>
  <c r="AN170" i="55"/>
  <c r="AN173" i="55"/>
  <c r="AN174" i="55"/>
  <c r="AN162" i="55"/>
  <c r="AN149" i="55"/>
  <c r="AN183" i="55"/>
  <c r="AN179" i="55"/>
  <c r="AN154" i="55"/>
  <c r="AN180" i="55"/>
  <c r="AN176" i="55"/>
  <c r="AN178" i="55"/>
  <c r="AN155" i="55"/>
  <c r="AN158" i="55"/>
  <c r="AN148" i="55"/>
  <c r="AN150" i="55"/>
  <c r="AN140" i="55"/>
  <c r="AN186" i="55"/>
  <c r="AN182" i="55"/>
  <c r="AN135" i="55"/>
  <c r="AN164" i="55"/>
  <c r="AN165" i="55"/>
  <c r="AN142" i="55"/>
  <c r="AN175" i="55"/>
  <c r="AN153" i="55"/>
  <c r="AN134" i="55"/>
  <c r="AN161" i="55"/>
  <c r="AN141" i="55"/>
  <c r="AN160" i="55"/>
  <c r="AN177" i="55"/>
  <c r="AN139" i="55"/>
  <c r="AN166" i="55"/>
  <c r="AN163" i="55"/>
  <c r="AN157" i="55"/>
  <c r="AN181" i="55"/>
  <c r="AN152" i="55"/>
  <c r="AN138" i="55"/>
  <c r="AN136" i="55"/>
  <c r="AN171" i="55"/>
  <c r="AN137" i="55"/>
  <c r="AN143" i="55"/>
  <c r="AN169" i="55"/>
  <c r="AN133" i="55"/>
  <c r="AN144" i="55"/>
  <c r="AN145" i="55"/>
  <c r="AN146" i="55"/>
  <c r="AN167" i="55"/>
  <c r="AN168" i="55"/>
  <c r="AN184" i="55"/>
  <c r="AN147" i="55"/>
  <c r="AN156" i="55"/>
  <c r="AN132" i="55"/>
  <c r="AN151" i="55"/>
  <c r="L4" i="35"/>
  <c r="M4" i="35"/>
  <c r="N2" i="36"/>
  <c r="M2" i="36"/>
  <c r="AY30" i="55"/>
  <c r="AP4" i="47"/>
  <c r="AN122" i="55"/>
  <c r="AP105" i="47"/>
  <c r="T5" i="47"/>
  <c r="AY67" i="55"/>
  <c r="AY90" i="55"/>
  <c r="AY91" i="55"/>
  <c r="AY89" i="55"/>
  <c r="AY73" i="55"/>
  <c r="AY64" i="55"/>
  <c r="AY59" i="55"/>
  <c r="AY48" i="55"/>
  <c r="AY100" i="55"/>
  <c r="AY60" i="55"/>
  <c r="AY101" i="55"/>
  <c r="AY68" i="55"/>
  <c r="AY61" i="55"/>
  <c r="AY51" i="55"/>
  <c r="AY49" i="55"/>
  <c r="AY87" i="55"/>
  <c r="AY77" i="55"/>
  <c r="AY58" i="55"/>
  <c r="AY70" i="55"/>
  <c r="AY63" i="55"/>
  <c r="AY53" i="55"/>
  <c r="AY62" i="55"/>
  <c r="AY93" i="55"/>
  <c r="AY81" i="55"/>
  <c r="AY47" i="55"/>
  <c r="AY72" i="55"/>
  <c r="AY76" i="55"/>
  <c r="AY92" i="55"/>
  <c r="AY97" i="55"/>
  <c r="AY54" i="55"/>
  <c r="AY75" i="55"/>
  <c r="AY85" i="55"/>
  <c r="AY78" i="55"/>
  <c r="AY52" i="55"/>
  <c r="AY56" i="55"/>
  <c r="AY88" i="55"/>
  <c r="AY96" i="55"/>
  <c r="AY82" i="55"/>
  <c r="AY98" i="55"/>
  <c r="AY74" i="55"/>
  <c r="AY66" i="55"/>
  <c r="AY20" i="55"/>
  <c r="AP3" i="47"/>
  <c r="AA3" i="47"/>
  <c r="J4" i="34"/>
  <c r="N19" i="32"/>
  <c r="H40" i="32"/>
  <c r="H41" i="32" s="1"/>
  <c r="H6" i="35"/>
  <c r="AK127" i="55" s="1"/>
  <c r="O19" i="32"/>
  <c r="K2" i="34"/>
  <c r="J2" i="34"/>
  <c r="AN30" i="55"/>
  <c r="AP103" i="47"/>
  <c r="T3" i="47"/>
  <c r="AJ127" i="55"/>
  <c r="T6" i="47"/>
  <c r="AP106" i="47"/>
  <c r="AW30" i="55"/>
  <c r="I3" i="34"/>
  <c r="L3" i="35"/>
  <c r="M3" i="35"/>
  <c r="M5" i="35"/>
  <c r="L5" i="35"/>
  <c r="L7" i="35"/>
  <c r="M7" i="35"/>
  <c r="AP104" i="47"/>
  <c r="AN75" i="55"/>
  <c r="T4" i="47"/>
  <c r="L3" i="36"/>
  <c r="Y95" i="55"/>
  <c r="O3" i="36"/>
  <c r="N2" i="33"/>
  <c r="S11" i="55"/>
  <c r="S5" i="55"/>
  <c r="R11" i="55"/>
  <c r="R5" i="55"/>
  <c r="N134" i="35"/>
  <c r="K61" i="34"/>
  <c r="O105" i="36"/>
  <c r="AP58" i="47"/>
  <c r="N105" i="36"/>
  <c r="L59" i="34"/>
  <c r="AP57" i="47" s="1"/>
  <c r="I40" i="20"/>
  <c r="I41" i="20" s="1"/>
  <c r="K60" i="34"/>
  <c r="J60" i="34"/>
  <c r="I59" i="34"/>
  <c r="AW4" i="55"/>
  <c r="J40" i="20"/>
  <c r="J41" i="20" s="1"/>
  <c r="AY4" i="55"/>
  <c r="AA57" i="47"/>
  <c r="M71" i="36"/>
  <c r="AA91" i="55"/>
  <c r="Z77" i="47"/>
  <c r="Y89" i="47"/>
  <c r="Z88" i="47"/>
  <c r="Y67" i="47"/>
  <c r="AL76" i="47"/>
  <c r="X64" i="47"/>
  <c r="AO63" i="47"/>
  <c r="Z85" i="47"/>
  <c r="Y69" i="47"/>
  <c r="Y68" i="47"/>
  <c r="Z67" i="47"/>
  <c r="AL77" i="47"/>
  <c r="AL75" i="47"/>
  <c r="Y76" i="47"/>
  <c r="X71" i="47"/>
  <c r="AN63" i="47"/>
  <c r="Z64" i="47"/>
  <c r="Y73" i="47"/>
  <c r="Z70" i="47"/>
  <c r="Z68" i="47"/>
  <c r="X74" i="47"/>
  <c r="AL64" i="47"/>
  <c r="AL63" i="47"/>
  <c r="Z65" i="47"/>
  <c r="AN68" i="47"/>
  <c r="AO71" i="47"/>
  <c r="Z72" i="47"/>
  <c r="AN70" i="47"/>
  <c r="X62" i="47"/>
  <c r="AO65" i="47"/>
  <c r="Z62" i="47"/>
  <c r="AL66" i="47"/>
  <c r="AT24" i="55"/>
  <c r="AT18" i="55"/>
  <c r="AT19" i="55"/>
  <c r="AT38" i="55"/>
  <c r="AS5" i="55"/>
  <c r="AT15" i="55"/>
  <c r="AS23" i="55"/>
  <c r="AT16" i="55"/>
  <c r="AS32" i="55"/>
  <c r="AS27" i="55"/>
  <c r="AT25" i="55"/>
  <c r="AS10" i="55"/>
  <c r="AT21" i="55"/>
  <c r="AS17" i="55"/>
  <c r="AT14" i="55"/>
  <c r="AS15" i="55"/>
  <c r="AT2" i="55"/>
  <c r="AS19" i="55"/>
  <c r="AS21" i="55"/>
  <c r="AS9" i="55"/>
  <c r="AS18" i="55"/>
  <c r="AT27" i="55"/>
  <c r="AT22" i="55"/>
  <c r="AS4" i="55"/>
  <c r="AS24" i="55"/>
  <c r="AS25" i="55"/>
  <c r="AS22" i="55"/>
  <c r="AT12" i="55"/>
  <c r="AS38" i="55"/>
  <c r="AT23" i="55"/>
  <c r="AT9" i="55"/>
  <c r="AT4" i="55"/>
  <c r="AS16" i="55"/>
  <c r="AS12" i="55"/>
  <c r="AT32" i="55"/>
  <c r="AT10" i="55"/>
  <c r="O144" i="36"/>
  <c r="K88" i="34"/>
  <c r="J88" i="34"/>
  <c r="L144" i="36"/>
  <c r="N144" i="36" s="1"/>
  <c r="N182" i="35"/>
  <c r="AA83" i="47"/>
  <c r="L183" i="35"/>
  <c r="M183" i="35"/>
  <c r="J142" i="36"/>
  <c r="K178" i="35"/>
  <c r="K182" i="35"/>
  <c r="K142" i="36"/>
  <c r="Z2" i="55" s="1"/>
  <c r="N178" i="35"/>
  <c r="AN25" i="55" s="1"/>
  <c r="L179" i="35"/>
  <c r="M179" i="35"/>
  <c r="L180" i="35"/>
  <c r="M180" i="35"/>
  <c r="AP56" i="47"/>
  <c r="AS33" i="55"/>
  <c r="AT43" i="55"/>
  <c r="AT33" i="55"/>
  <c r="J28" i="55"/>
  <c r="AN103" i="55"/>
  <c r="AN101" i="55"/>
  <c r="AN107" i="55"/>
  <c r="F40" i="30"/>
  <c r="F41" i="30" s="1"/>
  <c r="L69" i="33"/>
  <c r="L28" i="55" s="1"/>
  <c r="K69" i="33"/>
  <c r="E40" i="30"/>
  <c r="E41" i="30" s="1"/>
  <c r="Z54" i="55"/>
  <c r="L42" i="36"/>
  <c r="M42" i="36" s="1"/>
  <c r="AP26" i="47"/>
  <c r="O42" i="36"/>
  <c r="AN41" i="55"/>
  <c r="M46" i="36"/>
  <c r="AN70" i="55"/>
  <c r="E40" i="31"/>
  <c r="E41" i="31" s="1"/>
  <c r="K23" i="55"/>
  <c r="F40" i="31"/>
  <c r="F41" i="31" s="1"/>
  <c r="L72" i="33"/>
  <c r="J23" i="55"/>
  <c r="O38" i="36"/>
  <c r="Y71" i="55"/>
  <c r="L38" i="36"/>
  <c r="L24" i="34"/>
  <c r="AP93" i="47"/>
  <c r="I157" i="36"/>
  <c r="X31" i="55" s="1"/>
  <c r="O7" i="31"/>
  <c r="K157" i="36" s="1"/>
  <c r="Z31" i="55" s="1"/>
  <c r="N7" i="31"/>
  <c r="J157" i="36" s="1"/>
  <c r="AA93" i="47"/>
  <c r="W31" i="55"/>
  <c r="AL65" i="55"/>
  <c r="Y33" i="55"/>
  <c r="Y87" i="55"/>
  <c r="L176" i="35"/>
  <c r="L175" i="35"/>
  <c r="O139" i="36"/>
  <c r="AA38" i="55" s="1"/>
  <c r="Y38" i="55"/>
  <c r="L139" i="36"/>
  <c r="K83" i="34"/>
  <c r="J83" i="34"/>
  <c r="N141" i="36"/>
  <c r="M141" i="36"/>
  <c r="AY26" i="55"/>
  <c r="O7" i="28"/>
  <c r="N7" i="28"/>
  <c r="I137" i="36"/>
  <c r="H40" i="28"/>
  <c r="H41" i="28" s="1"/>
  <c r="J84" i="34"/>
  <c r="K84" i="34"/>
  <c r="AA78" i="47"/>
  <c r="J82" i="34"/>
  <c r="AP79" i="47"/>
  <c r="K81" i="34"/>
  <c r="L170" i="35"/>
  <c r="M170" i="35"/>
  <c r="Y43" i="55"/>
  <c r="L133" i="36"/>
  <c r="AA77" i="47"/>
  <c r="AP77" i="47"/>
  <c r="AT41" i="55"/>
  <c r="AS31" i="55"/>
  <c r="AT31" i="55"/>
  <c r="N126" i="36"/>
  <c r="M126" i="36"/>
  <c r="M154" i="35"/>
  <c r="L154" i="35"/>
  <c r="L153" i="35"/>
  <c r="N52" i="33"/>
  <c r="K150" i="35"/>
  <c r="L150" i="35" s="1"/>
  <c r="M147" i="35"/>
  <c r="L147" i="35"/>
  <c r="O117" i="36"/>
  <c r="AA4" i="55" s="1"/>
  <c r="K68" i="34"/>
  <c r="J68" i="34"/>
  <c r="AY5" i="55"/>
  <c r="N150" i="35"/>
  <c r="O8" i="23"/>
  <c r="N8" i="23"/>
  <c r="I118" i="36"/>
  <c r="H40" i="23"/>
  <c r="H41" i="23" s="1"/>
  <c r="K70" i="34"/>
  <c r="J70" i="34"/>
  <c r="N121" i="36"/>
  <c r="M121" i="36"/>
  <c r="L151" i="35"/>
  <c r="M151" i="35"/>
  <c r="M39" i="55"/>
  <c r="L152" i="35"/>
  <c r="M152" i="35"/>
  <c r="M52" i="33"/>
  <c r="K13" i="55"/>
  <c r="K46" i="33"/>
  <c r="E40" i="20"/>
  <c r="E41" i="20" s="1"/>
  <c r="L134" i="35"/>
  <c r="M134" i="35"/>
  <c r="M104" i="36"/>
  <c r="N104" i="36"/>
  <c r="L133" i="35"/>
  <c r="M133" i="35"/>
  <c r="L46" i="33"/>
  <c r="F40" i="20"/>
  <c r="F41" i="20" s="1"/>
  <c r="N102" i="36"/>
  <c r="M102" i="36"/>
  <c r="L131" i="35"/>
  <c r="M131" i="35"/>
  <c r="K124" i="35"/>
  <c r="L124" i="35" s="1"/>
  <c r="L122" i="35"/>
  <c r="M122" i="35"/>
  <c r="N124" i="35"/>
  <c r="AN105" i="55" s="1"/>
  <c r="W42" i="55"/>
  <c r="O7" i="19"/>
  <c r="N7" i="19"/>
  <c r="I97" i="36"/>
  <c r="X36" i="55" s="1"/>
  <c r="M113" i="35"/>
  <c r="L113" i="35"/>
  <c r="F38" i="47"/>
  <c r="N88" i="36"/>
  <c r="M88" i="36"/>
  <c r="M114" i="35"/>
  <c r="L114" i="35"/>
  <c r="N89" i="36"/>
  <c r="M89" i="36"/>
  <c r="L110" i="35"/>
  <c r="M110" i="35"/>
  <c r="M112" i="35"/>
  <c r="L112" i="35"/>
  <c r="L115" i="35"/>
  <c r="M115" i="35"/>
  <c r="O78" i="36"/>
  <c r="N80" i="36"/>
  <c r="M80" i="36"/>
  <c r="AA48" i="47"/>
  <c r="AP48" i="47"/>
  <c r="M79" i="36"/>
  <c r="N79" i="36"/>
  <c r="L78" i="36"/>
  <c r="L101" i="35"/>
  <c r="M101" i="35"/>
  <c r="M102" i="35"/>
  <c r="L102" i="35"/>
  <c r="M100" i="35"/>
  <c r="L100" i="35"/>
  <c r="N32" i="33"/>
  <c r="F31" i="47" s="1"/>
  <c r="M12" i="55"/>
  <c r="M32" i="33"/>
  <c r="N71" i="35"/>
  <c r="AL60" i="55"/>
  <c r="K71" i="35"/>
  <c r="M71" i="35" s="1"/>
  <c r="M61" i="35"/>
  <c r="I40" i="11"/>
  <c r="I41" i="11" s="1"/>
  <c r="O51" i="36"/>
  <c r="K31" i="34"/>
  <c r="J31" i="34"/>
  <c r="AA30" i="47"/>
  <c r="AY38" i="55"/>
  <c r="AP30" i="47"/>
  <c r="J40" i="11"/>
  <c r="J41" i="11" s="1"/>
  <c r="L48" i="36"/>
  <c r="O48" i="36"/>
  <c r="L62" i="35"/>
  <c r="M62" i="35"/>
  <c r="N51" i="36"/>
  <c r="M51" i="36"/>
  <c r="AN63" i="55"/>
  <c r="L60" i="35"/>
  <c r="M60" i="35"/>
  <c r="M58" i="35"/>
  <c r="L58" i="35"/>
  <c r="K29" i="34"/>
  <c r="J29" i="34"/>
  <c r="AP29" i="47"/>
  <c r="AA29" i="47"/>
  <c r="AP28" i="47"/>
  <c r="AA28" i="47"/>
  <c r="M63" i="35"/>
  <c r="L63" i="35"/>
  <c r="M59" i="35"/>
  <c r="L59" i="35"/>
  <c r="M21" i="33"/>
  <c r="K28" i="34"/>
  <c r="L56" i="35"/>
  <c r="M56" i="35"/>
  <c r="AA27" i="47"/>
  <c r="AP27" i="47"/>
  <c r="L53" i="35"/>
  <c r="M53" i="35"/>
  <c r="AN42" i="55"/>
  <c r="J27" i="34"/>
  <c r="K27" i="34"/>
  <c r="N43" i="36"/>
  <c r="M43" i="36"/>
  <c r="L54" i="35"/>
  <c r="M54" i="35"/>
  <c r="N21" i="33"/>
  <c r="F21" i="47" s="1"/>
  <c r="L57" i="35"/>
  <c r="M57" i="35"/>
  <c r="O39" i="36"/>
  <c r="L47" i="35"/>
  <c r="L46" i="35"/>
  <c r="M46" i="35"/>
  <c r="AN59" i="55"/>
  <c r="L39" i="36"/>
  <c r="N41" i="36"/>
  <c r="M41" i="36"/>
  <c r="M48" i="35"/>
  <c r="L48" i="35"/>
  <c r="AN120" i="55"/>
  <c r="M49" i="35"/>
  <c r="L49" i="35"/>
  <c r="M50" i="35"/>
  <c r="L50" i="35"/>
  <c r="A42" i="36"/>
  <c r="T78" i="55"/>
  <c r="G35" i="36"/>
  <c r="F40" i="8"/>
  <c r="F41" i="8" s="1"/>
  <c r="M25" i="47"/>
  <c r="U78" i="55"/>
  <c r="L35" i="36"/>
  <c r="E40" i="8"/>
  <c r="E41" i="8" s="1"/>
  <c r="M45" i="35"/>
  <c r="L45" i="35"/>
  <c r="N28" i="36"/>
  <c r="M28" i="36"/>
  <c r="V22" i="55"/>
  <c r="F23" i="47" l="1"/>
  <c r="O35" i="36"/>
  <c r="M26" i="47" s="1"/>
  <c r="AA86" i="47"/>
  <c r="O133" i="36"/>
  <c r="I69" i="34"/>
  <c r="L120" i="36"/>
  <c r="AU35" i="55"/>
  <c r="AU34" i="55"/>
  <c r="N25" i="36"/>
  <c r="M18" i="35"/>
  <c r="M69" i="35"/>
  <c r="J40" i="12"/>
  <c r="J41" i="12" s="1"/>
  <c r="N68" i="35"/>
  <c r="F26" i="47"/>
  <c r="M21" i="55"/>
  <c r="AX19" i="55"/>
  <c r="M107" i="35"/>
  <c r="L107" i="35"/>
  <c r="N17" i="22"/>
  <c r="I143" i="35" s="1"/>
  <c r="AL83" i="55" s="1"/>
  <c r="O17" i="22"/>
  <c r="J143" i="35" s="1"/>
  <c r="H143" i="35"/>
  <c r="AL32" i="55"/>
  <c r="K168" i="35"/>
  <c r="AT46" i="55"/>
  <c r="V78" i="55"/>
  <c r="V83" i="55"/>
  <c r="M117" i="36"/>
  <c r="L169" i="35"/>
  <c r="M134" i="36"/>
  <c r="AA8" i="55"/>
  <c r="AY57" i="55"/>
  <c r="AY84" i="55"/>
  <c r="AY86" i="55"/>
  <c r="AY94" i="55"/>
  <c r="AY69" i="55"/>
  <c r="AY71" i="55"/>
  <c r="AY79" i="55"/>
  <c r="O18" i="25"/>
  <c r="J119" i="35" s="1"/>
  <c r="N18" i="25"/>
  <c r="I119" i="35" s="1"/>
  <c r="K119" i="35" s="1"/>
  <c r="H119" i="35"/>
  <c r="M42" i="33"/>
  <c r="G40" i="55"/>
  <c r="H161" i="35"/>
  <c r="O15" i="26"/>
  <c r="J161" i="35" s="1"/>
  <c r="N15" i="26"/>
  <c r="I161" i="35" s="1"/>
  <c r="AL6" i="55"/>
  <c r="K65" i="35"/>
  <c r="O24" i="22"/>
  <c r="H65" i="34" s="1"/>
  <c r="AX21" i="55" s="1"/>
  <c r="N24" i="22"/>
  <c r="G65" i="34" s="1"/>
  <c r="F65" i="34"/>
  <c r="L108" i="35"/>
  <c r="M108" i="35"/>
  <c r="AL90" i="55"/>
  <c r="K148" i="35"/>
  <c r="O18" i="16"/>
  <c r="J93" i="35" s="1"/>
  <c r="N18" i="16"/>
  <c r="I93" i="35" s="1"/>
  <c r="K93" i="35" s="1"/>
  <c r="H93" i="35"/>
  <c r="O7" i="25"/>
  <c r="N7" i="25"/>
  <c r="I92" i="36"/>
  <c r="X9" i="55" s="1"/>
  <c r="H40" i="25"/>
  <c r="H41" i="25" s="1"/>
  <c r="M67" i="33"/>
  <c r="K35" i="55"/>
  <c r="O55" i="36"/>
  <c r="F34" i="19"/>
  <c r="G43" i="33"/>
  <c r="N63" i="33"/>
  <c r="AJ104" i="55"/>
  <c r="K43" i="35"/>
  <c r="AL55" i="55"/>
  <c r="N51" i="33"/>
  <c r="G34" i="2"/>
  <c r="H65" i="33"/>
  <c r="H45" i="55" s="1"/>
  <c r="N9" i="16"/>
  <c r="J74" i="36" s="1"/>
  <c r="O9" i="16"/>
  <c r="K74" i="36" s="1"/>
  <c r="I74" i="36"/>
  <c r="O17" i="26"/>
  <c r="J163" i="35" s="1"/>
  <c r="N17" i="26"/>
  <c r="I163" i="35" s="1"/>
  <c r="H163" i="35"/>
  <c r="F35" i="34"/>
  <c r="AV25" i="55" s="1"/>
  <c r="N24" i="13"/>
  <c r="G35" i="34" s="1"/>
  <c r="O24" i="13"/>
  <c r="H35" i="34" s="1"/>
  <c r="AK17" i="55"/>
  <c r="N173" i="35"/>
  <c r="AN17" i="55" s="1"/>
  <c r="L81" i="34"/>
  <c r="L108" i="36"/>
  <c r="F34" i="25"/>
  <c r="G41" i="33"/>
  <c r="W88" i="55"/>
  <c r="N24" i="26"/>
  <c r="G77" i="34" s="1"/>
  <c r="O24" i="26"/>
  <c r="H77" i="34" s="1"/>
  <c r="AX8" i="55" s="1"/>
  <c r="F77" i="34"/>
  <c r="AV8" i="55" s="1"/>
  <c r="AJ113" i="55"/>
  <c r="AJ109" i="55"/>
  <c r="O18" i="15"/>
  <c r="J87" i="35" s="1"/>
  <c r="AM67" i="55" s="1"/>
  <c r="H87" i="35"/>
  <c r="AK67" i="55" s="1"/>
  <c r="N18" i="15"/>
  <c r="I87" i="35" s="1"/>
  <c r="AV39" i="55"/>
  <c r="L9" i="34"/>
  <c r="F86" i="34"/>
  <c r="AV6" i="55" s="1"/>
  <c r="N24" i="2"/>
  <c r="G86" i="34" s="1"/>
  <c r="O24" i="2"/>
  <c r="H86" i="34" s="1"/>
  <c r="AX6" i="55" s="1"/>
  <c r="N25" i="30"/>
  <c r="G93" i="34" s="1"/>
  <c r="I93" i="34" s="1"/>
  <c r="F93" i="34"/>
  <c r="O25" i="30"/>
  <c r="H93" i="34" s="1"/>
  <c r="O18" i="26"/>
  <c r="J164" i="35" s="1"/>
  <c r="N18" i="26"/>
  <c r="I164" i="35" s="1"/>
  <c r="H164" i="35"/>
  <c r="G55" i="33"/>
  <c r="F34" i="24"/>
  <c r="O120" i="36"/>
  <c r="H125" i="35"/>
  <c r="AK128" i="55" s="1"/>
  <c r="N19" i="19"/>
  <c r="I125" i="35" s="1"/>
  <c r="O19" i="19"/>
  <c r="J125" i="35" s="1"/>
  <c r="AM128" i="55" s="1"/>
  <c r="N84" i="36"/>
  <c r="M84" i="36"/>
  <c r="AL76" i="55"/>
  <c r="AL73" i="55"/>
  <c r="K97" i="35"/>
  <c r="O20" i="16"/>
  <c r="J95" i="35" s="1"/>
  <c r="N20" i="16"/>
  <c r="I95" i="35" s="1"/>
  <c r="H95" i="35"/>
  <c r="O9" i="25"/>
  <c r="K94" i="36" s="1"/>
  <c r="I94" i="36"/>
  <c r="X64" i="55" s="1"/>
  <c r="N9" i="25"/>
  <c r="J94" i="36" s="1"/>
  <c r="K85" i="35"/>
  <c r="I33" i="34"/>
  <c r="L85" i="34"/>
  <c r="N9" i="19"/>
  <c r="J99" i="36" s="1"/>
  <c r="I99" i="36"/>
  <c r="O9" i="19"/>
  <c r="K99" i="36" s="1"/>
  <c r="N136" i="35"/>
  <c r="AN72" i="55" s="1"/>
  <c r="K138" i="35"/>
  <c r="AL112" i="55"/>
  <c r="O141" i="36"/>
  <c r="AU13" i="55"/>
  <c r="M4" i="33"/>
  <c r="G41" i="55"/>
  <c r="F58" i="34"/>
  <c r="N26" i="19"/>
  <c r="G58" i="34" s="1"/>
  <c r="O26" i="19"/>
  <c r="H58" i="34" s="1"/>
  <c r="I57" i="36"/>
  <c r="X17" i="55" s="1"/>
  <c r="N7" i="13"/>
  <c r="O7" i="13"/>
  <c r="H40" i="13"/>
  <c r="H41" i="13" s="1"/>
  <c r="I69" i="36"/>
  <c r="X77" i="55" s="1"/>
  <c r="N9" i="15"/>
  <c r="J69" i="36" s="1"/>
  <c r="O9" i="15"/>
  <c r="K69" i="36" s="1"/>
  <c r="Z77" i="55" s="1"/>
  <c r="AJ77" i="55"/>
  <c r="O24" i="16"/>
  <c r="H44" i="34" s="1"/>
  <c r="AX9" i="55" s="1"/>
  <c r="N24" i="16"/>
  <c r="G44" i="34" s="1"/>
  <c r="F44" i="34"/>
  <c r="AV9" i="55" s="1"/>
  <c r="W35" i="55"/>
  <c r="K9" i="35"/>
  <c r="AL96" i="55"/>
  <c r="AU33" i="55"/>
  <c r="AA83" i="55"/>
  <c r="M14" i="47"/>
  <c r="AA82" i="55"/>
  <c r="M15" i="47"/>
  <c r="I40" i="5"/>
  <c r="I41" i="5" s="1"/>
  <c r="AN49" i="55"/>
  <c r="I40" i="12"/>
  <c r="I41" i="12" s="1"/>
  <c r="F22" i="47"/>
  <c r="N137" i="35"/>
  <c r="H74" i="35"/>
  <c r="N74" i="35" s="1"/>
  <c r="N19" i="13"/>
  <c r="I74" i="35" s="1"/>
  <c r="K74" i="35" s="1"/>
  <c r="O19" i="13"/>
  <c r="J74" i="35" s="1"/>
  <c r="J40" i="4"/>
  <c r="J41" i="4" s="1"/>
  <c r="K7" i="36"/>
  <c r="Z6" i="55" s="1"/>
  <c r="M136" i="36"/>
  <c r="N136" i="36"/>
  <c r="W51" i="55"/>
  <c r="W46" i="55"/>
  <c r="AJ111" i="55"/>
  <c r="F78" i="34"/>
  <c r="L78" i="34" s="1"/>
  <c r="O25" i="26"/>
  <c r="H78" i="34" s="1"/>
  <c r="N25" i="26"/>
  <c r="G78" i="34" s="1"/>
  <c r="I78" i="34" s="1"/>
  <c r="O7" i="22"/>
  <c r="N7" i="22"/>
  <c r="H40" i="22"/>
  <c r="I112" i="36"/>
  <c r="X21" i="55" s="1"/>
  <c r="O21" i="24"/>
  <c r="J160" i="35" s="1"/>
  <c r="H160" i="35"/>
  <c r="N21" i="24"/>
  <c r="I160" i="35" s="1"/>
  <c r="K160" i="35" s="1"/>
  <c r="L55" i="36"/>
  <c r="AV12" i="55"/>
  <c r="L23" i="34"/>
  <c r="O18" i="14"/>
  <c r="J80" i="35" s="1"/>
  <c r="AM104" i="55" s="1"/>
  <c r="N18" i="14"/>
  <c r="I80" i="35" s="1"/>
  <c r="H80" i="35"/>
  <c r="AK104" i="55" s="1"/>
  <c r="W37" i="55"/>
  <c r="W39" i="55"/>
  <c r="O7" i="16"/>
  <c r="H40" i="16"/>
  <c r="N7" i="16"/>
  <c r="I72" i="36"/>
  <c r="X14" i="55" s="1"/>
  <c r="N59" i="33"/>
  <c r="O25" i="25"/>
  <c r="H75" i="34" s="1"/>
  <c r="N25" i="25"/>
  <c r="G75" i="34" s="1"/>
  <c r="I75" i="34" s="1"/>
  <c r="F75" i="34"/>
  <c r="L75" i="34" s="1"/>
  <c r="O21" i="31"/>
  <c r="J203" i="35" s="1"/>
  <c r="N21" i="31"/>
  <c r="I203" i="35" s="1"/>
  <c r="K203" i="35" s="1"/>
  <c r="H203" i="35"/>
  <c r="W57" i="55"/>
  <c r="AW2" i="55"/>
  <c r="I47" i="34"/>
  <c r="AJ98" i="55"/>
  <c r="N19" i="15"/>
  <c r="I88" i="35" s="1"/>
  <c r="H88" i="35"/>
  <c r="O19" i="15"/>
  <c r="J88" i="35" s="1"/>
  <c r="O11" i="14"/>
  <c r="K66" i="36" s="1"/>
  <c r="N11" i="14"/>
  <c r="J66" i="36" s="1"/>
  <c r="L66" i="36" s="1"/>
  <c r="I66" i="36"/>
  <c r="O66" i="36" s="1"/>
  <c r="O18" i="30"/>
  <c r="J193" i="35" s="1"/>
  <c r="H193" i="35"/>
  <c r="N193" i="35" s="1"/>
  <c r="N18" i="30"/>
  <c r="I193" i="35" s="1"/>
  <c r="O9" i="31"/>
  <c r="K159" i="36" s="1"/>
  <c r="Z88" i="55" s="1"/>
  <c r="I159" i="36"/>
  <c r="X88" i="55" s="1"/>
  <c r="N9" i="31"/>
  <c r="J159" i="36" s="1"/>
  <c r="G43" i="55"/>
  <c r="M70" i="33"/>
  <c r="F73" i="34"/>
  <c r="L73" i="34" s="1"/>
  <c r="O26" i="24"/>
  <c r="H73" i="34" s="1"/>
  <c r="N26" i="24"/>
  <c r="G73" i="34" s="1"/>
  <c r="N18" i="19"/>
  <c r="I126" i="35" s="1"/>
  <c r="H126" i="35"/>
  <c r="AK113" i="55" s="1"/>
  <c r="O18" i="19"/>
  <c r="J126" i="35" s="1"/>
  <c r="AU42" i="55"/>
  <c r="AW39" i="55"/>
  <c r="I9" i="34"/>
  <c r="AL34" i="55"/>
  <c r="K167" i="35"/>
  <c r="AJ14" i="55"/>
  <c r="G34" i="31"/>
  <c r="H72" i="33"/>
  <c r="H22" i="55" s="1"/>
  <c r="H55" i="33"/>
  <c r="G34" i="24"/>
  <c r="N127" i="35"/>
  <c r="AM73" i="55"/>
  <c r="N26" i="14"/>
  <c r="G40" i="34" s="1"/>
  <c r="O26" i="14"/>
  <c r="H40" i="34" s="1"/>
  <c r="F40" i="34"/>
  <c r="L40" i="34" s="1"/>
  <c r="L32" i="34"/>
  <c r="AV23" i="55"/>
  <c r="AJ19" i="55"/>
  <c r="N4" i="33"/>
  <c r="F5" i="47" s="1"/>
  <c r="O11" i="26"/>
  <c r="K131" i="36" s="1"/>
  <c r="N11" i="26"/>
  <c r="J131" i="36" s="1"/>
  <c r="I131" i="36"/>
  <c r="O131" i="36" s="1"/>
  <c r="G34" i="22"/>
  <c r="H49" i="33"/>
  <c r="H26" i="55" s="1"/>
  <c r="M172" i="35"/>
  <c r="L172" i="35"/>
  <c r="AM54" i="55"/>
  <c r="O21" i="14"/>
  <c r="J83" i="35" s="1"/>
  <c r="N21" i="14"/>
  <c r="I83" i="35" s="1"/>
  <c r="K83" i="35" s="1"/>
  <c r="H83" i="35"/>
  <c r="N83" i="35" s="1"/>
  <c r="N24" i="30"/>
  <c r="G92" i="34" s="1"/>
  <c r="F92" i="34"/>
  <c r="AV13" i="55" s="1"/>
  <c r="O24" i="30"/>
  <c r="H92" i="34" s="1"/>
  <c r="AX13" i="55" s="1"/>
  <c r="O8" i="22"/>
  <c r="K113" i="36" s="1"/>
  <c r="N8" i="22"/>
  <c r="J113" i="36" s="1"/>
  <c r="I113" i="36"/>
  <c r="X37" i="55" s="1"/>
  <c r="AJ125" i="55"/>
  <c r="N147" i="36"/>
  <c r="M147" i="36"/>
  <c r="N15" i="14"/>
  <c r="I77" i="35" s="1"/>
  <c r="O15" i="14"/>
  <c r="J77" i="35" s="1"/>
  <c r="AM77" i="55" s="1"/>
  <c r="H77" i="35"/>
  <c r="AK77" i="55" s="1"/>
  <c r="I93" i="36"/>
  <c r="N8" i="25"/>
  <c r="J93" i="36" s="1"/>
  <c r="L93" i="36" s="1"/>
  <c r="O8" i="25"/>
  <c r="K93" i="36" s="1"/>
  <c r="N135" i="35"/>
  <c r="AN50" i="55" s="1"/>
  <c r="K135" i="35"/>
  <c r="AH50" i="55"/>
  <c r="W44" i="55"/>
  <c r="Y70" i="55"/>
  <c r="L14" i="36"/>
  <c r="K132" i="36"/>
  <c r="Z12" i="55" s="1"/>
  <c r="J40" i="27"/>
  <c r="J41" i="27" s="1"/>
  <c r="N25" i="14"/>
  <c r="G39" i="34" s="1"/>
  <c r="I39" i="34" s="1"/>
  <c r="O25" i="14"/>
  <c r="H39" i="34" s="1"/>
  <c r="F39" i="34"/>
  <c r="AU37" i="55"/>
  <c r="L19" i="35"/>
  <c r="Y30" i="55"/>
  <c r="L53" i="36"/>
  <c r="M111" i="36"/>
  <c r="N111" i="36"/>
  <c r="O10" i="26"/>
  <c r="K130" i="36" s="1"/>
  <c r="Z101" i="55" s="1"/>
  <c r="I130" i="36"/>
  <c r="O130" i="36" s="1"/>
  <c r="AA101" i="55" s="1"/>
  <c r="N10" i="26"/>
  <c r="J130" i="36" s="1"/>
  <c r="N65" i="35"/>
  <c r="AK6" i="55"/>
  <c r="N25" i="22"/>
  <c r="G66" i="34" s="1"/>
  <c r="O25" i="22"/>
  <c r="H66" i="34" s="1"/>
  <c r="F66" i="34"/>
  <c r="I22" i="34"/>
  <c r="AJ85" i="55"/>
  <c r="I100" i="36"/>
  <c r="X46" i="55" s="1"/>
  <c r="O10" i="19"/>
  <c r="K100" i="36" s="1"/>
  <c r="Z46" i="55" s="1"/>
  <c r="N10" i="19"/>
  <c r="J100" i="36" s="1"/>
  <c r="N17" i="30"/>
  <c r="I192" i="35" s="1"/>
  <c r="H192" i="35"/>
  <c r="N192" i="35" s="1"/>
  <c r="AN111" i="55" s="1"/>
  <c r="O17" i="30"/>
  <c r="J192" i="35" s="1"/>
  <c r="AM111" i="55" s="1"/>
  <c r="AJ24" i="55"/>
  <c r="O20" i="19"/>
  <c r="J128" i="35" s="1"/>
  <c r="N20" i="19"/>
  <c r="I128" i="35" s="1"/>
  <c r="H128" i="35"/>
  <c r="N128" i="35" s="1"/>
  <c r="O8" i="13"/>
  <c r="K58" i="36" s="1"/>
  <c r="N8" i="13"/>
  <c r="J58" i="36" s="1"/>
  <c r="I58" i="36"/>
  <c r="O9" i="26"/>
  <c r="K129" i="36" s="1"/>
  <c r="Z53" i="55" s="1"/>
  <c r="I129" i="36"/>
  <c r="O129" i="36" s="1"/>
  <c r="AA53" i="55" s="1"/>
  <c r="N9" i="26"/>
  <c r="J129" i="36" s="1"/>
  <c r="L129" i="36" s="1"/>
  <c r="L47" i="34"/>
  <c r="AV2" i="55"/>
  <c r="AU28" i="55"/>
  <c r="AJ18" i="55"/>
  <c r="O26" i="13"/>
  <c r="H37" i="34" s="1"/>
  <c r="N26" i="13"/>
  <c r="G37" i="34" s="1"/>
  <c r="I37" i="34" s="1"/>
  <c r="F37" i="34"/>
  <c r="W13" i="55"/>
  <c r="N43" i="35"/>
  <c r="AN55" i="55" s="1"/>
  <c r="N19" i="30"/>
  <c r="I194" i="35" s="1"/>
  <c r="H194" i="35"/>
  <c r="N194" i="35" s="1"/>
  <c r="AN98" i="55" s="1"/>
  <c r="O19" i="30"/>
  <c r="J194" i="35" s="1"/>
  <c r="AM98" i="55" s="1"/>
  <c r="O81" i="36"/>
  <c r="I128" i="36"/>
  <c r="O8" i="26"/>
  <c r="K128" i="36" s="1"/>
  <c r="O128" i="36" s="1"/>
  <c r="N8" i="26"/>
  <c r="J128" i="36" s="1"/>
  <c r="L20" i="34"/>
  <c r="W60" i="55"/>
  <c r="W32" i="55"/>
  <c r="AU46" i="55"/>
  <c r="O24" i="15"/>
  <c r="H41" i="34" s="1"/>
  <c r="AX42" i="55" s="1"/>
  <c r="N24" i="15"/>
  <c r="G41" i="34" s="1"/>
  <c r="F41" i="34"/>
  <c r="AV42" i="55" s="1"/>
  <c r="M56" i="33"/>
  <c r="AK34" i="55"/>
  <c r="N167" i="35"/>
  <c r="N16" i="16"/>
  <c r="I91" i="35" s="1"/>
  <c r="O16" i="16"/>
  <c r="J91" i="35" s="1"/>
  <c r="AM14" i="55" s="1"/>
  <c r="H91" i="35"/>
  <c r="AK14" i="55" s="1"/>
  <c r="F34" i="31"/>
  <c r="G72" i="33"/>
  <c r="O19" i="26"/>
  <c r="J165" i="35" s="1"/>
  <c r="H165" i="35"/>
  <c r="N19" i="26"/>
  <c r="I165" i="35" s="1"/>
  <c r="K165" i="35" s="1"/>
  <c r="O21" i="19"/>
  <c r="J127" i="35" s="1"/>
  <c r="N21" i="19"/>
  <c r="I127" i="35" s="1"/>
  <c r="H127" i="35"/>
  <c r="O15" i="30"/>
  <c r="J190" i="35" s="1"/>
  <c r="AM19" i="55" s="1"/>
  <c r="H190" i="35"/>
  <c r="AK19" i="55" s="1"/>
  <c r="N15" i="30"/>
  <c r="I190" i="35" s="1"/>
  <c r="O19" i="31"/>
  <c r="J201" i="35" s="1"/>
  <c r="N19" i="31"/>
  <c r="I201" i="35" s="1"/>
  <c r="K201" i="35" s="1"/>
  <c r="H201" i="35"/>
  <c r="N201" i="35" s="1"/>
  <c r="N71" i="33"/>
  <c r="F65" i="47" s="1"/>
  <c r="F34" i="22"/>
  <c r="G49" i="33"/>
  <c r="I85" i="34"/>
  <c r="N172" i="35"/>
  <c r="AL54" i="55"/>
  <c r="K99" i="35"/>
  <c r="G34" i="16"/>
  <c r="H33" i="33"/>
  <c r="H8" i="55" s="1"/>
  <c r="AU36" i="55"/>
  <c r="H162" i="35"/>
  <c r="O16" i="26"/>
  <c r="J162" i="35" s="1"/>
  <c r="N16" i="26"/>
  <c r="I162" i="35" s="1"/>
  <c r="O18" i="24"/>
  <c r="J157" i="35" s="1"/>
  <c r="N18" i="24"/>
  <c r="I157" i="35" s="1"/>
  <c r="H157" i="35"/>
  <c r="N157" i="35" s="1"/>
  <c r="G27" i="33"/>
  <c r="F34" i="13"/>
  <c r="L9" i="36"/>
  <c r="Y55" i="55"/>
  <c r="F56" i="34"/>
  <c r="O24" i="19"/>
  <c r="H56" i="34" s="1"/>
  <c r="AX41" i="55" s="1"/>
  <c r="N24" i="19"/>
  <c r="G56" i="34" s="1"/>
  <c r="X27" i="55"/>
  <c r="N25" i="16"/>
  <c r="G45" i="34" s="1"/>
  <c r="O25" i="16"/>
  <c r="H45" i="34" s="1"/>
  <c r="F45" i="34"/>
  <c r="L45" i="34" s="1"/>
  <c r="N64" i="35"/>
  <c r="AN79" i="55" s="1"/>
  <c r="Z86" i="55"/>
  <c r="N25" i="19"/>
  <c r="G57" i="34" s="1"/>
  <c r="O25" i="19"/>
  <c r="H57" i="34" s="1"/>
  <c r="F57" i="34"/>
  <c r="F97" i="34"/>
  <c r="N26" i="31"/>
  <c r="G97" i="34" s="1"/>
  <c r="O26" i="31"/>
  <c r="H97" i="34" s="1"/>
  <c r="W59" i="55"/>
  <c r="H73" i="35"/>
  <c r="N73" i="35" s="1"/>
  <c r="O18" i="13"/>
  <c r="J73" i="35" s="1"/>
  <c r="N18" i="13"/>
  <c r="I73" i="35" s="1"/>
  <c r="K73" i="35" s="1"/>
  <c r="N16" i="30"/>
  <c r="I191" i="35" s="1"/>
  <c r="O16" i="30"/>
  <c r="J191" i="35" s="1"/>
  <c r="AM46" i="55" s="1"/>
  <c r="H191" i="35"/>
  <c r="AK46" i="55" s="1"/>
  <c r="O10" i="13"/>
  <c r="K60" i="36" s="1"/>
  <c r="N10" i="13"/>
  <c r="J60" i="36" s="1"/>
  <c r="I60" i="36"/>
  <c r="K136" i="35"/>
  <c r="AL72" i="55"/>
  <c r="O8" i="14"/>
  <c r="K63" i="36" s="1"/>
  <c r="Z62" i="55" s="1"/>
  <c r="N8" i="14"/>
  <c r="J63" i="36" s="1"/>
  <c r="I63" i="36"/>
  <c r="X62" i="55" s="1"/>
  <c r="L51" i="35"/>
  <c r="H40" i="19"/>
  <c r="H41" i="19" s="1"/>
  <c r="J40" i="10"/>
  <c r="AY32" i="55"/>
  <c r="AY50" i="55"/>
  <c r="AY95" i="55"/>
  <c r="AY65" i="55"/>
  <c r="AY80" i="55"/>
  <c r="AY99" i="55"/>
  <c r="AY55" i="55"/>
  <c r="Z95" i="55"/>
  <c r="M19" i="35"/>
  <c r="I40" i="4"/>
  <c r="I41" i="4" s="1"/>
  <c r="J7" i="36"/>
  <c r="O136" i="36"/>
  <c r="A8" i="35"/>
  <c r="Q8" i="47"/>
  <c r="AO108" i="47"/>
  <c r="AN108" i="47"/>
  <c r="Y11" i="55"/>
  <c r="L32" i="36"/>
  <c r="O32" i="36"/>
  <c r="O19" i="14"/>
  <c r="J81" i="35" s="1"/>
  <c r="AM85" i="55" s="1"/>
  <c r="N19" i="14"/>
  <c r="I81" i="35" s="1"/>
  <c r="H81" i="35"/>
  <c r="AK85" i="55" s="1"/>
  <c r="L46" i="34"/>
  <c r="O10" i="25"/>
  <c r="K95" i="36" s="1"/>
  <c r="Z78" i="55" s="1"/>
  <c r="N10" i="25"/>
  <c r="J95" i="36" s="1"/>
  <c r="I95" i="36"/>
  <c r="X78" i="55" s="1"/>
  <c r="N17" i="31"/>
  <c r="I199" i="35" s="1"/>
  <c r="K199" i="35" s="1"/>
  <c r="O17" i="31"/>
  <c r="J199" i="35" s="1"/>
  <c r="H199" i="35"/>
  <c r="AK24" i="55" s="1"/>
  <c r="L135" i="36"/>
  <c r="O17" i="24"/>
  <c r="J156" i="35" s="1"/>
  <c r="AM78" i="55" s="1"/>
  <c r="N17" i="24"/>
  <c r="I156" i="35" s="1"/>
  <c r="H156" i="35"/>
  <c r="AK78" i="55" s="1"/>
  <c r="O10" i="14"/>
  <c r="K65" i="36" s="1"/>
  <c r="N10" i="14"/>
  <c r="J65" i="36" s="1"/>
  <c r="L65" i="36" s="1"/>
  <c r="I65" i="36"/>
  <c r="O65" i="36" s="1"/>
  <c r="H118" i="35"/>
  <c r="N118" i="35" s="1"/>
  <c r="N17" i="25"/>
  <c r="I118" i="35" s="1"/>
  <c r="O17" i="25"/>
  <c r="J118" i="35" s="1"/>
  <c r="N20" i="31"/>
  <c r="I202" i="35" s="1"/>
  <c r="H202" i="35"/>
  <c r="O20" i="31"/>
  <c r="J202" i="35" s="1"/>
  <c r="F72" i="34"/>
  <c r="AV28" i="55" s="1"/>
  <c r="N25" i="24"/>
  <c r="G72" i="34" s="1"/>
  <c r="O25" i="24"/>
  <c r="H72" i="34" s="1"/>
  <c r="O15" i="13"/>
  <c r="J70" i="35" s="1"/>
  <c r="AM18" i="55" s="1"/>
  <c r="H70" i="35"/>
  <c r="AK18" i="55" s="1"/>
  <c r="N15" i="13"/>
  <c r="I70" i="35" s="1"/>
  <c r="Z70" i="55"/>
  <c r="L81" i="36"/>
  <c r="AT30" i="55"/>
  <c r="AJ10" i="55"/>
  <c r="M11" i="36"/>
  <c r="N11" i="36"/>
  <c r="I70" i="36"/>
  <c r="X60" i="55" s="1"/>
  <c r="O10" i="15"/>
  <c r="K70" i="36" s="1"/>
  <c r="N10" i="15"/>
  <c r="J70" i="36" s="1"/>
  <c r="I40" i="21"/>
  <c r="I41" i="21" s="1"/>
  <c r="J107" i="36"/>
  <c r="G34" i="25"/>
  <c r="H41" i="33"/>
  <c r="H29" i="55" s="1"/>
  <c r="O18" i="31"/>
  <c r="J200" i="35" s="1"/>
  <c r="H200" i="35"/>
  <c r="N200" i="35" s="1"/>
  <c r="N18" i="31"/>
  <c r="I200" i="35" s="1"/>
  <c r="O7" i="26"/>
  <c r="N7" i="26"/>
  <c r="I127" i="36"/>
  <c r="X32" i="55" s="1"/>
  <c r="H40" i="26"/>
  <c r="H41" i="26" s="1"/>
  <c r="N24" i="24"/>
  <c r="G71" i="34" s="1"/>
  <c r="O24" i="24"/>
  <c r="H71" i="34" s="1"/>
  <c r="AX46" i="55" s="1"/>
  <c r="F71" i="34"/>
  <c r="AV46" i="55" s="1"/>
  <c r="N9" i="13"/>
  <c r="J59" i="36" s="1"/>
  <c r="I59" i="36"/>
  <c r="O59" i="36" s="1"/>
  <c r="O9" i="13"/>
  <c r="K59" i="36" s="1"/>
  <c r="N7" i="30"/>
  <c r="O7" i="30"/>
  <c r="I152" i="36"/>
  <c r="H40" i="30"/>
  <c r="H41" i="30" s="1"/>
  <c r="N25" i="33"/>
  <c r="F25" i="47" s="1"/>
  <c r="M25" i="33"/>
  <c r="AM32" i="55"/>
  <c r="W52" i="55"/>
  <c r="Y79" i="55"/>
  <c r="L24" i="36"/>
  <c r="AL69" i="55"/>
  <c r="K149" i="35"/>
  <c r="M8" i="33"/>
  <c r="G42" i="55"/>
  <c r="H41" i="22"/>
  <c r="AK54" i="55"/>
  <c r="N99" i="35"/>
  <c r="K48" i="34"/>
  <c r="O20" i="14"/>
  <c r="J82" i="35" s="1"/>
  <c r="N20" i="14"/>
  <c r="I82" i="35" s="1"/>
  <c r="K82" i="35" s="1"/>
  <c r="H82" i="35"/>
  <c r="N82" i="35" s="1"/>
  <c r="H41" i="16"/>
  <c r="O20" i="30"/>
  <c r="J195" i="35" s="1"/>
  <c r="H195" i="35"/>
  <c r="N20" i="30"/>
  <c r="I195" i="35" s="1"/>
  <c r="K195" i="35" s="1"/>
  <c r="O26" i="25"/>
  <c r="H76" i="34" s="1"/>
  <c r="F76" i="34"/>
  <c r="AV36" i="55" s="1"/>
  <c r="N26" i="25"/>
  <c r="G76" i="34" s="1"/>
  <c r="L76" i="34" s="1"/>
  <c r="O20" i="22"/>
  <c r="J146" i="35" s="1"/>
  <c r="N20" i="22"/>
  <c r="I146" i="35" s="1"/>
  <c r="H146" i="35"/>
  <c r="N74" i="33"/>
  <c r="G34" i="13"/>
  <c r="H27" i="33"/>
  <c r="AU40" i="55"/>
  <c r="AU41" i="55"/>
  <c r="K77" i="36"/>
  <c r="Z27" i="55" s="1"/>
  <c r="J40" i="17"/>
  <c r="J41" i="17" s="1"/>
  <c r="AA80" i="55"/>
  <c r="AA81" i="55"/>
  <c r="AJ35" i="55"/>
  <c r="N139" i="35"/>
  <c r="AN117" i="55" s="1"/>
  <c r="G34" i="19"/>
  <c r="H43" i="33"/>
  <c r="H10" i="55" s="1"/>
  <c r="N16" i="24"/>
  <c r="I155" i="35" s="1"/>
  <c r="H155" i="35"/>
  <c r="AK45" i="55" s="1"/>
  <c r="O16" i="24"/>
  <c r="J155" i="35" s="1"/>
  <c r="AM45" i="55" s="1"/>
  <c r="X70" i="55"/>
  <c r="O145" i="36"/>
  <c r="AA68" i="55" s="1"/>
  <c r="O15" i="31"/>
  <c r="J197" i="35" s="1"/>
  <c r="AM26" i="55" s="1"/>
  <c r="H197" i="35"/>
  <c r="AK26" i="55" s="1"/>
  <c r="N15" i="31"/>
  <c r="I197" i="35" s="1"/>
  <c r="AL79" i="55"/>
  <c r="K64" i="35"/>
  <c r="AJ62" i="55"/>
  <c r="AP47" i="47"/>
  <c r="X73" i="55"/>
  <c r="X72" i="55"/>
  <c r="X29" i="55"/>
  <c r="X28" i="55"/>
  <c r="AS46" i="55"/>
  <c r="L45" i="36"/>
  <c r="F24" i="47"/>
  <c r="Y86" i="55"/>
  <c r="L140" i="36"/>
  <c r="X30" i="55"/>
  <c r="O53" i="36"/>
  <c r="AA30" i="55" s="1"/>
  <c r="N26" i="26"/>
  <c r="G79" i="34" s="1"/>
  <c r="I79" i="34" s="1"/>
  <c r="K79" i="34" s="1"/>
  <c r="O26" i="26"/>
  <c r="H79" i="34" s="1"/>
  <c r="F79" i="34"/>
  <c r="L57" i="34"/>
  <c r="AA56" i="47" s="1"/>
  <c r="AW11" i="55"/>
  <c r="I80" i="34"/>
  <c r="G38" i="55"/>
  <c r="M53" i="33"/>
  <c r="N53" i="33"/>
  <c r="F36" i="34"/>
  <c r="L36" i="34" s="1"/>
  <c r="N25" i="13"/>
  <c r="G36" i="34" s="1"/>
  <c r="I36" i="34" s="1"/>
  <c r="O25" i="13"/>
  <c r="H36" i="34" s="1"/>
  <c r="I40" i="8"/>
  <c r="I41" i="8" s="1"/>
  <c r="O26" i="16"/>
  <c r="H46" i="34" s="1"/>
  <c r="N26" i="16"/>
  <c r="G46" i="34" s="1"/>
  <c r="F46" i="34"/>
  <c r="I153" i="36"/>
  <c r="O8" i="30"/>
  <c r="K153" i="36" s="1"/>
  <c r="N8" i="30"/>
  <c r="J153" i="36" s="1"/>
  <c r="O18" i="22"/>
  <c r="J144" i="35" s="1"/>
  <c r="N18" i="22"/>
  <c r="I144" i="35" s="1"/>
  <c r="H144" i="35"/>
  <c r="N43" i="33"/>
  <c r="F10" i="55"/>
  <c r="H76" i="35"/>
  <c r="N76" i="35" s="1"/>
  <c r="O21" i="13"/>
  <c r="J76" i="35" s="1"/>
  <c r="N21" i="13"/>
  <c r="I76" i="35" s="1"/>
  <c r="O7" i="36"/>
  <c r="M6" i="47" s="1"/>
  <c r="M83" i="36"/>
  <c r="N83" i="36"/>
  <c r="L22" i="34"/>
  <c r="N21" i="16"/>
  <c r="I96" i="35" s="1"/>
  <c r="K96" i="35" s="1"/>
  <c r="O21" i="16"/>
  <c r="J96" i="35" s="1"/>
  <c r="H96" i="35"/>
  <c r="L104" i="35"/>
  <c r="M104" i="35"/>
  <c r="O16" i="31"/>
  <c r="J198" i="35" s="1"/>
  <c r="AM65" i="55" s="1"/>
  <c r="N16" i="31"/>
  <c r="I198" i="35" s="1"/>
  <c r="H198" i="35"/>
  <c r="AK65" i="55" s="1"/>
  <c r="O138" i="36"/>
  <c r="AJ45" i="55"/>
  <c r="I20" i="34"/>
  <c r="AW24" i="55"/>
  <c r="N7" i="14"/>
  <c r="O7" i="14"/>
  <c r="H40" i="14"/>
  <c r="H41" i="14" s="1"/>
  <c r="I62" i="36"/>
  <c r="X13" i="55" s="1"/>
  <c r="O14" i="36"/>
  <c r="O10" i="16"/>
  <c r="K75" i="36" s="1"/>
  <c r="N10" i="16"/>
  <c r="J75" i="36" s="1"/>
  <c r="I75" i="36"/>
  <c r="O11" i="30"/>
  <c r="K156" i="36" s="1"/>
  <c r="I156" i="36"/>
  <c r="O156" i="36" s="1"/>
  <c r="N11" i="30"/>
  <c r="J156" i="36" s="1"/>
  <c r="L156" i="36" s="1"/>
  <c r="O11" i="25"/>
  <c r="K96" i="36" s="1"/>
  <c r="I96" i="36"/>
  <c r="N11" i="25"/>
  <c r="J96" i="36" s="1"/>
  <c r="L96" i="36" s="1"/>
  <c r="N171" i="35"/>
  <c r="AN80" i="55" s="1"/>
  <c r="K171" i="35"/>
  <c r="AL80" i="55"/>
  <c r="N11" i="22"/>
  <c r="J116" i="36" s="1"/>
  <c r="L116" i="36" s="1"/>
  <c r="O11" i="22"/>
  <c r="K116" i="36" s="1"/>
  <c r="I116" i="36"/>
  <c r="N16" i="19"/>
  <c r="I123" i="35" s="1"/>
  <c r="H123" i="35"/>
  <c r="AK10" i="55" s="1"/>
  <c r="O16" i="19"/>
  <c r="J123" i="35" s="1"/>
  <c r="AM10" i="55" s="1"/>
  <c r="J40" i="21"/>
  <c r="J41" i="21" s="1"/>
  <c r="K107" i="36"/>
  <c r="Z10" i="55" s="1"/>
  <c r="M30" i="55"/>
  <c r="F6" i="47"/>
  <c r="AJ46" i="55"/>
  <c r="N191" i="35"/>
  <c r="AN46" i="55" s="1"/>
  <c r="J132" i="36"/>
  <c r="I40" i="27"/>
  <c r="I41" i="27" s="1"/>
  <c r="N197" i="35"/>
  <c r="AN26" i="55" s="1"/>
  <c r="AJ26" i="55"/>
  <c r="O60" i="36"/>
  <c r="M103" i="35"/>
  <c r="L103" i="35"/>
  <c r="L39" i="34"/>
  <c r="N11" i="16"/>
  <c r="J76" i="36" s="1"/>
  <c r="L76" i="36" s="1"/>
  <c r="O11" i="16"/>
  <c r="K76" i="36" s="1"/>
  <c r="I76" i="36"/>
  <c r="O76" i="36" s="1"/>
  <c r="N62" i="33"/>
  <c r="F57" i="47" s="1"/>
  <c r="H120" i="35"/>
  <c r="N120" i="35" s="1"/>
  <c r="O19" i="25"/>
  <c r="J120" i="35" s="1"/>
  <c r="N19" i="25"/>
  <c r="I120" i="35" s="1"/>
  <c r="N9" i="35"/>
  <c r="AN96" i="55" s="1"/>
  <c r="AJ83" i="55"/>
  <c r="O11" i="13"/>
  <c r="K61" i="36" s="1"/>
  <c r="N11" i="13"/>
  <c r="J61" i="36" s="1"/>
  <c r="I61" i="36"/>
  <c r="O61" i="36" s="1"/>
  <c r="N168" i="35"/>
  <c r="AN31" i="55" s="1"/>
  <c r="AK32" i="55"/>
  <c r="O8" i="2"/>
  <c r="I143" i="36"/>
  <c r="X52" i="55" s="1"/>
  <c r="N8" i="2"/>
  <c r="H40" i="2"/>
  <c r="H41" i="2" s="1"/>
  <c r="N51" i="35"/>
  <c r="AM69" i="55"/>
  <c r="O119" i="36"/>
  <c r="Y170" i="55"/>
  <c r="Y100" i="55"/>
  <c r="Y99" i="55"/>
  <c r="Y167" i="55"/>
  <c r="Y142" i="55"/>
  <c r="Y138" i="55"/>
  <c r="Y159" i="55"/>
  <c r="Y166" i="55"/>
  <c r="Y162" i="55"/>
  <c r="Y154" i="55"/>
  <c r="Y98" i="55"/>
  <c r="Y171" i="55"/>
  <c r="Y110" i="55"/>
  <c r="Y126" i="55"/>
  <c r="Y96" i="55"/>
  <c r="Y146" i="55"/>
  <c r="Y102" i="55"/>
  <c r="Y158" i="55"/>
  <c r="Y150" i="55"/>
  <c r="Y118" i="55"/>
  <c r="Y131" i="55"/>
  <c r="Y111" i="55"/>
  <c r="Y135" i="55"/>
  <c r="Y116" i="55"/>
  <c r="Y109" i="55"/>
  <c r="Y123" i="55"/>
  <c r="Y125" i="55"/>
  <c r="Y144" i="55"/>
  <c r="Y145" i="55"/>
  <c r="Y140" i="55"/>
  <c r="Y103" i="55"/>
  <c r="Y141" i="55"/>
  <c r="Y147" i="55"/>
  <c r="Y120" i="55"/>
  <c r="Y155" i="55"/>
  <c r="Y133" i="55"/>
  <c r="Y148" i="55"/>
  <c r="Y161" i="55"/>
  <c r="Y106" i="55"/>
  <c r="Y104" i="55"/>
  <c r="Y127" i="55"/>
  <c r="Y160" i="55"/>
  <c r="L5" i="36"/>
  <c r="Y137" i="55"/>
  <c r="Y143" i="55"/>
  <c r="Y107" i="55"/>
  <c r="Y151" i="55"/>
  <c r="Y136" i="55"/>
  <c r="Y139" i="55"/>
  <c r="Y101" i="55"/>
  <c r="Y165" i="55"/>
  <c r="Y114" i="55"/>
  <c r="Y121" i="55"/>
  <c r="Y153" i="55"/>
  <c r="Y112" i="55"/>
  <c r="Y105" i="55"/>
  <c r="Y130" i="55"/>
  <c r="Y134" i="55"/>
  <c r="Y124" i="55"/>
  <c r="Y149" i="55"/>
  <c r="Y132" i="55"/>
  <c r="Y113" i="55"/>
  <c r="Y164" i="55"/>
  <c r="Y97" i="55"/>
  <c r="Y117" i="55"/>
  <c r="Y169" i="55"/>
  <c r="Y152" i="55"/>
  <c r="Y129" i="55"/>
  <c r="Y163" i="55"/>
  <c r="Y94" i="55"/>
  <c r="Y122" i="55"/>
  <c r="Y115" i="55"/>
  <c r="Y119" i="55"/>
  <c r="Y128" i="55"/>
  <c r="Y157" i="55"/>
  <c r="Y108" i="55"/>
  <c r="Y156" i="55"/>
  <c r="Y168" i="55"/>
  <c r="AJ37" i="55"/>
  <c r="O20" i="24"/>
  <c r="J159" i="35" s="1"/>
  <c r="H159" i="35"/>
  <c r="N159" i="35" s="1"/>
  <c r="N20" i="24"/>
  <c r="I159" i="35" s="1"/>
  <c r="K159" i="35" s="1"/>
  <c r="N48" i="33"/>
  <c r="F34" i="16"/>
  <c r="G33" i="33"/>
  <c r="M59" i="33"/>
  <c r="G25" i="55"/>
  <c r="AJ7" i="55"/>
  <c r="N116" i="35"/>
  <c r="O11" i="31"/>
  <c r="K161" i="36" s="1"/>
  <c r="N11" i="31"/>
  <c r="J161" i="36" s="1"/>
  <c r="L161" i="36" s="1"/>
  <c r="I161" i="36"/>
  <c r="L82" i="36"/>
  <c r="U3" i="55"/>
  <c r="N10" i="24"/>
  <c r="J125" i="36" s="1"/>
  <c r="O10" i="24"/>
  <c r="K125" i="36" s="1"/>
  <c r="I125" i="36"/>
  <c r="N138" i="35"/>
  <c r="AN112" i="55" s="1"/>
  <c r="O63" i="36"/>
  <c r="AA62" i="55" s="1"/>
  <c r="W62" i="55"/>
  <c r="J77" i="36"/>
  <c r="I40" i="17"/>
  <c r="I41" i="17" s="1"/>
  <c r="N9" i="30"/>
  <c r="J154" i="36" s="1"/>
  <c r="L154" i="36" s="1"/>
  <c r="O9" i="30"/>
  <c r="K154" i="36" s="1"/>
  <c r="I154" i="36"/>
  <c r="O154" i="36" s="1"/>
  <c r="F35" i="47"/>
  <c r="AV11" i="55"/>
  <c r="L80" i="34"/>
  <c r="AY11" i="55" s="1"/>
  <c r="H75" i="35"/>
  <c r="N20" i="13"/>
  <c r="I75" i="35" s="1"/>
  <c r="O20" i="13"/>
  <c r="J75" i="35" s="1"/>
  <c r="N75" i="35" s="1"/>
  <c r="AP33" i="47"/>
  <c r="AA33" i="47"/>
  <c r="AU29" i="55"/>
  <c r="N149" i="35"/>
  <c r="Z155" i="55"/>
  <c r="Z96" i="55"/>
  <c r="Z100" i="55"/>
  <c r="Z170" i="55"/>
  <c r="Z118" i="55"/>
  <c r="Z106" i="55"/>
  <c r="Z99" i="55"/>
  <c r="Z138" i="55"/>
  <c r="Z154" i="55"/>
  <c r="Z134" i="55"/>
  <c r="Z103" i="55"/>
  <c r="Z123" i="55"/>
  <c r="Z158" i="55"/>
  <c r="Z166" i="55"/>
  <c r="Z150" i="55"/>
  <c r="Z122" i="55"/>
  <c r="Z98" i="55"/>
  <c r="Z171" i="55"/>
  <c r="Z126" i="55"/>
  <c r="Z162" i="55"/>
  <c r="Z146" i="55"/>
  <c r="Z97" i="55"/>
  <c r="Z102" i="55"/>
  <c r="Z131" i="55"/>
  <c r="Z108" i="55"/>
  <c r="Z168" i="55"/>
  <c r="Z128" i="55"/>
  <c r="Z115" i="55"/>
  <c r="Z132" i="55"/>
  <c r="Z94" i="55"/>
  <c r="Z111" i="55"/>
  <c r="Z161" i="55"/>
  <c r="Z165" i="55"/>
  <c r="Z159" i="55"/>
  <c r="Z152" i="55"/>
  <c r="Z145" i="55"/>
  <c r="Z109" i="55"/>
  <c r="Z130" i="55"/>
  <c r="Z105" i="55"/>
  <c r="Z133" i="55"/>
  <c r="Z136" i="55"/>
  <c r="Z112" i="55"/>
  <c r="Z141" i="55"/>
  <c r="Z144" i="55"/>
  <c r="Z164" i="55"/>
  <c r="Z107" i="55"/>
  <c r="Z169" i="55"/>
  <c r="Z142" i="55"/>
  <c r="Z148" i="55"/>
  <c r="Z104" i="55"/>
  <c r="Z137" i="55"/>
  <c r="Z114" i="55"/>
  <c r="Z117" i="55"/>
  <c r="Z149" i="55"/>
  <c r="Z167" i="55"/>
  <c r="Z110" i="55"/>
  <c r="Z135" i="55"/>
  <c r="Z160" i="55"/>
  <c r="Z120" i="55"/>
  <c r="Z151" i="55"/>
  <c r="Z116" i="55"/>
  <c r="Z121" i="55"/>
  <c r="Z139" i="55"/>
  <c r="Z127" i="55"/>
  <c r="Z156" i="55"/>
  <c r="Z143" i="55"/>
  <c r="Z119" i="55"/>
  <c r="Z125" i="55"/>
  <c r="Z129" i="55"/>
  <c r="Z147" i="55"/>
  <c r="Z140" i="55"/>
  <c r="Z157" i="55"/>
  <c r="Z124" i="55"/>
  <c r="Z153" i="55"/>
  <c r="Z163" i="55"/>
  <c r="Z113" i="55"/>
  <c r="O15" i="22"/>
  <c r="J141" i="35" s="1"/>
  <c r="N15" i="22"/>
  <c r="I141" i="35" s="1"/>
  <c r="AL36" i="55" s="1"/>
  <c r="H141" i="35"/>
  <c r="W84" i="55"/>
  <c r="O20" i="15"/>
  <c r="J89" i="35" s="1"/>
  <c r="N20" i="15"/>
  <c r="I89" i="35" s="1"/>
  <c r="H89" i="35"/>
  <c r="N15" i="25"/>
  <c r="I116" i="35" s="1"/>
  <c r="O15" i="25"/>
  <c r="J116" i="35" s="1"/>
  <c r="H116" i="35"/>
  <c r="AK7" i="55" s="1"/>
  <c r="O10" i="31"/>
  <c r="K160" i="36" s="1"/>
  <c r="Z87" i="55" s="1"/>
  <c r="N10" i="31"/>
  <c r="J160" i="36" s="1"/>
  <c r="I160" i="36"/>
  <c r="N19" i="22"/>
  <c r="I145" i="35" s="1"/>
  <c r="O19" i="22"/>
  <c r="J145" i="35" s="1"/>
  <c r="H145" i="35"/>
  <c r="AS40" i="55"/>
  <c r="AA74" i="55"/>
  <c r="X86" i="55"/>
  <c r="O140" i="36"/>
  <c r="K139" i="35"/>
  <c r="AL117" i="55"/>
  <c r="N16" i="22"/>
  <c r="I142" i="35" s="1"/>
  <c r="O16" i="22"/>
  <c r="J142" i="35" s="1"/>
  <c r="H142" i="35"/>
  <c r="AK13" i="55" s="1"/>
  <c r="N8" i="24"/>
  <c r="J123" i="36" s="1"/>
  <c r="I123" i="36"/>
  <c r="X35" i="55" s="1"/>
  <c r="O8" i="24"/>
  <c r="K123" i="36" s="1"/>
  <c r="I101" i="36"/>
  <c r="O11" i="19"/>
  <c r="K101" i="36" s="1"/>
  <c r="N11" i="19"/>
  <c r="J101" i="36" s="1"/>
  <c r="L101" i="36" s="1"/>
  <c r="AJ43" i="55"/>
  <c r="F34" i="14"/>
  <c r="G29" i="33"/>
  <c r="N148" i="35"/>
  <c r="AN90" i="55" s="1"/>
  <c r="AK90" i="55"/>
  <c r="N15" i="16"/>
  <c r="I90" i="35" s="1"/>
  <c r="O15" i="16"/>
  <c r="J90" i="35" s="1"/>
  <c r="AM35" i="55" s="1"/>
  <c r="H90" i="35"/>
  <c r="AK35" i="55" s="1"/>
  <c r="L105" i="35"/>
  <c r="M105" i="35"/>
  <c r="I68" i="36"/>
  <c r="O8" i="15"/>
  <c r="K68" i="36" s="1"/>
  <c r="N8" i="15"/>
  <c r="J68" i="36" s="1"/>
  <c r="K68" i="35"/>
  <c r="Z57" i="55"/>
  <c r="Z48" i="55"/>
  <c r="W76" i="55"/>
  <c r="AK53" i="55"/>
  <c r="N177" i="35"/>
  <c r="AN53" i="55" s="1"/>
  <c r="X15" i="55"/>
  <c r="O52" i="36"/>
  <c r="AA15" i="55" s="1"/>
  <c r="O7" i="15"/>
  <c r="N7" i="15"/>
  <c r="I67" i="36"/>
  <c r="X44" i="55" s="1"/>
  <c r="H40" i="15"/>
  <c r="H41" i="15" s="1"/>
  <c r="N19" i="16"/>
  <c r="I94" i="35" s="1"/>
  <c r="O19" i="16"/>
  <c r="J94" i="35" s="1"/>
  <c r="H94" i="35"/>
  <c r="N94" i="35" s="1"/>
  <c r="F34" i="30"/>
  <c r="G69" i="33"/>
  <c r="G28" i="55" s="1"/>
  <c r="O8" i="31"/>
  <c r="K158" i="36" s="1"/>
  <c r="N8" i="31"/>
  <c r="J158" i="36" s="1"/>
  <c r="I158" i="36"/>
  <c r="X34" i="55" s="1"/>
  <c r="N16" i="36"/>
  <c r="M16" i="36"/>
  <c r="H72" i="35"/>
  <c r="AK66" i="55" s="1"/>
  <c r="O17" i="13"/>
  <c r="J72" i="35" s="1"/>
  <c r="AM66" i="55" s="1"/>
  <c r="N17" i="13"/>
  <c r="I72" i="35" s="1"/>
  <c r="L145" i="36"/>
  <c r="AL17" i="55"/>
  <c r="K173" i="35"/>
  <c r="I34" i="34"/>
  <c r="AJ48" i="55"/>
  <c r="AJ51" i="55"/>
  <c r="O20" i="25"/>
  <c r="J121" i="35" s="1"/>
  <c r="H121" i="35"/>
  <c r="N121" i="35" s="1"/>
  <c r="N20" i="25"/>
  <c r="I121" i="35" s="1"/>
  <c r="N67" i="33"/>
  <c r="N70" i="33"/>
  <c r="W63" i="55"/>
  <c r="L69" i="34"/>
  <c r="O107" i="36"/>
  <c r="AA10" i="55" s="1"/>
  <c r="M26" i="33"/>
  <c r="K21" i="55"/>
  <c r="O95" i="36"/>
  <c r="N22" i="36"/>
  <c r="M22" i="36"/>
  <c r="N16" i="25"/>
  <c r="I117" i="35" s="1"/>
  <c r="O16" i="25"/>
  <c r="J117" i="35" s="1"/>
  <c r="AM62" i="55" s="1"/>
  <c r="H117" i="35"/>
  <c r="AK62" i="55" s="1"/>
  <c r="O24" i="31"/>
  <c r="H95" i="34" s="1"/>
  <c r="AX37" i="55" s="1"/>
  <c r="F95" i="34"/>
  <c r="AV37" i="55" s="1"/>
  <c r="N24" i="31"/>
  <c r="G95" i="34" s="1"/>
  <c r="G47" i="55"/>
  <c r="M71" i="33"/>
  <c r="AJ106" i="55"/>
  <c r="M63" i="33"/>
  <c r="H48" i="55"/>
  <c r="F42" i="34"/>
  <c r="AV44" i="55" s="1"/>
  <c r="O25" i="15"/>
  <c r="H42" i="34" s="1"/>
  <c r="AX44" i="55" s="1"/>
  <c r="N25" i="15"/>
  <c r="G42" i="34" s="1"/>
  <c r="AJ97" i="55"/>
  <c r="O8" i="16"/>
  <c r="K73" i="36" s="1"/>
  <c r="N8" i="16"/>
  <c r="J73" i="36" s="1"/>
  <c r="L73" i="36" s="1"/>
  <c r="I73" i="36"/>
  <c r="AK27" i="55"/>
  <c r="N174" i="35"/>
  <c r="AN27" i="55" s="1"/>
  <c r="O24" i="25"/>
  <c r="H74" i="34" s="1"/>
  <c r="F74" i="34"/>
  <c r="AV29" i="55" s="1"/>
  <c r="N24" i="25"/>
  <c r="G74" i="34" s="1"/>
  <c r="AM83" i="55"/>
  <c r="L119" i="36"/>
  <c r="X107" i="55"/>
  <c r="X137" i="55"/>
  <c r="X128" i="55"/>
  <c r="X124" i="55"/>
  <c r="X133" i="55"/>
  <c r="X163" i="55"/>
  <c r="X105" i="55"/>
  <c r="X120" i="55"/>
  <c r="X100" i="55"/>
  <c r="X96" i="55"/>
  <c r="X123" i="55"/>
  <c r="X152" i="55"/>
  <c r="X169" i="55"/>
  <c r="X140" i="55"/>
  <c r="X104" i="55"/>
  <c r="X153" i="55"/>
  <c r="X132" i="55"/>
  <c r="X127" i="55"/>
  <c r="X158" i="55"/>
  <c r="X160" i="55"/>
  <c r="X167" i="55"/>
  <c r="X156" i="55"/>
  <c r="X148" i="55"/>
  <c r="X151" i="55"/>
  <c r="X142" i="55"/>
  <c r="X113" i="55"/>
  <c r="X99" i="55"/>
  <c r="X165" i="55"/>
  <c r="X143" i="55"/>
  <c r="X141" i="55"/>
  <c r="X108" i="55"/>
  <c r="X157" i="55"/>
  <c r="X145" i="55"/>
  <c r="X111" i="55"/>
  <c r="X112" i="55"/>
  <c r="X130" i="55"/>
  <c r="X159" i="55"/>
  <c r="X115" i="55"/>
  <c r="X135" i="55"/>
  <c r="X126" i="55"/>
  <c r="X109" i="55"/>
  <c r="X125" i="55"/>
  <c r="X117" i="55"/>
  <c r="X131" i="55"/>
  <c r="X168" i="55"/>
  <c r="X161" i="55"/>
  <c r="X103" i="55"/>
  <c r="X164" i="55"/>
  <c r="X95" i="55"/>
  <c r="X136" i="55"/>
  <c r="X144" i="55"/>
  <c r="X119" i="55"/>
  <c r="X171" i="55"/>
  <c r="X146" i="55"/>
  <c r="X106" i="55"/>
  <c r="X122" i="55"/>
  <c r="X147" i="55"/>
  <c r="X118" i="55"/>
  <c r="X154" i="55"/>
  <c r="X121" i="55"/>
  <c r="X129" i="55"/>
  <c r="X149" i="55"/>
  <c r="X114" i="55"/>
  <c r="X138" i="55"/>
  <c r="X170" i="55"/>
  <c r="X116" i="55"/>
  <c r="X110" i="55"/>
  <c r="X166" i="55"/>
  <c r="X150" i="55"/>
  <c r="X162" i="55"/>
  <c r="X98" i="55"/>
  <c r="X155" i="55"/>
  <c r="X102" i="55"/>
  <c r="X139" i="55"/>
  <c r="X134" i="55"/>
  <c r="X97" i="55"/>
  <c r="X94" i="55"/>
  <c r="X101" i="55"/>
  <c r="O5" i="36"/>
  <c r="O9" i="24"/>
  <c r="K124" i="36" s="1"/>
  <c r="Z84" i="55" s="1"/>
  <c r="I124" i="36"/>
  <c r="X84" i="55" s="1"/>
  <c r="N9" i="24"/>
  <c r="J124" i="36" s="1"/>
  <c r="N50" i="33"/>
  <c r="M51" i="55" s="1"/>
  <c r="AU16" i="55"/>
  <c r="H181" i="35"/>
  <c r="O18" i="2"/>
  <c r="J181" i="35" s="1"/>
  <c r="N18" i="2"/>
  <c r="I181" i="35" s="1"/>
  <c r="H40" i="31"/>
  <c r="H41" i="31" s="1"/>
  <c r="N169" i="35"/>
  <c r="L137" i="35"/>
  <c r="M137" i="35"/>
  <c r="F43" i="34"/>
  <c r="AV33" i="55" s="1"/>
  <c r="O26" i="15"/>
  <c r="H43" i="34" s="1"/>
  <c r="AX33" i="55" s="1"/>
  <c r="N26" i="15"/>
  <c r="G43" i="34" s="1"/>
  <c r="J40" i="36"/>
  <c r="L40" i="36" s="1"/>
  <c r="I40" i="9"/>
  <c r="I41" i="9" s="1"/>
  <c r="O26" i="30"/>
  <c r="H94" i="34" s="1"/>
  <c r="F94" i="34"/>
  <c r="L94" i="34" s="1"/>
  <c r="N26" i="30"/>
  <c r="G94" i="34" s="1"/>
  <c r="I155" i="36"/>
  <c r="O155" i="36" s="1"/>
  <c r="O10" i="30"/>
  <c r="K155" i="36" s="1"/>
  <c r="N10" i="30"/>
  <c r="J155" i="36" s="1"/>
  <c r="L155" i="36" s="1"/>
  <c r="Y57" i="55"/>
  <c r="L103" i="36"/>
  <c r="Y48" i="55"/>
  <c r="AJ66" i="55"/>
  <c r="N72" i="35"/>
  <c r="O7" i="24"/>
  <c r="N7" i="24"/>
  <c r="I122" i="36"/>
  <c r="X26" i="55" s="1"/>
  <c r="H40" i="24"/>
  <c r="H41" i="24" s="1"/>
  <c r="AU44" i="55"/>
  <c r="O73" i="36"/>
  <c r="AN60" i="55"/>
  <c r="J48" i="34"/>
  <c r="N119" i="35"/>
  <c r="O25" i="31"/>
  <c r="H96" i="34" s="1"/>
  <c r="AX40" i="55" s="1"/>
  <c r="N25" i="31"/>
  <c r="G96" i="34" s="1"/>
  <c r="F96" i="34"/>
  <c r="AV40" i="55" s="1"/>
  <c r="L65" i="34"/>
  <c r="N15" i="15"/>
  <c r="I84" i="35" s="1"/>
  <c r="O15" i="15"/>
  <c r="J84" i="35" s="1"/>
  <c r="AM43" i="55" s="1"/>
  <c r="H84" i="35"/>
  <c r="AK43" i="55" s="1"/>
  <c r="G34" i="14"/>
  <c r="H29" i="33"/>
  <c r="H27" i="55" s="1"/>
  <c r="N93" i="35"/>
  <c r="W9" i="55"/>
  <c r="N42" i="33"/>
  <c r="M12" i="35"/>
  <c r="L12" i="35"/>
  <c r="O134" i="36"/>
  <c r="AW12" i="55"/>
  <c r="I23" i="34"/>
  <c r="M50" i="33"/>
  <c r="L51" i="55"/>
  <c r="W14" i="55"/>
  <c r="X57" i="55"/>
  <c r="O103" i="36"/>
  <c r="X48" i="55"/>
  <c r="O9" i="22"/>
  <c r="K114" i="36" s="1"/>
  <c r="Z76" i="55" s="1"/>
  <c r="N9" i="22"/>
  <c r="J114" i="36" s="1"/>
  <c r="I114" i="36"/>
  <c r="X76" i="55" s="1"/>
  <c r="AL53" i="55"/>
  <c r="K177" i="35"/>
  <c r="Y15" i="55"/>
  <c r="L52" i="36"/>
  <c r="J40" i="8"/>
  <c r="J41" i="8" s="1"/>
  <c r="G65" i="33"/>
  <c r="N65" i="33" s="1"/>
  <c r="F34" i="2"/>
  <c r="O74" i="36"/>
  <c r="G34" i="30"/>
  <c r="H69" i="33"/>
  <c r="H28" i="55" s="1"/>
  <c r="AU25" i="55"/>
  <c r="L35" i="34"/>
  <c r="O16" i="14"/>
  <c r="J78" i="35" s="1"/>
  <c r="AM48" i="55" s="1"/>
  <c r="N16" i="14"/>
  <c r="I78" i="35" s="1"/>
  <c r="H78" i="35"/>
  <c r="AK48" i="55" s="1"/>
  <c r="O17" i="16"/>
  <c r="J92" i="35" s="1"/>
  <c r="AM51" i="55" s="1"/>
  <c r="N17" i="16"/>
  <c r="I92" i="35" s="1"/>
  <c r="H92" i="35"/>
  <c r="AK51" i="55" s="1"/>
  <c r="AN58" i="55"/>
  <c r="AJ78" i="55"/>
  <c r="AU8" i="55"/>
  <c r="L77" i="34"/>
  <c r="N26" i="22"/>
  <c r="G67" i="34" s="1"/>
  <c r="AW34" i="55" s="1"/>
  <c r="O26" i="22"/>
  <c r="H67" i="34" s="1"/>
  <c r="F67" i="34"/>
  <c r="I98" i="36"/>
  <c r="X63" i="55" s="1"/>
  <c r="N8" i="19"/>
  <c r="J98" i="36" s="1"/>
  <c r="O8" i="19"/>
  <c r="K98" i="36" s="1"/>
  <c r="AJ76" i="55"/>
  <c r="N87" i="35"/>
  <c r="AN67" i="55" s="1"/>
  <c r="AU6" i="55"/>
  <c r="L86" i="34"/>
  <c r="L93" i="34"/>
  <c r="N164" i="35"/>
  <c r="H158" i="35"/>
  <c r="AK106" i="55" s="1"/>
  <c r="O19" i="24"/>
  <c r="J158" i="35" s="1"/>
  <c r="AM106" i="55" s="1"/>
  <c r="N19" i="24"/>
  <c r="I158" i="35" s="1"/>
  <c r="AJ128" i="55"/>
  <c r="N125" i="35"/>
  <c r="AN128" i="55" s="1"/>
  <c r="AK76" i="55"/>
  <c r="AK73" i="55"/>
  <c r="N97" i="35"/>
  <c r="O17" i="14"/>
  <c r="J79" i="35" s="1"/>
  <c r="AM97" i="55" s="1"/>
  <c r="N17" i="14"/>
  <c r="I79" i="35" s="1"/>
  <c r="H79" i="35"/>
  <c r="AK97" i="55" s="1"/>
  <c r="I32" i="34"/>
  <c r="AW23" i="55"/>
  <c r="N95" i="35"/>
  <c r="AL27" i="55"/>
  <c r="K174" i="35"/>
  <c r="W64" i="55"/>
  <c r="O94" i="36"/>
  <c r="AK83" i="55"/>
  <c r="N85" i="35"/>
  <c r="O20" i="26"/>
  <c r="J166" i="35" s="1"/>
  <c r="N20" i="26"/>
  <c r="I166" i="35" s="1"/>
  <c r="K166" i="35" s="1"/>
  <c r="H166" i="35"/>
  <c r="N166" i="35" s="1"/>
  <c r="L33" i="34"/>
  <c r="N49" i="33"/>
  <c r="F26" i="55"/>
  <c r="N10" i="22"/>
  <c r="J115" i="36" s="1"/>
  <c r="L115" i="36" s="1"/>
  <c r="O10" i="22"/>
  <c r="K115" i="36" s="1"/>
  <c r="I115" i="36"/>
  <c r="O99" i="36"/>
  <c r="O17" i="15"/>
  <c r="J86" i="35" s="1"/>
  <c r="AM114" i="55" s="1"/>
  <c r="H86" i="35"/>
  <c r="AK114" i="55" s="1"/>
  <c r="N17" i="15"/>
  <c r="I86" i="35" s="1"/>
  <c r="O24" i="14"/>
  <c r="H38" i="34" s="1"/>
  <c r="AX16" i="55" s="1"/>
  <c r="N24" i="14"/>
  <c r="G38" i="34" s="1"/>
  <c r="F38" i="34"/>
  <c r="AV16" i="55" s="1"/>
  <c r="L58" i="34"/>
  <c r="W17" i="55"/>
  <c r="O69" i="36"/>
  <c r="AA77" i="55" s="1"/>
  <c r="K40" i="36"/>
  <c r="J40" i="9"/>
  <c r="J41" i="9" s="1"/>
  <c r="N9" i="14"/>
  <c r="J64" i="36" s="1"/>
  <c r="O9" i="14"/>
  <c r="K64" i="36" s="1"/>
  <c r="I64" i="36"/>
  <c r="O64" i="36" s="1"/>
  <c r="L44" i="34"/>
  <c r="AU9" i="55"/>
  <c r="F87" i="34"/>
  <c r="O25" i="2"/>
  <c r="H87" i="34" s="1"/>
  <c r="N25" i="2"/>
  <c r="G87" i="34" s="1"/>
  <c r="AN93" i="55"/>
  <c r="AA54" i="55"/>
  <c r="AP53" i="47"/>
  <c r="AN4" i="55"/>
  <c r="AN3" i="55"/>
  <c r="AN92" i="55"/>
  <c r="AN95" i="55"/>
  <c r="Z64" i="55"/>
  <c r="M18" i="55"/>
  <c r="D80" i="55"/>
  <c r="C23" i="55"/>
  <c r="C3" i="55"/>
  <c r="C5" i="55"/>
  <c r="D10" i="55"/>
  <c r="D45" i="55"/>
  <c r="D56" i="55"/>
  <c r="C42" i="55"/>
  <c r="D44" i="55"/>
  <c r="D5" i="55"/>
  <c r="D18" i="55"/>
  <c r="C18" i="55"/>
  <c r="C59" i="55"/>
  <c r="C4" i="55"/>
  <c r="C43" i="55"/>
  <c r="D21" i="55"/>
  <c r="C63" i="55"/>
  <c r="D3" i="55"/>
  <c r="C78" i="55"/>
  <c r="C66" i="55"/>
  <c r="D2" i="55"/>
  <c r="C45" i="55"/>
  <c r="D6" i="55"/>
  <c r="C7" i="55"/>
  <c r="C36" i="55"/>
  <c r="D36" i="55"/>
  <c r="D25" i="55"/>
  <c r="D9" i="55"/>
  <c r="C11" i="55"/>
  <c r="D37" i="55"/>
  <c r="C67" i="55"/>
  <c r="C15" i="55"/>
  <c r="D31" i="55"/>
  <c r="C9" i="55"/>
  <c r="D12" i="55"/>
  <c r="C19" i="55"/>
  <c r="D74" i="55"/>
  <c r="C35" i="55"/>
  <c r="D43" i="55"/>
  <c r="C74" i="55"/>
  <c r="D41" i="55"/>
  <c r="C61" i="55"/>
  <c r="D59" i="55"/>
  <c r="C77" i="55"/>
  <c r="D63" i="55"/>
  <c r="D26" i="55"/>
  <c r="D58" i="55"/>
  <c r="C72" i="55"/>
  <c r="L23" i="55"/>
  <c r="L22" i="55"/>
  <c r="C25" i="55"/>
  <c r="D13" i="55"/>
  <c r="C12" i="55"/>
  <c r="D47" i="55"/>
  <c r="C37" i="55"/>
  <c r="D8" i="55"/>
  <c r="D42" i="55"/>
  <c r="C6" i="55"/>
  <c r="D54" i="55"/>
  <c r="C14" i="55"/>
  <c r="D35" i="55"/>
  <c r="D22" i="55"/>
  <c r="F49" i="47"/>
  <c r="M11" i="55"/>
  <c r="C41" i="55"/>
  <c r="C46" i="55"/>
  <c r="D71" i="55"/>
  <c r="C65" i="55"/>
  <c r="C57" i="55"/>
  <c r="C56" i="55"/>
  <c r="D78" i="55"/>
  <c r="D62" i="55"/>
  <c r="C62" i="55"/>
  <c r="D52" i="55"/>
  <c r="D65" i="55"/>
  <c r="D16" i="55"/>
  <c r="C49" i="55"/>
  <c r="D20" i="55"/>
  <c r="C51" i="55"/>
  <c r="C20" i="55"/>
  <c r="C10" i="55"/>
  <c r="C76" i="55"/>
  <c r="D28" i="55"/>
  <c r="D76" i="55"/>
  <c r="D55" i="55"/>
  <c r="D77" i="55"/>
  <c r="C73" i="55"/>
  <c r="D57" i="55"/>
  <c r="C50" i="55"/>
  <c r="C69" i="55"/>
  <c r="D23" i="55"/>
  <c r="C38" i="55"/>
  <c r="D29" i="55"/>
  <c r="D15" i="55"/>
  <c r="C13" i="55"/>
  <c r="H17" i="55"/>
  <c r="H16" i="55"/>
  <c r="C21" i="55"/>
  <c r="C47" i="55"/>
  <c r="D7" i="55"/>
  <c r="M46" i="55"/>
  <c r="C48" i="55"/>
  <c r="C16" i="55"/>
  <c r="C70" i="55"/>
  <c r="C60" i="55"/>
  <c r="D24" i="55"/>
  <c r="C58" i="55"/>
  <c r="C55" i="55"/>
  <c r="D66" i="55"/>
  <c r="D50" i="55"/>
  <c r="D48" i="55"/>
  <c r="D75" i="55"/>
  <c r="D49" i="55"/>
  <c r="C29" i="55"/>
  <c r="C75" i="55"/>
  <c r="C22" i="55"/>
  <c r="C27" i="55"/>
  <c r="D17" i="55"/>
  <c r="D14" i="55"/>
  <c r="D60" i="55"/>
  <c r="D69" i="55"/>
  <c r="D38" i="55"/>
  <c r="D68" i="55"/>
  <c r="C53" i="55"/>
  <c r="C32" i="55"/>
  <c r="C68" i="55"/>
  <c r="D53" i="55"/>
  <c r="D40" i="55"/>
  <c r="D11" i="55"/>
  <c r="C8" i="55"/>
  <c r="D4" i="55"/>
  <c r="D51" i="55"/>
  <c r="D27" i="55"/>
  <c r="D61" i="55"/>
  <c r="C79" i="55"/>
  <c r="D67" i="55"/>
  <c r="C17" i="55"/>
  <c r="M36" i="55"/>
  <c r="M37" i="55"/>
  <c r="C71" i="55"/>
  <c r="C44" i="55"/>
  <c r="D73" i="55"/>
  <c r="C52" i="55"/>
  <c r="C26" i="55"/>
  <c r="C54" i="55"/>
  <c r="C24" i="55"/>
  <c r="C64" i="55"/>
  <c r="D46" i="55"/>
  <c r="C28" i="55"/>
  <c r="D70" i="55"/>
  <c r="D32" i="55"/>
  <c r="D64" i="55"/>
  <c r="D72" i="55"/>
  <c r="C80" i="55"/>
  <c r="C39" i="55"/>
  <c r="D79" i="55"/>
  <c r="C31" i="55"/>
  <c r="C40" i="55"/>
  <c r="D39" i="55"/>
  <c r="C2" i="55"/>
  <c r="D19" i="55"/>
  <c r="X42" i="55"/>
  <c r="X40" i="55"/>
  <c r="AS13" i="55"/>
  <c r="AT35" i="55"/>
  <c r="AS34" i="55"/>
  <c r="AS45" i="55"/>
  <c r="AT51" i="55"/>
  <c r="AS35" i="55"/>
  <c r="AT95" i="55"/>
  <c r="AS61" i="55"/>
  <c r="AT5" i="55"/>
  <c r="AT47" i="55"/>
  <c r="AT92" i="55"/>
  <c r="AS83" i="55"/>
  <c r="AT40" i="55"/>
  <c r="AS37" i="55"/>
  <c r="AS70" i="55"/>
  <c r="AT99" i="55"/>
  <c r="AT29" i="55"/>
  <c r="M98" i="35"/>
  <c r="AS78" i="55"/>
  <c r="AS86" i="55"/>
  <c r="AS89" i="55"/>
  <c r="M20" i="55"/>
  <c r="AA8" i="47"/>
  <c r="AP8" i="47"/>
  <c r="AY3" i="55"/>
  <c r="K8" i="34"/>
  <c r="J8" i="34"/>
  <c r="M47" i="36"/>
  <c r="N47" i="36"/>
  <c r="M148" i="36"/>
  <c r="M189" i="35"/>
  <c r="L187" i="35"/>
  <c r="M187" i="35"/>
  <c r="J91" i="34"/>
  <c r="K91" i="34"/>
  <c r="F51" i="47"/>
  <c r="L111" i="35"/>
  <c r="M111" i="35"/>
  <c r="K87" i="36"/>
  <c r="J40" i="18"/>
  <c r="J41" i="18" s="1"/>
  <c r="X20" i="55"/>
  <c r="I40" i="18"/>
  <c r="I41" i="18" s="1"/>
  <c r="J87" i="36"/>
  <c r="K55" i="34"/>
  <c r="J55" i="34"/>
  <c r="AA43" i="55"/>
  <c r="AT17" i="55"/>
  <c r="AS55" i="55"/>
  <c r="J41" i="10"/>
  <c r="AV21" i="55"/>
  <c r="L26" i="34"/>
  <c r="AY19" i="55" s="1"/>
  <c r="AK9" i="55"/>
  <c r="N52" i="35"/>
  <c r="N55" i="35"/>
  <c r="AN124" i="55" s="1"/>
  <c r="AK126" i="55"/>
  <c r="N56" i="35"/>
  <c r="AL9" i="55"/>
  <c r="K52" i="35"/>
  <c r="K55" i="35"/>
  <c r="AL126" i="55"/>
  <c r="O44" i="36"/>
  <c r="AA49" i="55" s="1"/>
  <c r="G17" i="55"/>
  <c r="N20" i="33"/>
  <c r="M16" i="55" s="1"/>
  <c r="M20" i="33"/>
  <c r="O45" i="36"/>
  <c r="J44" i="36"/>
  <c r="I40" i="10"/>
  <c r="I41" i="10" s="1"/>
  <c r="I26" i="34"/>
  <c r="AW21" i="55"/>
  <c r="AS84" i="55"/>
  <c r="AT88" i="55"/>
  <c r="AT13" i="55"/>
  <c r="AT74" i="55"/>
  <c r="AS67" i="55"/>
  <c r="AT26" i="55"/>
  <c r="AT50" i="55"/>
  <c r="AS6" i="55"/>
  <c r="AS91" i="55"/>
  <c r="AT71" i="55"/>
  <c r="AS66" i="55"/>
  <c r="AT91" i="55"/>
  <c r="AS47" i="55"/>
  <c r="AS11" i="55"/>
  <c r="AS36" i="55"/>
  <c r="AS8" i="55"/>
  <c r="AS81" i="55"/>
  <c r="AT80" i="55"/>
  <c r="AS51" i="55"/>
  <c r="AT61" i="55"/>
  <c r="AT63" i="55"/>
  <c r="AS74" i="55"/>
  <c r="AT62" i="55"/>
  <c r="AT55" i="55"/>
  <c r="AS98" i="55"/>
  <c r="AS68" i="55"/>
  <c r="AT72" i="55"/>
  <c r="AS52" i="55"/>
  <c r="AT98" i="55"/>
  <c r="AT86" i="55"/>
  <c r="AT93" i="55"/>
  <c r="AT89" i="55"/>
  <c r="AT42" i="55"/>
  <c r="AT56" i="55"/>
  <c r="AS69" i="55"/>
  <c r="AS71" i="55"/>
  <c r="AS58" i="55"/>
  <c r="AT64" i="55"/>
  <c r="AT79" i="55"/>
  <c r="AT78" i="55"/>
  <c r="AS93" i="55"/>
  <c r="AS57" i="55"/>
  <c r="AT37" i="55"/>
  <c r="AT69" i="55"/>
  <c r="AS90" i="55"/>
  <c r="AT28" i="55"/>
  <c r="AT66" i="55"/>
  <c r="AT34" i="55"/>
  <c r="AS63" i="55"/>
  <c r="AS50" i="55"/>
  <c r="AS73" i="55"/>
  <c r="AT67" i="55"/>
  <c r="AT96" i="55"/>
  <c r="AS59" i="55"/>
  <c r="AT73" i="55"/>
  <c r="AT65" i="55"/>
  <c r="AT54" i="55"/>
  <c r="AS80" i="55"/>
  <c r="AT76" i="55"/>
  <c r="AT60" i="55"/>
  <c r="AT85" i="55"/>
  <c r="AT57" i="55"/>
  <c r="AT77" i="55"/>
  <c r="AT90" i="55"/>
  <c r="AS94" i="55"/>
  <c r="AS96" i="55"/>
  <c r="AT101" i="55"/>
  <c r="AS62" i="55"/>
  <c r="AT81" i="55"/>
  <c r="AS87" i="55"/>
  <c r="AT59" i="55"/>
  <c r="AS49" i="55"/>
  <c r="AS97" i="55"/>
  <c r="AT36" i="55"/>
  <c r="AT8" i="55"/>
  <c r="AT53" i="55"/>
  <c r="AT97" i="55"/>
  <c r="AS56" i="55"/>
  <c r="AS26" i="55"/>
  <c r="AS79" i="55"/>
  <c r="AS48" i="55"/>
  <c r="AS53" i="55"/>
  <c r="AS64" i="55"/>
  <c r="AT52" i="55"/>
  <c r="AS101" i="55"/>
  <c r="AS72" i="55"/>
  <c r="AS76" i="55"/>
  <c r="AT11" i="55"/>
  <c r="AS29" i="55"/>
  <c r="AS65" i="55"/>
  <c r="AS99" i="55"/>
  <c r="AT87" i="55"/>
  <c r="AS75" i="55"/>
  <c r="AT84" i="55"/>
  <c r="AT100" i="55"/>
  <c r="AS60" i="55"/>
  <c r="AT58" i="55"/>
  <c r="AS95" i="55"/>
  <c r="AT94" i="55"/>
  <c r="AS82" i="55"/>
  <c r="AS42" i="55"/>
  <c r="I31" i="36"/>
  <c r="N11" i="7"/>
  <c r="J31" i="36" s="1"/>
  <c r="O11" i="7"/>
  <c r="K31" i="36" s="1"/>
  <c r="O31" i="36" s="1"/>
  <c r="O10" i="7"/>
  <c r="K30" i="36" s="1"/>
  <c r="Z93" i="55" s="1"/>
  <c r="I30" i="36"/>
  <c r="N10" i="7"/>
  <c r="J30" i="36" s="1"/>
  <c r="Y93" i="55" s="1"/>
  <c r="N26" i="7"/>
  <c r="G19" i="34" s="1"/>
  <c r="O26" i="7"/>
  <c r="H19" i="34" s="1"/>
  <c r="F19" i="34"/>
  <c r="W22" i="55"/>
  <c r="W23" i="55"/>
  <c r="O24" i="7"/>
  <c r="H17" i="34" s="1"/>
  <c r="AX14" i="55" s="1"/>
  <c r="F17" i="34"/>
  <c r="AV14" i="55" s="1"/>
  <c r="N24" i="7"/>
  <c r="G17" i="34" s="1"/>
  <c r="AU14" i="55"/>
  <c r="O7" i="7"/>
  <c r="I27" i="36"/>
  <c r="X24" i="55" s="1"/>
  <c r="N7" i="7"/>
  <c r="H40" i="7"/>
  <c r="H41" i="7" s="1"/>
  <c r="O19" i="7"/>
  <c r="J38" i="35" s="1"/>
  <c r="AM124" i="55" s="1"/>
  <c r="N19" i="7"/>
  <c r="I38" i="35" s="1"/>
  <c r="H38" i="35"/>
  <c r="AK124" i="55" s="1"/>
  <c r="N25" i="7"/>
  <c r="G18" i="34" s="1"/>
  <c r="F18" i="34"/>
  <c r="O25" i="7"/>
  <c r="H18" i="34" s="1"/>
  <c r="O18" i="7"/>
  <c r="J37" i="35" s="1"/>
  <c r="H37" i="35"/>
  <c r="N18" i="7"/>
  <c r="I37" i="35" s="1"/>
  <c r="AJ22" i="55"/>
  <c r="H15" i="33"/>
  <c r="G34" i="7"/>
  <c r="W47" i="55"/>
  <c r="H34" i="35"/>
  <c r="O15" i="7"/>
  <c r="J34" i="35" s="1"/>
  <c r="N15" i="7"/>
  <c r="I34" i="35" s="1"/>
  <c r="AL21" i="55" s="1"/>
  <c r="AJ81" i="55"/>
  <c r="G15" i="33"/>
  <c r="F34" i="7"/>
  <c r="I29" i="36"/>
  <c r="X47" i="55" s="1"/>
  <c r="O9" i="7"/>
  <c r="K29" i="36" s="1"/>
  <c r="Z47" i="55" s="1"/>
  <c r="N9" i="7"/>
  <c r="J29" i="36" s="1"/>
  <c r="H40" i="35"/>
  <c r="N21" i="7"/>
  <c r="I40" i="35" s="1"/>
  <c r="O21" i="7"/>
  <c r="J40" i="35" s="1"/>
  <c r="O16" i="7"/>
  <c r="J35" i="35" s="1"/>
  <c r="N16" i="7"/>
  <c r="I35" i="35" s="1"/>
  <c r="AL74" i="55" s="1"/>
  <c r="H35" i="35"/>
  <c r="AJ94" i="55"/>
  <c r="O17" i="7"/>
  <c r="J36" i="35" s="1"/>
  <c r="H36" i="35"/>
  <c r="N17" i="7"/>
  <c r="I36" i="35" s="1"/>
  <c r="AL89" i="55" s="1"/>
  <c r="O20" i="7"/>
  <c r="J39" i="35" s="1"/>
  <c r="H39" i="35"/>
  <c r="N20" i="7"/>
  <c r="I39" i="35" s="1"/>
  <c r="AA92" i="55"/>
  <c r="AY31" i="55"/>
  <c r="AP14" i="47"/>
  <c r="O23" i="36"/>
  <c r="AA65" i="55" s="1"/>
  <c r="L23" i="36"/>
  <c r="M23" i="36" s="1"/>
  <c r="L29" i="35"/>
  <c r="M29" i="35"/>
  <c r="AN57" i="55"/>
  <c r="M30" i="35"/>
  <c r="L30" i="35"/>
  <c r="M19" i="36"/>
  <c r="N19" i="36"/>
  <c r="L30" i="47"/>
  <c r="M29" i="47"/>
  <c r="L29" i="47"/>
  <c r="J29" i="47"/>
  <c r="M16" i="35"/>
  <c r="L16" i="35"/>
  <c r="M2" i="35"/>
  <c r="I6" i="35"/>
  <c r="I40" i="32"/>
  <c r="I41" i="32" s="1"/>
  <c r="J3" i="34"/>
  <c r="K3" i="34"/>
  <c r="F3" i="47"/>
  <c r="M34" i="55"/>
  <c r="M4" i="47"/>
  <c r="AA95" i="55"/>
  <c r="J6" i="35"/>
  <c r="AM127" i="55" s="1"/>
  <c r="J40" i="32"/>
  <c r="J41" i="32" s="1"/>
  <c r="N3" i="36"/>
  <c r="M3" i="36"/>
  <c r="J59" i="34"/>
  <c r="K59" i="34"/>
  <c r="AT83" i="55"/>
  <c r="AT6" i="55"/>
  <c r="AS54" i="55"/>
  <c r="AS100" i="55"/>
  <c r="AT68" i="55"/>
  <c r="AT49" i="55"/>
  <c r="AS77" i="55"/>
  <c r="AT82" i="55"/>
  <c r="AT48" i="55"/>
  <c r="AS85" i="55"/>
  <c r="AT70" i="55"/>
  <c r="AS88" i="55"/>
  <c r="AS28" i="55"/>
  <c r="AS43" i="55"/>
  <c r="AT75" i="55"/>
  <c r="AS92" i="55"/>
  <c r="M144" i="36"/>
  <c r="O142" i="36"/>
  <c r="AA2" i="55" s="1"/>
  <c r="M182" i="35"/>
  <c r="L182" i="35"/>
  <c r="L178" i="35"/>
  <c r="M178" i="35"/>
  <c r="L142" i="36"/>
  <c r="Y2" i="55"/>
  <c r="M124" i="35"/>
  <c r="AP55" i="47"/>
  <c r="AA55" i="47"/>
  <c r="M69" i="33"/>
  <c r="K28" i="55"/>
  <c r="N69" i="33"/>
  <c r="F63" i="47" s="1"/>
  <c r="N42" i="36"/>
  <c r="L71" i="35"/>
  <c r="M23" i="55"/>
  <c r="M72" i="33"/>
  <c r="AA23" i="47"/>
  <c r="AP23" i="47"/>
  <c r="N38" i="36"/>
  <c r="M38" i="36"/>
  <c r="AA71" i="55"/>
  <c r="AA66" i="55"/>
  <c r="AP94" i="47"/>
  <c r="I40" i="31"/>
  <c r="I41" i="31" s="1"/>
  <c r="O157" i="36"/>
  <c r="AA31" i="55" s="1"/>
  <c r="J40" i="31"/>
  <c r="J41" i="31" s="1"/>
  <c r="L157" i="36"/>
  <c r="Y31" i="55"/>
  <c r="J137" i="36"/>
  <c r="Y28" i="55" s="1"/>
  <c r="I40" i="28"/>
  <c r="I41" i="28" s="1"/>
  <c r="M139" i="36"/>
  <c r="N139" i="36"/>
  <c r="K137" i="36"/>
  <c r="J40" i="28"/>
  <c r="J41" i="28" s="1"/>
  <c r="N138" i="36"/>
  <c r="M138" i="36"/>
  <c r="N133" i="36"/>
  <c r="M133" i="36"/>
  <c r="M150" i="35"/>
  <c r="J118" i="36"/>
  <c r="Y72" i="55" s="1"/>
  <c r="I40" i="23"/>
  <c r="I41" i="23" s="1"/>
  <c r="K118" i="36"/>
  <c r="Z72" i="55" s="1"/>
  <c r="J40" i="23"/>
  <c r="J41" i="23" s="1"/>
  <c r="X85" i="55"/>
  <c r="M46" i="33"/>
  <c r="N46" i="33"/>
  <c r="I40" i="19"/>
  <c r="I41" i="19" s="1"/>
  <c r="J97" i="36"/>
  <c r="J40" i="19"/>
  <c r="J41" i="19" s="1"/>
  <c r="K97" i="36"/>
  <c r="M78" i="36"/>
  <c r="N78" i="36"/>
  <c r="F30" i="47"/>
  <c r="N48" i="36"/>
  <c r="M48" i="36"/>
  <c r="N39" i="36"/>
  <c r="M39" i="36"/>
  <c r="A43" i="36"/>
  <c r="M30" i="47" s="1"/>
  <c r="N35" i="36"/>
  <c r="M35" i="36"/>
  <c r="AA78" i="55"/>
  <c r="M28" i="47"/>
  <c r="AA22" i="55"/>
  <c r="M13" i="55" l="1"/>
  <c r="AA75" i="47"/>
  <c r="AP75" i="47"/>
  <c r="AN34" i="55"/>
  <c r="AN33" i="55"/>
  <c r="J69" i="34"/>
  <c r="K69" i="34"/>
  <c r="M120" i="36"/>
  <c r="N120" i="36"/>
  <c r="K144" i="35"/>
  <c r="K146" i="35"/>
  <c r="M146" i="35" s="1"/>
  <c r="N143" i="35"/>
  <c r="AN83" i="55" s="1"/>
  <c r="N144" i="35"/>
  <c r="Z37" i="55"/>
  <c r="N145" i="35"/>
  <c r="AV35" i="55"/>
  <c r="AV34" i="55"/>
  <c r="AK37" i="55"/>
  <c r="AK36" i="55"/>
  <c r="AX34" i="55"/>
  <c r="L66" i="34"/>
  <c r="AA62" i="47" s="1"/>
  <c r="AM37" i="55"/>
  <c r="AM36" i="55"/>
  <c r="K89" i="35"/>
  <c r="M89" i="35" s="1"/>
  <c r="N88" i="35"/>
  <c r="Z60" i="55"/>
  <c r="AN86" i="55"/>
  <c r="N181" i="35"/>
  <c r="K181" i="35"/>
  <c r="AA89" i="47"/>
  <c r="AP89" i="47"/>
  <c r="AY36" i="55"/>
  <c r="AA71" i="47"/>
  <c r="AP71" i="47"/>
  <c r="AP39" i="47"/>
  <c r="AA39" i="47"/>
  <c r="AA44" i="47"/>
  <c r="AP44" i="47"/>
  <c r="AP62" i="47"/>
  <c r="AA70" i="47"/>
  <c r="AP70" i="47"/>
  <c r="AA73" i="47"/>
  <c r="AP73" i="47"/>
  <c r="AN130" i="55"/>
  <c r="AN125" i="55"/>
  <c r="AP68" i="47"/>
  <c r="AA68" i="47"/>
  <c r="M45" i="55"/>
  <c r="F60" i="47"/>
  <c r="AP35" i="47"/>
  <c r="AA35" i="47"/>
  <c r="Y40" i="55"/>
  <c r="Y36" i="55"/>
  <c r="F48" i="47"/>
  <c r="L64" i="36"/>
  <c r="O115" i="36"/>
  <c r="I67" i="34"/>
  <c r="AW35" i="55"/>
  <c r="L114" i="36"/>
  <c r="Y76" i="55"/>
  <c r="N103" i="36"/>
  <c r="M103" i="36"/>
  <c r="L38" i="34"/>
  <c r="AW29" i="55"/>
  <c r="I74" i="34"/>
  <c r="K117" i="35"/>
  <c r="AL62" i="55"/>
  <c r="O98" i="36"/>
  <c r="N92" i="35"/>
  <c r="AN51" i="55" s="1"/>
  <c r="M68" i="35"/>
  <c r="L68" i="35"/>
  <c r="AL35" i="55"/>
  <c r="K90" i="35"/>
  <c r="AM8" i="55"/>
  <c r="AM7" i="55"/>
  <c r="AK69" i="55"/>
  <c r="Y27" i="55"/>
  <c r="L77" i="36"/>
  <c r="K120" i="35"/>
  <c r="O116" i="36"/>
  <c r="N155" i="35"/>
  <c r="K76" i="35"/>
  <c r="O93" i="36"/>
  <c r="J79" i="34"/>
  <c r="L79" i="34"/>
  <c r="N45" i="36"/>
  <c r="M45" i="36"/>
  <c r="M149" i="35"/>
  <c r="L149" i="35"/>
  <c r="L107" i="36"/>
  <c r="Y10" i="55"/>
  <c r="K118" i="35"/>
  <c r="K156" i="35"/>
  <c r="AL78" i="55"/>
  <c r="Y78" i="55"/>
  <c r="L95" i="36"/>
  <c r="L63" i="36"/>
  <c r="Y62" i="55"/>
  <c r="I97" i="34"/>
  <c r="AV41" i="55"/>
  <c r="L56" i="34"/>
  <c r="AL15" i="55"/>
  <c r="K162" i="35"/>
  <c r="M43" i="55"/>
  <c r="M47" i="55"/>
  <c r="K127" i="35"/>
  <c r="AY24" i="55"/>
  <c r="AP19" i="47"/>
  <c r="AA19" i="47"/>
  <c r="L72" i="34"/>
  <c r="X39" i="55"/>
  <c r="O58" i="36"/>
  <c r="N199" i="35"/>
  <c r="L130" i="36"/>
  <c r="K77" i="35"/>
  <c r="AL77" i="55"/>
  <c r="N91" i="35"/>
  <c r="AN14" i="55" s="1"/>
  <c r="AM113" i="55"/>
  <c r="AM109" i="55"/>
  <c r="Y88" i="55"/>
  <c r="L159" i="36"/>
  <c r="I58" i="34"/>
  <c r="AP80" i="47"/>
  <c r="AA80" i="47"/>
  <c r="K164" i="35"/>
  <c r="AY39" i="55"/>
  <c r="AP9" i="47"/>
  <c r="AA9" i="47"/>
  <c r="N108" i="36"/>
  <c r="M108" i="36"/>
  <c r="AW25" i="55"/>
  <c r="I35" i="34"/>
  <c r="L74" i="36"/>
  <c r="I65" i="34"/>
  <c r="K143" i="35"/>
  <c r="F44" i="47"/>
  <c r="F45" i="47"/>
  <c r="I87" i="34"/>
  <c r="J32" i="34"/>
  <c r="K32" i="34"/>
  <c r="AY8" i="55"/>
  <c r="AA72" i="47"/>
  <c r="AP72" i="47"/>
  <c r="K78" i="35"/>
  <c r="AL48" i="55"/>
  <c r="M65" i="33"/>
  <c r="G45" i="55"/>
  <c r="J23" i="34"/>
  <c r="K23" i="34"/>
  <c r="I96" i="34"/>
  <c r="N86" i="35"/>
  <c r="N79" i="35"/>
  <c r="AN97" i="55" s="1"/>
  <c r="Y67" i="55"/>
  <c r="Y59" i="55"/>
  <c r="L68" i="36"/>
  <c r="O101" i="36"/>
  <c r="L139" i="35"/>
  <c r="M139" i="35"/>
  <c r="AL7" i="55"/>
  <c r="K116" i="35"/>
  <c r="K141" i="35"/>
  <c r="AL37" i="55"/>
  <c r="L74" i="34"/>
  <c r="AN32" i="55"/>
  <c r="M156" i="36"/>
  <c r="N156" i="36"/>
  <c r="Y54" i="55"/>
  <c r="Y61" i="55"/>
  <c r="L153" i="36"/>
  <c r="K36" i="34"/>
  <c r="J36" i="34"/>
  <c r="N117" i="35"/>
  <c r="AN62" i="55" s="1"/>
  <c r="AX35" i="55"/>
  <c r="AX36" i="55"/>
  <c r="J127" i="36"/>
  <c r="I40" i="26"/>
  <c r="I41" i="26" s="1"/>
  <c r="AL108" i="47"/>
  <c r="K191" i="35"/>
  <c r="AL46" i="55"/>
  <c r="L97" i="34"/>
  <c r="AM16" i="55"/>
  <c r="AM15" i="55"/>
  <c r="AL14" i="55"/>
  <c r="K91" i="35"/>
  <c r="L71" i="34"/>
  <c r="L128" i="36"/>
  <c r="Y39" i="55"/>
  <c r="L58" i="36"/>
  <c r="N81" i="35"/>
  <c r="AN85" i="55" s="1"/>
  <c r="N198" i="35"/>
  <c r="AN65" i="55" s="1"/>
  <c r="N190" i="35"/>
  <c r="AN19" i="55" s="1"/>
  <c r="AM76" i="55"/>
  <c r="M25" i="55"/>
  <c r="F55" i="47"/>
  <c r="K80" i="35"/>
  <c r="AL104" i="55"/>
  <c r="L69" i="36"/>
  <c r="Y77" i="55"/>
  <c r="K33" i="34"/>
  <c r="J33" i="34"/>
  <c r="K95" i="35"/>
  <c r="N80" i="35"/>
  <c r="AN104" i="55" s="1"/>
  <c r="M148" i="35"/>
  <c r="L148" i="35"/>
  <c r="M115" i="36"/>
  <c r="N115" i="36"/>
  <c r="AL105" i="55"/>
  <c r="AL106" i="55"/>
  <c r="K158" i="35"/>
  <c r="N155" i="36"/>
  <c r="M155" i="36"/>
  <c r="M41" i="55"/>
  <c r="F64" i="47"/>
  <c r="N78" i="35"/>
  <c r="AN48" i="55" s="1"/>
  <c r="Z36" i="55"/>
  <c r="Z35" i="55"/>
  <c r="N82" i="36"/>
  <c r="M82" i="36"/>
  <c r="M33" i="33"/>
  <c r="G8" i="55"/>
  <c r="N33" i="33"/>
  <c r="M116" i="36"/>
  <c r="N116" i="36"/>
  <c r="J40" i="14"/>
  <c r="K62" i="36"/>
  <c r="Z13" i="55" s="1"/>
  <c r="L96" i="35"/>
  <c r="M96" i="35"/>
  <c r="M38" i="55"/>
  <c r="F50" i="47"/>
  <c r="L64" i="35"/>
  <c r="M64" i="35"/>
  <c r="M195" i="35"/>
  <c r="L195" i="35"/>
  <c r="AN54" i="55"/>
  <c r="M24" i="36"/>
  <c r="N24" i="36"/>
  <c r="K127" i="36"/>
  <c r="Z32" i="55" s="1"/>
  <c r="J40" i="26"/>
  <c r="J41" i="26" s="1"/>
  <c r="Y60" i="55"/>
  <c r="L70" i="36"/>
  <c r="M81" i="36"/>
  <c r="N81" i="36"/>
  <c r="I72" i="34"/>
  <c r="AW28" i="55"/>
  <c r="N96" i="35"/>
  <c r="AA45" i="47"/>
  <c r="AP45" i="47"/>
  <c r="O158" i="36"/>
  <c r="AA33" i="55" s="1"/>
  <c r="L73" i="35"/>
  <c r="M73" i="35"/>
  <c r="N29" i="33"/>
  <c r="M9" i="36"/>
  <c r="N9" i="36"/>
  <c r="AK16" i="55"/>
  <c r="AK15" i="55"/>
  <c r="N162" i="35"/>
  <c r="L99" i="35"/>
  <c r="M99" i="35"/>
  <c r="L201" i="35"/>
  <c r="M201" i="35"/>
  <c r="L165" i="35"/>
  <c r="M165" i="35"/>
  <c r="K22" i="34"/>
  <c r="J22" i="34"/>
  <c r="L95" i="34"/>
  <c r="N14" i="36"/>
  <c r="M14" i="36"/>
  <c r="N93" i="36"/>
  <c r="M93" i="36"/>
  <c r="AW13" i="55"/>
  <c r="I92" i="34"/>
  <c r="M167" i="35"/>
  <c r="L167" i="35"/>
  <c r="AL113" i="55"/>
  <c r="AL109" i="55"/>
  <c r="K126" i="35"/>
  <c r="I44" i="34"/>
  <c r="AW9" i="55"/>
  <c r="O113" i="36"/>
  <c r="AL128" i="55"/>
  <c r="K125" i="35"/>
  <c r="AL67" i="55"/>
  <c r="K87" i="35"/>
  <c r="M48" i="55"/>
  <c r="F58" i="47"/>
  <c r="L65" i="35"/>
  <c r="M65" i="35"/>
  <c r="L119" i="35"/>
  <c r="M119" i="35"/>
  <c r="I38" i="34"/>
  <c r="AW16" i="55"/>
  <c r="AX28" i="55"/>
  <c r="AX29" i="55"/>
  <c r="AW44" i="55"/>
  <c r="I42" i="34"/>
  <c r="Z67" i="55"/>
  <c r="Z59" i="55"/>
  <c r="L96" i="34"/>
  <c r="N141" i="35"/>
  <c r="L87" i="34"/>
  <c r="K79" i="35"/>
  <c r="AL97" i="55"/>
  <c r="Z39" i="55"/>
  <c r="Z63" i="55"/>
  <c r="AY25" i="55"/>
  <c r="AA34" i="47"/>
  <c r="AP34" i="47"/>
  <c r="M52" i="36"/>
  <c r="N52" i="36"/>
  <c r="AA57" i="55"/>
  <c r="AA48" i="55"/>
  <c r="J41" i="14"/>
  <c r="J122" i="36"/>
  <c r="O122" i="36" s="1"/>
  <c r="AA26" i="55" s="1"/>
  <c r="I40" i="24"/>
  <c r="I41" i="24" s="1"/>
  <c r="Y83" i="55"/>
  <c r="Y84" i="55"/>
  <c r="L124" i="36"/>
  <c r="AW37" i="55"/>
  <c r="I95" i="34"/>
  <c r="M35" i="55"/>
  <c r="F61" i="47"/>
  <c r="K34" i="34"/>
  <c r="J34" i="34"/>
  <c r="K94" i="35"/>
  <c r="X67" i="55"/>
  <c r="X59" i="55"/>
  <c r="M29" i="33"/>
  <c r="G27" i="55"/>
  <c r="AA86" i="55"/>
  <c r="K145" i="35"/>
  <c r="L61" i="36"/>
  <c r="I40" i="14"/>
  <c r="J62" i="36"/>
  <c r="K198" i="35"/>
  <c r="X54" i="55"/>
  <c r="X61" i="55"/>
  <c r="O153" i="36"/>
  <c r="AL45" i="55"/>
  <c r="K155" i="35"/>
  <c r="N146" i="35"/>
  <c r="L59" i="36"/>
  <c r="K200" i="35"/>
  <c r="M135" i="36"/>
  <c r="N135" i="36"/>
  <c r="AP108" i="47"/>
  <c r="L136" i="35"/>
  <c r="M136" i="35"/>
  <c r="I45" i="34"/>
  <c r="L67" i="34"/>
  <c r="AY34" i="55" s="1"/>
  <c r="L37" i="34"/>
  <c r="AY2" i="55"/>
  <c r="AP46" i="47"/>
  <c r="AA46" i="47"/>
  <c r="AK109" i="55"/>
  <c r="AK111" i="55"/>
  <c r="I73" i="34"/>
  <c r="K193" i="35"/>
  <c r="K88" i="35"/>
  <c r="I40" i="16"/>
  <c r="I41" i="16" s="1"/>
  <c r="J72" i="36"/>
  <c r="AP22" i="47"/>
  <c r="AA22" i="47"/>
  <c r="AY12" i="55"/>
  <c r="O100" i="36"/>
  <c r="AA46" i="55" s="1"/>
  <c r="L43" i="34"/>
  <c r="M138" i="35"/>
  <c r="L138" i="35"/>
  <c r="M85" i="35"/>
  <c r="L85" i="35"/>
  <c r="AW8" i="55"/>
  <c r="I77" i="34"/>
  <c r="AP78" i="47"/>
  <c r="AA76" i="47"/>
  <c r="AP76" i="47"/>
  <c r="M43" i="33"/>
  <c r="G10" i="55"/>
  <c r="S8" i="47"/>
  <c r="AG29" i="55" s="1"/>
  <c r="AL114" i="55"/>
  <c r="K86" i="35"/>
  <c r="M26" i="55"/>
  <c r="F47" i="47"/>
  <c r="Y63" i="55"/>
  <c r="L98" i="36"/>
  <c r="K122" i="36"/>
  <c r="Z26" i="55" s="1"/>
  <c r="J40" i="24"/>
  <c r="J41" i="24" s="1"/>
  <c r="N40" i="36"/>
  <c r="M40" i="36"/>
  <c r="L181" i="35"/>
  <c r="M181" i="35"/>
  <c r="K121" i="35"/>
  <c r="L173" i="35"/>
  <c r="M173" i="35"/>
  <c r="I41" i="14"/>
  <c r="Y35" i="55"/>
  <c r="L123" i="36"/>
  <c r="X87" i="55"/>
  <c r="O160" i="36"/>
  <c r="AA87" i="55" s="1"/>
  <c r="M161" i="36"/>
  <c r="N161" i="36"/>
  <c r="M171" i="35"/>
  <c r="L171" i="35"/>
  <c r="O75" i="36"/>
  <c r="AP21" i="47"/>
  <c r="AA21" i="47"/>
  <c r="M10" i="55"/>
  <c r="F42" i="47"/>
  <c r="AL24" i="55"/>
  <c r="AL26" i="55"/>
  <c r="K197" i="35"/>
  <c r="L146" i="35"/>
  <c r="M65" i="36"/>
  <c r="N65" i="36"/>
  <c r="K81" i="35"/>
  <c r="AL85" i="55"/>
  <c r="AF29" i="55"/>
  <c r="A9" i="35"/>
  <c r="O77" i="36"/>
  <c r="M27" i="33"/>
  <c r="N27" i="33"/>
  <c r="F27" i="47" s="1"/>
  <c r="AL19" i="55"/>
  <c r="K190" i="35"/>
  <c r="K37" i="34"/>
  <c r="J37" i="34"/>
  <c r="N129" i="36"/>
  <c r="M129" i="36"/>
  <c r="AL111" i="55"/>
  <c r="K192" i="35"/>
  <c r="M83" i="35"/>
  <c r="L83" i="35"/>
  <c r="AP31" i="47"/>
  <c r="AA31" i="47"/>
  <c r="AY23" i="55"/>
  <c r="J9" i="34"/>
  <c r="K9" i="34"/>
  <c r="L203" i="35"/>
  <c r="M203" i="35"/>
  <c r="I40" i="22"/>
  <c r="I41" i="22" s="1"/>
  <c r="J112" i="36"/>
  <c r="M74" i="35"/>
  <c r="L74" i="35"/>
  <c r="K57" i="36"/>
  <c r="J40" i="13"/>
  <c r="J41" i="13" s="1"/>
  <c r="M97" i="35"/>
  <c r="L97" i="35"/>
  <c r="K93" i="34"/>
  <c r="J93" i="34"/>
  <c r="O159" i="36"/>
  <c r="AA88" i="55" s="1"/>
  <c r="N163" i="35"/>
  <c r="K163" i="35"/>
  <c r="N203" i="35"/>
  <c r="J92" i="36"/>
  <c r="I40" i="25"/>
  <c r="I41" i="25" s="1"/>
  <c r="AL12" i="55"/>
  <c r="K161" i="35"/>
  <c r="M168" i="35"/>
  <c r="L168" i="35"/>
  <c r="Z61" i="55"/>
  <c r="AY9" i="55"/>
  <c r="AA43" i="47"/>
  <c r="AP43" i="47"/>
  <c r="AP32" i="47"/>
  <c r="AA32" i="47"/>
  <c r="L174" i="35"/>
  <c r="M174" i="35"/>
  <c r="AN76" i="55"/>
  <c r="AN73" i="55"/>
  <c r="L177" i="35"/>
  <c r="M177" i="35"/>
  <c r="AN71" i="55"/>
  <c r="AN66" i="55"/>
  <c r="I94" i="34"/>
  <c r="AW33" i="55"/>
  <c r="I43" i="34"/>
  <c r="N119" i="36"/>
  <c r="M119" i="36"/>
  <c r="Y34" i="55"/>
  <c r="L158" i="36"/>
  <c r="O114" i="36"/>
  <c r="AA76" i="55" s="1"/>
  <c r="N84" i="35"/>
  <c r="AN43" i="55" s="1"/>
  <c r="L160" i="36"/>
  <c r="O125" i="36"/>
  <c r="N89" i="35"/>
  <c r="J143" i="36"/>
  <c r="I40" i="2"/>
  <c r="I41" i="2" s="1"/>
  <c r="L75" i="36"/>
  <c r="J20" i="34"/>
  <c r="K20" i="34"/>
  <c r="I46" i="34"/>
  <c r="K80" i="34"/>
  <c r="J80" i="34"/>
  <c r="N140" i="36"/>
  <c r="M140" i="36"/>
  <c r="X7" i="55"/>
  <c r="N142" i="35"/>
  <c r="N202" i="35"/>
  <c r="AM23" i="55"/>
  <c r="AM24" i="55"/>
  <c r="R8" i="47"/>
  <c r="T8" i="47"/>
  <c r="L60" i="36"/>
  <c r="O68" i="36"/>
  <c r="AA59" i="55" s="1"/>
  <c r="I57" i="34"/>
  <c r="AK130" i="55"/>
  <c r="AK125" i="55"/>
  <c r="J85" i="34"/>
  <c r="K85" i="34"/>
  <c r="G22" i="55"/>
  <c r="N72" i="33"/>
  <c r="K128" i="35"/>
  <c r="Y49" i="55"/>
  <c r="Y46" i="55"/>
  <c r="L100" i="36"/>
  <c r="I66" i="34"/>
  <c r="M53" i="36"/>
  <c r="N53" i="36"/>
  <c r="L131" i="36"/>
  <c r="N165" i="35"/>
  <c r="J40" i="16"/>
  <c r="J41" i="16" s="1"/>
  <c r="K72" i="36"/>
  <c r="Z14" i="55" s="1"/>
  <c r="J40" i="22"/>
  <c r="J41" i="22" s="1"/>
  <c r="K112" i="36"/>
  <c r="Z21" i="55" s="1"/>
  <c r="N77" i="35"/>
  <c r="AN77" i="55" s="1"/>
  <c r="J57" i="36"/>
  <c r="I40" i="13"/>
  <c r="I41" i="13" s="1"/>
  <c r="L94" i="36"/>
  <c r="Y64" i="55"/>
  <c r="K92" i="36"/>
  <c r="Z9" i="55" s="1"/>
  <c r="J40" i="25"/>
  <c r="J41" i="25" s="1"/>
  <c r="AM13" i="55"/>
  <c r="AM12" i="55"/>
  <c r="F20" i="47"/>
  <c r="AA88" i="47"/>
  <c r="AP88" i="47"/>
  <c r="K92" i="35"/>
  <c r="AL51" i="55"/>
  <c r="M40" i="55"/>
  <c r="F41" i="47"/>
  <c r="AL43" i="55"/>
  <c r="K84" i="35"/>
  <c r="AA100" i="55"/>
  <c r="AA99" i="55"/>
  <c r="AA96" i="55"/>
  <c r="AA98" i="55"/>
  <c r="AA140" i="55"/>
  <c r="AA113" i="55"/>
  <c r="AA117" i="55"/>
  <c r="AA166" i="55"/>
  <c r="AA164" i="55"/>
  <c r="AA147" i="55"/>
  <c r="AA130" i="55"/>
  <c r="AA104" i="55"/>
  <c r="AA121" i="55"/>
  <c r="AA119" i="55"/>
  <c r="AA143" i="55"/>
  <c r="AA127" i="55"/>
  <c r="AA108" i="55"/>
  <c r="AA146" i="55"/>
  <c r="AA124" i="55"/>
  <c r="AA145" i="55"/>
  <c r="AA144" i="55"/>
  <c r="AA160" i="55"/>
  <c r="AA137" i="55"/>
  <c r="AA136" i="55"/>
  <c r="AA105" i="55"/>
  <c r="AA158" i="55"/>
  <c r="AA159" i="55"/>
  <c r="AA142" i="55"/>
  <c r="AA134" i="55"/>
  <c r="AA107" i="55"/>
  <c r="AA97" i="55"/>
  <c r="AA138" i="55"/>
  <c r="AA148" i="55"/>
  <c r="AA161" i="55"/>
  <c r="AA129" i="55"/>
  <c r="AA128" i="55"/>
  <c r="AA157" i="55"/>
  <c r="AA154" i="55"/>
  <c r="AA126" i="55"/>
  <c r="AA118" i="55"/>
  <c r="AA123" i="55"/>
  <c r="AA94" i="55"/>
  <c r="AA153" i="55"/>
  <c r="AA112" i="55"/>
  <c r="AA150" i="55"/>
  <c r="AA149" i="55"/>
  <c r="AA141" i="55"/>
  <c r="AA165" i="55"/>
  <c r="AA114" i="55"/>
  <c r="AA139" i="55"/>
  <c r="AA125" i="55"/>
  <c r="AA151" i="55"/>
  <c r="AA103" i="55"/>
  <c r="AA116" i="55"/>
  <c r="AA152" i="55"/>
  <c r="AA156" i="55"/>
  <c r="AA171" i="55"/>
  <c r="AA162" i="55"/>
  <c r="AA110" i="55"/>
  <c r="AA135" i="55"/>
  <c r="AA122" i="55"/>
  <c r="AA109" i="55"/>
  <c r="AA111" i="55"/>
  <c r="AA133" i="55"/>
  <c r="AA163" i="55"/>
  <c r="AA168" i="55"/>
  <c r="AA167" i="55"/>
  <c r="AA132" i="55"/>
  <c r="AA106" i="55"/>
  <c r="AA102" i="55"/>
  <c r="AA155" i="55"/>
  <c r="AA120" i="55"/>
  <c r="AA115" i="55"/>
  <c r="AA131" i="55"/>
  <c r="AA170" i="55"/>
  <c r="AA169" i="55"/>
  <c r="N73" i="36"/>
  <c r="M73" i="36"/>
  <c r="M145" i="36"/>
  <c r="N145" i="36"/>
  <c r="Z33" i="55"/>
  <c r="Z34" i="55"/>
  <c r="J67" i="36"/>
  <c r="I40" i="15"/>
  <c r="I41" i="15" s="1"/>
  <c r="O124" i="36"/>
  <c r="AA84" i="55" s="1"/>
  <c r="N154" i="36"/>
  <c r="M154" i="36"/>
  <c r="AN8" i="55"/>
  <c r="M159" i="35"/>
  <c r="L159" i="35"/>
  <c r="M5" i="36"/>
  <c r="N5" i="36"/>
  <c r="N76" i="36"/>
  <c r="M76" i="36"/>
  <c r="Y12" i="55"/>
  <c r="L132" i="36"/>
  <c r="O132" i="36"/>
  <c r="N96" i="36"/>
  <c r="M96" i="36"/>
  <c r="L144" i="35"/>
  <c r="M144" i="35"/>
  <c r="O161" i="36"/>
  <c r="K152" i="36"/>
  <c r="Z7" i="55" s="1"/>
  <c r="J40" i="30"/>
  <c r="J41" i="30" s="1"/>
  <c r="AW46" i="55"/>
  <c r="I71" i="34"/>
  <c r="AL18" i="55"/>
  <c r="K70" i="35"/>
  <c r="K202" i="35"/>
  <c r="L199" i="35"/>
  <c r="M199" i="35"/>
  <c r="M23" i="47"/>
  <c r="AA11" i="55"/>
  <c r="L7" i="36"/>
  <c r="Y6" i="55"/>
  <c r="AW40" i="55"/>
  <c r="AW41" i="55"/>
  <c r="I56" i="34"/>
  <c r="K157" i="35"/>
  <c r="AL125" i="55"/>
  <c r="N195" i="35"/>
  <c r="M49" i="33"/>
  <c r="G26" i="55"/>
  <c r="I41" i="34"/>
  <c r="AW42" i="55"/>
  <c r="O70" i="36"/>
  <c r="AA60" i="55" s="1"/>
  <c r="AK101" i="55"/>
  <c r="AK98" i="55"/>
  <c r="N70" i="35"/>
  <c r="AN18" i="55" s="1"/>
  <c r="K39" i="34"/>
  <c r="J39" i="34"/>
  <c r="L113" i="36"/>
  <c r="Y37" i="55"/>
  <c r="M55" i="36"/>
  <c r="N55" i="36"/>
  <c r="K78" i="34"/>
  <c r="J78" i="34"/>
  <c r="M9" i="35"/>
  <c r="L9" i="35"/>
  <c r="L92" i="34"/>
  <c r="M55" i="33"/>
  <c r="N55" i="33"/>
  <c r="F52" i="47" s="1"/>
  <c r="I86" i="34"/>
  <c r="AW6" i="55"/>
  <c r="N126" i="35"/>
  <c r="M41" i="33"/>
  <c r="G29" i="55"/>
  <c r="N41" i="33"/>
  <c r="N160" i="35"/>
  <c r="AK12" i="55"/>
  <c r="N161" i="35"/>
  <c r="Z29" i="55"/>
  <c r="Z28" i="55"/>
  <c r="L166" i="35"/>
  <c r="M166" i="35"/>
  <c r="AY6" i="55"/>
  <c r="AP81" i="47"/>
  <c r="AA81" i="47"/>
  <c r="AA61" i="47"/>
  <c r="AP61" i="47"/>
  <c r="L42" i="34"/>
  <c r="N158" i="35"/>
  <c r="AN106" i="55" s="1"/>
  <c r="AA65" i="47"/>
  <c r="AP65" i="47"/>
  <c r="AL70" i="55"/>
  <c r="AL66" i="55"/>
  <c r="K72" i="35"/>
  <c r="K67" i="36"/>
  <c r="Z44" i="55" s="1"/>
  <c r="J40" i="15"/>
  <c r="J41" i="15" s="1"/>
  <c r="M101" i="36"/>
  <c r="N101" i="36"/>
  <c r="K142" i="35"/>
  <c r="AL13" i="55"/>
  <c r="AN69" i="55"/>
  <c r="K75" i="35"/>
  <c r="L125" i="36"/>
  <c r="K143" i="36"/>
  <c r="Z52" i="55" s="1"/>
  <c r="J40" i="2"/>
  <c r="J41" i="2" s="1"/>
  <c r="AA38" i="47"/>
  <c r="AP38" i="47"/>
  <c r="K123" i="35"/>
  <c r="AL10" i="55"/>
  <c r="O96" i="36"/>
  <c r="AA70" i="55"/>
  <c r="M11" i="47"/>
  <c r="N90" i="35"/>
  <c r="AN35" i="55" s="1"/>
  <c r="AW36" i="55"/>
  <c r="I76" i="34"/>
  <c r="L82" i="35"/>
  <c r="M82" i="35"/>
  <c r="J152" i="36"/>
  <c r="O152" i="36" s="1"/>
  <c r="I40" i="30"/>
  <c r="I41" i="30" s="1"/>
  <c r="N123" i="35"/>
  <c r="AN10" i="55" s="1"/>
  <c r="M32" i="36"/>
  <c r="N32" i="36"/>
  <c r="AO109" i="47"/>
  <c r="AM130" i="55"/>
  <c r="AM125" i="55"/>
  <c r="AL98" i="55"/>
  <c r="K194" i="35"/>
  <c r="N156" i="35"/>
  <c r="AN78" i="55" s="1"/>
  <c r="AN7" i="55"/>
  <c r="AN6" i="55"/>
  <c r="L135" i="35"/>
  <c r="M135" i="35"/>
  <c r="I40" i="34"/>
  <c r="L41" i="34"/>
  <c r="M66" i="36"/>
  <c r="N66" i="36"/>
  <c r="K47" i="34"/>
  <c r="J47" i="34"/>
  <c r="K75" i="34"/>
  <c r="J75" i="34"/>
  <c r="L160" i="35"/>
  <c r="M160" i="35"/>
  <c r="O123" i="36"/>
  <c r="O40" i="36"/>
  <c r="L99" i="36"/>
  <c r="AX23" i="55"/>
  <c r="AX25" i="55"/>
  <c r="M43" i="35"/>
  <c r="L43" i="35"/>
  <c r="L93" i="35"/>
  <c r="M93" i="35"/>
  <c r="N39" i="35"/>
  <c r="N40" i="35"/>
  <c r="N34" i="35"/>
  <c r="L19" i="34"/>
  <c r="K39" i="35"/>
  <c r="M39" i="35" s="1"/>
  <c r="N37" i="35"/>
  <c r="AM81" i="55"/>
  <c r="AM74" i="55"/>
  <c r="AK94" i="55"/>
  <c r="AK89" i="55"/>
  <c r="K40" i="35"/>
  <c r="M40" i="35" s="1"/>
  <c r="K37" i="35"/>
  <c r="L37" i="35" s="1"/>
  <c r="O30" i="36"/>
  <c r="X93" i="55"/>
  <c r="AM94" i="55"/>
  <c r="AM89" i="55"/>
  <c r="AM22" i="55"/>
  <c r="AM21" i="55"/>
  <c r="AK22" i="55"/>
  <c r="AK21" i="55"/>
  <c r="L31" i="36"/>
  <c r="M31" i="36" s="1"/>
  <c r="X45" i="55"/>
  <c r="L18" i="34"/>
  <c r="AA18" i="47" s="1"/>
  <c r="AK81" i="55"/>
  <c r="AK74" i="55"/>
  <c r="I18" i="34"/>
  <c r="Z45" i="55"/>
  <c r="O118" i="36"/>
  <c r="AA72" i="55" s="1"/>
  <c r="Y73" i="55"/>
  <c r="Z85" i="55"/>
  <c r="Z73" i="55"/>
  <c r="Z20" i="55"/>
  <c r="Z19" i="55"/>
  <c r="O87" i="36"/>
  <c r="Y19" i="55"/>
  <c r="M17" i="47"/>
  <c r="AA64" i="55"/>
  <c r="Z42" i="55"/>
  <c r="Z40" i="55"/>
  <c r="Y20" i="55"/>
  <c r="L87" i="36"/>
  <c r="AN126" i="55"/>
  <c r="AN9" i="55"/>
  <c r="J26" i="34"/>
  <c r="K26" i="34"/>
  <c r="F19" i="47"/>
  <c r="M17" i="55"/>
  <c r="Y45" i="55"/>
  <c r="L44" i="36"/>
  <c r="M55" i="35"/>
  <c r="L55" i="35"/>
  <c r="AY21" i="55"/>
  <c r="AP25" i="47"/>
  <c r="AA25" i="47"/>
  <c r="L52" i="35"/>
  <c r="M52" i="35"/>
  <c r="N15" i="33"/>
  <c r="M24" i="47"/>
  <c r="AL22" i="55"/>
  <c r="K34" i="35"/>
  <c r="N36" i="35"/>
  <c r="AN89" i="55" s="1"/>
  <c r="Y47" i="55"/>
  <c r="L29" i="36"/>
  <c r="N38" i="35"/>
  <c r="L39" i="35"/>
  <c r="L17" i="34"/>
  <c r="AL81" i="55"/>
  <c r="K35" i="35"/>
  <c r="O29" i="36"/>
  <c r="AA45" i="55" s="1"/>
  <c r="J27" i="36"/>
  <c r="Y24" i="55" s="1"/>
  <c r="I40" i="7"/>
  <c r="I41" i="7" s="1"/>
  <c r="I19" i="34"/>
  <c r="AL94" i="55"/>
  <c r="K36" i="35"/>
  <c r="M15" i="33"/>
  <c r="X22" i="55"/>
  <c r="X23" i="55"/>
  <c r="AW14" i="55"/>
  <c r="I17" i="34"/>
  <c r="L30" i="36"/>
  <c r="N35" i="35"/>
  <c r="K27" i="36"/>
  <c r="Z24" i="55" s="1"/>
  <c r="J40" i="7"/>
  <c r="J41" i="7" s="1"/>
  <c r="N31" i="36"/>
  <c r="J18" i="34"/>
  <c r="K18" i="34"/>
  <c r="AL124" i="55"/>
  <c r="K38" i="35"/>
  <c r="L40" i="35"/>
  <c r="AN22" i="55"/>
  <c r="N23" i="36"/>
  <c r="M16" i="47"/>
  <c r="AA61" i="55"/>
  <c r="K30" i="47"/>
  <c r="J30" i="47"/>
  <c r="L31" i="47"/>
  <c r="J31" i="47"/>
  <c r="AL127" i="55"/>
  <c r="K6" i="35"/>
  <c r="N6" i="35"/>
  <c r="N142" i="36"/>
  <c r="M142" i="36"/>
  <c r="M28" i="55"/>
  <c r="F62" i="47"/>
  <c r="M157" i="36"/>
  <c r="N157" i="36"/>
  <c r="O137" i="36"/>
  <c r="L137" i="36"/>
  <c r="Y29" i="55"/>
  <c r="Y85" i="55"/>
  <c r="L118" i="36"/>
  <c r="Y42" i="55"/>
  <c r="L97" i="36"/>
  <c r="O97" i="36"/>
  <c r="A44" i="36"/>
  <c r="M31" i="47" s="1"/>
  <c r="AN37" i="55" l="1"/>
  <c r="AN36" i="55"/>
  <c r="L89" i="35"/>
  <c r="O67" i="36"/>
  <c r="AA44" i="55" s="1"/>
  <c r="O143" i="36"/>
  <c r="AA50" i="55"/>
  <c r="AA52" i="55"/>
  <c r="AA6" i="55"/>
  <c r="AA7" i="55"/>
  <c r="AA41" i="55"/>
  <c r="AA29" i="55"/>
  <c r="AA28" i="55"/>
  <c r="A10" i="35"/>
  <c r="Q10" i="47"/>
  <c r="AL109" i="47"/>
  <c r="Q9" i="47"/>
  <c r="AL110" i="47"/>
  <c r="AP109" i="47"/>
  <c r="M81" i="35"/>
  <c r="L81" i="35"/>
  <c r="M58" i="36"/>
  <c r="N58" i="36"/>
  <c r="AA94" i="47"/>
  <c r="AP92" i="47"/>
  <c r="AA92" i="47"/>
  <c r="J40" i="34"/>
  <c r="K40" i="34"/>
  <c r="AN13" i="55"/>
  <c r="AN12" i="55"/>
  <c r="K71" i="34"/>
  <c r="J71" i="34"/>
  <c r="L62" i="36"/>
  <c r="Y13" i="55"/>
  <c r="O62" i="36"/>
  <c r="AA13" i="55" s="1"/>
  <c r="J96" i="34"/>
  <c r="K96" i="34"/>
  <c r="K65" i="34"/>
  <c r="J65" i="34"/>
  <c r="M76" i="35"/>
  <c r="L76" i="35"/>
  <c r="L117" i="35"/>
  <c r="M117" i="35"/>
  <c r="K86" i="34"/>
  <c r="J86" i="34"/>
  <c r="AA12" i="55"/>
  <c r="N94" i="36"/>
  <c r="M94" i="36"/>
  <c r="M128" i="35"/>
  <c r="L128" i="35"/>
  <c r="M75" i="36"/>
  <c r="N75" i="36"/>
  <c r="M158" i="36"/>
  <c r="N158" i="36"/>
  <c r="L155" i="35"/>
  <c r="M155" i="35"/>
  <c r="J95" i="34"/>
  <c r="K95" i="34"/>
  <c r="J42" i="34"/>
  <c r="K42" i="34"/>
  <c r="M125" i="35"/>
  <c r="L125" i="35"/>
  <c r="AY37" i="55"/>
  <c r="AA90" i="47"/>
  <c r="AP90" i="47"/>
  <c r="L80" i="35"/>
  <c r="M80" i="35"/>
  <c r="AA67" i="47"/>
  <c r="AP67" i="47"/>
  <c r="AY28" i="55"/>
  <c r="L162" i="35"/>
  <c r="M162" i="35"/>
  <c r="N95" i="36"/>
  <c r="M95" i="36"/>
  <c r="AN44" i="55"/>
  <c r="AN45" i="55"/>
  <c r="L90" i="35"/>
  <c r="M90" i="35"/>
  <c r="K74" i="34"/>
  <c r="J74" i="34"/>
  <c r="K67" i="34"/>
  <c r="J67" i="34"/>
  <c r="M75" i="35"/>
  <c r="L75" i="35"/>
  <c r="L72" i="35"/>
  <c r="M72" i="35"/>
  <c r="L157" i="35"/>
  <c r="M157" i="35"/>
  <c r="N132" i="36"/>
  <c r="M132" i="36"/>
  <c r="L84" i="35"/>
  <c r="M84" i="35"/>
  <c r="N131" i="36"/>
  <c r="M131" i="36"/>
  <c r="M22" i="55"/>
  <c r="F66" i="47"/>
  <c r="M60" i="36"/>
  <c r="N60" i="36"/>
  <c r="Y21" i="55"/>
  <c r="L112" i="36"/>
  <c r="N98" i="36"/>
  <c r="M98" i="36"/>
  <c r="Y14" i="55"/>
  <c r="L72" i="36"/>
  <c r="O72" i="36"/>
  <c r="AA14" i="55" s="1"/>
  <c r="AN109" i="47"/>
  <c r="M61" i="36"/>
  <c r="N61" i="36"/>
  <c r="AN16" i="55"/>
  <c r="AN15" i="55"/>
  <c r="M70" i="36"/>
  <c r="N70" i="36"/>
  <c r="M158" i="35"/>
  <c r="L158" i="35"/>
  <c r="N128" i="36"/>
  <c r="M128" i="36"/>
  <c r="L191" i="35"/>
  <c r="M191" i="35"/>
  <c r="N74" i="36"/>
  <c r="M74" i="36"/>
  <c r="M164" i="35"/>
  <c r="L164" i="35"/>
  <c r="Y7" i="55"/>
  <c r="L152" i="36"/>
  <c r="J57" i="34"/>
  <c r="K57" i="34"/>
  <c r="L123" i="35"/>
  <c r="M123" i="35"/>
  <c r="Y17" i="55"/>
  <c r="L57" i="36"/>
  <c r="O57" i="36"/>
  <c r="M121" i="35"/>
  <c r="L121" i="35"/>
  <c r="M124" i="36"/>
  <c r="N124" i="36"/>
  <c r="L79" i="35"/>
  <c r="M79" i="35"/>
  <c r="K92" i="34"/>
  <c r="J92" i="34"/>
  <c r="L95" i="35"/>
  <c r="M95" i="35"/>
  <c r="AY46" i="55"/>
  <c r="AA66" i="47"/>
  <c r="AP66" i="47"/>
  <c r="AP69" i="47"/>
  <c r="AA69" i="47"/>
  <c r="AY29" i="55"/>
  <c r="M68" i="36"/>
  <c r="N68" i="36"/>
  <c r="K35" i="34"/>
  <c r="J35" i="34"/>
  <c r="AY40" i="55"/>
  <c r="AP54" i="47"/>
  <c r="AA54" i="47"/>
  <c r="AY41" i="55"/>
  <c r="S10" i="47"/>
  <c r="L120" i="35"/>
  <c r="M120" i="35"/>
  <c r="AA37" i="47"/>
  <c r="AP37" i="47"/>
  <c r="AY16" i="55"/>
  <c r="N64" i="36"/>
  <c r="M64" i="36"/>
  <c r="L161" i="35"/>
  <c r="M161" i="35"/>
  <c r="AA34" i="55"/>
  <c r="AA27" i="55"/>
  <c r="F14" i="47"/>
  <c r="F15" i="47"/>
  <c r="AN110" i="47"/>
  <c r="K76" i="34"/>
  <c r="J76" i="34"/>
  <c r="M142" i="35"/>
  <c r="L142" i="35"/>
  <c r="K56" i="34"/>
  <c r="J56" i="34"/>
  <c r="S9" i="47"/>
  <c r="Y52" i="55"/>
  <c r="L143" i="36"/>
  <c r="M99" i="36"/>
  <c r="N99" i="36"/>
  <c r="M29" i="55"/>
  <c r="F40" i="47"/>
  <c r="AY13" i="55"/>
  <c r="AA87" i="47"/>
  <c r="AP87" i="47"/>
  <c r="L92" i="36"/>
  <c r="Y9" i="55"/>
  <c r="O92" i="36"/>
  <c r="AA9" i="55" s="1"/>
  <c r="M190" i="35"/>
  <c r="L190" i="35"/>
  <c r="L88" i="35"/>
  <c r="M88" i="35"/>
  <c r="L94" i="35"/>
  <c r="M94" i="35"/>
  <c r="AP83" i="47"/>
  <c r="AA82" i="47"/>
  <c r="AP82" i="47"/>
  <c r="L91" i="35"/>
  <c r="M91" i="35"/>
  <c r="N153" i="36"/>
  <c r="M153" i="36"/>
  <c r="K87" i="34"/>
  <c r="J87" i="34"/>
  <c r="M77" i="35"/>
  <c r="L77" i="35"/>
  <c r="M156" i="35"/>
  <c r="L156" i="35"/>
  <c r="AA74" i="47"/>
  <c r="AP74" i="47"/>
  <c r="N77" i="36"/>
  <c r="M77" i="36"/>
  <c r="AO110" i="47"/>
  <c r="N113" i="36"/>
  <c r="M113" i="36"/>
  <c r="K41" i="34"/>
  <c r="J41" i="34"/>
  <c r="M202" i="35"/>
  <c r="L202" i="35"/>
  <c r="J66" i="34"/>
  <c r="K66" i="34"/>
  <c r="J43" i="34"/>
  <c r="K43" i="34"/>
  <c r="AY33" i="55"/>
  <c r="AP42" i="47"/>
  <c r="AA42" i="47"/>
  <c r="M193" i="35"/>
  <c r="L193" i="35"/>
  <c r="AA36" i="47"/>
  <c r="AP36" i="47"/>
  <c r="M145" i="35"/>
  <c r="L145" i="35"/>
  <c r="K44" i="34"/>
  <c r="J44" i="34"/>
  <c r="L141" i="35"/>
  <c r="M141" i="35"/>
  <c r="J58" i="34"/>
  <c r="K58" i="34"/>
  <c r="M130" i="36"/>
  <c r="N130" i="36"/>
  <c r="M127" i="35"/>
  <c r="L127" i="35"/>
  <c r="J97" i="34"/>
  <c r="K97" i="34"/>
  <c r="T9" i="47"/>
  <c r="M118" i="35"/>
  <c r="L118" i="35"/>
  <c r="AA41" i="47"/>
  <c r="AP41" i="47"/>
  <c r="AY44" i="55"/>
  <c r="M70" i="35"/>
  <c r="L70" i="35"/>
  <c r="M100" i="36"/>
  <c r="N100" i="36"/>
  <c r="K46" i="34"/>
  <c r="J46" i="34"/>
  <c r="N160" i="36"/>
  <c r="M160" i="36"/>
  <c r="M163" i="35"/>
  <c r="L163" i="35"/>
  <c r="Z18" i="55"/>
  <c r="Z17" i="55"/>
  <c r="L192" i="35"/>
  <c r="M192" i="35"/>
  <c r="L197" i="35"/>
  <c r="M197" i="35"/>
  <c r="M123" i="36"/>
  <c r="N123" i="36"/>
  <c r="L86" i="35"/>
  <c r="M86" i="35"/>
  <c r="K77" i="34"/>
  <c r="J77" i="34"/>
  <c r="K73" i="34"/>
  <c r="J73" i="34"/>
  <c r="AP63" i="47"/>
  <c r="AA63" i="47"/>
  <c r="AY35" i="55"/>
  <c r="M200" i="35"/>
  <c r="L200" i="35"/>
  <c r="AA91" i="47"/>
  <c r="AP91" i="47"/>
  <c r="J38" i="34"/>
  <c r="K38" i="34"/>
  <c r="O112" i="36"/>
  <c r="AA21" i="55" s="1"/>
  <c r="L126" i="35"/>
  <c r="M126" i="35"/>
  <c r="M8" i="55"/>
  <c r="F32" i="47"/>
  <c r="L127" i="36"/>
  <c r="Y32" i="55"/>
  <c r="O127" i="36"/>
  <c r="AA32" i="55" s="1"/>
  <c r="L116" i="35"/>
  <c r="M116" i="35"/>
  <c r="M78" i="35"/>
  <c r="L78" i="35"/>
  <c r="N159" i="36"/>
  <c r="M159" i="36"/>
  <c r="AN23" i="55"/>
  <c r="AN24" i="55"/>
  <c r="AA39" i="55"/>
  <c r="AA63" i="55"/>
  <c r="AA36" i="55"/>
  <c r="AA35" i="55"/>
  <c r="M194" i="35"/>
  <c r="L194" i="35"/>
  <c r="AP40" i="47"/>
  <c r="AA40" i="47"/>
  <c r="AY42" i="55"/>
  <c r="N125" i="36"/>
  <c r="M125" i="36"/>
  <c r="AN113" i="55"/>
  <c r="AN109" i="55"/>
  <c r="M7" i="36"/>
  <c r="N7" i="36"/>
  <c r="L67" i="36"/>
  <c r="Y44" i="55"/>
  <c r="L92" i="35"/>
  <c r="M92" i="35"/>
  <c r="J94" i="34"/>
  <c r="K94" i="34"/>
  <c r="J45" i="34"/>
  <c r="K45" i="34"/>
  <c r="R9" i="47"/>
  <c r="M59" i="36"/>
  <c r="N59" i="36"/>
  <c r="M198" i="35"/>
  <c r="L198" i="35"/>
  <c r="Y26" i="55"/>
  <c r="L122" i="36"/>
  <c r="M87" i="35"/>
  <c r="L87" i="35"/>
  <c r="M27" i="55"/>
  <c r="F29" i="47"/>
  <c r="J72" i="34"/>
  <c r="K72" i="34"/>
  <c r="N69" i="36"/>
  <c r="M69" i="36"/>
  <c r="M143" i="35"/>
  <c r="L143" i="35"/>
  <c r="AA37" i="55"/>
  <c r="N63" i="36"/>
  <c r="M63" i="36"/>
  <c r="N107" i="36"/>
  <c r="M107" i="36"/>
  <c r="M114" i="36"/>
  <c r="N114" i="36"/>
  <c r="O27" i="36"/>
  <c r="AA24" i="55" s="1"/>
  <c r="AP18" i="47"/>
  <c r="M37" i="35"/>
  <c r="AN21" i="55"/>
  <c r="M21" i="47"/>
  <c r="AA93" i="55"/>
  <c r="M22" i="47"/>
  <c r="AN74" i="55"/>
  <c r="AA85" i="55"/>
  <c r="AA73" i="55"/>
  <c r="AA20" i="55"/>
  <c r="AA19" i="55"/>
  <c r="AA42" i="55"/>
  <c r="AA40" i="55"/>
  <c r="N87" i="36"/>
  <c r="M87" i="36"/>
  <c r="N44" i="36"/>
  <c r="M44" i="36"/>
  <c r="AA23" i="55"/>
  <c r="M18" i="47"/>
  <c r="M38" i="35"/>
  <c r="L38" i="35"/>
  <c r="M35" i="35"/>
  <c r="L35" i="35"/>
  <c r="N29" i="36"/>
  <c r="M29" i="36"/>
  <c r="Z22" i="55"/>
  <c r="Z23" i="55"/>
  <c r="AN81" i="55"/>
  <c r="L36" i="35"/>
  <c r="M36" i="35"/>
  <c r="AA17" i="47"/>
  <c r="AP17" i="47"/>
  <c r="AY14" i="55"/>
  <c r="AN94" i="55"/>
  <c r="M34" i="35"/>
  <c r="L34" i="35"/>
  <c r="M30" i="36"/>
  <c r="N30" i="36"/>
  <c r="J17" i="34"/>
  <c r="K17" i="34"/>
  <c r="J19" i="34"/>
  <c r="K19" i="34"/>
  <c r="Y22" i="55"/>
  <c r="Y23" i="55"/>
  <c r="L27" i="36"/>
  <c r="M20" i="47"/>
  <c r="AA47" i="55"/>
  <c r="K31" i="47"/>
  <c r="AP107" i="47"/>
  <c r="AN127" i="55"/>
  <c r="T7" i="47"/>
  <c r="L6" i="35"/>
  <c r="M6" i="35"/>
  <c r="M137" i="36"/>
  <c r="N137" i="36"/>
  <c r="N118" i="36"/>
  <c r="M118" i="36"/>
  <c r="N97" i="36"/>
  <c r="M97" i="36"/>
  <c r="A45" i="36"/>
  <c r="A34" i="47" l="1"/>
  <c r="A42" i="47"/>
  <c r="A52" i="47"/>
  <c r="A53" i="47"/>
  <c r="A49" i="47"/>
  <c r="A31" i="47"/>
  <c r="A8" i="47"/>
  <c r="A3" i="47"/>
  <c r="A39" i="47"/>
  <c r="A64" i="47"/>
  <c r="A50" i="47"/>
  <c r="A89" i="47"/>
  <c r="A72" i="47"/>
  <c r="A40" i="47"/>
  <c r="A74" i="47"/>
  <c r="A51" i="47"/>
  <c r="A45" i="47"/>
  <c r="A70" i="47"/>
  <c r="A23" i="47"/>
  <c r="A90" i="47"/>
  <c r="A12" i="47"/>
  <c r="A9" i="47"/>
  <c r="A73" i="47"/>
  <c r="A55" i="47"/>
  <c r="A91" i="47"/>
  <c r="A21" i="47"/>
  <c r="A85" i="47"/>
  <c r="A101" i="47"/>
  <c r="A48" i="47"/>
  <c r="A98" i="47"/>
  <c r="A80" i="47"/>
  <c r="A69" i="47"/>
  <c r="A13" i="47"/>
  <c r="A62" i="47"/>
  <c r="A99" i="47"/>
  <c r="A66" i="47"/>
  <c r="A76" i="47"/>
  <c r="A71" i="47"/>
  <c r="A58" i="47"/>
  <c r="A6" i="47"/>
  <c r="A15" i="47"/>
  <c r="A67" i="47"/>
  <c r="A83" i="47"/>
  <c r="A46" i="47"/>
  <c r="A19" i="47"/>
  <c r="A82" i="47"/>
  <c r="A47" i="47"/>
  <c r="A11" i="47"/>
  <c r="A79" i="47"/>
  <c r="A102" i="47"/>
  <c r="A26" i="47"/>
  <c r="A57" i="47"/>
  <c r="A63" i="47"/>
  <c r="A97" i="47"/>
  <c r="A87" i="47"/>
  <c r="A59" i="47"/>
  <c r="A18" i="47"/>
  <c r="A28" i="47"/>
  <c r="A36" i="47"/>
  <c r="A44" i="47"/>
  <c r="A35" i="47"/>
  <c r="A30" i="47"/>
  <c r="A84" i="47"/>
  <c r="A43" i="47"/>
  <c r="A33" i="47"/>
  <c r="A25" i="47"/>
  <c r="A65" i="47"/>
  <c r="A96" i="47"/>
  <c r="A24" i="47"/>
  <c r="A88" i="47"/>
  <c r="A20" i="47"/>
  <c r="A68" i="47"/>
  <c r="A14" i="47"/>
  <c r="A27" i="47"/>
  <c r="A94" i="47"/>
  <c r="A92" i="47"/>
  <c r="A93" i="47"/>
  <c r="A38" i="47"/>
  <c r="A75" i="47"/>
  <c r="A86" i="47"/>
  <c r="A41" i="47"/>
  <c r="A54" i="47"/>
  <c r="A5" i="47"/>
  <c r="A10" i="47"/>
  <c r="A60" i="47"/>
  <c r="A29" i="47"/>
  <c r="A100" i="47"/>
  <c r="A77" i="47"/>
  <c r="A17" i="47"/>
  <c r="A78" i="47"/>
  <c r="A81" i="47"/>
  <c r="A7" i="47"/>
  <c r="A95" i="47"/>
  <c r="M127" i="36"/>
  <c r="N127" i="36"/>
  <c r="M57" i="36"/>
  <c r="N57" i="36"/>
  <c r="M19" i="47"/>
  <c r="M92" i="36"/>
  <c r="N92" i="36"/>
  <c r="N143" i="36"/>
  <c r="M143" i="36"/>
  <c r="T10" i="47"/>
  <c r="N152" i="36"/>
  <c r="M152" i="36"/>
  <c r="Q11" i="47"/>
  <c r="A61" i="47"/>
  <c r="A37" i="47"/>
  <c r="A4" i="47"/>
  <c r="A16" i="47"/>
  <c r="A22" i="47"/>
  <c r="AN111" i="47"/>
  <c r="AP110" i="47"/>
  <c r="A32" i="47"/>
  <c r="A56" i="47"/>
  <c r="M72" i="36"/>
  <c r="N72" i="36"/>
  <c r="N122" i="36"/>
  <c r="M122" i="36"/>
  <c r="M67" i="36"/>
  <c r="N67" i="36"/>
  <c r="AA18" i="55"/>
  <c r="AA17" i="55"/>
  <c r="M112" i="36"/>
  <c r="N112" i="36"/>
  <c r="M62" i="36"/>
  <c r="N62" i="36"/>
  <c r="A11" i="35"/>
  <c r="AP111" i="47"/>
  <c r="AJ97" i="47"/>
  <c r="AJ96" i="47"/>
  <c r="AJ100" i="47"/>
  <c r="AJ99" i="47"/>
  <c r="AJ98" i="47"/>
  <c r="AJ95" i="47"/>
  <c r="AJ102" i="47"/>
  <c r="AJ101" i="47"/>
  <c r="N27" i="36"/>
  <c r="M27" i="36"/>
  <c r="V74" i="47"/>
  <c r="V20" i="47"/>
  <c r="V96" i="47"/>
  <c r="V87" i="47"/>
  <c r="V90" i="47"/>
  <c r="V16" i="47"/>
  <c r="V48" i="47"/>
  <c r="V78" i="47"/>
  <c r="V60" i="47"/>
  <c r="V65" i="47"/>
  <c r="V38" i="47"/>
  <c r="V84" i="47"/>
  <c r="V19" i="47"/>
  <c r="V30" i="47"/>
  <c r="V91" i="47"/>
  <c r="V3" i="47"/>
  <c r="V45" i="47"/>
  <c r="V39" i="47"/>
  <c r="V72" i="47"/>
  <c r="V41" i="47"/>
  <c r="V29" i="47"/>
  <c r="V63" i="47"/>
  <c r="V24" i="47"/>
  <c r="V50" i="47"/>
  <c r="V75" i="47"/>
  <c r="V8" i="47"/>
  <c r="V49" i="47"/>
  <c r="V68" i="47"/>
  <c r="V95" i="47"/>
  <c r="V53" i="47"/>
  <c r="V98" i="47"/>
  <c r="V17" i="47"/>
  <c r="V36" i="47"/>
  <c r="V12" i="47"/>
  <c r="V14" i="47"/>
  <c r="V13" i="47"/>
  <c r="V101" i="47"/>
  <c r="V61" i="47"/>
  <c r="V31" i="47"/>
  <c r="V26" i="47"/>
  <c r="V59" i="47"/>
  <c r="V43" i="47"/>
  <c r="V4" i="47"/>
  <c r="V5" i="47"/>
  <c r="V7" i="47"/>
  <c r="V42" i="47"/>
  <c r="V51" i="47"/>
  <c r="V18" i="47"/>
  <c r="V46" i="47"/>
  <c r="V92" i="47"/>
  <c r="V6" i="47"/>
  <c r="V21" i="47"/>
  <c r="V66" i="47"/>
  <c r="V37" i="47"/>
  <c r="V28" i="47"/>
  <c r="V33" i="47"/>
  <c r="V44" i="47"/>
  <c r="V97" i="47"/>
  <c r="V85" i="47"/>
  <c r="V9" i="47"/>
  <c r="V76" i="47"/>
  <c r="V64" i="47"/>
  <c r="V34" i="47"/>
  <c r="V99" i="47"/>
  <c r="V56" i="47"/>
  <c r="V22" i="47"/>
  <c r="V79" i="47"/>
  <c r="V27" i="47"/>
  <c r="V100" i="47"/>
  <c r="V62" i="47"/>
  <c r="V58" i="47"/>
  <c r="V47" i="47"/>
  <c r="V52" i="47"/>
  <c r="V94" i="47"/>
  <c r="V40" i="47"/>
  <c r="V70" i="47"/>
  <c r="V15" i="47"/>
  <c r="V10" i="47"/>
  <c r="V71" i="47"/>
  <c r="V69" i="47"/>
  <c r="V54" i="47"/>
  <c r="V67" i="47"/>
  <c r="V55" i="47"/>
  <c r="V25" i="47"/>
  <c r="V57" i="47"/>
  <c r="V86" i="47"/>
  <c r="V11" i="47"/>
  <c r="V77" i="47"/>
  <c r="V93" i="47"/>
  <c r="V73" i="47"/>
  <c r="V82" i="47"/>
  <c r="V23" i="47"/>
  <c r="V81" i="47"/>
  <c r="V102" i="47"/>
  <c r="V83" i="47"/>
  <c r="V32" i="47"/>
  <c r="V89" i="47"/>
  <c r="V80" i="47"/>
  <c r="V88" i="47"/>
  <c r="V35" i="47"/>
  <c r="E35" i="44"/>
  <c r="A46" i="36"/>
  <c r="C35" i="44" l="1"/>
  <c r="E35" i="48"/>
  <c r="AL35" i="48" s="1"/>
  <c r="B35" i="48"/>
  <c r="AI35" i="48" s="1"/>
  <c r="B35" i="44"/>
  <c r="D35" i="44"/>
  <c r="M35" i="54"/>
  <c r="C35" i="48"/>
  <c r="B35" i="54"/>
  <c r="F35" i="54" s="1"/>
  <c r="D35" i="48"/>
  <c r="AK35" i="48" s="1"/>
  <c r="C49" i="48"/>
  <c r="E63" i="48"/>
  <c r="B33" i="44"/>
  <c r="C66" i="48"/>
  <c r="B37" i="54"/>
  <c r="K37" i="54" s="1"/>
  <c r="B53" i="54"/>
  <c r="C53" i="54" s="1"/>
  <c r="E74" i="44"/>
  <c r="D87" i="48"/>
  <c r="C54" i="44"/>
  <c r="D83" i="48"/>
  <c r="C31" i="48"/>
  <c r="B38" i="54"/>
  <c r="K38" i="54" s="1"/>
  <c r="D71" i="48"/>
  <c r="E57" i="48"/>
  <c r="B74" i="54"/>
  <c r="J74" i="54" s="1"/>
  <c r="D79" i="44"/>
  <c r="E66" i="48"/>
  <c r="E83" i="48"/>
  <c r="D38" i="48"/>
  <c r="AK38" i="48" s="1"/>
  <c r="B16" i="44"/>
  <c r="B54" i="44"/>
  <c r="E46" i="44"/>
  <c r="B21" i="54"/>
  <c r="H21" i="54" s="1"/>
  <c r="C41" i="44"/>
  <c r="E51" i="48"/>
  <c r="E77" i="44"/>
  <c r="D16" i="48"/>
  <c r="AK16" i="48" s="1"/>
  <c r="B65" i="54"/>
  <c r="E65" i="54" s="1"/>
  <c r="D13" i="44"/>
  <c r="E9" i="44"/>
  <c r="E31" i="44"/>
  <c r="B71" i="48"/>
  <c r="D9" i="48"/>
  <c r="AK9" i="48" s="1"/>
  <c r="B39" i="48"/>
  <c r="AI39" i="48" s="1"/>
  <c r="C27" i="48"/>
  <c r="B21" i="48"/>
  <c r="AI21" i="48" s="1"/>
  <c r="B60" i="54"/>
  <c r="E60" i="54" s="1"/>
  <c r="C72" i="48"/>
  <c r="E14" i="48"/>
  <c r="AL14" i="48" s="1"/>
  <c r="B4" i="54"/>
  <c r="H4" i="54" s="1"/>
  <c r="E74" i="48"/>
  <c r="D48" i="48"/>
  <c r="D77" i="48"/>
  <c r="B31" i="44"/>
  <c r="D19" i="48"/>
  <c r="AK19" i="48" s="1"/>
  <c r="B34" i="54"/>
  <c r="H34" i="54" s="1"/>
  <c r="M5" i="54"/>
  <c r="B40" i="44"/>
  <c r="M32" i="54"/>
  <c r="E55" i="48"/>
  <c r="E44" i="48"/>
  <c r="M45" i="54"/>
  <c r="E13" i="48"/>
  <c r="AL13" i="48" s="1"/>
  <c r="C29" i="48"/>
  <c r="C68" i="48"/>
  <c r="B18" i="54"/>
  <c r="C18" i="54" s="1"/>
  <c r="C26" i="44"/>
  <c r="M30" i="54"/>
  <c r="C87" i="48"/>
  <c r="D26" i="44"/>
  <c r="C77" i="48"/>
  <c r="C59" i="48"/>
  <c r="B11" i="48"/>
  <c r="AI11" i="48" s="1"/>
  <c r="B40" i="48"/>
  <c r="AI40" i="48" s="1"/>
  <c r="B38" i="44"/>
  <c r="D74" i="44"/>
  <c r="B79" i="48"/>
  <c r="B47" i="48"/>
  <c r="B38" i="48"/>
  <c r="AI38" i="48" s="1"/>
  <c r="B76" i="44"/>
  <c r="C7" i="44"/>
  <c r="C48" i="44"/>
  <c r="M63" i="54"/>
  <c r="B20" i="54"/>
  <c r="I20" i="54" s="1"/>
  <c r="D72" i="48"/>
  <c r="B27" i="54"/>
  <c r="G27" i="54" s="1"/>
  <c r="M39" i="54"/>
  <c r="C25" i="44"/>
  <c r="E16" i="44"/>
  <c r="D94" i="48"/>
  <c r="B36" i="54"/>
  <c r="G36" i="54" s="1"/>
  <c r="E45" i="48"/>
  <c r="B29" i="54"/>
  <c r="D29" i="54" s="1"/>
  <c r="B87" i="48"/>
  <c r="C33" i="44"/>
  <c r="D11" i="48"/>
  <c r="AK11" i="48" s="1"/>
  <c r="D50" i="44"/>
  <c r="D16" i="44"/>
  <c r="M9" i="54"/>
  <c r="B52" i="48"/>
  <c r="B73" i="48"/>
  <c r="E78" i="48"/>
  <c r="B69" i="54"/>
  <c r="G69" i="54" s="1"/>
  <c r="M6" i="54"/>
  <c r="E86" i="48"/>
  <c r="D69" i="44"/>
  <c r="B24" i="44"/>
  <c r="D73" i="44"/>
  <c r="D52" i="44"/>
  <c r="C76" i="48"/>
  <c r="C57" i="44"/>
  <c r="C97" i="48"/>
  <c r="C65" i="44"/>
  <c r="M50" i="54"/>
  <c r="B27" i="48"/>
  <c r="AI27" i="48" s="1"/>
  <c r="M37" i="54"/>
  <c r="E16" i="48"/>
  <c r="AL16" i="48" s="1"/>
  <c r="B75" i="54"/>
  <c r="F75" i="54" s="1"/>
  <c r="C48" i="48"/>
  <c r="C72" i="44"/>
  <c r="C59" i="44"/>
  <c r="M40" i="54"/>
  <c r="B52" i="54"/>
  <c r="E52" i="54" s="1"/>
  <c r="B80" i="44"/>
  <c r="C39" i="44"/>
  <c r="D17" i="48"/>
  <c r="AK17" i="48" s="1"/>
  <c r="C101" i="48"/>
  <c r="E7" i="48"/>
  <c r="AL7" i="48" s="1"/>
  <c r="E32" i="48"/>
  <c r="AL32" i="48" s="1"/>
  <c r="C21" i="48"/>
  <c r="C60" i="48"/>
  <c r="B65" i="44"/>
  <c r="C94" i="48"/>
  <c r="B22" i="54"/>
  <c r="H22" i="54" s="1"/>
  <c r="C28" i="48"/>
  <c r="B99" i="48"/>
  <c r="C44" i="48"/>
  <c r="C50" i="48"/>
  <c r="B25" i="44"/>
  <c r="C43" i="44"/>
  <c r="M49" i="54"/>
  <c r="M77" i="54"/>
  <c r="E25" i="48"/>
  <c r="AL25" i="48" s="1"/>
  <c r="M78" i="54"/>
  <c r="C19" i="48"/>
  <c r="B12" i="54"/>
  <c r="J12" i="54" s="1"/>
  <c r="B24" i="48"/>
  <c r="AI24" i="48" s="1"/>
  <c r="E10" i="48"/>
  <c r="AL10" i="48" s="1"/>
  <c r="E34" i="44"/>
  <c r="E12" i="44"/>
  <c r="B44" i="44"/>
  <c r="E79" i="48"/>
  <c r="D88" i="48"/>
  <c r="B33" i="54"/>
  <c r="J33" i="54" s="1"/>
  <c r="D23" i="44"/>
  <c r="B3" i="44"/>
  <c r="C67" i="44"/>
  <c r="B13" i="48"/>
  <c r="AI13" i="48" s="1"/>
  <c r="E11" i="44"/>
  <c r="D75" i="44"/>
  <c r="D23" i="48"/>
  <c r="AK23" i="48" s="1"/>
  <c r="C27" i="44"/>
  <c r="B73" i="44"/>
  <c r="E98" i="48"/>
  <c r="B36" i="44"/>
  <c r="B48" i="44"/>
  <c r="C17" i="48"/>
  <c r="B93" i="48"/>
  <c r="B6" i="48"/>
  <c r="AI6" i="48" s="1"/>
  <c r="C26" i="48"/>
  <c r="B61" i="44"/>
  <c r="D72" i="44"/>
  <c r="D38" i="44"/>
  <c r="E4" i="44"/>
  <c r="B57" i="54"/>
  <c r="H57" i="54" s="1"/>
  <c r="M33" i="54"/>
  <c r="M79" i="54"/>
  <c r="E69" i="44"/>
  <c r="D85" i="48"/>
  <c r="B54" i="54"/>
  <c r="C54" i="54" s="1"/>
  <c r="D65" i="48"/>
  <c r="E70" i="44"/>
  <c r="C38" i="48"/>
  <c r="E11" i="48"/>
  <c r="AL11" i="48" s="1"/>
  <c r="B63" i="44"/>
  <c r="M61" i="54"/>
  <c r="E71" i="48"/>
  <c r="D99" i="48"/>
  <c r="C22" i="44"/>
  <c r="C65" i="48"/>
  <c r="B31" i="54"/>
  <c r="G31" i="54" s="1"/>
  <c r="C2" i="44"/>
  <c r="C11" i="44"/>
  <c r="E8" i="44"/>
  <c r="C15" i="48"/>
  <c r="B14" i="48"/>
  <c r="AI14" i="48" s="1"/>
  <c r="C4" i="44"/>
  <c r="C53" i="48"/>
  <c r="D47" i="48"/>
  <c r="B63" i="54"/>
  <c r="J63" i="54" s="1"/>
  <c r="E85" i="48"/>
  <c r="C80" i="44"/>
  <c r="D26" i="48"/>
  <c r="AK26" i="48" s="1"/>
  <c r="E49" i="48"/>
  <c r="M59" i="54"/>
  <c r="C30" i="44"/>
  <c r="D24" i="48"/>
  <c r="AK24" i="48" s="1"/>
  <c r="E4" i="48"/>
  <c r="AL4" i="48" s="1"/>
  <c r="M75" i="54"/>
  <c r="E18" i="44"/>
  <c r="B2" i="54"/>
  <c r="F2" i="54" s="1"/>
  <c r="M54" i="54"/>
  <c r="C12" i="48"/>
  <c r="B11" i="44"/>
  <c r="C70" i="44"/>
  <c r="B81" i="48"/>
  <c r="E88" i="48"/>
  <c r="D43" i="44"/>
  <c r="M47" i="54"/>
  <c r="C23" i="48"/>
  <c r="B44" i="54"/>
  <c r="J44" i="54" s="1"/>
  <c r="M41" i="54"/>
  <c r="C64" i="44"/>
  <c r="M57" i="54"/>
  <c r="D76" i="44"/>
  <c r="C30" i="48"/>
  <c r="D40" i="44"/>
  <c r="B15" i="54"/>
  <c r="F15" i="54" s="1"/>
  <c r="B77" i="48"/>
  <c r="B28" i="44"/>
  <c r="B42" i="48"/>
  <c r="C6" i="48"/>
  <c r="D76" i="48"/>
  <c r="M56" i="54"/>
  <c r="M26" i="54"/>
  <c r="C32" i="44"/>
  <c r="B74" i="44"/>
  <c r="B77" i="54"/>
  <c r="K77" i="54" s="1"/>
  <c r="D67" i="44"/>
  <c r="B14" i="44"/>
  <c r="E12" i="48"/>
  <c r="AL12" i="48" s="1"/>
  <c r="C54" i="48"/>
  <c r="D7" i="48"/>
  <c r="AK7" i="48" s="1"/>
  <c r="D37" i="44"/>
  <c r="M8" i="54"/>
  <c r="E41" i="48"/>
  <c r="AL41" i="48" s="1"/>
  <c r="B68" i="48"/>
  <c r="E58" i="44"/>
  <c r="B71" i="54"/>
  <c r="G71" i="54" s="1"/>
  <c r="E70" i="48"/>
  <c r="D32" i="48"/>
  <c r="AK32" i="48" s="1"/>
  <c r="C95" i="48"/>
  <c r="B90" i="48"/>
  <c r="D74" i="48"/>
  <c r="B22" i="44"/>
  <c r="C4" i="48"/>
  <c r="B79" i="44"/>
  <c r="M80" i="54"/>
  <c r="B7" i="44"/>
  <c r="E9" i="48"/>
  <c r="AL9" i="48" s="1"/>
  <c r="M74" i="54"/>
  <c r="M25" i="54"/>
  <c r="B53" i="48"/>
  <c r="D40" i="48"/>
  <c r="AK40" i="48" s="1"/>
  <c r="D58" i="48"/>
  <c r="M28" i="54"/>
  <c r="D10" i="48"/>
  <c r="AK10" i="48" s="1"/>
  <c r="C28" i="44"/>
  <c r="C73" i="48"/>
  <c r="E32" i="44"/>
  <c r="D37" i="48"/>
  <c r="AK37" i="48" s="1"/>
  <c r="E2" i="44"/>
  <c r="B70" i="44"/>
  <c r="B82" i="48"/>
  <c r="M43" i="54"/>
  <c r="C21" i="44"/>
  <c r="E75" i="44"/>
  <c r="D19" i="44"/>
  <c r="B30" i="44"/>
  <c r="B65" i="48"/>
  <c r="D34" i="44"/>
  <c r="A12" i="35"/>
  <c r="T11" i="47"/>
  <c r="AO111" i="47"/>
  <c r="AO112" i="47"/>
  <c r="Q12" i="47"/>
  <c r="R11" i="47"/>
  <c r="S12" i="47"/>
  <c r="R12" i="47"/>
  <c r="T12" i="47"/>
  <c r="AL111" i="47"/>
  <c r="AP112" i="47"/>
  <c r="B75" i="44"/>
  <c r="C75" i="48"/>
  <c r="B101" i="48"/>
  <c r="C62" i="48"/>
  <c r="C86" i="48"/>
  <c r="B59" i="54"/>
  <c r="J59" i="54" s="1"/>
  <c r="M13" i="54"/>
  <c r="M65" i="54"/>
  <c r="E23" i="44"/>
  <c r="E24" i="44"/>
  <c r="C37" i="48"/>
  <c r="D31" i="44"/>
  <c r="B68" i="54"/>
  <c r="H68" i="54" s="1"/>
  <c r="B7" i="54"/>
  <c r="D7" i="54" s="1"/>
  <c r="B39" i="54"/>
  <c r="D39" i="54" s="1"/>
  <c r="B77" i="44"/>
  <c r="E59" i="44"/>
  <c r="B69" i="48"/>
  <c r="E15" i="44"/>
  <c r="D2" i="44"/>
  <c r="M17" i="54"/>
  <c r="B67" i="44"/>
  <c r="E5" i="48"/>
  <c r="AL5" i="48" s="1"/>
  <c r="D5" i="44"/>
  <c r="C51" i="48"/>
  <c r="B29" i="48"/>
  <c r="AI29" i="48" s="1"/>
  <c r="B58" i="48"/>
  <c r="E59" i="48"/>
  <c r="B5" i="48"/>
  <c r="AI5" i="48" s="1"/>
  <c r="E77" i="48"/>
  <c r="B6" i="44"/>
  <c r="B48" i="48"/>
  <c r="C71" i="48"/>
  <c r="C74" i="48"/>
  <c r="E52" i="44"/>
  <c r="B25" i="48"/>
  <c r="AI25" i="48" s="1"/>
  <c r="D32" i="44"/>
  <c r="B100" i="48"/>
  <c r="D78" i="44"/>
  <c r="B10" i="54"/>
  <c r="L10" i="54" s="1"/>
  <c r="D7" i="44"/>
  <c r="B67" i="54"/>
  <c r="L67" i="54" s="1"/>
  <c r="M29" i="54"/>
  <c r="B70" i="54"/>
  <c r="F70" i="54" s="1"/>
  <c r="E47" i="48"/>
  <c r="E65" i="44"/>
  <c r="E26" i="48"/>
  <c r="AL26" i="48" s="1"/>
  <c r="E87" i="48"/>
  <c r="D14" i="48"/>
  <c r="AK14" i="48" s="1"/>
  <c r="C18" i="44"/>
  <c r="E64" i="44"/>
  <c r="D12" i="48"/>
  <c r="AK12" i="48" s="1"/>
  <c r="B44" i="48"/>
  <c r="C14" i="48"/>
  <c r="D42" i="48"/>
  <c r="E37" i="48"/>
  <c r="AL37" i="48" s="1"/>
  <c r="E29" i="44"/>
  <c r="B70" i="48"/>
  <c r="E22" i="48"/>
  <c r="AL22" i="48" s="1"/>
  <c r="D21" i="44"/>
  <c r="B15" i="48"/>
  <c r="AI15" i="48" s="1"/>
  <c r="M21" i="54"/>
  <c r="B33" i="48"/>
  <c r="AI33" i="48" s="1"/>
  <c r="M60" i="54"/>
  <c r="M48" i="54"/>
  <c r="B11" i="54"/>
  <c r="F11" i="54" s="1"/>
  <c r="E49" i="44"/>
  <c r="E14" i="44"/>
  <c r="B54" i="48"/>
  <c r="E26" i="44"/>
  <c r="C61" i="44"/>
  <c r="E21" i="44"/>
  <c r="C84" i="48"/>
  <c r="E78" i="44"/>
  <c r="D45" i="48"/>
  <c r="B9" i="48"/>
  <c r="AI9" i="48" s="1"/>
  <c r="E29" i="48"/>
  <c r="AL29" i="48" s="1"/>
  <c r="B63" i="48"/>
  <c r="B17" i="48"/>
  <c r="AI17" i="48" s="1"/>
  <c r="B72" i="44"/>
  <c r="C82" i="48"/>
  <c r="B34" i="48"/>
  <c r="AI34" i="48" s="1"/>
  <c r="B71" i="44"/>
  <c r="E30" i="48"/>
  <c r="AL30" i="48" s="1"/>
  <c r="C46" i="48"/>
  <c r="D39" i="44"/>
  <c r="D6" i="48"/>
  <c r="AK6" i="48" s="1"/>
  <c r="C51" i="44"/>
  <c r="M73" i="54"/>
  <c r="E73" i="48"/>
  <c r="E20" i="44"/>
  <c r="E6" i="44"/>
  <c r="B61" i="48"/>
  <c r="E84" i="48"/>
  <c r="E50" i="44"/>
  <c r="C90" i="48"/>
  <c r="C9" i="48"/>
  <c r="B2" i="44"/>
  <c r="B12" i="44"/>
  <c r="B64" i="44"/>
  <c r="D63" i="48"/>
  <c r="B60" i="44"/>
  <c r="B21" i="44"/>
  <c r="D67" i="48"/>
  <c r="B78" i="54"/>
  <c r="K78" i="54" s="1"/>
  <c r="B62" i="54"/>
  <c r="E62" i="54" s="1"/>
  <c r="E48" i="44"/>
  <c r="D44" i="48"/>
  <c r="B94" i="48"/>
  <c r="B46" i="54"/>
  <c r="F46" i="54" s="1"/>
  <c r="D17" i="44"/>
  <c r="B19" i="44"/>
  <c r="B50" i="44"/>
  <c r="D22" i="44"/>
  <c r="B56" i="54"/>
  <c r="H56" i="54" s="1"/>
  <c r="E24" i="48"/>
  <c r="AL24" i="48" s="1"/>
  <c r="M68" i="54"/>
  <c r="D50" i="48"/>
  <c r="M11" i="54"/>
  <c r="B52" i="44"/>
  <c r="E73" i="44"/>
  <c r="C5" i="44"/>
  <c r="B53" i="44"/>
  <c r="B4" i="48"/>
  <c r="AI4" i="48" s="1"/>
  <c r="C15" i="44"/>
  <c r="C91" i="48"/>
  <c r="B50" i="48"/>
  <c r="D59" i="48"/>
  <c r="C78" i="44"/>
  <c r="D31" i="48"/>
  <c r="AK31" i="48" s="1"/>
  <c r="C5" i="48"/>
  <c r="C76" i="44"/>
  <c r="C60" i="44"/>
  <c r="B55" i="54"/>
  <c r="G55" i="54" s="1"/>
  <c r="D2" i="48"/>
  <c r="AK2" i="48" s="1"/>
  <c r="D60" i="48"/>
  <c r="E54" i="48"/>
  <c r="C77" i="44"/>
  <c r="B9" i="44"/>
  <c r="C89" i="48"/>
  <c r="E72" i="48"/>
  <c r="C6" i="44"/>
  <c r="D92" i="48"/>
  <c r="D100" i="48"/>
  <c r="B59" i="48"/>
  <c r="M71" i="54"/>
  <c r="E45" i="44"/>
  <c r="C36" i="44"/>
  <c r="C85" i="48"/>
  <c r="C40" i="48"/>
  <c r="E53" i="44"/>
  <c r="D30" i="44"/>
  <c r="M10" i="54"/>
  <c r="C42" i="48"/>
  <c r="B17" i="44"/>
  <c r="M36" i="54"/>
  <c r="D56" i="44"/>
  <c r="B76" i="48"/>
  <c r="C57" i="48"/>
  <c r="D82" i="48"/>
  <c r="B3" i="48"/>
  <c r="AI3" i="48" s="1"/>
  <c r="B8" i="48"/>
  <c r="AI8" i="48" s="1"/>
  <c r="B67" i="48"/>
  <c r="D11" i="44"/>
  <c r="B37" i="44"/>
  <c r="D63" i="44"/>
  <c r="E15" i="48"/>
  <c r="AL15" i="48" s="1"/>
  <c r="B8" i="44"/>
  <c r="D25" i="48"/>
  <c r="AK25" i="48" s="1"/>
  <c r="M4" i="54"/>
  <c r="C83" i="48"/>
  <c r="B5" i="54"/>
  <c r="H5" i="54" s="1"/>
  <c r="C75" i="44"/>
  <c r="D68" i="48"/>
  <c r="E97" i="48"/>
  <c r="E53" i="48"/>
  <c r="E63" i="44"/>
  <c r="B18" i="44"/>
  <c r="E101" i="48"/>
  <c r="D4" i="44"/>
  <c r="E72" i="44"/>
  <c r="B22" i="48"/>
  <c r="AI22" i="48" s="1"/>
  <c r="D71" i="44"/>
  <c r="B68" i="44"/>
  <c r="M52" i="54"/>
  <c r="E71" i="44"/>
  <c r="E81" i="48"/>
  <c r="E51" i="44"/>
  <c r="B5" i="44"/>
  <c r="D53" i="48"/>
  <c r="C20" i="44"/>
  <c r="C8" i="48"/>
  <c r="C47" i="48"/>
  <c r="B41" i="54"/>
  <c r="F41" i="54" s="1"/>
  <c r="E28" i="48"/>
  <c r="AL28" i="48" s="1"/>
  <c r="C16" i="48"/>
  <c r="M14" i="54"/>
  <c r="D14" i="44"/>
  <c r="B41" i="48"/>
  <c r="AI41" i="48" s="1"/>
  <c r="B66" i="54"/>
  <c r="K66" i="54" s="1"/>
  <c r="B56" i="44"/>
  <c r="D70" i="48"/>
  <c r="D18" i="54"/>
  <c r="B75" i="48"/>
  <c r="C20" i="48"/>
  <c r="E80" i="48"/>
  <c r="B39" i="44"/>
  <c r="M70" i="54"/>
  <c r="E57" i="44"/>
  <c r="D36" i="48"/>
  <c r="AK36" i="48" s="1"/>
  <c r="B43" i="48"/>
  <c r="E92" i="48"/>
  <c r="D36" i="44"/>
  <c r="C64" i="48"/>
  <c r="C31" i="44"/>
  <c r="D46" i="48"/>
  <c r="B51" i="44"/>
  <c r="D68" i="44"/>
  <c r="B45" i="48"/>
  <c r="E82" i="48"/>
  <c r="E89" i="48"/>
  <c r="D28" i="44"/>
  <c r="E76" i="48"/>
  <c r="C46" i="44"/>
  <c r="M38" i="54"/>
  <c r="B62" i="48"/>
  <c r="E8" i="48"/>
  <c r="AL8" i="48" s="1"/>
  <c r="D20" i="44"/>
  <c r="E7" i="44"/>
  <c r="B26" i="48"/>
  <c r="AI26" i="48" s="1"/>
  <c r="D46" i="44"/>
  <c r="E10" i="44"/>
  <c r="M67" i="54"/>
  <c r="C13" i="44"/>
  <c r="D20" i="48"/>
  <c r="AK20" i="48" s="1"/>
  <c r="B42" i="44"/>
  <c r="M15" i="54"/>
  <c r="B8" i="54"/>
  <c r="K8" i="54" s="1"/>
  <c r="M53" i="54"/>
  <c r="D78" i="48"/>
  <c r="B72" i="48"/>
  <c r="D8" i="44"/>
  <c r="D18" i="48"/>
  <c r="AK18" i="48" s="1"/>
  <c r="C32" i="48"/>
  <c r="D45" i="44"/>
  <c r="C58" i="44"/>
  <c r="C56" i="44"/>
  <c r="B98" i="48"/>
  <c r="B16" i="54"/>
  <c r="L16" i="54" s="1"/>
  <c r="D9" i="44"/>
  <c r="E38" i="44"/>
  <c r="B20" i="44"/>
  <c r="C7" i="48"/>
  <c r="B34" i="44"/>
  <c r="B80" i="48"/>
  <c r="E17" i="48"/>
  <c r="AL17" i="48" s="1"/>
  <c r="B96" i="48"/>
  <c r="E19" i="48"/>
  <c r="AL19" i="48" s="1"/>
  <c r="B4" i="44"/>
  <c r="E17" i="44"/>
  <c r="C68" i="44"/>
  <c r="E21" i="48"/>
  <c r="AL21" i="48" s="1"/>
  <c r="E56" i="44"/>
  <c r="C61" i="48"/>
  <c r="E6" i="48"/>
  <c r="AL6" i="48" s="1"/>
  <c r="B64" i="48"/>
  <c r="C19" i="44"/>
  <c r="E93" i="48"/>
  <c r="D42" i="44"/>
  <c r="B58" i="54"/>
  <c r="K58" i="54" s="1"/>
  <c r="B74" i="48"/>
  <c r="D55" i="48"/>
  <c r="E90" i="48"/>
  <c r="D61" i="44"/>
  <c r="C41" i="48"/>
  <c r="E79" i="44"/>
  <c r="B66" i="48"/>
  <c r="B23" i="48"/>
  <c r="AI23" i="48" s="1"/>
  <c r="D86" i="48"/>
  <c r="B23" i="54"/>
  <c r="L23" i="54" s="1"/>
  <c r="M44" i="54"/>
  <c r="E3" i="48"/>
  <c r="AL3" i="48" s="1"/>
  <c r="B26" i="44"/>
  <c r="C16" i="44"/>
  <c r="C69" i="44"/>
  <c r="B86" i="48"/>
  <c r="M51" i="54"/>
  <c r="B2" i="48"/>
  <c r="AI2" i="48" s="1"/>
  <c r="D13" i="48"/>
  <c r="AK13" i="48" s="1"/>
  <c r="D75" i="48"/>
  <c r="D5" i="48"/>
  <c r="AK5" i="48" s="1"/>
  <c r="B46" i="48"/>
  <c r="E44" i="44"/>
  <c r="C22" i="48"/>
  <c r="C73" i="44"/>
  <c r="D29" i="44"/>
  <c r="C81" i="48"/>
  <c r="E38" i="48"/>
  <c r="AL38" i="48" s="1"/>
  <c r="B19" i="48"/>
  <c r="AI19" i="48" s="1"/>
  <c r="E69" i="48"/>
  <c r="B66" i="44"/>
  <c r="E61" i="48"/>
  <c r="C40" i="44"/>
  <c r="E54" i="44"/>
  <c r="B7" i="48"/>
  <c r="AI7" i="48" s="1"/>
  <c r="C18" i="48"/>
  <c r="B88" i="48"/>
  <c r="B12" i="48"/>
  <c r="AI12" i="48" s="1"/>
  <c r="B95" i="48"/>
  <c r="D15" i="44"/>
  <c r="C14" i="44"/>
  <c r="M18" i="54"/>
  <c r="M66" i="54"/>
  <c r="C55" i="48"/>
  <c r="D44" i="44"/>
  <c r="E60" i="44"/>
  <c r="E34" i="48"/>
  <c r="AL34" i="48" s="1"/>
  <c r="B32" i="48"/>
  <c r="AI32" i="48" s="1"/>
  <c r="E19" i="44"/>
  <c r="D64" i="48"/>
  <c r="E95" i="48"/>
  <c r="D27" i="48"/>
  <c r="AK27" i="48" s="1"/>
  <c r="M42" i="54"/>
  <c r="B23" i="44"/>
  <c r="E43" i="44"/>
  <c r="F53" i="54"/>
  <c r="D6" i="44"/>
  <c r="E68" i="44"/>
  <c r="C10" i="44"/>
  <c r="D57" i="48"/>
  <c r="B28" i="48"/>
  <c r="AI28" i="48" s="1"/>
  <c r="B36" i="48"/>
  <c r="AI36" i="48" s="1"/>
  <c r="B62" i="44"/>
  <c r="C63" i="48"/>
  <c r="E39" i="48"/>
  <c r="AL39" i="48" s="1"/>
  <c r="M64" i="54"/>
  <c r="E36" i="44"/>
  <c r="D66" i="48"/>
  <c r="B59" i="44"/>
  <c r="C44" i="44"/>
  <c r="E20" i="48"/>
  <c r="AL20" i="48" s="1"/>
  <c r="B24" i="54"/>
  <c r="G24" i="54" s="1"/>
  <c r="C25" i="48"/>
  <c r="D97" i="48"/>
  <c r="D29" i="48"/>
  <c r="AK29" i="48" s="1"/>
  <c r="B41" i="44"/>
  <c r="D66" i="44"/>
  <c r="D39" i="48"/>
  <c r="AK39" i="48" s="1"/>
  <c r="E62" i="48"/>
  <c r="D3" i="44"/>
  <c r="B55" i="44"/>
  <c r="C2" i="48"/>
  <c r="D90" i="48"/>
  <c r="E66" i="44"/>
  <c r="B31" i="48"/>
  <c r="AI31" i="48" s="1"/>
  <c r="B28" i="54"/>
  <c r="I28" i="54" s="1"/>
  <c r="D27" i="44"/>
  <c r="C98" i="48"/>
  <c r="C74" i="44"/>
  <c r="B9" i="54"/>
  <c r="D9" i="54" s="1"/>
  <c r="D79" i="48"/>
  <c r="E100" i="48"/>
  <c r="B78" i="48"/>
  <c r="D80" i="44"/>
  <c r="M3" i="54"/>
  <c r="M12" i="54"/>
  <c r="B92" i="48"/>
  <c r="D62" i="44"/>
  <c r="C8" i="44"/>
  <c r="E62" i="44"/>
  <c r="C69" i="48"/>
  <c r="E27" i="44"/>
  <c r="B29" i="44"/>
  <c r="D56" i="48"/>
  <c r="D77" i="44"/>
  <c r="D48" i="44"/>
  <c r="D54" i="48"/>
  <c r="M72" i="54"/>
  <c r="B20" i="48"/>
  <c r="AI20" i="48" s="1"/>
  <c r="B79" i="54"/>
  <c r="F79" i="54" s="1"/>
  <c r="C56" i="48"/>
  <c r="E41" i="44"/>
  <c r="C43" i="48"/>
  <c r="C63" i="44"/>
  <c r="B55" i="48"/>
  <c r="B47" i="44"/>
  <c r="D8" i="48"/>
  <c r="AK8" i="48" s="1"/>
  <c r="D98" i="48"/>
  <c r="E5" i="44"/>
  <c r="B64" i="54"/>
  <c r="I64" i="54" s="1"/>
  <c r="C52" i="44"/>
  <c r="E47" i="44"/>
  <c r="B61" i="54"/>
  <c r="D61" i="54" s="1"/>
  <c r="M62" i="54"/>
  <c r="C93" i="48"/>
  <c r="D62" i="48"/>
  <c r="C62" i="44"/>
  <c r="B97" i="48"/>
  <c r="B57" i="48"/>
  <c r="B40" i="54"/>
  <c r="C40" i="54" s="1"/>
  <c r="B83" i="48"/>
  <c r="D52" i="48"/>
  <c r="C96" i="48"/>
  <c r="B45" i="54"/>
  <c r="F45" i="54" s="1"/>
  <c r="B43" i="44"/>
  <c r="B19" i="54"/>
  <c r="C19" i="54" s="1"/>
  <c r="E76" i="44"/>
  <c r="C24" i="44"/>
  <c r="C37" i="44"/>
  <c r="D30" i="48"/>
  <c r="AK30" i="48" s="1"/>
  <c r="D21" i="48"/>
  <c r="AK21" i="48" s="1"/>
  <c r="C34" i="44"/>
  <c r="D84" i="48"/>
  <c r="B51" i="48"/>
  <c r="B49" i="54"/>
  <c r="C49" i="54" s="1"/>
  <c r="E56" i="48"/>
  <c r="E42" i="48"/>
  <c r="E94" i="48"/>
  <c r="C12" i="44"/>
  <c r="D4" i="48"/>
  <c r="AK4" i="48" s="1"/>
  <c r="C3" i="48"/>
  <c r="C49" i="44"/>
  <c r="D59" i="44"/>
  <c r="E33" i="48"/>
  <c r="AL33" i="48" s="1"/>
  <c r="C23" i="44"/>
  <c r="D91" i="48"/>
  <c r="D41" i="44"/>
  <c r="E3" i="44"/>
  <c r="D10" i="44"/>
  <c r="D70" i="44"/>
  <c r="B57" i="44"/>
  <c r="M55" i="54"/>
  <c r="B16" i="48"/>
  <c r="AI16" i="48" s="1"/>
  <c r="D58" i="44"/>
  <c r="M34" i="54"/>
  <c r="B48" i="54"/>
  <c r="C48" i="54" s="1"/>
  <c r="D51" i="44"/>
  <c r="M27" i="54"/>
  <c r="E31" i="48"/>
  <c r="AL31" i="48" s="1"/>
  <c r="E67" i="44"/>
  <c r="C29" i="44"/>
  <c r="E22" i="44"/>
  <c r="C88" i="48"/>
  <c r="B47" i="54"/>
  <c r="L47" i="54" s="1"/>
  <c r="E25" i="44"/>
  <c r="B46" i="44"/>
  <c r="D55" i="44"/>
  <c r="E50" i="48"/>
  <c r="E30" i="44"/>
  <c r="E18" i="48"/>
  <c r="AL18" i="48" s="1"/>
  <c r="E13" i="44"/>
  <c r="D12" i="44"/>
  <c r="B30" i="48"/>
  <c r="AI30" i="48" s="1"/>
  <c r="B42" i="54"/>
  <c r="K42" i="54" s="1"/>
  <c r="D41" i="48"/>
  <c r="AK41" i="48" s="1"/>
  <c r="E46" i="48"/>
  <c r="D43" i="48"/>
  <c r="B32" i="44"/>
  <c r="B58" i="44"/>
  <c r="M76" i="54"/>
  <c r="B13" i="44"/>
  <c r="B25" i="54"/>
  <c r="E25" i="54" s="1"/>
  <c r="C100" i="48"/>
  <c r="D65" i="44"/>
  <c r="D69" i="48"/>
  <c r="D51" i="48"/>
  <c r="D15" i="48"/>
  <c r="AK15" i="48" s="1"/>
  <c r="B49" i="48"/>
  <c r="C99" i="48"/>
  <c r="M24" i="54"/>
  <c r="B10" i="48"/>
  <c r="AI10" i="48" s="1"/>
  <c r="B69" i="44"/>
  <c r="D80" i="48"/>
  <c r="C17" i="44"/>
  <c r="M19" i="54"/>
  <c r="D22" i="48"/>
  <c r="AK22" i="48" s="1"/>
  <c r="E33" i="44"/>
  <c r="B32" i="54"/>
  <c r="G32" i="54" s="1"/>
  <c r="C79" i="48"/>
  <c r="M2" i="54"/>
  <c r="D49" i="44"/>
  <c r="C39" i="48"/>
  <c r="M69" i="54"/>
  <c r="C78" i="48"/>
  <c r="B76" i="54"/>
  <c r="C47" i="44"/>
  <c r="C45" i="44"/>
  <c r="E60" i="48"/>
  <c r="M7" i="54"/>
  <c r="C11" i="48"/>
  <c r="F27" i="54"/>
  <c r="C92" i="48"/>
  <c r="D33" i="48"/>
  <c r="AK33" i="48" s="1"/>
  <c r="E23" i="48"/>
  <c r="AL23" i="48" s="1"/>
  <c r="C80" i="48"/>
  <c r="E91" i="48"/>
  <c r="C52" i="48"/>
  <c r="D49" i="48"/>
  <c r="C10" i="48"/>
  <c r="D47" i="44"/>
  <c r="B10" i="44"/>
  <c r="D61" i="48"/>
  <c r="E61" i="44"/>
  <c r="B85" i="48"/>
  <c r="M31" i="54"/>
  <c r="E68" i="48"/>
  <c r="B3" i="54"/>
  <c r="K3" i="54" s="1"/>
  <c r="B49" i="44"/>
  <c r="D33" i="44"/>
  <c r="C36" i="48"/>
  <c r="M58" i="54"/>
  <c r="B37" i="48"/>
  <c r="AI37" i="48" s="1"/>
  <c r="B45" i="44"/>
  <c r="C33" i="48"/>
  <c r="D24" i="44"/>
  <c r="E27" i="48"/>
  <c r="AL27" i="48" s="1"/>
  <c r="B78" i="44"/>
  <c r="C71" i="44"/>
  <c r="B80" i="54"/>
  <c r="E80" i="54" s="1"/>
  <c r="M16" i="54"/>
  <c r="E48" i="48"/>
  <c r="C53" i="44"/>
  <c r="M22" i="54"/>
  <c r="D64" i="44"/>
  <c r="C42" i="44"/>
  <c r="C45" i="48"/>
  <c r="C3" i="44"/>
  <c r="D25" i="44"/>
  <c r="D34" i="48"/>
  <c r="AK34" i="48" s="1"/>
  <c r="E2" i="48"/>
  <c r="AL2" i="48" s="1"/>
  <c r="E55" i="44"/>
  <c r="D73" i="48"/>
  <c r="B84" i="48"/>
  <c r="C38" i="44"/>
  <c r="E64" i="48"/>
  <c r="E40" i="48"/>
  <c r="AL40" i="48" s="1"/>
  <c r="E58" i="48"/>
  <c r="D54" i="44"/>
  <c r="B17" i="54"/>
  <c r="L17" i="54" s="1"/>
  <c r="E28" i="44"/>
  <c r="E52" i="48"/>
  <c r="D3" i="48"/>
  <c r="AK3" i="48" s="1"/>
  <c r="B30" i="54"/>
  <c r="I30" i="54" s="1"/>
  <c r="C34" i="48"/>
  <c r="C9" i="44"/>
  <c r="D95" i="48"/>
  <c r="M20" i="54"/>
  <c r="B43" i="54"/>
  <c r="L43" i="54" s="1"/>
  <c r="E99" i="48"/>
  <c r="B73" i="54"/>
  <c r="G73" i="54" s="1"/>
  <c r="B89" i="48"/>
  <c r="C66" i="44"/>
  <c r="B50" i="54"/>
  <c r="G50" i="54" s="1"/>
  <c r="C67" i="48"/>
  <c r="B60" i="48"/>
  <c r="D96" i="48"/>
  <c r="E39" i="44"/>
  <c r="C79" i="44"/>
  <c r="C58" i="48"/>
  <c r="C24" i="48"/>
  <c r="E37" i="44"/>
  <c r="B27" i="44"/>
  <c r="D101" i="48"/>
  <c r="E65" i="48"/>
  <c r="E36" i="48"/>
  <c r="AL36" i="48" s="1"/>
  <c r="E42" i="44"/>
  <c r="B18" i="48"/>
  <c r="AI18" i="48" s="1"/>
  <c r="B6" i="54"/>
  <c r="G6" i="54" s="1"/>
  <c r="M23" i="54"/>
  <c r="B14" i="54"/>
  <c r="F14" i="54" s="1"/>
  <c r="B72" i="54"/>
  <c r="G72" i="54" s="1"/>
  <c r="D93" i="48"/>
  <c r="D57" i="44"/>
  <c r="E80" i="44"/>
  <c r="C55" i="44"/>
  <c r="B91" i="48"/>
  <c r="C70" i="48"/>
  <c r="D89" i="48"/>
  <c r="C50" i="44"/>
  <c r="E75" i="48"/>
  <c r="D28" i="48"/>
  <c r="AK28" i="48" s="1"/>
  <c r="C13" i="48"/>
  <c r="D53" i="44"/>
  <c r="E40" i="44"/>
  <c r="B13" i="54"/>
  <c r="C13" i="54" s="1"/>
  <c r="B15" i="44"/>
  <c r="E96" i="48"/>
  <c r="B51" i="54"/>
  <c r="F51" i="54" s="1"/>
  <c r="D18" i="44"/>
  <c r="D81" i="48"/>
  <c r="E67" i="48"/>
  <c r="D60" i="44"/>
  <c r="B56" i="48"/>
  <c r="B26" i="54"/>
  <c r="K26" i="54" s="1"/>
  <c r="M46" i="54"/>
  <c r="E43" i="48"/>
  <c r="C2" i="54"/>
  <c r="I71" i="54"/>
  <c r="L71" i="54"/>
  <c r="D2" i="54"/>
  <c r="K2" i="54"/>
  <c r="H2" i="54"/>
  <c r="G2" i="54"/>
  <c r="H38" i="54"/>
  <c r="E63" i="54"/>
  <c r="E2" i="54"/>
  <c r="I35" i="54"/>
  <c r="H35" i="54"/>
  <c r="F63" i="54"/>
  <c r="L35" i="54"/>
  <c r="K18" i="54"/>
  <c r="E38" i="54"/>
  <c r="K53" i="54"/>
  <c r="K27" i="54"/>
  <c r="C65" i="54"/>
  <c r="L2" i="54"/>
  <c r="I53" i="54"/>
  <c r="K71" i="54"/>
  <c r="J2" i="54"/>
  <c r="I2" i="54"/>
  <c r="L75" i="54"/>
  <c r="I27" i="54"/>
  <c r="K65" i="54"/>
  <c r="I69" i="54"/>
  <c r="J18" i="54"/>
  <c r="K75" i="54"/>
  <c r="J53" i="54"/>
  <c r="J65" i="54"/>
  <c r="J38" i="54"/>
  <c r="J27" i="54"/>
  <c r="H65" i="54"/>
  <c r="G18" i="54"/>
  <c r="C75" i="54"/>
  <c r="I38" i="54"/>
  <c r="L27" i="54"/>
  <c r="E53" i="54"/>
  <c r="C27" i="54"/>
  <c r="F12" i="54"/>
  <c r="H12" i="54"/>
  <c r="D65" i="54"/>
  <c r="L53" i="54"/>
  <c r="D12" i="54"/>
  <c r="G65" i="54"/>
  <c r="F18" i="54"/>
  <c r="E75" i="54"/>
  <c r="D38" i="54"/>
  <c r="H18" i="54"/>
  <c r="G75" i="54"/>
  <c r="G38" i="54"/>
  <c r="D53" i="54"/>
  <c r="L65" i="54"/>
  <c r="Z66" i="44"/>
  <c r="Z19" i="44"/>
  <c r="Z33" i="44"/>
  <c r="W26" i="48"/>
  <c r="Y14" i="48"/>
  <c r="Z43" i="48"/>
  <c r="Z85" i="44"/>
  <c r="Z62" i="48"/>
  <c r="Y83" i="44"/>
  <c r="X67" i="44"/>
  <c r="X30" i="44"/>
  <c r="X72" i="48"/>
  <c r="W83" i="48"/>
  <c r="W15" i="48"/>
  <c r="Z88" i="48"/>
  <c r="Z18" i="48"/>
  <c r="Z50" i="48"/>
  <c r="Z73" i="48"/>
  <c r="W60" i="48"/>
  <c r="BF260" i="48" s="1"/>
  <c r="W23" i="48"/>
  <c r="Z49" i="48"/>
  <c r="Z84" i="48"/>
  <c r="Z25" i="44"/>
  <c r="Z67" i="48"/>
  <c r="AR36" i="54"/>
  <c r="Y85" i="44"/>
  <c r="W89" i="48"/>
  <c r="AR42" i="54"/>
  <c r="AR29" i="54"/>
  <c r="Z71" i="48"/>
  <c r="X63" i="48"/>
  <c r="Y12" i="48"/>
  <c r="Z65" i="44"/>
  <c r="Z70" i="44"/>
  <c r="W10" i="48"/>
  <c r="Z41" i="44"/>
  <c r="AR2" i="54"/>
  <c r="Y72" i="48"/>
  <c r="BH272" i="48" s="1"/>
  <c r="W53" i="48"/>
  <c r="BF253" i="48" s="1"/>
  <c r="Z38" i="44"/>
  <c r="Y65" i="44"/>
  <c r="AR16" i="54"/>
  <c r="X56" i="48"/>
  <c r="W53" i="44"/>
  <c r="W11" i="48"/>
  <c r="X10" i="44"/>
  <c r="Z32" i="44"/>
  <c r="AY62" i="54"/>
  <c r="W17" i="48"/>
  <c r="Y63" i="44"/>
  <c r="X10" i="48"/>
  <c r="Y19" i="44"/>
  <c r="AY22" i="54"/>
  <c r="Y44" i="44"/>
  <c r="W23" i="44"/>
  <c r="Y92" i="48"/>
  <c r="AY98" i="54"/>
  <c r="W81" i="48"/>
  <c r="BF281" i="48" s="1"/>
  <c r="X25" i="48"/>
  <c r="AY14" i="54"/>
  <c r="AY93" i="54"/>
  <c r="Y21" i="48"/>
  <c r="AR18" i="54"/>
  <c r="X80" i="44"/>
  <c r="AY44" i="54"/>
  <c r="X29" i="48"/>
  <c r="X39" i="48"/>
  <c r="Z8" i="44"/>
  <c r="X56" i="44"/>
  <c r="Y18" i="44"/>
  <c r="X18" i="44"/>
  <c r="W61" i="48"/>
  <c r="BF261" i="48" s="1"/>
  <c r="Z15" i="44"/>
  <c r="Y54" i="48"/>
  <c r="BH254" i="48" s="1"/>
  <c r="X72" i="44"/>
  <c r="Y60" i="48"/>
  <c r="BH260" i="48" s="1"/>
  <c r="Y39" i="44"/>
  <c r="Y26" i="48"/>
  <c r="X62" i="48"/>
  <c r="Y87" i="44"/>
  <c r="X18" i="48"/>
  <c r="Y57" i="44"/>
  <c r="Z81" i="48"/>
  <c r="Z3" i="48"/>
  <c r="Y18" i="48"/>
  <c r="Z99" i="44"/>
  <c r="W64" i="48"/>
  <c r="BF264" i="48" s="1"/>
  <c r="Z16" i="48"/>
  <c r="Y80" i="48"/>
  <c r="BH280" i="48" s="1"/>
  <c r="W69" i="48"/>
  <c r="BF269" i="48" s="1"/>
  <c r="Z20" i="48"/>
  <c r="W33" i="44"/>
  <c r="W16" i="48"/>
  <c r="Z60" i="44"/>
  <c r="W42" i="48"/>
  <c r="AY43" i="54"/>
  <c r="W67" i="48"/>
  <c r="BF267" i="48" s="1"/>
  <c r="Z87" i="48"/>
  <c r="Z18" i="44"/>
  <c r="Z56" i="48"/>
  <c r="AY18" i="54"/>
  <c r="X8" i="48"/>
  <c r="Y27" i="48"/>
  <c r="W43" i="48"/>
  <c r="Z82" i="44"/>
  <c r="X81" i="44"/>
  <c r="Y81" i="44"/>
  <c r="Y8" i="48"/>
  <c r="Y74" i="44"/>
  <c r="Y75" i="48"/>
  <c r="BH275" i="48" s="1"/>
  <c r="AY30" i="54"/>
  <c r="X83" i="44"/>
  <c r="X34" i="48"/>
  <c r="Y89" i="44"/>
  <c r="X65" i="44"/>
  <c r="X97" i="48"/>
  <c r="Z63" i="48"/>
  <c r="X61" i="44"/>
  <c r="Z89" i="44"/>
  <c r="Y58" i="44"/>
  <c r="X78" i="44"/>
  <c r="Y53" i="48"/>
  <c r="BH253" i="48" s="1"/>
  <c r="W31" i="48"/>
  <c r="Z68" i="44"/>
  <c r="Y17" i="48"/>
  <c r="W21" i="48"/>
  <c r="X26" i="44"/>
  <c r="W99" i="44"/>
  <c r="Z93" i="48"/>
  <c r="X20" i="48"/>
  <c r="X42" i="48"/>
  <c r="X55" i="48"/>
  <c r="X79" i="44"/>
  <c r="X101" i="48"/>
  <c r="Y68" i="44"/>
  <c r="W98" i="44"/>
  <c r="Z58" i="48"/>
  <c r="Z51" i="48"/>
  <c r="Y42" i="44"/>
  <c r="Z92" i="44"/>
  <c r="Z91" i="44"/>
  <c r="AR51" i="54"/>
  <c r="Z79" i="44"/>
  <c r="W85" i="48"/>
  <c r="W66" i="48"/>
  <c r="BF266" i="48" s="1"/>
  <c r="W51" i="48"/>
  <c r="AR13" i="54"/>
  <c r="X25" i="44"/>
  <c r="Z48" i="48"/>
  <c r="X83" i="48"/>
  <c r="W46" i="44"/>
  <c r="Y8" i="44"/>
  <c r="X8" i="44"/>
  <c r="W34" i="48"/>
  <c r="X94" i="44"/>
  <c r="X29" i="44"/>
  <c r="X75" i="48"/>
  <c r="W32" i="48"/>
  <c r="AY16" i="54"/>
  <c r="Y58" i="48"/>
  <c r="BH258" i="48" s="1"/>
  <c r="Y40" i="48"/>
  <c r="X27" i="44"/>
  <c r="Z27" i="48"/>
  <c r="Z3" i="44"/>
  <c r="Z54" i="48"/>
  <c r="Z62" i="44"/>
  <c r="Z69" i="44"/>
  <c r="Y76" i="44"/>
  <c r="AR78" i="54"/>
  <c r="Y77" i="48"/>
  <c r="BH277" i="48" s="1"/>
  <c r="Z13" i="48"/>
  <c r="Y55" i="48"/>
  <c r="BH255" i="48" s="1"/>
  <c r="AY8" i="54"/>
  <c r="W27" i="48"/>
  <c r="X59" i="44"/>
  <c r="Y16" i="48"/>
  <c r="Z15" i="48"/>
  <c r="X41" i="44"/>
  <c r="X71" i="48"/>
  <c r="X53" i="48"/>
  <c r="Y24" i="44"/>
  <c r="Z12" i="48"/>
  <c r="X100" i="48"/>
  <c r="AR93" i="54"/>
  <c r="W83" i="44"/>
  <c r="Z49" i="44"/>
  <c r="AY94" i="54"/>
  <c r="Y98" i="44"/>
  <c r="X78" i="48"/>
  <c r="W71" i="44"/>
  <c r="Z46" i="44"/>
  <c r="AY10" i="54"/>
  <c r="AY64" i="54"/>
  <c r="Z59" i="48"/>
  <c r="AY40" i="54"/>
  <c r="Z97" i="48"/>
  <c r="Z77" i="44"/>
  <c r="Y41" i="44"/>
  <c r="X6" i="48"/>
  <c r="W49" i="48"/>
  <c r="Y3" i="44"/>
  <c r="Y16" i="44"/>
  <c r="Y70" i="44"/>
  <c r="X26" i="48"/>
  <c r="W73" i="48"/>
  <c r="BF273" i="48" s="1"/>
  <c r="Y94" i="44"/>
  <c r="AR89" i="54"/>
  <c r="W9" i="48"/>
  <c r="Y11" i="44"/>
  <c r="X4" i="48"/>
  <c r="Y78" i="44"/>
  <c r="X68" i="48"/>
  <c r="Y6" i="48"/>
  <c r="X13" i="44"/>
  <c r="X86" i="44"/>
  <c r="Z67" i="44"/>
  <c r="Y72" i="44"/>
  <c r="W58" i="44"/>
  <c r="X15" i="48"/>
  <c r="Y40" i="44"/>
  <c r="X31" i="48"/>
  <c r="W54" i="48"/>
  <c r="BF254" i="48" s="1"/>
  <c r="Y87" i="48"/>
  <c r="W37" i="48"/>
  <c r="X6" i="44"/>
  <c r="Z43" i="44"/>
  <c r="Z32" i="48"/>
  <c r="X86" i="48"/>
  <c r="W74" i="48"/>
  <c r="BF274" i="48" s="1"/>
  <c r="AR98" i="54"/>
  <c r="X37" i="44"/>
  <c r="X51" i="44"/>
  <c r="Z17" i="48"/>
  <c r="AR68" i="54"/>
  <c r="Y10" i="48"/>
  <c r="X36" i="48"/>
  <c r="AY50" i="54"/>
  <c r="Z61" i="48"/>
  <c r="Y29" i="48"/>
  <c r="X19" i="44"/>
  <c r="Z13" i="44"/>
  <c r="Z72" i="48"/>
  <c r="X100" i="44"/>
  <c r="X41" i="48"/>
  <c r="X14" i="48"/>
  <c r="Z78" i="44"/>
  <c r="Y66" i="44"/>
  <c r="W78" i="44"/>
  <c r="W85" i="44"/>
  <c r="X85" i="48"/>
  <c r="W51" i="44"/>
  <c r="AR3" i="54"/>
  <c r="Z75" i="48"/>
  <c r="W21" i="44"/>
  <c r="W25" i="48"/>
  <c r="X63" i="44"/>
  <c r="W57" i="44"/>
  <c r="W62" i="44"/>
  <c r="Y57" i="48"/>
  <c r="BH257" i="48" s="1"/>
  <c r="X4" i="44"/>
  <c r="Z66" i="48"/>
  <c r="Y92" i="44"/>
  <c r="Y74" i="48"/>
  <c r="BH274" i="48" s="1"/>
  <c r="AY60" i="54"/>
  <c r="Z68" i="48"/>
  <c r="W101" i="48"/>
  <c r="W67" i="44"/>
  <c r="W76" i="44"/>
  <c r="Y85" i="48"/>
  <c r="AR62" i="54"/>
  <c r="AR79" i="54"/>
  <c r="W6" i="44"/>
  <c r="W71" i="48"/>
  <c r="BF271" i="48" s="1"/>
  <c r="W79" i="44"/>
  <c r="W31" i="44"/>
  <c r="X57" i="48"/>
  <c r="AR54" i="54"/>
  <c r="X88" i="44"/>
  <c r="Y14" i="44"/>
  <c r="X60" i="44"/>
  <c r="AR52" i="54"/>
  <c r="Y59" i="44"/>
  <c r="X20" i="44"/>
  <c r="Z28" i="44"/>
  <c r="X19" i="48"/>
  <c r="X82" i="44"/>
  <c r="Y73" i="44"/>
  <c r="W96" i="48"/>
  <c r="W57" i="48"/>
  <c r="BF257" i="48" s="1"/>
  <c r="X95" i="44"/>
  <c r="Y7" i="44"/>
  <c r="Y66" i="48"/>
  <c r="BH266" i="48" s="1"/>
  <c r="Z45" i="44"/>
  <c r="W82" i="48"/>
  <c r="Y61" i="48"/>
  <c r="BH261" i="48" s="1"/>
  <c r="Z20" i="44"/>
  <c r="X47" i="44"/>
  <c r="Z31" i="44"/>
  <c r="Y49" i="44"/>
  <c r="X47" i="48"/>
  <c r="X66" i="44"/>
  <c r="X38" i="48"/>
  <c r="Y9" i="48"/>
  <c r="W56" i="48"/>
  <c r="BF256" i="48" s="1"/>
  <c r="X87" i="44"/>
  <c r="AR19" i="54"/>
  <c r="Y99" i="44"/>
  <c r="Z50" i="44"/>
  <c r="Y75" i="44"/>
  <c r="W65" i="44"/>
  <c r="Z47" i="44"/>
  <c r="Y32" i="44"/>
  <c r="X80" i="48"/>
  <c r="W95" i="44"/>
  <c r="X53" i="44"/>
  <c r="W72" i="48"/>
  <c r="BF272" i="48" s="1"/>
  <c r="AY31" i="54"/>
  <c r="X65" i="48"/>
  <c r="Y79" i="44"/>
  <c r="Z99" i="48"/>
  <c r="W30" i="48"/>
  <c r="W34" i="44"/>
  <c r="X2" i="48"/>
  <c r="Z83" i="44"/>
  <c r="X96" i="48"/>
  <c r="AY100" i="54"/>
  <c r="X73" i="48"/>
  <c r="Z38" i="48"/>
  <c r="Z10" i="44"/>
  <c r="Z80" i="44"/>
  <c r="Z35" i="48"/>
  <c r="Z30" i="44"/>
  <c r="Y30" i="44"/>
  <c r="X90" i="48"/>
  <c r="Y99" i="48"/>
  <c r="Y93" i="44"/>
  <c r="AY54" i="54"/>
  <c r="Z4" i="44"/>
  <c r="X11" i="48"/>
  <c r="X91" i="44"/>
  <c r="Y84" i="44"/>
  <c r="Y34" i="48"/>
  <c r="X17" i="44"/>
  <c r="Y101" i="44"/>
  <c r="Y73" i="48"/>
  <c r="BH273" i="48" s="1"/>
  <c r="Z14" i="48"/>
  <c r="Z44" i="48"/>
  <c r="Y17" i="44"/>
  <c r="W13" i="48"/>
  <c r="W46" i="48"/>
  <c r="X99" i="44"/>
  <c r="Z80" i="48"/>
  <c r="AR81" i="54"/>
  <c r="Z40" i="48"/>
  <c r="X58" i="48"/>
  <c r="Y91" i="48"/>
  <c r="X93" i="48"/>
  <c r="Y101" i="48"/>
  <c r="Y22" i="48"/>
  <c r="Z55" i="44"/>
  <c r="Y78" i="48"/>
  <c r="BH278" i="48" s="1"/>
  <c r="Z90" i="44"/>
  <c r="X52" i="48"/>
  <c r="Y4" i="44"/>
  <c r="Z72" i="44"/>
  <c r="Y65" i="48"/>
  <c r="BH265" i="48" s="1"/>
  <c r="AY19" i="54"/>
  <c r="AR91" i="54"/>
  <c r="Z14" i="44"/>
  <c r="W19" i="48"/>
  <c r="X51" i="48"/>
  <c r="Y37" i="44"/>
  <c r="Z6" i="44"/>
  <c r="Z37" i="44"/>
  <c r="Z9" i="44"/>
  <c r="Z76" i="44"/>
  <c r="Z25" i="48"/>
  <c r="Y38" i="44"/>
  <c r="Y13" i="48"/>
  <c r="Y67" i="44"/>
  <c r="Y54" i="44"/>
  <c r="W84" i="48"/>
  <c r="X28" i="44"/>
  <c r="W29" i="48"/>
  <c r="Y50" i="48"/>
  <c r="Y41" i="48"/>
  <c r="Z84" i="44"/>
  <c r="Y13" i="44"/>
  <c r="Z69" i="48"/>
  <c r="Y24" i="48"/>
  <c r="AR63" i="54"/>
  <c r="X61" i="48"/>
  <c r="W60" i="44"/>
  <c r="W47" i="48"/>
  <c r="Y71" i="44"/>
  <c r="W68" i="44"/>
  <c r="X49" i="48"/>
  <c r="Z76" i="48"/>
  <c r="Y6" i="44"/>
  <c r="W87" i="44"/>
  <c r="X101" i="44"/>
  <c r="Z39" i="48"/>
  <c r="W86" i="48"/>
  <c r="W76" i="48"/>
  <c r="BF276" i="48" s="1"/>
  <c r="Y81" i="48"/>
  <c r="BH281" i="48" s="1"/>
  <c r="W20" i="48"/>
  <c r="Z90" i="48"/>
  <c r="W92" i="48"/>
  <c r="Y26" i="44"/>
  <c r="X16" i="48"/>
  <c r="W40" i="48"/>
  <c r="X40" i="44"/>
  <c r="X37" i="48"/>
  <c r="Y76" i="48"/>
  <c r="BH276" i="48" s="1"/>
  <c r="Z16" i="44"/>
  <c r="AY2" i="54"/>
  <c r="Z4" i="48"/>
  <c r="W38" i="44"/>
  <c r="X69" i="44"/>
  <c r="X9" i="48"/>
  <c r="W94" i="48"/>
  <c r="X58" i="44"/>
  <c r="Y33" i="44"/>
  <c r="Z74" i="48"/>
  <c r="Z39" i="44"/>
  <c r="Y10" i="44"/>
  <c r="Z26" i="48"/>
  <c r="Z95" i="48"/>
  <c r="AR21" i="54"/>
  <c r="X23" i="48"/>
  <c r="Z81" i="44"/>
  <c r="Z37" i="48"/>
  <c r="Y35" i="44"/>
  <c r="Y20" i="48"/>
  <c r="AY24" i="54"/>
  <c r="Y9" i="44"/>
  <c r="W22" i="48"/>
  <c r="X24" i="48"/>
  <c r="Z34" i="48"/>
  <c r="Z34" i="44"/>
  <c r="X3" i="48"/>
  <c r="X38" i="44"/>
  <c r="X77" i="44"/>
  <c r="W28" i="44"/>
  <c r="W18" i="48"/>
  <c r="X93" i="44"/>
  <c r="W35" i="48"/>
  <c r="Z77" i="48"/>
  <c r="X28" i="48"/>
  <c r="X21" i="44"/>
  <c r="Z86" i="44"/>
  <c r="Z27" i="44"/>
  <c r="Y37" i="48"/>
  <c r="W79" i="48"/>
  <c r="BF279" i="48" s="1"/>
  <c r="Y91" i="44"/>
  <c r="Y70" i="48"/>
  <c r="BH270" i="48" s="1"/>
  <c r="Y15" i="48"/>
  <c r="Y30" i="48"/>
  <c r="AR49" i="54"/>
  <c r="Y63" i="48"/>
  <c r="BH263" i="48" s="1"/>
  <c r="X31" i="44"/>
  <c r="X69" i="48"/>
  <c r="W61" i="44"/>
  <c r="Y60" i="44"/>
  <c r="Y27" i="44"/>
  <c r="Z31" i="48"/>
  <c r="Y48" i="48"/>
  <c r="X49" i="44"/>
  <c r="X34" i="44"/>
  <c r="Z87" i="44"/>
  <c r="W62" i="48"/>
  <c r="BF262" i="48" s="1"/>
  <c r="W24" i="48"/>
  <c r="Y19" i="48"/>
  <c r="AY42" i="54"/>
  <c r="X15" i="44"/>
  <c r="X5" i="44"/>
  <c r="Z47" i="48"/>
  <c r="Y12" i="44"/>
  <c r="Z11" i="48"/>
  <c r="Y86" i="48"/>
  <c r="AY33" i="54"/>
  <c r="Y88" i="48"/>
  <c r="Y39" i="48"/>
  <c r="W95" i="48"/>
  <c r="Y69" i="44"/>
  <c r="Y2" i="48"/>
  <c r="W63" i="44"/>
  <c r="AR80" i="54"/>
  <c r="Y23" i="48"/>
  <c r="Y45" i="44"/>
  <c r="Z61" i="44"/>
  <c r="X46" i="44"/>
  <c r="AY11" i="54"/>
  <c r="X55" i="44"/>
  <c r="X67" i="48"/>
  <c r="X82" i="48"/>
  <c r="AR60" i="54"/>
  <c r="X50" i="44"/>
  <c r="Y56" i="48"/>
  <c r="BH256" i="48" s="1"/>
  <c r="W80" i="48"/>
  <c r="BF280" i="48" s="1"/>
  <c r="X36" i="44"/>
  <c r="W87" i="48"/>
  <c r="Z78" i="48"/>
  <c r="AR12" i="54"/>
  <c r="X81" i="48"/>
  <c r="X89" i="44"/>
  <c r="Z74" i="44"/>
  <c r="Y95" i="48"/>
  <c r="X96" i="44"/>
  <c r="Z33" i="48"/>
  <c r="X75" i="44"/>
  <c r="Y95" i="44"/>
  <c r="Y11" i="48"/>
  <c r="Y28" i="48"/>
  <c r="W63" i="48"/>
  <c r="BF263" i="48" s="1"/>
  <c r="X50" i="48"/>
  <c r="Z101" i="44"/>
  <c r="Z53" i="48"/>
  <c r="Z88" i="44"/>
  <c r="Z24" i="44"/>
  <c r="X62" i="44"/>
  <c r="X59" i="48"/>
  <c r="Y51" i="44"/>
  <c r="Y89" i="48"/>
  <c r="W12" i="44"/>
  <c r="W11" i="44"/>
  <c r="Z59" i="44"/>
  <c r="Z75" i="44"/>
  <c r="Z9" i="48"/>
  <c r="W80" i="44"/>
  <c r="W3" i="48"/>
  <c r="X9" i="44"/>
  <c r="X12" i="48"/>
  <c r="W16" i="44"/>
  <c r="W8" i="48"/>
  <c r="Z23" i="44"/>
  <c r="X35" i="48"/>
  <c r="W93" i="48"/>
  <c r="Y42" i="48"/>
  <c r="AR88" i="54"/>
  <c r="W18" i="44"/>
  <c r="X64" i="44"/>
  <c r="Z2" i="44"/>
  <c r="X85" i="44"/>
  <c r="Z57" i="44"/>
  <c r="Z21" i="44"/>
  <c r="X22" i="44"/>
  <c r="W43" i="44"/>
  <c r="W88" i="48"/>
  <c r="Y38" i="48"/>
  <c r="Y52" i="44"/>
  <c r="Z36" i="44"/>
  <c r="W59" i="48"/>
  <c r="BF259" i="48" s="1"/>
  <c r="Y64" i="44"/>
  <c r="W28" i="48"/>
  <c r="AR26" i="54"/>
  <c r="Z26" i="44"/>
  <c r="Z40" i="44"/>
  <c r="Y100" i="48"/>
  <c r="Z85" i="48"/>
  <c r="X30" i="48"/>
  <c r="W45" i="48"/>
  <c r="Y93" i="48"/>
  <c r="X91" i="48"/>
  <c r="AY78" i="54"/>
  <c r="Y31" i="48"/>
  <c r="AR83" i="54"/>
  <c r="AY87" i="54"/>
  <c r="X89" i="48"/>
  <c r="AY80" i="54"/>
  <c r="X32" i="48"/>
  <c r="Z19" i="48"/>
  <c r="AR67" i="54"/>
  <c r="Y21" i="44"/>
  <c r="Y28" i="44"/>
  <c r="Z12" i="44"/>
  <c r="W78" i="48"/>
  <c r="BF278" i="48" s="1"/>
  <c r="AY26" i="54"/>
  <c r="Z8" i="48"/>
  <c r="Y52" i="48"/>
  <c r="BH252" i="48" s="1"/>
  <c r="Y43" i="44"/>
  <c r="Y23" i="44"/>
  <c r="Z11" i="44"/>
  <c r="Z86" i="48"/>
  <c r="Z29" i="48"/>
  <c r="X7" i="48"/>
  <c r="Y62" i="48"/>
  <c r="BH262" i="48" s="1"/>
  <c r="X74" i="44"/>
  <c r="Y34" i="44"/>
  <c r="Z93" i="44"/>
  <c r="AY39" i="54"/>
  <c r="W36" i="44"/>
  <c r="X32" i="44"/>
  <c r="X95" i="48"/>
  <c r="Y61" i="44"/>
  <c r="W56" i="44"/>
  <c r="AY86" i="54"/>
  <c r="Y62" i="44"/>
  <c r="Y96" i="44"/>
  <c r="X45" i="44"/>
  <c r="AY6" i="54"/>
  <c r="Y45" i="48"/>
  <c r="Z44" i="44"/>
  <c r="Y64" i="48"/>
  <c r="BH264" i="48" s="1"/>
  <c r="Y15" i="44"/>
  <c r="X24" i="44"/>
  <c r="X71" i="44"/>
  <c r="Y90" i="48"/>
  <c r="W15" i="44"/>
  <c r="AR70" i="54"/>
  <c r="W50" i="44"/>
  <c r="Y2" i="44"/>
  <c r="X52" i="44"/>
  <c r="Z5" i="44"/>
  <c r="AR4" i="54"/>
  <c r="AR47" i="54"/>
  <c r="AY95" i="54"/>
  <c r="W55" i="44"/>
  <c r="AY71" i="54"/>
  <c r="W69" i="44"/>
  <c r="AY96" i="54"/>
  <c r="W2" i="48"/>
  <c r="AY23" i="54"/>
  <c r="AY32" i="54"/>
  <c r="Y82" i="44"/>
  <c r="AY70" i="54"/>
  <c r="Y97" i="48"/>
  <c r="Z79" i="48"/>
  <c r="Y94" i="48"/>
  <c r="AY37" i="54"/>
  <c r="Z46" i="48"/>
  <c r="AR35" i="54"/>
  <c r="X14" i="44"/>
  <c r="Z94" i="48"/>
  <c r="W84" i="44"/>
  <c r="Z57" i="48"/>
  <c r="AY9" i="54"/>
  <c r="AY58" i="54"/>
  <c r="AY4" i="54"/>
  <c r="W54" i="44"/>
  <c r="AR31" i="54"/>
  <c r="AR40" i="54"/>
  <c r="W41" i="48"/>
  <c r="AY48" i="54"/>
  <c r="AR55" i="54"/>
  <c r="AR28" i="54"/>
  <c r="AY7" i="54"/>
  <c r="Y46" i="48"/>
  <c r="AY76" i="54"/>
  <c r="Y35" i="48"/>
  <c r="AR23" i="54"/>
  <c r="AR7" i="54"/>
  <c r="W4" i="44"/>
  <c r="W89" i="44"/>
  <c r="Z28" i="48"/>
  <c r="X98" i="44"/>
  <c r="X40" i="48"/>
  <c r="X84" i="48"/>
  <c r="AY56" i="54"/>
  <c r="AR14" i="54"/>
  <c r="AR66" i="54"/>
  <c r="W8" i="44"/>
  <c r="X87" i="48"/>
  <c r="X73" i="44"/>
  <c r="Y69" i="48"/>
  <c r="BH269" i="48" s="1"/>
  <c r="Z91" i="48"/>
  <c r="W75" i="48"/>
  <c r="BF275" i="48" s="1"/>
  <c r="AY38" i="54"/>
  <c r="AY34" i="54"/>
  <c r="Y51" i="48"/>
  <c r="AY3" i="54"/>
  <c r="AY61" i="54"/>
  <c r="X64" i="48"/>
  <c r="X27" i="48"/>
  <c r="Y25" i="48"/>
  <c r="Z55" i="48"/>
  <c r="Y31" i="44"/>
  <c r="Y80" i="44"/>
  <c r="AR99" i="54"/>
  <c r="AR77" i="54"/>
  <c r="Z36" i="48"/>
  <c r="X45" i="48"/>
  <c r="Y29" i="44"/>
  <c r="Z95" i="44"/>
  <c r="Z100" i="44"/>
  <c r="AR34" i="54"/>
  <c r="AR9" i="54"/>
  <c r="Y7" i="48"/>
  <c r="Z21" i="48"/>
  <c r="W37" i="44"/>
  <c r="X43" i="44"/>
  <c r="Z22" i="44"/>
  <c r="X33" i="48"/>
  <c r="Z5" i="48"/>
  <c r="AR24" i="54"/>
  <c r="Y98" i="48"/>
  <c r="AY49" i="54"/>
  <c r="X70" i="48"/>
  <c r="AY15" i="54"/>
  <c r="AR48" i="54"/>
  <c r="X84" i="44"/>
  <c r="AY97" i="54"/>
  <c r="AY68" i="54"/>
  <c r="AR57" i="54"/>
  <c r="AY99" i="54"/>
  <c r="X74" i="48"/>
  <c r="AR27" i="54"/>
  <c r="AY17" i="54"/>
  <c r="X60" i="48"/>
  <c r="Y36" i="48"/>
  <c r="W38" i="48"/>
  <c r="Y56" i="44"/>
  <c r="W97" i="44"/>
  <c r="AY52" i="54"/>
  <c r="Z53" i="44"/>
  <c r="W59" i="44"/>
  <c r="W10" i="44"/>
  <c r="W12" i="48"/>
  <c r="W91" i="44"/>
  <c r="X97" i="44"/>
  <c r="AY12" i="54"/>
  <c r="Z97" i="44"/>
  <c r="Y50" i="44"/>
  <c r="Z63" i="44"/>
  <c r="W94" i="44"/>
  <c r="X48" i="44"/>
  <c r="Z54" i="44"/>
  <c r="W100" i="48"/>
  <c r="AY81" i="54"/>
  <c r="W47" i="44"/>
  <c r="AY53" i="54"/>
  <c r="Z7" i="48"/>
  <c r="Z22" i="48"/>
  <c r="W55" i="48"/>
  <c r="BF255" i="48" s="1"/>
  <c r="Z89" i="48"/>
  <c r="Y48" i="44"/>
  <c r="W45" i="44"/>
  <c r="Y32" i="48"/>
  <c r="AR65" i="54"/>
  <c r="Y88" i="44"/>
  <c r="AR25" i="54"/>
  <c r="AY45" i="54"/>
  <c r="AR53" i="54"/>
  <c r="AY47" i="54"/>
  <c r="AR17" i="54"/>
  <c r="Y100" i="44"/>
  <c r="AY72" i="54"/>
  <c r="Y53" i="44"/>
  <c r="Y20" i="44"/>
  <c r="Y59" i="48"/>
  <c r="BH259" i="48" s="1"/>
  <c r="AR73" i="54"/>
  <c r="W24" i="44"/>
  <c r="W48" i="48"/>
  <c r="X99" i="48"/>
  <c r="X39" i="44"/>
  <c r="AR64" i="54"/>
  <c r="W96" i="44"/>
  <c r="Z70" i="48"/>
  <c r="Z42" i="48"/>
  <c r="X35" i="44"/>
  <c r="Y67" i="48"/>
  <c r="BH267" i="48" s="1"/>
  <c r="X90" i="44"/>
  <c r="Z92" i="48"/>
  <c r="AA92" i="48" s="1"/>
  <c r="Y22" i="44"/>
  <c r="AY28" i="54"/>
  <c r="AR101" i="54"/>
  <c r="AY41" i="54"/>
  <c r="Z98" i="44"/>
  <c r="AR75" i="54"/>
  <c r="Z64" i="48"/>
  <c r="W44" i="44"/>
  <c r="W93" i="44"/>
  <c r="W41" i="44"/>
  <c r="AY74" i="54"/>
  <c r="W88" i="44"/>
  <c r="Y77" i="44"/>
  <c r="Z6" i="48"/>
  <c r="W42" i="44"/>
  <c r="AR95" i="54"/>
  <c r="Y71" i="48"/>
  <c r="BH271" i="48" s="1"/>
  <c r="X21" i="48"/>
  <c r="Z73" i="44"/>
  <c r="Y43" i="48"/>
  <c r="X66" i="48"/>
  <c r="AR69" i="54"/>
  <c r="AR90" i="54"/>
  <c r="W22" i="44"/>
  <c r="AY59" i="54"/>
  <c r="AR41" i="54"/>
  <c r="AY36" i="54"/>
  <c r="X22" i="48"/>
  <c r="X3" i="44"/>
  <c r="Z82" i="48"/>
  <c r="X76" i="44"/>
  <c r="Y86" i="44"/>
  <c r="Z29" i="44"/>
  <c r="X79" i="48"/>
  <c r="Z83" i="48"/>
  <c r="W3" i="44"/>
  <c r="AR84" i="54"/>
  <c r="Y5" i="48"/>
  <c r="Z35" i="44"/>
  <c r="W7" i="44"/>
  <c r="AR74" i="54"/>
  <c r="W101" i="44"/>
  <c r="AY73" i="54"/>
  <c r="AR76" i="54"/>
  <c r="Z48" i="44"/>
  <c r="Y82" i="48"/>
  <c r="Y79" i="48"/>
  <c r="BH279" i="48" s="1"/>
  <c r="AR8" i="54"/>
  <c r="AY29" i="54"/>
  <c r="Y55" i="44"/>
  <c r="W100" i="44"/>
  <c r="AY75" i="54"/>
  <c r="Z24" i="48"/>
  <c r="X23" i="44"/>
  <c r="AY90" i="54"/>
  <c r="AY82" i="54"/>
  <c r="AR15" i="54"/>
  <c r="AY88" i="54"/>
  <c r="AR30" i="54"/>
  <c r="Z23" i="48"/>
  <c r="AY5" i="54"/>
  <c r="AR87" i="54"/>
  <c r="W32" i="44"/>
  <c r="W26" i="44"/>
  <c r="X11" i="44"/>
  <c r="AY66" i="54"/>
  <c r="AY84" i="54"/>
  <c r="AY21" i="54"/>
  <c r="W91" i="48"/>
  <c r="W39" i="48"/>
  <c r="Z51" i="44"/>
  <c r="Z100" i="48"/>
  <c r="AA100" i="48" s="1"/>
  <c r="Z10" i="48"/>
  <c r="Y68" i="48"/>
  <c r="BH268" i="48" s="1"/>
  <c r="Z64" i="44"/>
  <c r="X77" i="48"/>
  <c r="X16" i="44"/>
  <c r="AR94" i="54"/>
  <c r="AY55" i="54"/>
  <c r="X33" i="44"/>
  <c r="W9" i="44"/>
  <c r="AY91" i="54"/>
  <c r="W98" i="48"/>
  <c r="Y46" i="44"/>
  <c r="Y47" i="44"/>
  <c r="Z17" i="44"/>
  <c r="X92" i="48"/>
  <c r="W50" i="48"/>
  <c r="X12" i="44"/>
  <c r="Y83" i="48"/>
  <c r="X54" i="48"/>
  <c r="Y3" i="48"/>
  <c r="Z96" i="48"/>
  <c r="AR43" i="54"/>
  <c r="AY63" i="54"/>
  <c r="X2" i="44"/>
  <c r="W99" i="48"/>
  <c r="AR37" i="54"/>
  <c r="AR20" i="54"/>
  <c r="Y4" i="48"/>
  <c r="W17" i="44"/>
  <c r="Z2" i="48"/>
  <c r="X7" i="44"/>
  <c r="W65" i="48"/>
  <c r="BF265" i="48" s="1"/>
  <c r="Y47" i="48"/>
  <c r="W14" i="48"/>
  <c r="Z101" i="48"/>
  <c r="W49" i="44"/>
  <c r="X5" i="48"/>
  <c r="Z7" i="44"/>
  <c r="AR44" i="54"/>
  <c r="Z71" i="44"/>
  <c r="W27" i="44"/>
  <c r="X43" i="48"/>
  <c r="X42" i="44"/>
  <c r="X70" i="44"/>
  <c r="W7" i="48"/>
  <c r="Y44" i="48"/>
  <c r="W66" i="44"/>
  <c r="W68" i="48"/>
  <c r="BF268" i="48" s="1"/>
  <c r="Z42" i="44"/>
  <c r="Z94" i="44"/>
  <c r="W70" i="48"/>
  <c r="BF270" i="48" s="1"/>
  <c r="X76" i="48"/>
  <c r="AY20" i="54"/>
  <c r="AR61" i="54"/>
  <c r="X94" i="48"/>
  <c r="W58" i="48"/>
  <c r="BF258" i="48" s="1"/>
  <c r="Z60" i="48"/>
  <c r="X44" i="48"/>
  <c r="W52" i="48"/>
  <c r="BF252" i="48" s="1"/>
  <c r="X57" i="44"/>
  <c r="AR22" i="54"/>
  <c r="AY69" i="54"/>
  <c r="Z30" i="48"/>
  <c r="W35" i="44"/>
  <c r="W40" i="44"/>
  <c r="W13" i="44"/>
  <c r="W70" i="44"/>
  <c r="W52" i="44"/>
  <c r="W14" i="44"/>
  <c r="W44" i="48"/>
  <c r="Z98" i="48"/>
  <c r="W75" i="44"/>
  <c r="AY67" i="54"/>
  <c r="AR56" i="54"/>
  <c r="AY51" i="54"/>
  <c r="W97" i="48"/>
  <c r="AR72" i="54"/>
  <c r="Z45" i="48"/>
  <c r="Y97" i="44"/>
  <c r="W20" i="44"/>
  <c r="AY101" i="54"/>
  <c r="AR11" i="54"/>
  <c r="W74" i="44"/>
  <c r="W30" i="44"/>
  <c r="X17" i="48"/>
  <c r="Y36" i="44"/>
  <c r="W81" i="44"/>
  <c r="AR96" i="54"/>
  <c r="Y5" i="44"/>
  <c r="AY79" i="54"/>
  <c r="W92" i="44"/>
  <c r="AR6" i="54"/>
  <c r="Y49" i="48"/>
  <c r="W33" i="48"/>
  <c r="AY83" i="54"/>
  <c r="Z58" i="44"/>
  <c r="W73" i="44"/>
  <c r="AR85" i="54"/>
  <c r="AR5" i="54"/>
  <c r="AR92" i="54"/>
  <c r="AR33" i="54"/>
  <c r="AR32" i="54"/>
  <c r="X68" i="44"/>
  <c r="Y84" i="48"/>
  <c r="Y96" i="48"/>
  <c r="Y33" i="48"/>
  <c r="W77" i="44"/>
  <c r="Z52" i="48"/>
  <c r="AY77" i="54"/>
  <c r="AR58" i="54"/>
  <c r="X46" i="48"/>
  <c r="AR45" i="54"/>
  <c r="W48" i="44"/>
  <c r="X98" i="48"/>
  <c r="AR50" i="54"/>
  <c r="X44" i="44"/>
  <c r="Z65" i="48"/>
  <c r="Z56" i="44"/>
  <c r="AY27" i="54"/>
  <c r="X13" i="48"/>
  <c r="AY65" i="54"/>
  <c r="AY13" i="54"/>
  <c r="AR71" i="54"/>
  <c r="AR46" i="54"/>
  <c r="W29" i="44"/>
  <c r="AY25" i="54"/>
  <c r="AR82" i="54"/>
  <c r="Z41" i="48"/>
  <c r="W82" i="44"/>
  <c r="W6" i="48"/>
  <c r="W90" i="44"/>
  <c r="W36" i="48"/>
  <c r="W64" i="44"/>
  <c r="X48" i="48"/>
  <c r="AR97" i="54"/>
  <c r="AR38" i="54"/>
  <c r="X92" i="44"/>
  <c r="W86" i="44"/>
  <c r="X54" i="44"/>
  <c r="AR100" i="54"/>
  <c r="W4" i="48"/>
  <c r="AY57" i="54"/>
  <c r="AR86" i="54"/>
  <c r="X88" i="48"/>
  <c r="W39" i="44"/>
  <c r="W5" i="44"/>
  <c r="AR10" i="54"/>
  <c r="AY46" i="54"/>
  <c r="AR59" i="54"/>
  <c r="AR39" i="54"/>
  <c r="AY85" i="54"/>
  <c r="AY92" i="54"/>
  <c r="W5" i="48"/>
  <c r="Z96" i="44"/>
  <c r="W2" i="44"/>
  <c r="W77" i="48"/>
  <c r="BF277" i="48" s="1"/>
  <c r="W19" i="44"/>
  <c r="W72" i="44"/>
  <c r="Z52" i="44"/>
  <c r="W25" i="44"/>
  <c r="AY89" i="54"/>
  <c r="W90" i="48"/>
  <c r="AY35" i="54"/>
  <c r="Y25" i="44"/>
  <c r="Y90" i="44"/>
  <c r="K69" i="54"/>
  <c r="H52" i="54"/>
  <c r="L54" i="54"/>
  <c r="I52" i="54"/>
  <c r="L32" i="47"/>
  <c r="J32" i="47"/>
  <c r="F52" i="54"/>
  <c r="F74" i="54"/>
  <c r="I74" i="54"/>
  <c r="E74" i="54"/>
  <c r="L60" i="54"/>
  <c r="C52" i="54"/>
  <c r="C74" i="54"/>
  <c r="L52" i="54"/>
  <c r="F38" i="54"/>
  <c r="I60" i="54"/>
  <c r="E27" i="54"/>
  <c r="K74" i="54"/>
  <c r="I65" i="54"/>
  <c r="J60" i="54"/>
  <c r="G52" i="54"/>
  <c r="J75" i="54"/>
  <c r="H75" i="54"/>
  <c r="L38" i="54"/>
  <c r="H27" i="54"/>
  <c r="D74" i="54"/>
  <c r="F65" i="54"/>
  <c r="D75" i="54"/>
  <c r="I75" i="54"/>
  <c r="D27" i="54"/>
  <c r="L74" i="54"/>
  <c r="L18" i="54"/>
  <c r="D52" i="54"/>
  <c r="C38" i="54"/>
  <c r="G53" i="54"/>
  <c r="G74" i="54"/>
  <c r="H74" i="54"/>
  <c r="K52" i="54"/>
  <c r="F54" i="54"/>
  <c r="J52" i="54"/>
  <c r="G60" i="54"/>
  <c r="H69" i="54"/>
  <c r="C69" i="54"/>
  <c r="L69" i="54"/>
  <c r="J69" i="54"/>
  <c r="E69" i="54"/>
  <c r="L70" i="54"/>
  <c r="G41" i="54"/>
  <c r="H60" i="54"/>
  <c r="L41" i="54"/>
  <c r="H41" i="54"/>
  <c r="F20" i="54"/>
  <c r="I21" i="54"/>
  <c r="I4" i="54"/>
  <c r="C37" i="54"/>
  <c r="F34" i="54"/>
  <c r="D4" i="54"/>
  <c r="K21" i="54"/>
  <c r="I34" i="54"/>
  <c r="J20" i="54"/>
  <c r="L20" i="54"/>
  <c r="C4" i="54"/>
  <c r="L21" i="54"/>
  <c r="K20" i="54"/>
  <c r="G20" i="54"/>
  <c r="K4" i="54"/>
  <c r="F4" i="54"/>
  <c r="F21" i="54"/>
  <c r="C21" i="54"/>
  <c r="C34" i="54"/>
  <c r="L34" i="54"/>
  <c r="G33" i="54"/>
  <c r="C20" i="54"/>
  <c r="H20" i="54"/>
  <c r="J4" i="54"/>
  <c r="L4" i="54"/>
  <c r="J21" i="54"/>
  <c r="G21" i="54"/>
  <c r="K34" i="54"/>
  <c r="G34" i="54"/>
  <c r="J29" i="54"/>
  <c r="D20" i="54"/>
  <c r="E4" i="54"/>
  <c r="E21" i="54"/>
  <c r="E34" i="54"/>
  <c r="E20" i="54"/>
  <c r="G4" i="54"/>
  <c r="D21" i="54"/>
  <c r="D34" i="54"/>
  <c r="J34" i="54"/>
  <c r="E37" i="54"/>
  <c r="K70" i="54"/>
  <c r="C70" i="54"/>
  <c r="K29" i="54"/>
  <c r="I70" i="54"/>
  <c r="J70" i="54"/>
  <c r="K35" i="54"/>
  <c r="J35" i="54"/>
  <c r="E70" i="54"/>
  <c r="E35" i="54"/>
  <c r="D70" i="54"/>
  <c r="D35" i="54"/>
  <c r="C35" i="54"/>
  <c r="H70" i="54"/>
  <c r="G70" i="54"/>
  <c r="G35" i="54"/>
  <c r="D63" i="54"/>
  <c r="C63" i="54"/>
  <c r="I68" i="54"/>
  <c r="F68" i="54"/>
  <c r="K36" i="54"/>
  <c r="K7" i="54"/>
  <c r="I7" i="54"/>
  <c r="K63" i="54"/>
  <c r="H36" i="54"/>
  <c r="C29" i="54"/>
  <c r="I37" i="54"/>
  <c r="I63" i="54"/>
  <c r="L63" i="54"/>
  <c r="F37" i="54"/>
  <c r="H63" i="54"/>
  <c r="L37" i="54"/>
  <c r="F31" i="54"/>
  <c r="G63" i="54"/>
  <c r="F36" i="54"/>
  <c r="H33" i="54"/>
  <c r="H59" i="54"/>
  <c r="G37" i="54"/>
  <c r="E68" i="54"/>
  <c r="E33" i="54"/>
  <c r="L57" i="54"/>
  <c r="J37" i="54"/>
  <c r="K59" i="54"/>
  <c r="E29" i="54"/>
  <c r="I33" i="54"/>
  <c r="J56" i="54"/>
  <c r="D36" i="54"/>
  <c r="L33" i="54"/>
  <c r="D37" i="54"/>
  <c r="F29" i="54"/>
  <c r="F33" i="54"/>
  <c r="D33" i="54"/>
  <c r="L68" i="54"/>
  <c r="C68" i="54"/>
  <c r="D68" i="54"/>
  <c r="K68" i="54"/>
  <c r="D59" i="54"/>
  <c r="E7" i="54"/>
  <c r="L36" i="54"/>
  <c r="J68" i="54"/>
  <c r="F7" i="54"/>
  <c r="L59" i="54"/>
  <c r="G68" i="54"/>
  <c r="I59" i="54"/>
  <c r="G59" i="54"/>
  <c r="H7" i="54"/>
  <c r="J7" i="54"/>
  <c r="E59" i="54"/>
  <c r="L7" i="54"/>
  <c r="F59" i="54"/>
  <c r="C7" i="54"/>
  <c r="G7" i="54"/>
  <c r="G29" i="54"/>
  <c r="L29" i="54"/>
  <c r="H29" i="54"/>
  <c r="K33" i="54"/>
  <c r="C59" i="54"/>
  <c r="I29" i="54"/>
  <c r="E36" i="54"/>
  <c r="C33" i="54"/>
  <c r="I36" i="54"/>
  <c r="J36" i="54"/>
  <c r="C36" i="54"/>
  <c r="A47" i="36"/>
  <c r="K32" i="47" s="1"/>
  <c r="K61" i="54" l="1"/>
  <c r="F13" i="54"/>
  <c r="C61" i="54"/>
  <c r="E28" i="54"/>
  <c r="J28" i="54"/>
  <c r="L13" i="54"/>
  <c r="D13" i="54"/>
  <c r="J61" i="54"/>
  <c r="H13" i="54"/>
  <c r="K13" i="54"/>
  <c r="L61" i="54"/>
  <c r="I13" i="54"/>
  <c r="I50" i="54"/>
  <c r="C50" i="54"/>
  <c r="D50" i="54"/>
  <c r="E56" i="54"/>
  <c r="J41" i="54"/>
  <c r="G61" i="54"/>
  <c r="J50" i="54"/>
  <c r="I61" i="54"/>
  <c r="E13" i="54"/>
  <c r="J13" i="54"/>
  <c r="E61" i="54"/>
  <c r="K50" i="54"/>
  <c r="E50" i="54"/>
  <c r="H61" i="54"/>
  <c r="F50" i="54"/>
  <c r="H50" i="54"/>
  <c r="AA82" i="48"/>
  <c r="AA96" i="48"/>
  <c r="AA86" i="48"/>
  <c r="AA85" i="48"/>
  <c r="AA89" i="48"/>
  <c r="C28" i="54"/>
  <c r="D28" i="54"/>
  <c r="I41" i="54"/>
  <c r="D41" i="54"/>
  <c r="K41" i="54"/>
  <c r="G79" i="54"/>
  <c r="D79" i="54"/>
  <c r="C79" i="54"/>
  <c r="G28" i="54"/>
  <c r="L28" i="54"/>
  <c r="C41" i="54"/>
  <c r="E41" i="54"/>
  <c r="H28" i="54"/>
  <c r="G11" i="54"/>
  <c r="K28" i="54"/>
  <c r="I12" i="54"/>
  <c r="L12" i="54"/>
  <c r="E18" i="54"/>
  <c r="C12" i="54"/>
  <c r="I18" i="54"/>
  <c r="E40" i="54"/>
  <c r="G12" i="54"/>
  <c r="G14" i="54"/>
  <c r="E71" i="54"/>
  <c r="F69" i="54"/>
  <c r="F57" i="54"/>
  <c r="K9" i="54"/>
  <c r="K31" i="54"/>
  <c r="H67" i="54"/>
  <c r="C57" i="54"/>
  <c r="J31" i="54"/>
  <c r="L31" i="54"/>
  <c r="D67" i="54"/>
  <c r="C31" i="54"/>
  <c r="L6" i="54"/>
  <c r="K60" i="54"/>
  <c r="D62" i="54"/>
  <c r="F71" i="54"/>
  <c r="I31" i="54"/>
  <c r="H31" i="54"/>
  <c r="C11" i="54"/>
  <c r="C9" i="54"/>
  <c r="G16" i="54"/>
  <c r="I62" i="54"/>
  <c r="E57" i="54"/>
  <c r="E9" i="54"/>
  <c r="L11" i="54"/>
  <c r="J57" i="54"/>
  <c r="E31" i="54"/>
  <c r="J67" i="54"/>
  <c r="E11" i="54"/>
  <c r="C16" i="54"/>
  <c r="I57" i="54"/>
  <c r="D57" i="54"/>
  <c r="I67" i="54"/>
  <c r="E67" i="54"/>
  <c r="F6" i="54"/>
  <c r="F80" i="54"/>
  <c r="H6" i="54"/>
  <c r="J40" i="54"/>
  <c r="D31" i="54"/>
  <c r="K57" i="54"/>
  <c r="F40" i="54"/>
  <c r="C67" i="54"/>
  <c r="K67" i="54"/>
  <c r="C6" i="54"/>
  <c r="G67" i="54"/>
  <c r="D11" i="54"/>
  <c r="F62" i="54"/>
  <c r="G57" i="54"/>
  <c r="D56" i="54"/>
  <c r="H37" i="54"/>
  <c r="K11" i="54"/>
  <c r="F67" i="54"/>
  <c r="D69" i="54"/>
  <c r="C60" i="54"/>
  <c r="F60" i="54"/>
  <c r="D60" i="54"/>
  <c r="J71" i="54"/>
  <c r="C77" i="54"/>
  <c r="F3" i="54"/>
  <c r="J17" i="54"/>
  <c r="H77" i="54"/>
  <c r="G77" i="54"/>
  <c r="I77" i="54"/>
  <c r="L77" i="54"/>
  <c r="C71" i="54"/>
  <c r="J77" i="54"/>
  <c r="F77" i="54"/>
  <c r="C17" i="54"/>
  <c r="E77" i="54"/>
  <c r="L50" i="54"/>
  <c r="G13" i="54"/>
  <c r="H72" i="54"/>
  <c r="F61" i="54"/>
  <c r="D77" i="54"/>
  <c r="K14" i="54"/>
  <c r="L78" i="54"/>
  <c r="H53" i="54"/>
  <c r="F47" i="54"/>
  <c r="I43" i="54"/>
  <c r="I72" i="54"/>
  <c r="K48" i="54"/>
  <c r="C72" i="54"/>
  <c r="D43" i="54"/>
  <c r="D51" i="54"/>
  <c r="J47" i="54"/>
  <c r="I3" i="54"/>
  <c r="J14" i="54"/>
  <c r="E72" i="54"/>
  <c r="G26" i="54"/>
  <c r="K23" i="54"/>
  <c r="I78" i="54"/>
  <c r="E78" i="54"/>
  <c r="F8" i="54"/>
  <c r="L80" i="54"/>
  <c r="F78" i="54"/>
  <c r="E49" i="54"/>
  <c r="E15" i="54"/>
  <c r="H15" i="54"/>
  <c r="H66" i="54"/>
  <c r="G47" i="54"/>
  <c r="C47" i="54"/>
  <c r="J23" i="54"/>
  <c r="I23" i="54"/>
  <c r="K17" i="54"/>
  <c r="J72" i="54"/>
  <c r="C58" i="54"/>
  <c r="G3" i="54"/>
  <c r="H17" i="54"/>
  <c r="E45" i="54"/>
  <c r="F56" i="54"/>
  <c r="K56" i="54"/>
  <c r="E55" i="54"/>
  <c r="G10" i="54"/>
  <c r="K44" i="54"/>
  <c r="G39" i="54"/>
  <c r="K46" i="54"/>
  <c r="H55" i="54"/>
  <c r="L58" i="54"/>
  <c r="E39" i="54"/>
  <c r="I8" i="54"/>
  <c r="I39" i="54"/>
  <c r="K10" i="54"/>
  <c r="E22" i="54"/>
  <c r="L22" i="54"/>
  <c r="H51" i="54"/>
  <c r="K43" i="54"/>
  <c r="G54" i="54"/>
  <c r="L48" i="54"/>
  <c r="D48" i="54"/>
  <c r="L44" i="54"/>
  <c r="H39" i="54"/>
  <c r="K39" i="54"/>
  <c r="H3" i="54"/>
  <c r="I45" i="54"/>
  <c r="D45" i="54"/>
  <c r="J10" i="54"/>
  <c r="D22" i="54"/>
  <c r="J43" i="54"/>
  <c r="F43" i="54"/>
  <c r="L72" i="54"/>
  <c r="F72" i="54"/>
  <c r="I17" i="54"/>
  <c r="L45" i="54"/>
  <c r="F42" i="54"/>
  <c r="J32" i="54"/>
  <c r="G56" i="54"/>
  <c r="L46" i="54"/>
  <c r="L3" i="54"/>
  <c r="H10" i="54"/>
  <c r="E3" i="54"/>
  <c r="E58" i="54"/>
  <c r="I14" i="54"/>
  <c r="F17" i="54"/>
  <c r="H14" i="54"/>
  <c r="G45" i="54"/>
  <c r="K47" i="54"/>
  <c r="J48" i="54"/>
  <c r="C46" i="54"/>
  <c r="C39" i="54"/>
  <c r="F39" i="54"/>
  <c r="D3" i="54"/>
  <c r="I58" i="54"/>
  <c r="D14" i="54"/>
  <c r="C14" i="54"/>
  <c r="C51" i="54"/>
  <c r="C43" i="54"/>
  <c r="E48" i="54"/>
  <c r="J45" i="54"/>
  <c r="C3" i="54"/>
  <c r="C56" i="54"/>
  <c r="H58" i="54"/>
  <c r="C22" i="54"/>
  <c r="I26" i="54"/>
  <c r="I51" i="54"/>
  <c r="D26" i="54"/>
  <c r="D72" i="54"/>
  <c r="J6" i="54"/>
  <c r="K72" i="54"/>
  <c r="E17" i="54"/>
  <c r="I47" i="54"/>
  <c r="C62" i="54"/>
  <c r="K30" i="54"/>
  <c r="L30" i="54"/>
  <c r="C30" i="54"/>
  <c r="E30" i="54"/>
  <c r="C80" i="54"/>
  <c r="J80" i="54"/>
  <c r="H80" i="54"/>
  <c r="G23" i="54"/>
  <c r="F23" i="54"/>
  <c r="H23" i="54"/>
  <c r="I66" i="54"/>
  <c r="G66" i="54"/>
  <c r="J66" i="54"/>
  <c r="C66" i="54"/>
  <c r="G78" i="54"/>
  <c r="H78" i="54"/>
  <c r="C78" i="54"/>
  <c r="J78" i="54"/>
  <c r="D78" i="54"/>
  <c r="K73" i="54"/>
  <c r="F73" i="54"/>
  <c r="D73" i="54"/>
  <c r="J73" i="54"/>
  <c r="H25" i="54"/>
  <c r="C25" i="54"/>
  <c r="J25" i="54"/>
  <c r="L25" i="54"/>
  <c r="H19" i="54"/>
  <c r="F19" i="54"/>
  <c r="L19" i="54"/>
  <c r="J24" i="54"/>
  <c r="F24" i="54"/>
  <c r="L24" i="54"/>
  <c r="D10" i="54"/>
  <c r="C10" i="54"/>
  <c r="I44" i="54"/>
  <c r="F44" i="54"/>
  <c r="E44" i="54"/>
  <c r="D8" i="54"/>
  <c r="H8" i="54"/>
  <c r="E8" i="54"/>
  <c r="J8" i="54"/>
  <c r="K55" i="54"/>
  <c r="J55" i="54"/>
  <c r="L55" i="54"/>
  <c r="G46" i="54"/>
  <c r="I46" i="54"/>
  <c r="H46" i="54"/>
  <c r="D46" i="54"/>
  <c r="J39" i="54"/>
  <c r="L39" i="54"/>
  <c r="J15" i="54"/>
  <c r="C15" i="54"/>
  <c r="D15" i="54"/>
  <c r="I15" i="54"/>
  <c r="H54" i="54"/>
  <c r="D54" i="54"/>
  <c r="J54" i="54"/>
  <c r="E54" i="54"/>
  <c r="I54" i="54"/>
  <c r="K54" i="54"/>
  <c r="F22" i="54"/>
  <c r="J22" i="54"/>
  <c r="G22" i="54"/>
  <c r="I22" i="54"/>
  <c r="K80" i="54"/>
  <c r="C23" i="54"/>
  <c r="F55" i="54"/>
  <c r="I6" i="54"/>
  <c r="F66" i="54"/>
  <c r="L66" i="54"/>
  <c r="G15" i="54"/>
  <c r="I19" i="54"/>
  <c r="D44" i="54"/>
  <c r="C64" i="54"/>
  <c r="H64" i="54"/>
  <c r="G64" i="54"/>
  <c r="F64" i="54"/>
  <c r="F25" i="54"/>
  <c r="C76" i="54"/>
  <c r="K76" i="54"/>
  <c r="I73" i="54"/>
  <c r="F30" i="54"/>
  <c r="G30" i="54"/>
  <c r="L73" i="54"/>
  <c r="J19" i="54"/>
  <c r="E19" i="54"/>
  <c r="K25" i="54"/>
  <c r="C44" i="54"/>
  <c r="H44" i="54"/>
  <c r="G8" i="54"/>
  <c r="I55" i="54"/>
  <c r="F10" i="54"/>
  <c r="K24" i="54"/>
  <c r="K64" i="54"/>
  <c r="D80" i="54"/>
  <c r="E66" i="54"/>
  <c r="L15" i="54"/>
  <c r="H73" i="54"/>
  <c r="G58" i="54"/>
  <c r="F58" i="54"/>
  <c r="J58" i="54"/>
  <c r="D58" i="54"/>
  <c r="D23" i="54"/>
  <c r="L8" i="54"/>
  <c r="G80" i="54"/>
  <c r="J46" i="54"/>
  <c r="E46" i="54"/>
  <c r="C55" i="54"/>
  <c r="C73" i="54"/>
  <c r="D66" i="54"/>
  <c r="C8" i="54"/>
  <c r="E10" i="54"/>
  <c r="I10" i="54"/>
  <c r="K22" i="54"/>
  <c r="D55" i="54"/>
  <c r="D30" i="54"/>
  <c r="H30" i="54"/>
  <c r="I80" i="54"/>
  <c r="E64" i="54"/>
  <c r="G25" i="54"/>
  <c r="I32" i="54"/>
  <c r="E23" i="54"/>
  <c r="G44" i="54"/>
  <c r="K15" i="54"/>
  <c r="E42" i="54"/>
  <c r="D42" i="54"/>
  <c r="L42" i="54"/>
  <c r="E24" i="54"/>
  <c r="J30" i="54"/>
  <c r="E73" i="54"/>
  <c r="C42" i="54"/>
  <c r="L32" i="54"/>
  <c r="D6" i="54"/>
  <c r="E6" i="54"/>
  <c r="K6" i="54"/>
  <c r="H40" i="54"/>
  <c r="K40" i="54"/>
  <c r="D40" i="54"/>
  <c r="I40" i="54"/>
  <c r="L40" i="54"/>
  <c r="G40" i="54"/>
  <c r="L9" i="54"/>
  <c r="G9" i="54"/>
  <c r="J9" i="54"/>
  <c r="I9" i="54"/>
  <c r="F9" i="54"/>
  <c r="H9" i="54"/>
  <c r="I16" i="54"/>
  <c r="D16" i="54"/>
  <c r="E16" i="54"/>
  <c r="G62" i="54"/>
  <c r="J62" i="54"/>
  <c r="I11" i="54"/>
  <c r="J11" i="54"/>
  <c r="G43" i="54"/>
  <c r="C45" i="54"/>
  <c r="E47" i="54"/>
  <c r="D47" i="54"/>
  <c r="H47" i="54"/>
  <c r="J3" i="54"/>
  <c r="E51" i="54"/>
  <c r="J51" i="54"/>
  <c r="D17" i="54"/>
  <c r="G17" i="54"/>
  <c r="K45" i="54"/>
  <c r="I48" i="54"/>
  <c r="F48" i="54"/>
  <c r="H48" i="54"/>
  <c r="E12" i="54"/>
  <c r="K12" i="54"/>
  <c r="A13" i="35"/>
  <c r="H71" i="54"/>
  <c r="D71" i="54"/>
  <c r="E5" i="54"/>
  <c r="I49" i="54"/>
  <c r="E76" i="54"/>
  <c r="L56" i="54"/>
  <c r="K19" i="54"/>
  <c r="J16" i="54"/>
  <c r="L64" i="54"/>
  <c r="K16" i="54"/>
  <c r="H24" i="54"/>
  <c r="C24" i="54"/>
  <c r="L14" i="54"/>
  <c r="K51" i="54"/>
  <c r="F26" i="54"/>
  <c r="L26" i="54"/>
  <c r="J26" i="54"/>
  <c r="H43" i="54"/>
  <c r="J5" i="54"/>
  <c r="J79" i="54"/>
  <c r="H79" i="54"/>
  <c r="F5" i="54"/>
  <c r="H11" i="54"/>
  <c r="H76" i="54"/>
  <c r="D25" i="54"/>
  <c r="L62" i="54"/>
  <c r="AA101" i="48"/>
  <c r="AA83" i="48"/>
  <c r="J42" i="54"/>
  <c r="I25" i="54"/>
  <c r="K5" i="54"/>
  <c r="L49" i="54"/>
  <c r="K49" i="54"/>
  <c r="F76" i="54"/>
  <c r="I79" i="54"/>
  <c r="J64" i="54"/>
  <c r="H45" i="54"/>
  <c r="E14" i="54"/>
  <c r="G51" i="54"/>
  <c r="E26" i="54"/>
  <c r="L51" i="54"/>
  <c r="C26" i="54"/>
  <c r="K79" i="54"/>
  <c r="D64" i="54"/>
  <c r="I42" i="54"/>
  <c r="F32" i="54"/>
  <c r="L76" i="54"/>
  <c r="I76" i="54"/>
  <c r="J76" i="54"/>
  <c r="D76" i="54"/>
  <c r="H16" i="54"/>
  <c r="K62" i="54"/>
  <c r="AA95" i="48"/>
  <c r="G42" i="54"/>
  <c r="G48" i="54"/>
  <c r="H62" i="54"/>
  <c r="C5" i="54"/>
  <c r="D5" i="54"/>
  <c r="G76" i="54"/>
  <c r="L5" i="54"/>
  <c r="I5" i="54"/>
  <c r="F49" i="54"/>
  <c r="H49" i="54"/>
  <c r="H42" i="54"/>
  <c r="D32" i="54"/>
  <c r="J49" i="54"/>
  <c r="F28" i="54"/>
  <c r="G49" i="54"/>
  <c r="D24" i="54"/>
  <c r="D19" i="54"/>
  <c r="I24" i="54"/>
  <c r="E43" i="54"/>
  <c r="H26" i="54"/>
  <c r="G5" i="54"/>
  <c r="D49" i="54"/>
  <c r="L79" i="54"/>
  <c r="H32" i="54"/>
  <c r="C32" i="54"/>
  <c r="K32" i="54"/>
  <c r="E32" i="54"/>
  <c r="E79" i="54"/>
  <c r="I56" i="54"/>
  <c r="AA98" i="48"/>
  <c r="AA91" i="48"/>
  <c r="AA94" i="48"/>
  <c r="F16" i="54"/>
  <c r="G19" i="54"/>
  <c r="AA90" i="48"/>
  <c r="AA99" i="48"/>
  <c r="AA93" i="48"/>
  <c r="AA87" i="48"/>
  <c r="AV59" i="54"/>
  <c r="AW59" i="54"/>
  <c r="AX59" i="54"/>
  <c r="AT59" i="54"/>
  <c r="AU59" i="54"/>
  <c r="AS59" i="54"/>
  <c r="BF204" i="48"/>
  <c r="AI254" i="48"/>
  <c r="BI265" i="48"/>
  <c r="AA65" i="48"/>
  <c r="BJ265" i="48" s="1"/>
  <c r="AS33" i="54"/>
  <c r="AV33" i="54"/>
  <c r="AU33" i="54"/>
  <c r="AX33" i="54"/>
  <c r="AW33" i="54"/>
  <c r="AT33" i="54"/>
  <c r="BH249" i="48"/>
  <c r="AK299" i="48"/>
  <c r="AS72" i="54"/>
  <c r="AT72" i="54"/>
  <c r="AX72" i="54"/>
  <c r="AW72" i="54"/>
  <c r="AV72" i="54"/>
  <c r="AU72" i="54"/>
  <c r="AT22" i="54"/>
  <c r="AU22" i="54"/>
  <c r="AX22" i="54"/>
  <c r="AS22" i="54"/>
  <c r="AV22" i="54"/>
  <c r="AW22" i="54"/>
  <c r="AI257" i="48"/>
  <c r="BF207" i="48"/>
  <c r="AL274" i="48"/>
  <c r="BI224" i="48"/>
  <c r="AA24" i="48"/>
  <c r="AW84" i="54"/>
  <c r="AX84" i="54"/>
  <c r="AV84" i="54"/>
  <c r="AT84" i="54"/>
  <c r="AS84" i="54"/>
  <c r="AU84" i="54"/>
  <c r="AW57" i="54"/>
  <c r="AU57" i="54"/>
  <c r="AS57" i="54"/>
  <c r="AV57" i="54"/>
  <c r="AT57" i="54"/>
  <c r="AX57" i="54"/>
  <c r="AK257" i="48"/>
  <c r="BH207" i="48"/>
  <c r="AU77" i="54"/>
  <c r="AX77" i="54"/>
  <c r="AW77" i="54"/>
  <c r="AT77" i="54"/>
  <c r="AS77" i="54"/>
  <c r="AV77" i="54"/>
  <c r="AK296" i="48"/>
  <c r="BH246" i="48"/>
  <c r="AT35" i="54"/>
  <c r="AU35" i="54"/>
  <c r="AX35" i="54"/>
  <c r="AS35" i="54"/>
  <c r="AV35" i="54"/>
  <c r="AW35" i="54"/>
  <c r="AU47" i="54"/>
  <c r="AW47" i="54"/>
  <c r="AS47" i="54"/>
  <c r="AT47" i="54"/>
  <c r="AX47" i="54"/>
  <c r="AV47" i="54"/>
  <c r="AT12" i="54"/>
  <c r="AW12" i="54"/>
  <c r="AX12" i="54"/>
  <c r="AS12" i="54"/>
  <c r="AV12" i="54"/>
  <c r="AU12" i="54"/>
  <c r="AW80" i="54"/>
  <c r="AX80" i="54"/>
  <c r="AT80" i="54"/>
  <c r="AU80" i="54"/>
  <c r="AS80" i="54"/>
  <c r="AV80" i="54"/>
  <c r="BF224" i="48"/>
  <c r="AI274" i="48"/>
  <c r="BI277" i="48"/>
  <c r="AA77" i="48"/>
  <c r="BJ277" i="48" s="1"/>
  <c r="BI237" i="48"/>
  <c r="AL287" i="48"/>
  <c r="AA37" i="48"/>
  <c r="BI274" i="48"/>
  <c r="AA74" i="48"/>
  <c r="BJ274" i="48" s="1"/>
  <c r="BF229" i="48"/>
  <c r="AI279" i="48"/>
  <c r="AS91" i="54"/>
  <c r="AX91" i="54"/>
  <c r="AU91" i="54"/>
  <c r="AT91" i="54"/>
  <c r="AV91" i="54"/>
  <c r="AW91" i="54"/>
  <c r="BI280" i="48"/>
  <c r="AA80" i="48"/>
  <c r="BJ280" i="48" s="1"/>
  <c r="BI238" i="48"/>
  <c r="AL288" i="48"/>
  <c r="AA38" i="48"/>
  <c r="AI287" i="48"/>
  <c r="BF237" i="48"/>
  <c r="BF209" i="48"/>
  <c r="AI259" i="48"/>
  <c r="AI299" i="48"/>
  <c r="BF249" i="48"/>
  <c r="AW93" i="54"/>
  <c r="AU93" i="54"/>
  <c r="AV93" i="54"/>
  <c r="AS93" i="54"/>
  <c r="AT93" i="54"/>
  <c r="AX93" i="54"/>
  <c r="AK266" i="48"/>
  <c r="BH216" i="48"/>
  <c r="BF243" i="48"/>
  <c r="AI293" i="48"/>
  <c r="BI216" i="48"/>
  <c r="AL266" i="48"/>
  <c r="AA16" i="48"/>
  <c r="AK262" i="48"/>
  <c r="BH212" i="48"/>
  <c r="BI267" i="48"/>
  <c r="AA67" i="48"/>
  <c r="BJ267" i="48" s="1"/>
  <c r="AL268" i="48"/>
  <c r="AA18" i="48"/>
  <c r="BI218" i="48"/>
  <c r="BI262" i="48"/>
  <c r="AA62" i="48"/>
  <c r="BJ262" i="48" s="1"/>
  <c r="AU100" i="54"/>
  <c r="AS100" i="54"/>
  <c r="AW100" i="54"/>
  <c r="AT100" i="54"/>
  <c r="AV100" i="54"/>
  <c r="AX100" i="54"/>
  <c r="BF236" i="48"/>
  <c r="AI286" i="48"/>
  <c r="AS46" i="54"/>
  <c r="AW46" i="54"/>
  <c r="AV46" i="54"/>
  <c r="AT46" i="54"/>
  <c r="AX46" i="54"/>
  <c r="AU46" i="54"/>
  <c r="BI252" i="48"/>
  <c r="AA52" i="48"/>
  <c r="BJ252" i="48" s="1"/>
  <c r="AV92" i="54"/>
  <c r="AU92" i="54"/>
  <c r="AX92" i="54"/>
  <c r="AW92" i="54"/>
  <c r="AS92" i="54"/>
  <c r="AT92" i="54"/>
  <c r="AV6" i="54"/>
  <c r="AX6" i="54"/>
  <c r="AT6" i="54"/>
  <c r="AS6" i="54"/>
  <c r="AU6" i="54"/>
  <c r="AW6" i="54"/>
  <c r="AK254" i="48"/>
  <c r="BH204" i="48"/>
  <c r="AK253" i="48"/>
  <c r="BH203" i="48"/>
  <c r="AL273" i="48"/>
  <c r="BI223" i="48"/>
  <c r="AA23" i="48"/>
  <c r="AW76" i="54"/>
  <c r="AS76" i="54"/>
  <c r="AX76" i="54"/>
  <c r="AT76" i="54"/>
  <c r="AV76" i="54"/>
  <c r="AU76" i="54"/>
  <c r="AK293" i="48"/>
  <c r="BH243" i="48"/>
  <c r="AL292" i="48"/>
  <c r="BI242" i="48"/>
  <c r="AA42" i="48"/>
  <c r="AU73" i="54"/>
  <c r="AV73" i="54"/>
  <c r="AT73" i="54"/>
  <c r="AS73" i="54"/>
  <c r="AW73" i="54"/>
  <c r="AX73" i="54"/>
  <c r="AU53" i="54"/>
  <c r="AV53" i="54"/>
  <c r="AS53" i="54"/>
  <c r="AT53" i="54"/>
  <c r="AX53" i="54"/>
  <c r="AW53" i="54"/>
  <c r="BF238" i="48"/>
  <c r="AI288" i="48"/>
  <c r="AS24" i="54"/>
  <c r="AV24" i="54"/>
  <c r="AW24" i="54"/>
  <c r="AX24" i="54"/>
  <c r="AT24" i="54"/>
  <c r="AU24" i="54"/>
  <c r="AT9" i="54"/>
  <c r="AW9" i="54"/>
  <c r="AV9" i="54"/>
  <c r="AU9" i="54"/>
  <c r="AS9" i="54"/>
  <c r="AX9" i="54"/>
  <c r="AW99" i="54"/>
  <c r="AU99" i="54"/>
  <c r="AT99" i="54"/>
  <c r="AV99" i="54"/>
  <c r="AS99" i="54"/>
  <c r="AX99" i="54"/>
  <c r="AA28" i="48"/>
  <c r="AL278" i="48"/>
  <c r="BI228" i="48"/>
  <c r="BI246" i="48"/>
  <c r="AL296" i="48"/>
  <c r="AA46" i="48"/>
  <c r="AS4" i="54"/>
  <c r="AV4" i="54"/>
  <c r="AU4" i="54"/>
  <c r="AW4" i="54"/>
  <c r="AT4" i="54"/>
  <c r="AX4" i="54"/>
  <c r="AT83" i="54"/>
  <c r="AW83" i="54"/>
  <c r="AU83" i="54"/>
  <c r="AS83" i="54"/>
  <c r="AV83" i="54"/>
  <c r="AX83" i="54"/>
  <c r="BF208" i="48"/>
  <c r="AI258" i="48"/>
  <c r="BI278" i="48"/>
  <c r="AA78" i="48"/>
  <c r="BJ278" i="48" s="1"/>
  <c r="BI211" i="48"/>
  <c r="AA11" i="48"/>
  <c r="AL261" i="48"/>
  <c r="BF235" i="48"/>
  <c r="AI285" i="48"/>
  <c r="BI234" i="48"/>
  <c r="AL284" i="48"/>
  <c r="AA34" i="48"/>
  <c r="AS63" i="54"/>
  <c r="AX63" i="54"/>
  <c r="AV63" i="54"/>
  <c r="AT63" i="54"/>
  <c r="AU63" i="54"/>
  <c r="AW63" i="54"/>
  <c r="AK272" i="48"/>
  <c r="BH222" i="48"/>
  <c r="BH209" i="48"/>
  <c r="AK259" i="48"/>
  <c r="AT79" i="54"/>
  <c r="AX79" i="54"/>
  <c r="AW79" i="54"/>
  <c r="AS79" i="54"/>
  <c r="AV79" i="54"/>
  <c r="AU79" i="54"/>
  <c r="AI275" i="48"/>
  <c r="BF225" i="48"/>
  <c r="AK279" i="48"/>
  <c r="BH229" i="48"/>
  <c r="AV89" i="54"/>
  <c r="AS89" i="54"/>
  <c r="AW89" i="54"/>
  <c r="AX89" i="54"/>
  <c r="AT89" i="54"/>
  <c r="AU89" i="54"/>
  <c r="BH227" i="48"/>
  <c r="AK277" i="48"/>
  <c r="BF242" i="48"/>
  <c r="AI292" i="48"/>
  <c r="AU18" i="54"/>
  <c r="AV18" i="54"/>
  <c r="AW18" i="54"/>
  <c r="AT18" i="54"/>
  <c r="AX18" i="54"/>
  <c r="AS18" i="54"/>
  <c r="AA88" i="48"/>
  <c r="AM46" i="47"/>
  <c r="AM87" i="47"/>
  <c r="AM19" i="47"/>
  <c r="AM3" i="47"/>
  <c r="AM17" i="47"/>
  <c r="AM21" i="47"/>
  <c r="AM89" i="47"/>
  <c r="AM77" i="47"/>
  <c r="AM101" i="47"/>
  <c r="AM11" i="47"/>
  <c r="AM59" i="47"/>
  <c r="AM13" i="47"/>
  <c r="AM25" i="47"/>
  <c r="AM58" i="47"/>
  <c r="AM29" i="47"/>
  <c r="AM47" i="47"/>
  <c r="AM86" i="47"/>
  <c r="AM40" i="47"/>
  <c r="AM91" i="47"/>
  <c r="AM73" i="47"/>
  <c r="AM37" i="47"/>
  <c r="AM44" i="47"/>
  <c r="AM57" i="47"/>
  <c r="AM43" i="47"/>
  <c r="AM39" i="47"/>
  <c r="AM18" i="47"/>
  <c r="AM81" i="47"/>
  <c r="AM80" i="47"/>
  <c r="AM82" i="47"/>
  <c r="AM4" i="47"/>
  <c r="AM85" i="47"/>
  <c r="AM102" i="47"/>
  <c r="AM20" i="47"/>
  <c r="AM63" i="47"/>
  <c r="AM41" i="47"/>
  <c r="AM100" i="47"/>
  <c r="AM26" i="47"/>
  <c r="AM56" i="47"/>
  <c r="AM54" i="47"/>
  <c r="AM60" i="47"/>
  <c r="AM34" i="47"/>
  <c r="AM38" i="47"/>
  <c r="AM33" i="47"/>
  <c r="AM71" i="47"/>
  <c r="AM12" i="47"/>
  <c r="AM15" i="47"/>
  <c r="AM93" i="47"/>
  <c r="AM24" i="47"/>
  <c r="AM95" i="47"/>
  <c r="AM96" i="47"/>
  <c r="AM98" i="47"/>
  <c r="AM42" i="47"/>
  <c r="AM68" i="47"/>
  <c r="AM75" i="47"/>
  <c r="AM8" i="47"/>
  <c r="AM30" i="47"/>
  <c r="AM72" i="47"/>
  <c r="AM70" i="47"/>
  <c r="AM67" i="47"/>
  <c r="AM53" i="47"/>
  <c r="AM9" i="47"/>
  <c r="AM28" i="47"/>
  <c r="AM16" i="47"/>
  <c r="AM62" i="47"/>
  <c r="AM7" i="47"/>
  <c r="AM61" i="47"/>
  <c r="AM31" i="47"/>
  <c r="AM83" i="47"/>
  <c r="AM14" i="47"/>
  <c r="AM10" i="47"/>
  <c r="AM78" i="47"/>
  <c r="AM79" i="47"/>
  <c r="AM88" i="47"/>
  <c r="AM55" i="47"/>
  <c r="AM6" i="47"/>
  <c r="AM51" i="47"/>
  <c r="AM99" i="47"/>
  <c r="AM66" i="47"/>
  <c r="AM49" i="47"/>
  <c r="AM50" i="47"/>
  <c r="AM94" i="47"/>
  <c r="AM32" i="47"/>
  <c r="AM22" i="47"/>
  <c r="AM36" i="47"/>
  <c r="AM23" i="47"/>
  <c r="AM69" i="47"/>
  <c r="AM48" i="47"/>
  <c r="AM74" i="47"/>
  <c r="AM35" i="47"/>
  <c r="AM27" i="47"/>
  <c r="AM65" i="47"/>
  <c r="AM5" i="47"/>
  <c r="AM84" i="47"/>
  <c r="AM45" i="47"/>
  <c r="AM92" i="47"/>
  <c r="AM97" i="47"/>
  <c r="AM64" i="47"/>
  <c r="AM90" i="47"/>
  <c r="AM76" i="47"/>
  <c r="AM52" i="47"/>
  <c r="AW10" i="54"/>
  <c r="AT10" i="54"/>
  <c r="AS10" i="54"/>
  <c r="AX10" i="54"/>
  <c r="AV10" i="54"/>
  <c r="AU10" i="54"/>
  <c r="AW71" i="54"/>
  <c r="AS71" i="54"/>
  <c r="AX71" i="54"/>
  <c r="AU71" i="54"/>
  <c r="AT71" i="54"/>
  <c r="AV71" i="54"/>
  <c r="AW50" i="54"/>
  <c r="AT50" i="54"/>
  <c r="AX50" i="54"/>
  <c r="AU50" i="54"/>
  <c r="AS50" i="54"/>
  <c r="AV50" i="54"/>
  <c r="AS5" i="54"/>
  <c r="AV5" i="54"/>
  <c r="AT5" i="54"/>
  <c r="AX5" i="54"/>
  <c r="AU5" i="54"/>
  <c r="AW5" i="54"/>
  <c r="AW20" i="54"/>
  <c r="AU20" i="54"/>
  <c r="AV20" i="54"/>
  <c r="AT20" i="54"/>
  <c r="AX20" i="54"/>
  <c r="AS20" i="54"/>
  <c r="AV30" i="54"/>
  <c r="AU30" i="54"/>
  <c r="AT30" i="54"/>
  <c r="AS30" i="54"/>
  <c r="AW30" i="54"/>
  <c r="AX30" i="54"/>
  <c r="AX101" i="54"/>
  <c r="AV101" i="54"/>
  <c r="AT101" i="54"/>
  <c r="AU101" i="54"/>
  <c r="AW101" i="54"/>
  <c r="AS101" i="54"/>
  <c r="AA70" i="48"/>
  <c r="BJ270" i="48" s="1"/>
  <c r="BI270" i="48"/>
  <c r="AI262" i="48"/>
  <c r="BF212" i="48"/>
  <c r="BH236" i="48"/>
  <c r="AK286" i="48"/>
  <c r="AL255" i="48"/>
  <c r="AA5" i="48"/>
  <c r="BI205" i="48"/>
  <c r="AX34" i="54"/>
  <c r="AT34" i="54"/>
  <c r="AV34" i="54"/>
  <c r="AU34" i="54"/>
  <c r="AS34" i="54"/>
  <c r="AW34" i="54"/>
  <c r="AK301" i="48"/>
  <c r="BH251" i="48"/>
  <c r="AX28" i="54"/>
  <c r="AT28" i="54"/>
  <c r="AU28" i="54"/>
  <c r="AV28" i="54"/>
  <c r="AS28" i="54"/>
  <c r="AW28" i="54"/>
  <c r="BF202" i="48"/>
  <c r="AI252" i="48"/>
  <c r="BH231" i="48"/>
  <c r="AK281" i="48"/>
  <c r="AK288" i="48"/>
  <c r="BH238" i="48"/>
  <c r="BI253" i="48"/>
  <c r="AA53" i="48"/>
  <c r="BJ253" i="48" s="1"/>
  <c r="BI233" i="48"/>
  <c r="AA33" i="48"/>
  <c r="AL283" i="48"/>
  <c r="BH202" i="48"/>
  <c r="AK252" i="48"/>
  <c r="AI270" i="48"/>
  <c r="BF220" i="48"/>
  <c r="BI276" i="48"/>
  <c r="AA76" i="48"/>
  <c r="BJ276" i="48" s="1"/>
  <c r="BH224" i="48"/>
  <c r="AK274" i="48"/>
  <c r="AI296" i="48"/>
  <c r="BF246" i="48"/>
  <c r="BH234" i="48"/>
  <c r="AK284" i="48"/>
  <c r="AU62" i="54"/>
  <c r="AS62" i="54"/>
  <c r="AW62" i="54"/>
  <c r="AV62" i="54"/>
  <c r="AT62" i="54"/>
  <c r="AX62" i="54"/>
  <c r="AA61" i="48"/>
  <c r="BJ261" i="48" s="1"/>
  <c r="BI261" i="48"/>
  <c r="AT98" i="54"/>
  <c r="AW98" i="54"/>
  <c r="AU98" i="54"/>
  <c r="AX98" i="54"/>
  <c r="AV98" i="54"/>
  <c r="AS98" i="54"/>
  <c r="AL262" i="48"/>
  <c r="AA12" i="48"/>
  <c r="BI212" i="48"/>
  <c r="AI277" i="48"/>
  <c r="BF227" i="48"/>
  <c r="BF232" i="48"/>
  <c r="AI282" i="48"/>
  <c r="AW51" i="54"/>
  <c r="AU51" i="54"/>
  <c r="AS51" i="54"/>
  <c r="AX51" i="54"/>
  <c r="AV51" i="54"/>
  <c r="AT51" i="54"/>
  <c r="AI271" i="48"/>
  <c r="BF221" i="48"/>
  <c r="BH226" i="48"/>
  <c r="AK276" i="48"/>
  <c r="AK271" i="48"/>
  <c r="BH221" i="48"/>
  <c r="BI271" i="48"/>
  <c r="AA71" i="48"/>
  <c r="BJ271" i="48" s="1"/>
  <c r="AA84" i="48"/>
  <c r="AI265" i="48"/>
  <c r="BF215" i="48"/>
  <c r="BI243" i="48"/>
  <c r="AA43" i="48"/>
  <c r="AL293" i="48"/>
  <c r="AI256" i="48"/>
  <c r="BF206" i="48"/>
  <c r="BH233" i="48"/>
  <c r="AK283" i="48"/>
  <c r="AU85" i="54"/>
  <c r="AW85" i="54"/>
  <c r="AS85" i="54"/>
  <c r="AX85" i="54"/>
  <c r="AT85" i="54"/>
  <c r="AV85" i="54"/>
  <c r="AX11" i="54"/>
  <c r="AS11" i="54"/>
  <c r="AV11" i="54"/>
  <c r="AT11" i="54"/>
  <c r="AW11" i="54"/>
  <c r="AU11" i="54"/>
  <c r="AT56" i="54"/>
  <c r="AS56" i="54"/>
  <c r="AV56" i="54"/>
  <c r="AX56" i="54"/>
  <c r="AU56" i="54"/>
  <c r="AW56" i="54"/>
  <c r="BF214" i="48"/>
  <c r="AI264" i="48"/>
  <c r="AW37" i="54"/>
  <c r="AT37" i="54"/>
  <c r="AU37" i="54"/>
  <c r="AS37" i="54"/>
  <c r="AX37" i="54"/>
  <c r="AV37" i="54"/>
  <c r="AX41" i="54"/>
  <c r="AW41" i="54"/>
  <c r="AS41" i="54"/>
  <c r="AV41" i="54"/>
  <c r="AU41" i="54"/>
  <c r="AT41" i="54"/>
  <c r="AV25" i="54"/>
  <c r="AS25" i="54"/>
  <c r="AT25" i="54"/>
  <c r="AX25" i="54"/>
  <c r="AW25" i="54"/>
  <c r="AU25" i="54"/>
  <c r="AL272" i="48"/>
  <c r="AA22" i="48"/>
  <c r="BI222" i="48"/>
  <c r="AV66" i="54"/>
  <c r="AU66" i="54"/>
  <c r="AW66" i="54"/>
  <c r="AT66" i="54"/>
  <c r="AS66" i="54"/>
  <c r="AX66" i="54"/>
  <c r="AW55" i="54"/>
  <c r="AS55" i="54"/>
  <c r="AV55" i="54"/>
  <c r="AT55" i="54"/>
  <c r="AU55" i="54"/>
  <c r="AX55" i="54"/>
  <c r="AS67" i="54"/>
  <c r="AT67" i="54"/>
  <c r="AU67" i="54"/>
  <c r="AW67" i="54"/>
  <c r="AV67" i="54"/>
  <c r="AX67" i="54"/>
  <c r="AL297" i="48"/>
  <c r="BI247" i="48"/>
  <c r="AA47" i="48"/>
  <c r="BH237" i="48"/>
  <c r="AK287" i="48"/>
  <c r="BF218" i="48"/>
  <c r="AI268" i="48"/>
  <c r="BF222" i="48"/>
  <c r="AI272" i="48"/>
  <c r="AS21" i="54"/>
  <c r="AV21" i="54"/>
  <c r="AW21" i="54"/>
  <c r="AT21" i="54"/>
  <c r="AU21" i="54"/>
  <c r="AX21" i="54"/>
  <c r="BI269" i="48"/>
  <c r="AA69" i="48"/>
  <c r="BJ269" i="48" s="1"/>
  <c r="AI263" i="48"/>
  <c r="BF213" i="48"/>
  <c r="AW54" i="54"/>
  <c r="AS54" i="54"/>
  <c r="AV54" i="54"/>
  <c r="AX54" i="54"/>
  <c r="AU54" i="54"/>
  <c r="AT54" i="54"/>
  <c r="AA66" i="48"/>
  <c r="BJ266" i="48" s="1"/>
  <c r="BI266" i="48"/>
  <c r="BI275" i="48"/>
  <c r="AA75" i="48"/>
  <c r="BJ275" i="48" s="1"/>
  <c r="AK256" i="48"/>
  <c r="BH206" i="48"/>
  <c r="AA54" i="48"/>
  <c r="BJ254" i="48" s="1"/>
  <c r="BI254" i="48"/>
  <c r="BI248" i="48"/>
  <c r="AA48" i="48"/>
  <c r="AL298" i="48"/>
  <c r="AK267" i="48"/>
  <c r="BH217" i="48"/>
  <c r="BI263" i="48"/>
  <c r="AA63" i="48"/>
  <c r="BJ263" i="48" s="1"/>
  <c r="AI266" i="48"/>
  <c r="BF216" i="48"/>
  <c r="AK268" i="48"/>
  <c r="BH218" i="48"/>
  <c r="BF211" i="48"/>
  <c r="AI261" i="48"/>
  <c r="AW2" i="54"/>
  <c r="AV2" i="54"/>
  <c r="AS2" i="54"/>
  <c r="AX2" i="54"/>
  <c r="AU2" i="54"/>
  <c r="AT2" i="54"/>
  <c r="AV29" i="54"/>
  <c r="AU29" i="54"/>
  <c r="AX29" i="54"/>
  <c r="AT29" i="54"/>
  <c r="AS29" i="54"/>
  <c r="AW29" i="54"/>
  <c r="AA49" i="48"/>
  <c r="BI249" i="48"/>
  <c r="AL299" i="48"/>
  <c r="BH214" i="48"/>
  <c r="AK264" i="48"/>
  <c r="BF205" i="48"/>
  <c r="AI255" i="48"/>
  <c r="BI260" i="48"/>
  <c r="AA60" i="48"/>
  <c r="BJ260" i="48" s="1"/>
  <c r="AK297" i="48"/>
  <c r="BH247" i="48"/>
  <c r="AL260" i="48"/>
  <c r="BI210" i="48"/>
  <c r="AA10" i="48"/>
  <c r="AW15" i="54"/>
  <c r="AT15" i="54"/>
  <c r="AS15" i="54"/>
  <c r="AV15" i="54"/>
  <c r="AU15" i="54"/>
  <c r="AX15" i="54"/>
  <c r="AW74" i="54"/>
  <c r="AX74" i="54"/>
  <c r="AS74" i="54"/>
  <c r="AU74" i="54"/>
  <c r="AT74" i="54"/>
  <c r="AV74" i="54"/>
  <c r="AV64" i="54"/>
  <c r="AW64" i="54"/>
  <c r="AX64" i="54"/>
  <c r="AT64" i="54"/>
  <c r="AU64" i="54"/>
  <c r="AS64" i="54"/>
  <c r="BI207" i="48"/>
  <c r="AA7" i="48"/>
  <c r="AL257" i="48"/>
  <c r="AW48" i="54"/>
  <c r="AT48" i="54"/>
  <c r="AS48" i="54"/>
  <c r="AV48" i="54"/>
  <c r="AU48" i="54"/>
  <c r="AX48" i="54"/>
  <c r="BI255" i="48"/>
  <c r="AA55" i="48"/>
  <c r="BJ255" i="48" s="1"/>
  <c r="AV14" i="54"/>
  <c r="AT14" i="54"/>
  <c r="AX14" i="54"/>
  <c r="AU14" i="54"/>
  <c r="AS14" i="54"/>
  <c r="AW14" i="54"/>
  <c r="AS7" i="54"/>
  <c r="AV7" i="54"/>
  <c r="AU7" i="54"/>
  <c r="AX7" i="54"/>
  <c r="AT7" i="54"/>
  <c r="AW7" i="54"/>
  <c r="BI257" i="48"/>
  <c r="AA57" i="48"/>
  <c r="BJ257" i="48" s="1"/>
  <c r="BI279" i="48"/>
  <c r="AA79" i="48"/>
  <c r="BJ279" i="48" s="1"/>
  <c r="BI219" i="48"/>
  <c r="AA19" i="48"/>
  <c r="AL269" i="48"/>
  <c r="AX26" i="54"/>
  <c r="AU26" i="54"/>
  <c r="AV26" i="54"/>
  <c r="AW26" i="54"/>
  <c r="AT26" i="54"/>
  <c r="AS26" i="54"/>
  <c r="AX88" i="54"/>
  <c r="AT88" i="54"/>
  <c r="AU88" i="54"/>
  <c r="AS88" i="54"/>
  <c r="AW88" i="54"/>
  <c r="AV88" i="54"/>
  <c r="AX3" i="54"/>
  <c r="AV3" i="54"/>
  <c r="AS3" i="54"/>
  <c r="AW3" i="54"/>
  <c r="AU3" i="54"/>
  <c r="AT3" i="54"/>
  <c r="AA97" i="48"/>
  <c r="AK258" i="48"/>
  <c r="BH208" i="48"/>
  <c r="BI256" i="48"/>
  <c r="AA56" i="48"/>
  <c r="BJ256" i="48" s="1"/>
  <c r="BI203" i="48"/>
  <c r="AA3" i="48"/>
  <c r="AL253" i="48"/>
  <c r="AV42" i="54"/>
  <c r="AW42" i="54"/>
  <c r="AS42" i="54"/>
  <c r="AT42" i="54"/>
  <c r="AX42" i="54"/>
  <c r="AU42" i="54"/>
  <c r="BF223" i="48"/>
  <c r="AI273" i="48"/>
  <c r="AI276" i="48"/>
  <c r="BF226" i="48"/>
  <c r="AU38" i="54"/>
  <c r="AX38" i="54"/>
  <c r="AS38" i="54"/>
  <c r="AW38" i="54"/>
  <c r="AT38" i="54"/>
  <c r="AV38" i="54"/>
  <c r="BI241" i="48"/>
  <c r="AA41" i="48"/>
  <c r="AL291" i="48"/>
  <c r="AV45" i="54"/>
  <c r="AX45" i="54"/>
  <c r="AW45" i="54"/>
  <c r="AS45" i="54"/>
  <c r="AT45" i="54"/>
  <c r="AU45" i="54"/>
  <c r="AS96" i="54"/>
  <c r="AT96" i="54"/>
  <c r="AW96" i="54"/>
  <c r="AV96" i="54"/>
  <c r="AU96" i="54"/>
  <c r="AX96" i="54"/>
  <c r="AI300" i="48"/>
  <c r="BF250" i="48"/>
  <c r="AX8" i="54"/>
  <c r="AU8" i="54"/>
  <c r="AT8" i="54"/>
  <c r="AW8" i="54"/>
  <c r="AS8" i="54"/>
  <c r="AV8" i="54"/>
  <c r="AX95" i="54"/>
  <c r="AV95" i="54"/>
  <c r="AW95" i="54"/>
  <c r="AS95" i="54"/>
  <c r="AT95" i="54"/>
  <c r="AU95" i="54"/>
  <c r="AV65" i="54"/>
  <c r="AU65" i="54"/>
  <c r="AT65" i="54"/>
  <c r="AX65" i="54"/>
  <c r="AW65" i="54"/>
  <c r="AS65" i="54"/>
  <c r="AS27" i="54"/>
  <c r="AX27" i="54"/>
  <c r="AU27" i="54"/>
  <c r="AV27" i="54"/>
  <c r="AT27" i="54"/>
  <c r="AW27" i="54"/>
  <c r="AK275" i="48"/>
  <c r="BH225" i="48"/>
  <c r="AV23" i="54"/>
  <c r="AS23" i="54"/>
  <c r="AU23" i="54"/>
  <c r="AX23" i="54"/>
  <c r="AT23" i="54"/>
  <c r="AW23" i="54"/>
  <c r="BF241" i="48"/>
  <c r="AI291" i="48"/>
  <c r="AL258" i="48"/>
  <c r="BI208" i="48"/>
  <c r="AA8" i="48"/>
  <c r="BF228" i="48"/>
  <c r="AI278" i="48"/>
  <c r="AK292" i="48"/>
  <c r="BH242" i="48"/>
  <c r="BF203" i="48"/>
  <c r="AI253" i="48"/>
  <c r="AK289" i="48"/>
  <c r="BH239" i="48"/>
  <c r="AK298" i="48"/>
  <c r="BH248" i="48"/>
  <c r="AW49" i="54"/>
  <c r="AU49" i="54"/>
  <c r="AV49" i="54"/>
  <c r="AX49" i="54"/>
  <c r="AT49" i="54"/>
  <c r="AS49" i="54"/>
  <c r="AL276" i="48"/>
  <c r="AA26" i="48"/>
  <c r="BI226" i="48"/>
  <c r="AI290" i="48"/>
  <c r="BF240" i="48"/>
  <c r="AK263" i="48"/>
  <c r="BH213" i="48"/>
  <c r="AL294" i="48"/>
  <c r="AA44" i="48"/>
  <c r="BI244" i="48"/>
  <c r="AA35" i="48"/>
  <c r="BI235" i="48"/>
  <c r="AL285" i="48"/>
  <c r="BH210" i="48"/>
  <c r="AK260" i="48"/>
  <c r="AL282" i="48"/>
  <c r="BI232" i="48"/>
  <c r="AA32" i="48"/>
  <c r="BI213" i="48"/>
  <c r="AL263" i="48"/>
  <c r="AA13" i="48"/>
  <c r="BI227" i="48"/>
  <c r="AL277" i="48"/>
  <c r="AA27" i="48"/>
  <c r="AV13" i="54"/>
  <c r="AS13" i="54"/>
  <c r="AU13" i="54"/>
  <c r="AT13" i="54"/>
  <c r="AX13" i="54"/>
  <c r="AW13" i="54"/>
  <c r="BF231" i="48"/>
  <c r="AI281" i="48"/>
  <c r="BI220" i="48"/>
  <c r="AA20" i="48"/>
  <c r="AL270" i="48"/>
  <c r="BI281" i="48"/>
  <c r="AA81" i="48"/>
  <c r="BJ281" i="48" s="1"/>
  <c r="AI260" i="48"/>
  <c r="BF210" i="48"/>
  <c r="AS86" i="54"/>
  <c r="AU86" i="54"/>
  <c r="AT86" i="54"/>
  <c r="AX86" i="54"/>
  <c r="AV86" i="54"/>
  <c r="AW86" i="54"/>
  <c r="AV97" i="54"/>
  <c r="AX97" i="54"/>
  <c r="AS97" i="54"/>
  <c r="AT97" i="54"/>
  <c r="AU97" i="54"/>
  <c r="AW97" i="54"/>
  <c r="AW82" i="54"/>
  <c r="AS82" i="54"/>
  <c r="AX82" i="54"/>
  <c r="AV82" i="54"/>
  <c r="AU82" i="54"/>
  <c r="AT82" i="54"/>
  <c r="AA30" i="48"/>
  <c r="BI230" i="48"/>
  <c r="AL280" i="48"/>
  <c r="AU44" i="54"/>
  <c r="AW44" i="54"/>
  <c r="AS44" i="54"/>
  <c r="AX44" i="54"/>
  <c r="AT44" i="54"/>
  <c r="AV44" i="54"/>
  <c r="AX90" i="54"/>
  <c r="AV90" i="54"/>
  <c r="AU90" i="54"/>
  <c r="AS90" i="54"/>
  <c r="AT90" i="54"/>
  <c r="AW90" i="54"/>
  <c r="BI264" i="48"/>
  <c r="AA64" i="48"/>
  <c r="BJ264" i="48" s="1"/>
  <c r="AK282" i="48"/>
  <c r="BH232" i="48"/>
  <c r="AK285" i="48"/>
  <c r="BH235" i="48"/>
  <c r="AT40" i="54"/>
  <c r="AS40" i="54"/>
  <c r="AW40" i="54"/>
  <c r="AX40" i="54"/>
  <c r="AU40" i="54"/>
  <c r="AV40" i="54"/>
  <c r="AS70" i="54"/>
  <c r="AX70" i="54"/>
  <c r="AV70" i="54"/>
  <c r="AU70" i="54"/>
  <c r="AT70" i="54"/>
  <c r="AW70" i="54"/>
  <c r="AK295" i="48"/>
  <c r="BH245" i="48"/>
  <c r="AI295" i="48"/>
  <c r="BF245" i="48"/>
  <c r="BH228" i="48"/>
  <c r="AK278" i="48"/>
  <c r="BI231" i="48"/>
  <c r="AA31" i="48"/>
  <c r="AL281" i="48"/>
  <c r="AK280" i="48"/>
  <c r="BH230" i="48"/>
  <c r="AK270" i="48"/>
  <c r="BH220" i="48"/>
  <c r="AL289" i="48"/>
  <c r="AA39" i="48"/>
  <c r="BI239" i="48"/>
  <c r="AI297" i="48"/>
  <c r="BF247" i="48"/>
  <c r="BH241" i="48"/>
  <c r="AK291" i="48"/>
  <c r="AI269" i="48"/>
  <c r="BF219" i="48"/>
  <c r="BI240" i="48"/>
  <c r="AL290" i="48"/>
  <c r="AA40" i="48"/>
  <c r="BI214" i="48"/>
  <c r="AL264" i="48"/>
  <c r="AA14" i="48"/>
  <c r="AV19" i="54"/>
  <c r="AX19" i="54"/>
  <c r="AT19" i="54"/>
  <c r="AS19" i="54"/>
  <c r="AW19" i="54"/>
  <c r="AU19" i="54"/>
  <c r="BI272" i="48"/>
  <c r="AA72" i="48"/>
  <c r="BJ272" i="48" s="1"/>
  <c r="AU68" i="54"/>
  <c r="AS68" i="54"/>
  <c r="AT68" i="54"/>
  <c r="AW68" i="54"/>
  <c r="AV68" i="54"/>
  <c r="AX68" i="54"/>
  <c r="AA59" i="48"/>
  <c r="BJ259" i="48" s="1"/>
  <c r="BI259" i="48"/>
  <c r="AI284" i="48"/>
  <c r="BF234" i="48"/>
  <c r="AI301" i="48"/>
  <c r="BF251" i="48"/>
  <c r="BI251" i="48"/>
  <c r="AA51" i="48"/>
  <c r="AL301" i="48"/>
  <c r="AU16" i="54"/>
  <c r="AV16" i="54"/>
  <c r="AT16" i="54"/>
  <c r="AW16" i="54"/>
  <c r="AS16" i="54"/>
  <c r="AX16" i="54"/>
  <c r="BI273" i="48"/>
  <c r="AA73" i="48"/>
  <c r="BJ273" i="48" s="1"/>
  <c r="AV39" i="54"/>
  <c r="AS39" i="54"/>
  <c r="AU39" i="54"/>
  <c r="AX39" i="54"/>
  <c r="AW39" i="54"/>
  <c r="AT39" i="54"/>
  <c r="AX58" i="54"/>
  <c r="AV58" i="54"/>
  <c r="AT58" i="54"/>
  <c r="AW58" i="54"/>
  <c r="AU58" i="54"/>
  <c r="AS58" i="54"/>
  <c r="AX32" i="54"/>
  <c r="AT32" i="54"/>
  <c r="AW32" i="54"/>
  <c r="AV32" i="54"/>
  <c r="AU32" i="54"/>
  <c r="AS32" i="54"/>
  <c r="AI283" i="48"/>
  <c r="BF233" i="48"/>
  <c r="AA45" i="48"/>
  <c r="AL295" i="48"/>
  <c r="BI245" i="48"/>
  <c r="BF244" i="48"/>
  <c r="AI294" i="48"/>
  <c r="AV61" i="54"/>
  <c r="AX61" i="54"/>
  <c r="AW61" i="54"/>
  <c r="AT61" i="54"/>
  <c r="AU61" i="54"/>
  <c r="AS61" i="54"/>
  <c r="BH244" i="48"/>
  <c r="AK294" i="48"/>
  <c r="BI202" i="48"/>
  <c r="AA2" i="48"/>
  <c r="AL252" i="48"/>
  <c r="AW43" i="54"/>
  <c r="AV43" i="54"/>
  <c r="AS43" i="54"/>
  <c r="AX43" i="54"/>
  <c r="AU43" i="54"/>
  <c r="AT43" i="54"/>
  <c r="AS94" i="54"/>
  <c r="AU94" i="54"/>
  <c r="AT94" i="54"/>
  <c r="AV94" i="54"/>
  <c r="AW94" i="54"/>
  <c r="AX94" i="54"/>
  <c r="BF239" i="48"/>
  <c r="AI289" i="48"/>
  <c r="AU87" i="54"/>
  <c r="AX87" i="54"/>
  <c r="AV87" i="54"/>
  <c r="AT87" i="54"/>
  <c r="AW87" i="54"/>
  <c r="AS87" i="54"/>
  <c r="AK255" i="48"/>
  <c r="BH205" i="48"/>
  <c r="AS69" i="54"/>
  <c r="AT69" i="54"/>
  <c r="AW69" i="54"/>
  <c r="AV69" i="54"/>
  <c r="AU69" i="54"/>
  <c r="AX69" i="54"/>
  <c r="AL256" i="48"/>
  <c r="BI206" i="48"/>
  <c r="AA6" i="48"/>
  <c r="AX75" i="54"/>
  <c r="AT75" i="54"/>
  <c r="AV75" i="54"/>
  <c r="AU75" i="54"/>
  <c r="AW75" i="54"/>
  <c r="AS75" i="54"/>
  <c r="BF248" i="48"/>
  <c r="AI298" i="48"/>
  <c r="AX17" i="54"/>
  <c r="AW17" i="54"/>
  <c r="AT17" i="54"/>
  <c r="AU17" i="54"/>
  <c r="AS17" i="54"/>
  <c r="AV17" i="54"/>
  <c r="AL271" i="48"/>
  <c r="AA21" i="48"/>
  <c r="BI221" i="48"/>
  <c r="AL286" i="48"/>
  <c r="AA36" i="48"/>
  <c r="BI236" i="48"/>
  <c r="AU31" i="54"/>
  <c r="AW31" i="54"/>
  <c r="AT31" i="54"/>
  <c r="AX31" i="54"/>
  <c r="AS31" i="54"/>
  <c r="AV31" i="54"/>
  <c r="AA29" i="48"/>
  <c r="AL279" i="48"/>
  <c r="BI229" i="48"/>
  <c r="AL259" i="48"/>
  <c r="BI209" i="48"/>
  <c r="AA9" i="48"/>
  <c r="AK261" i="48"/>
  <c r="BH211" i="48"/>
  <c r="AX60" i="54"/>
  <c r="AS60" i="54"/>
  <c r="AU60" i="54"/>
  <c r="AW60" i="54"/>
  <c r="AT60" i="54"/>
  <c r="AV60" i="54"/>
  <c r="BH223" i="48"/>
  <c r="AK273" i="48"/>
  <c r="AK269" i="48"/>
  <c r="BH219" i="48"/>
  <c r="BH215" i="48"/>
  <c r="AK265" i="48"/>
  <c r="AL254" i="48"/>
  <c r="AA4" i="48"/>
  <c r="BI204" i="48"/>
  <c r="BH250" i="48"/>
  <c r="AK300" i="48"/>
  <c r="AL275" i="48"/>
  <c r="BI225" i="48"/>
  <c r="AA25" i="48"/>
  <c r="AT81" i="54"/>
  <c r="AV81" i="54"/>
  <c r="AX81" i="54"/>
  <c r="AU81" i="54"/>
  <c r="AW81" i="54"/>
  <c r="AS81" i="54"/>
  <c r="BF230" i="48"/>
  <c r="AI280" i="48"/>
  <c r="AU52" i="54"/>
  <c r="AX52" i="54"/>
  <c r="AS52" i="54"/>
  <c r="AV52" i="54"/>
  <c r="AW52" i="54"/>
  <c r="AT52" i="54"/>
  <c r="BI268" i="48"/>
  <c r="AA68" i="48"/>
  <c r="BJ268" i="48" s="1"/>
  <c r="BI217" i="48"/>
  <c r="AL267" i="48"/>
  <c r="AA17" i="48"/>
  <c r="AL265" i="48"/>
  <c r="AA15" i="48"/>
  <c r="BI215" i="48"/>
  <c r="AT78" i="54"/>
  <c r="AW78" i="54"/>
  <c r="AS78" i="54"/>
  <c r="AX78" i="54"/>
  <c r="AU78" i="54"/>
  <c r="AV78" i="54"/>
  <c r="BH240" i="48"/>
  <c r="AK290" i="48"/>
  <c r="BI258" i="48"/>
  <c r="AA58" i="48"/>
  <c r="BJ258" i="48" s="1"/>
  <c r="BF217" i="48"/>
  <c r="AI267" i="48"/>
  <c r="AX36" i="54"/>
  <c r="AV36" i="54"/>
  <c r="AU36" i="54"/>
  <c r="AS36" i="54"/>
  <c r="AW36" i="54"/>
  <c r="AT36" i="54"/>
  <c r="AA50" i="48"/>
  <c r="AL300" i="48"/>
  <c r="BI250" i="48"/>
  <c r="M32" i="47"/>
  <c r="A48" i="36"/>
  <c r="A14" i="35" l="1"/>
  <c r="AP113" i="47"/>
  <c r="T13" i="47"/>
  <c r="BJ237" i="48"/>
  <c r="AM287" i="48"/>
  <c r="AM288" i="48"/>
  <c r="BJ238" i="48"/>
  <c r="AM256" i="48"/>
  <c r="BJ206" i="48"/>
  <c r="AM258" i="48"/>
  <c r="BJ208" i="48"/>
  <c r="AM260" i="48"/>
  <c r="BJ210" i="48"/>
  <c r="BJ214" i="48"/>
  <c r="AM264" i="48"/>
  <c r="AM273" i="48"/>
  <c r="BJ223" i="48"/>
  <c r="BJ213" i="48"/>
  <c r="AM263" i="48"/>
  <c r="AM272" i="48"/>
  <c r="BJ222" i="48"/>
  <c r="BJ204" i="48"/>
  <c r="AM254" i="48"/>
  <c r="AM259" i="48"/>
  <c r="BJ209" i="48"/>
  <c r="BJ227" i="48"/>
  <c r="AM277" i="48"/>
  <c r="BJ218" i="48"/>
  <c r="AM268" i="48"/>
  <c r="BJ250" i="48"/>
  <c r="AM300" i="48"/>
  <c r="AM269" i="48"/>
  <c r="BJ219" i="48"/>
  <c r="AM296" i="48"/>
  <c r="BJ246" i="48"/>
  <c r="BJ225" i="48"/>
  <c r="AM275" i="48"/>
  <c r="BJ241" i="48"/>
  <c r="AM291" i="48"/>
  <c r="BJ207" i="48"/>
  <c r="AM257" i="48"/>
  <c r="BJ215" i="48"/>
  <c r="AM265" i="48"/>
  <c r="BJ229" i="48"/>
  <c r="AM279" i="48"/>
  <c r="AM286" i="48"/>
  <c r="BJ236" i="48"/>
  <c r="AM290" i="48"/>
  <c r="BJ240" i="48"/>
  <c r="AM285" i="48"/>
  <c r="BJ235" i="48"/>
  <c r="AM299" i="48"/>
  <c r="BJ249" i="48"/>
  <c r="AM298" i="48"/>
  <c r="BJ248" i="48"/>
  <c r="BJ247" i="48"/>
  <c r="AM297" i="48"/>
  <c r="AM283" i="48"/>
  <c r="BJ233" i="48"/>
  <c r="BJ224" i="48"/>
  <c r="AM274" i="48"/>
  <c r="BJ205" i="48"/>
  <c r="AM255" i="48"/>
  <c r="AM278" i="48"/>
  <c r="BJ228" i="48"/>
  <c r="BJ216" i="48"/>
  <c r="AM266" i="48"/>
  <c r="AM271" i="48"/>
  <c r="BJ221" i="48"/>
  <c r="BJ202" i="48"/>
  <c r="AM252" i="48"/>
  <c r="BM5" i="48"/>
  <c r="BJ243" i="48"/>
  <c r="AM293" i="48"/>
  <c r="AM262" i="48"/>
  <c r="BJ212" i="48"/>
  <c r="BJ234" i="48"/>
  <c r="AM284" i="48"/>
  <c r="AM301" i="48"/>
  <c r="BJ251" i="48"/>
  <c r="BJ245" i="48"/>
  <c r="AM295" i="48"/>
  <c r="AM281" i="48"/>
  <c r="BJ231" i="48"/>
  <c r="AM280" i="48"/>
  <c r="BJ230" i="48"/>
  <c r="AM270" i="48"/>
  <c r="BJ220" i="48"/>
  <c r="BJ232" i="48"/>
  <c r="AM282" i="48"/>
  <c r="AM276" i="48"/>
  <c r="BJ226" i="48"/>
  <c r="AM267" i="48"/>
  <c r="BJ217" i="48"/>
  <c r="AM289" i="48"/>
  <c r="BJ239" i="48"/>
  <c r="BJ244" i="48"/>
  <c r="AM294" i="48"/>
  <c r="AM253" i="48"/>
  <c r="BJ203" i="48"/>
  <c r="AM261" i="48"/>
  <c r="BJ211" i="48"/>
  <c r="AM292" i="48"/>
  <c r="BJ242" i="48"/>
  <c r="J34" i="47"/>
  <c r="K33" i="47"/>
  <c r="L33" i="47"/>
  <c r="J33" i="47"/>
  <c r="M33" i="47"/>
  <c r="A49" i="36"/>
  <c r="K34" i="47" s="1"/>
  <c r="A15" i="35" l="1"/>
  <c r="AL114" i="47"/>
  <c r="R25" i="55"/>
  <c r="S25" i="55"/>
  <c r="L34" i="47"/>
  <c r="M34" i="47"/>
  <c r="A50" i="36"/>
  <c r="S82" i="55"/>
  <c r="R82" i="55"/>
  <c r="A16" i="35" l="1"/>
  <c r="T14" i="47"/>
  <c r="AP115" i="47"/>
  <c r="AP114" i="47"/>
  <c r="T15" i="47"/>
  <c r="A51" i="36"/>
  <c r="A17" i="35" l="1"/>
  <c r="A52" i="36"/>
  <c r="A18" i="35" l="1"/>
  <c r="J35" i="47"/>
  <c r="M35" i="47"/>
  <c r="L35" i="47"/>
  <c r="K35" i="47"/>
  <c r="A53" i="36"/>
  <c r="A19" i="35" l="1"/>
  <c r="L36" i="47"/>
  <c r="M36" i="47"/>
  <c r="J36" i="47"/>
  <c r="K36" i="47"/>
  <c r="A54" i="36"/>
  <c r="K37" i="47"/>
  <c r="AG123" i="55"/>
  <c r="AG68" i="55"/>
  <c r="AF68" i="55"/>
  <c r="AJ94" i="47"/>
  <c r="A20" i="35" l="1"/>
  <c r="J37" i="47"/>
  <c r="L37" i="47"/>
  <c r="M37" i="47"/>
  <c r="A55" i="36"/>
  <c r="A21" i="35" l="1"/>
  <c r="A56" i="36"/>
  <c r="A22" i="35" l="1"/>
  <c r="A57" i="36"/>
  <c r="A23" i="35" l="1"/>
  <c r="J38" i="47"/>
  <c r="L38" i="47"/>
  <c r="K38" i="47"/>
  <c r="M38" i="47"/>
  <c r="AG96" i="55"/>
  <c r="AF96" i="55"/>
  <c r="A58" i="36"/>
  <c r="A24" i="35" l="1"/>
  <c r="M39" i="47"/>
  <c r="K39" i="47"/>
  <c r="L39" i="47"/>
  <c r="J39" i="47"/>
  <c r="A59" i="36"/>
  <c r="J40" i="47" s="1"/>
  <c r="S17" i="55" l="1"/>
  <c r="A25" i="35"/>
  <c r="L40" i="47"/>
  <c r="K40" i="47"/>
  <c r="M40" i="47"/>
  <c r="A60" i="36"/>
  <c r="A61" i="36" s="1"/>
  <c r="A62" i="36" s="1"/>
  <c r="A63" i="36" s="1"/>
  <c r="A64" i="36" s="1"/>
  <c r="A65" i="36" s="1"/>
  <c r="A66" i="36" s="1"/>
  <c r="A67" i="36" s="1"/>
  <c r="A68" i="36" s="1"/>
  <c r="A69" i="36" s="1"/>
  <c r="A70" i="36" s="1"/>
  <c r="A71" i="36" s="1"/>
  <c r="A72" i="36" s="1"/>
  <c r="A73" i="36" s="1"/>
  <c r="A74" i="36" s="1"/>
  <c r="A75" i="36" s="1"/>
  <c r="A76" i="36" s="1"/>
  <c r="A77" i="36" s="1"/>
  <c r="A78" i="36" s="1"/>
  <c r="A79" i="36" s="1"/>
  <c r="A80" i="36" s="1"/>
  <c r="A81" i="36" s="1"/>
  <c r="A82" i="36" s="1"/>
  <c r="A83" i="36" s="1"/>
  <c r="A84" i="36" s="1"/>
  <c r="A85" i="36" s="1"/>
  <c r="A86" i="36" s="1"/>
  <c r="A87" i="36" s="1"/>
  <c r="A88" i="36" s="1"/>
  <c r="A89" i="36" s="1"/>
  <c r="A90" i="36" s="1"/>
  <c r="A91" i="36" s="1"/>
  <c r="A92" i="36" s="1"/>
  <c r="A93" i="36" s="1"/>
  <c r="A94" i="36" s="1"/>
  <c r="A95" i="36" s="1"/>
  <c r="A96" i="36" s="1"/>
  <c r="A97" i="36" s="1"/>
  <c r="A98" i="36" s="1"/>
  <c r="A99" i="36" s="1"/>
  <c r="A100" i="36" s="1"/>
  <c r="A101" i="36" s="1"/>
  <c r="A102" i="36" s="1"/>
  <c r="A103" i="36" s="1"/>
  <c r="A104" i="36" s="1"/>
  <c r="A105" i="36" s="1"/>
  <c r="A106" i="36" s="1"/>
  <c r="A107" i="36" s="1"/>
  <c r="A108" i="36" s="1"/>
  <c r="A109" i="36" s="1"/>
  <c r="A110" i="36" s="1"/>
  <c r="A111" i="36" s="1"/>
  <c r="A112" i="36" s="1"/>
  <c r="A113" i="36" s="1"/>
  <c r="A114" i="36" s="1"/>
  <c r="A115" i="36" s="1"/>
  <c r="A116" i="36" s="1"/>
  <c r="A117" i="36" s="1"/>
  <c r="A118" i="36" s="1"/>
  <c r="A119" i="36" s="1"/>
  <c r="A120" i="36" s="1"/>
  <c r="A121" i="36" s="1"/>
  <c r="A122" i="36" s="1"/>
  <c r="A123" i="36" s="1"/>
  <c r="A124" i="36" s="1"/>
  <c r="A125" i="36" s="1"/>
  <c r="A126" i="36" s="1"/>
  <c r="A127" i="36" s="1"/>
  <c r="A128" i="36" s="1"/>
  <c r="A129" i="36" s="1"/>
  <c r="A130" i="36" s="1"/>
  <c r="A131" i="36" s="1"/>
  <c r="A132" i="36" s="1"/>
  <c r="A133" i="36" s="1"/>
  <c r="A134" i="36" s="1"/>
  <c r="A135" i="36" s="1"/>
  <c r="A136" i="36" s="1"/>
  <c r="A137" i="36" s="1"/>
  <c r="A138" i="36" s="1"/>
  <c r="A139" i="36" s="1"/>
  <c r="A140" i="36" s="1"/>
  <c r="A141" i="36" s="1"/>
  <c r="A142" i="36" s="1"/>
  <c r="A143" i="36" s="1"/>
  <c r="A144" i="36" s="1"/>
  <c r="A145" i="36" s="1"/>
  <c r="A146" i="36" s="1"/>
  <c r="A147" i="36" s="1"/>
  <c r="A148" i="36" s="1"/>
  <c r="A149" i="36" s="1"/>
  <c r="A150" i="36" s="1"/>
  <c r="A151" i="36" s="1"/>
  <c r="A152" i="36" s="1"/>
  <c r="A153" i="36" s="1"/>
  <c r="A154" i="36" s="1"/>
  <c r="A155" i="36" s="1"/>
  <c r="A156" i="36" s="1"/>
  <c r="A157" i="36" s="1"/>
  <c r="A158" i="36" s="1"/>
  <c r="A159" i="36" s="1"/>
  <c r="A160" i="36" s="1"/>
  <c r="A161" i="36" s="1"/>
  <c r="M162" i="47" s="1"/>
  <c r="A26" i="35" l="1"/>
  <c r="A27" i="35" s="1"/>
  <c r="A28" i="35" s="1"/>
  <c r="A29" i="35" s="1"/>
  <c r="A30" i="35" s="1"/>
  <c r="A31" i="35" s="1"/>
  <c r="A32" i="35" s="1"/>
  <c r="A33" i="35" s="1"/>
  <c r="A34" i="35" s="1"/>
  <c r="A35" i="35" s="1"/>
  <c r="A36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50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5" i="35" s="1"/>
  <c r="A66" i="35" s="1"/>
  <c r="A67" i="35" s="1"/>
  <c r="A68" i="35" s="1"/>
  <c r="A69" i="35" s="1"/>
  <c r="A70" i="35" s="1"/>
  <c r="A71" i="35" s="1"/>
  <c r="L41" i="47"/>
  <c r="M41" i="47"/>
  <c r="K41" i="47"/>
  <c r="J41" i="47"/>
  <c r="L47" i="47"/>
  <c r="M53" i="47"/>
  <c r="K52" i="47"/>
  <c r="J44" i="47"/>
  <c r="K58" i="47"/>
  <c r="K53" i="47"/>
  <c r="M46" i="47"/>
  <c r="L65" i="47"/>
  <c r="L48" i="47"/>
  <c r="M79" i="47"/>
  <c r="K67" i="47"/>
  <c r="J81" i="47"/>
  <c r="K73" i="47"/>
  <c r="J66" i="47"/>
  <c r="M78" i="47"/>
  <c r="M64" i="47"/>
  <c r="L145" i="47"/>
  <c r="L108" i="47"/>
  <c r="L149" i="47"/>
  <c r="J160" i="47"/>
  <c r="L78" i="47"/>
  <c r="J100" i="47"/>
  <c r="K141" i="47"/>
  <c r="M167" i="47"/>
  <c r="M152" i="47"/>
  <c r="L106" i="47"/>
  <c r="K160" i="47"/>
  <c r="J134" i="47"/>
  <c r="J143" i="47"/>
  <c r="L57" i="47"/>
  <c r="K177" i="47"/>
  <c r="R17" i="55" s="1"/>
  <c r="K175" i="47"/>
  <c r="J104" i="47"/>
  <c r="M75" i="47"/>
  <c r="K109" i="47"/>
  <c r="L94" i="47"/>
  <c r="J148" i="47"/>
  <c r="L135" i="47"/>
  <c r="K114" i="47"/>
  <c r="L81" i="47"/>
  <c r="K162" i="47"/>
  <c r="L139" i="47"/>
  <c r="L140" i="47"/>
  <c r="L74" i="47"/>
  <c r="L169" i="47"/>
  <c r="M123" i="47"/>
  <c r="J93" i="47"/>
  <c r="L161" i="47"/>
  <c r="L59" i="47"/>
  <c r="M161" i="47"/>
  <c r="M174" i="47"/>
  <c r="K148" i="47"/>
  <c r="L98" i="47"/>
  <c r="J97" i="47"/>
  <c r="M157" i="47"/>
  <c r="L84" i="47"/>
  <c r="K116" i="47"/>
  <c r="L171" i="47"/>
  <c r="M133" i="47"/>
  <c r="J122" i="47"/>
  <c r="J119" i="47"/>
  <c r="L137" i="47"/>
  <c r="J129" i="47"/>
  <c r="M66" i="47"/>
  <c r="K102" i="47"/>
  <c r="K153" i="47"/>
  <c r="L146" i="47"/>
  <c r="L156" i="47"/>
  <c r="M143" i="47"/>
  <c r="L90" i="47"/>
  <c r="L121" i="47"/>
  <c r="K44" i="47"/>
  <c r="K84" i="47"/>
  <c r="L105" i="47"/>
  <c r="M84" i="47"/>
  <c r="M163" i="47"/>
  <c r="K123" i="47"/>
  <c r="K59" i="47"/>
  <c r="K50" i="47"/>
  <c r="J135" i="47"/>
  <c r="M147" i="47"/>
  <c r="J154" i="47"/>
  <c r="L111" i="47"/>
  <c r="L109" i="47"/>
  <c r="L119" i="47"/>
  <c r="M159" i="47"/>
  <c r="K135" i="47"/>
  <c r="M73" i="47"/>
  <c r="K168" i="47"/>
  <c r="M168" i="47"/>
  <c r="L83" i="47"/>
  <c r="J63" i="47"/>
  <c r="M57" i="47"/>
  <c r="K105" i="47"/>
  <c r="K163" i="47"/>
  <c r="K142" i="47"/>
  <c r="L102" i="47"/>
  <c r="J140" i="47"/>
  <c r="L101" i="47"/>
  <c r="K152" i="47"/>
  <c r="K136" i="47"/>
  <c r="K88" i="47"/>
  <c r="M105" i="47"/>
  <c r="K69" i="47"/>
  <c r="M175" i="47"/>
  <c r="M116" i="47"/>
  <c r="K149" i="47"/>
  <c r="J52" i="47"/>
  <c r="J172" i="47"/>
  <c r="K99" i="47"/>
  <c r="M169" i="47"/>
  <c r="K111" i="47"/>
  <c r="M86" i="47"/>
  <c r="M115" i="47"/>
  <c r="J64" i="47"/>
  <c r="L144" i="47"/>
  <c r="K122" i="47"/>
  <c r="K89" i="47"/>
  <c r="K70" i="47"/>
  <c r="J123" i="47"/>
  <c r="K158" i="47"/>
  <c r="J94" i="47"/>
  <c r="J69" i="47"/>
  <c r="K113" i="47"/>
  <c r="L107" i="47"/>
  <c r="M100" i="47"/>
  <c r="L70" i="47"/>
  <c r="K140" i="47"/>
  <c r="L99" i="47"/>
  <c r="L89" i="47"/>
  <c r="L126" i="47"/>
  <c r="J103" i="47"/>
  <c r="M98" i="47"/>
  <c r="J85" i="47"/>
  <c r="J125" i="47"/>
  <c r="M82" i="47"/>
  <c r="L69" i="47"/>
  <c r="K174" i="47"/>
  <c r="J138" i="47"/>
  <c r="J171" i="47"/>
  <c r="K80" i="47"/>
  <c r="K134" i="47"/>
  <c r="L54" i="47"/>
  <c r="J82" i="47"/>
  <c r="M172" i="47"/>
  <c r="M68" i="47"/>
  <c r="K56" i="47"/>
  <c r="J170" i="47"/>
  <c r="K143" i="47"/>
  <c r="M139" i="47"/>
  <c r="M149" i="47"/>
  <c r="M99" i="47"/>
  <c r="J128" i="47"/>
  <c r="M77" i="47"/>
  <c r="K86" i="47"/>
  <c r="K82" i="47"/>
  <c r="K72" i="47"/>
  <c r="J67" i="47"/>
  <c r="L79" i="47"/>
  <c r="M103" i="47"/>
  <c r="J177" i="47"/>
  <c r="M171" i="47"/>
  <c r="J163" i="47"/>
  <c r="K97" i="47"/>
  <c r="L103" i="47"/>
  <c r="M63" i="47"/>
  <c r="M117" i="47"/>
  <c r="L147" i="47"/>
  <c r="L153" i="47"/>
  <c r="L96" i="47"/>
  <c r="J141" i="47"/>
  <c r="J84" i="47"/>
  <c r="M150" i="47"/>
  <c r="L151" i="47"/>
  <c r="K101" i="47"/>
  <c r="M112" i="47"/>
  <c r="L136" i="47"/>
  <c r="M101" i="47"/>
  <c r="L122" i="47"/>
  <c r="J126" i="47"/>
  <c r="L152" i="47"/>
  <c r="K98" i="47"/>
  <c r="J62" i="47"/>
  <c r="M47" i="47"/>
  <c r="K79" i="47"/>
  <c r="K57" i="47"/>
  <c r="J174" i="47"/>
  <c r="J149" i="47"/>
  <c r="K92" i="47"/>
  <c r="M166" i="47"/>
  <c r="J112" i="47"/>
  <c r="K125" i="47"/>
  <c r="K77" i="47"/>
  <c r="M107" i="47"/>
  <c r="J151" i="47"/>
  <c r="L157" i="47"/>
  <c r="L97" i="47"/>
  <c r="K171" i="47"/>
  <c r="K137" i="47"/>
  <c r="K115" i="47"/>
  <c r="L133" i="47"/>
  <c r="L177" i="47"/>
  <c r="L174" i="47"/>
  <c r="J91" i="47"/>
  <c r="L167" i="47"/>
  <c r="M89" i="47"/>
  <c r="J159" i="47"/>
  <c r="J58" i="47"/>
  <c r="M49" i="47"/>
  <c r="K76" i="47"/>
  <c r="J43" i="47"/>
  <c r="L45" i="47"/>
  <c r="K120" i="47"/>
  <c r="J145" i="47"/>
  <c r="J165" i="47"/>
  <c r="K172" i="47"/>
  <c r="L120" i="47"/>
  <c r="K112" i="47"/>
  <c r="J144" i="47"/>
  <c r="J157" i="47"/>
  <c r="J113" i="47"/>
  <c r="K157" i="47"/>
  <c r="K121" i="47"/>
  <c r="M164" i="47"/>
  <c r="M94" i="47"/>
  <c r="M122" i="47"/>
  <c r="M125" i="47"/>
  <c r="M127" i="47"/>
  <c r="L110" i="47"/>
  <c r="M110" i="47"/>
  <c r="K167" i="47"/>
  <c r="L142" i="47"/>
  <c r="M144" i="47"/>
  <c r="L158" i="47"/>
  <c r="K119" i="47"/>
  <c r="K103" i="47"/>
  <c r="M87" i="47"/>
  <c r="J87" i="47"/>
  <c r="J137" i="47"/>
  <c r="J150" i="47"/>
  <c r="J90" i="47"/>
  <c r="K127" i="47"/>
  <c r="M160" i="47"/>
  <c r="J146" i="47"/>
  <c r="J166" i="47"/>
  <c r="M93" i="47"/>
  <c r="J73" i="47"/>
  <c r="J155" i="47"/>
  <c r="K151" i="47"/>
  <c r="M121" i="47"/>
  <c r="M80" i="47"/>
  <c r="L127" i="47"/>
  <c r="L125" i="47"/>
  <c r="K124" i="47"/>
  <c r="K91" i="47"/>
  <c r="J78" i="47"/>
  <c r="M92" i="47"/>
  <c r="L114" i="47"/>
  <c r="L104" i="47"/>
  <c r="M177" i="47"/>
  <c r="K128" i="47"/>
  <c r="L162" i="47"/>
  <c r="J142" i="47"/>
  <c r="K146" i="47"/>
  <c r="K161" i="47"/>
  <c r="M102" i="47"/>
  <c r="L76" i="47"/>
  <c r="L115" i="47"/>
  <c r="K81" i="47"/>
  <c r="M153" i="47"/>
  <c r="K147" i="47"/>
  <c r="J79" i="47"/>
  <c r="K107" i="47"/>
  <c r="M71" i="47"/>
  <c r="L159" i="47"/>
  <c r="K118" i="47"/>
  <c r="J164" i="47"/>
  <c r="L129" i="47"/>
  <c r="J114" i="47"/>
  <c r="K93" i="47"/>
  <c r="M165" i="47"/>
  <c r="L64" i="47"/>
  <c r="J55" i="47"/>
  <c r="L56" i="47"/>
  <c r="J61" i="47"/>
  <c r="M70" i="47"/>
  <c r="K87" i="47"/>
  <c r="M62" i="47"/>
  <c r="L55" i="47"/>
  <c r="K132" i="47"/>
  <c r="M58" i="47"/>
  <c r="M60" i="47"/>
  <c r="M91" i="47"/>
  <c r="J42" i="47"/>
  <c r="J105" i="47"/>
  <c r="K65" i="47"/>
  <c r="J110" i="47"/>
  <c r="J147" i="47"/>
  <c r="K83" i="47"/>
  <c r="M109" i="47"/>
  <c r="J60" i="47"/>
  <c r="M88" i="47"/>
  <c r="M55" i="47"/>
  <c r="K60" i="47"/>
  <c r="M176" i="47"/>
  <c r="L128" i="47"/>
  <c r="J98" i="47"/>
  <c r="L60" i="47"/>
  <c r="M141" i="47"/>
  <c r="K108" i="47"/>
  <c r="J117" i="47"/>
  <c r="J175" i="47"/>
  <c r="L175" i="47"/>
  <c r="M120" i="47"/>
  <c r="M137" i="47"/>
  <c r="K150" i="47"/>
  <c r="M65" i="47"/>
  <c r="M173" i="47"/>
  <c r="L91" i="47"/>
  <c r="K90" i="47"/>
  <c r="M108" i="47"/>
  <c r="L61" i="47"/>
  <c r="J92" i="47"/>
  <c r="L73" i="47"/>
  <c r="K54" i="47"/>
  <c r="L131" i="47"/>
  <c r="M43" i="47"/>
  <c r="J46" i="47"/>
  <c r="L86" i="47"/>
  <c r="L112" i="47"/>
  <c r="K110" i="47"/>
  <c r="L66" i="47"/>
  <c r="L42" i="47"/>
  <c r="L163" i="47"/>
  <c r="J50" i="47"/>
  <c r="L113" i="47"/>
  <c r="L176" i="47"/>
  <c r="M61" i="47"/>
  <c r="L46" i="47"/>
  <c r="J72" i="47"/>
  <c r="J152" i="47"/>
  <c r="M72" i="47"/>
  <c r="K55" i="47"/>
  <c r="L100" i="47"/>
  <c r="K176" i="47"/>
  <c r="L51" i="47"/>
  <c r="K43" i="47"/>
  <c r="J107" i="47"/>
  <c r="L58" i="47"/>
  <c r="J86" i="47"/>
  <c r="M113" i="47"/>
  <c r="J53" i="47"/>
  <c r="L172" i="47"/>
  <c r="M50" i="47"/>
  <c r="J47" i="47"/>
  <c r="K144" i="47"/>
  <c r="L118" i="47"/>
  <c r="M132" i="47"/>
  <c r="K106" i="47"/>
  <c r="M124" i="47"/>
  <c r="M51" i="47"/>
  <c r="L68" i="47"/>
  <c r="J71" i="47"/>
  <c r="M59" i="47"/>
  <c r="K45" i="47"/>
  <c r="M74" i="47"/>
  <c r="M154" i="47"/>
  <c r="L87" i="47"/>
  <c r="J57" i="47"/>
  <c r="M45" i="47"/>
  <c r="J124" i="47"/>
  <c r="M138" i="47"/>
  <c r="L92" i="47"/>
  <c r="J131" i="47"/>
  <c r="J54" i="47"/>
  <c r="M95" i="47"/>
  <c r="L77" i="47"/>
  <c r="K133" i="47"/>
  <c r="L154" i="47"/>
  <c r="M134" i="47"/>
  <c r="J96" i="47"/>
  <c r="L44" i="47"/>
  <c r="K42" i="47"/>
  <c r="R13" i="55" s="1"/>
  <c r="J132" i="47"/>
  <c r="M131" i="47"/>
  <c r="K46" i="47"/>
  <c r="M85" i="47"/>
  <c r="J70" i="47"/>
  <c r="J88" i="47"/>
  <c r="M54" i="47"/>
  <c r="M76" i="47"/>
  <c r="M96" i="47"/>
  <c r="J106" i="47"/>
  <c r="M42" i="47"/>
  <c r="K130" i="47"/>
  <c r="J115" i="47"/>
  <c r="K173" i="47"/>
  <c r="L117" i="47"/>
  <c r="J158" i="47"/>
  <c r="M44" i="47"/>
  <c r="K48" i="47"/>
  <c r="J77" i="47"/>
  <c r="L88" i="47"/>
  <c r="K49" i="47"/>
  <c r="L160" i="47"/>
  <c r="L49" i="47"/>
  <c r="J51" i="47"/>
  <c r="J109" i="47"/>
  <c r="L72" i="47"/>
  <c r="J49" i="47"/>
  <c r="K63" i="47"/>
  <c r="L52" i="47"/>
  <c r="J65" i="47"/>
  <c r="K166" i="47"/>
  <c r="K100" i="47"/>
  <c r="L124" i="47"/>
  <c r="J56" i="47"/>
  <c r="J76" i="47"/>
  <c r="J101" i="47"/>
  <c r="J68" i="47"/>
  <c r="J59" i="47"/>
  <c r="J99" i="47"/>
  <c r="M81" i="47"/>
  <c r="J156" i="47"/>
  <c r="K66" i="47"/>
  <c r="J136" i="47"/>
  <c r="K75" i="47"/>
  <c r="J75" i="47"/>
  <c r="M130" i="47"/>
  <c r="L50" i="47"/>
  <c r="K51" i="47"/>
  <c r="K138" i="47"/>
  <c r="L62" i="47"/>
  <c r="M69" i="47"/>
  <c r="J48" i="47"/>
  <c r="L63" i="47"/>
  <c r="J120" i="47"/>
  <c r="M146" i="47"/>
  <c r="K139" i="47"/>
  <c r="M97" i="47"/>
  <c r="K61" i="47"/>
  <c r="J45" i="47"/>
  <c r="R14" i="55" s="1"/>
  <c r="J74" i="47"/>
  <c r="L43" i="47"/>
  <c r="L53" i="47"/>
  <c r="J95" i="47"/>
  <c r="M67" i="47"/>
  <c r="M118" i="47"/>
  <c r="K165" i="47"/>
  <c r="M56" i="47"/>
  <c r="L82" i="47"/>
  <c r="M128" i="47"/>
  <c r="L164" i="47"/>
  <c r="L75" i="47"/>
  <c r="J127" i="47"/>
  <c r="M148" i="47"/>
  <c r="K68" i="47"/>
  <c r="K96" i="47"/>
  <c r="M90" i="47"/>
  <c r="K47" i="47"/>
  <c r="M170" i="47"/>
  <c r="K131" i="47"/>
  <c r="J108" i="47"/>
  <c r="J130" i="47"/>
  <c r="J176" i="47"/>
  <c r="K155" i="47"/>
  <c r="M119" i="47"/>
  <c r="K62" i="47"/>
  <c r="L166" i="47"/>
  <c r="M158" i="47"/>
  <c r="M156" i="47"/>
  <c r="K126" i="47"/>
  <c r="J121" i="47"/>
  <c r="L148" i="47"/>
  <c r="L170" i="47"/>
  <c r="M136" i="47"/>
  <c r="K170" i="47"/>
  <c r="L143" i="47"/>
  <c r="J167" i="47"/>
  <c r="M111" i="47"/>
  <c r="K64" i="47"/>
  <c r="J89" i="47"/>
  <c r="J102" i="47"/>
  <c r="L134" i="47"/>
  <c r="K104" i="47"/>
  <c r="K71" i="47"/>
  <c r="M155" i="47"/>
  <c r="M48" i="47"/>
  <c r="J111" i="47"/>
  <c r="M142" i="47"/>
  <c r="M151" i="47"/>
  <c r="S67" i="55"/>
  <c r="L141" i="47"/>
  <c r="M126" i="47"/>
  <c r="M135" i="47"/>
  <c r="K154" i="47"/>
  <c r="K159" i="47"/>
  <c r="L123" i="47"/>
  <c r="M106" i="47"/>
  <c r="J80" i="47"/>
  <c r="L150" i="47"/>
  <c r="L95" i="47"/>
  <c r="K129" i="47"/>
  <c r="K164" i="47"/>
  <c r="M145" i="47"/>
  <c r="M52" i="47"/>
  <c r="M114" i="47"/>
  <c r="L165" i="47"/>
  <c r="L67" i="47"/>
  <c r="L116" i="47"/>
  <c r="J116" i="47"/>
  <c r="L130" i="47"/>
  <c r="J153" i="47"/>
  <c r="L173" i="47"/>
  <c r="K95" i="47"/>
  <c r="L80" i="47"/>
  <c r="M104" i="47"/>
  <c r="M83" i="47"/>
  <c r="J133" i="47"/>
  <c r="L85" i="47"/>
  <c r="K145" i="47"/>
  <c r="K169" i="47"/>
  <c r="K117" i="47"/>
  <c r="K78" i="47"/>
  <c r="K74" i="47"/>
  <c r="L93" i="47"/>
  <c r="L138" i="47"/>
  <c r="J118" i="47"/>
  <c r="J139" i="47"/>
  <c r="M140" i="47"/>
  <c r="J161" i="47"/>
  <c r="M129" i="47"/>
  <c r="J162" i="47"/>
  <c r="L155" i="47"/>
  <c r="J168" i="47"/>
  <c r="K94" i="47"/>
  <c r="L168" i="47"/>
  <c r="J83" i="47"/>
  <c r="K85" i="47"/>
  <c r="K156" i="47"/>
  <c r="J169" i="47"/>
  <c r="J173" i="47"/>
  <c r="L132" i="47"/>
  <c r="L71" i="47"/>
  <c r="Q59" i="47" l="1"/>
  <c r="A72" i="35"/>
  <c r="R9" i="55"/>
  <c r="R70" i="55"/>
  <c r="S70" i="55"/>
  <c r="S9" i="55"/>
  <c r="R92" i="55"/>
  <c r="S92" i="55"/>
  <c r="R63" i="55"/>
  <c r="R22" i="55"/>
  <c r="S7" i="55"/>
  <c r="S63" i="55"/>
  <c r="R7" i="55"/>
  <c r="S22" i="55"/>
  <c r="S97" i="55"/>
  <c r="R66" i="55"/>
  <c r="S52" i="55"/>
  <c r="S61" i="55"/>
  <c r="R52" i="55"/>
  <c r="R97" i="55"/>
  <c r="S66" i="55"/>
  <c r="R61" i="55"/>
  <c r="S13" i="55"/>
  <c r="R90" i="55"/>
  <c r="S37" i="55"/>
  <c r="S30" i="55"/>
  <c r="S43" i="55"/>
  <c r="S26" i="55"/>
  <c r="S100" i="55"/>
  <c r="R71" i="55"/>
  <c r="S18" i="55"/>
  <c r="R30" i="55"/>
  <c r="R18" i="55"/>
  <c r="R37" i="55"/>
  <c r="S58" i="55"/>
  <c r="S90" i="55"/>
  <c r="R58" i="55"/>
  <c r="R51" i="55"/>
  <c r="R77" i="55"/>
  <c r="R15" i="55"/>
  <c r="S71" i="55"/>
  <c r="S77" i="55"/>
  <c r="S62" i="55"/>
  <c r="R62" i="55"/>
  <c r="S47" i="55"/>
  <c r="R23" i="55"/>
  <c r="R47" i="55"/>
  <c r="R64" i="55"/>
  <c r="S23" i="55"/>
  <c r="S64" i="55"/>
  <c r="R45" i="55"/>
  <c r="R65" i="55"/>
  <c r="S65" i="55"/>
  <c r="S51" i="55"/>
  <c r="S45" i="55"/>
  <c r="R28" i="55"/>
  <c r="S15" i="55"/>
  <c r="R32" i="55"/>
  <c r="S59" i="55"/>
  <c r="S28" i="55"/>
  <c r="R59" i="55"/>
  <c r="S32" i="55"/>
  <c r="R26" i="55"/>
  <c r="R75" i="55"/>
  <c r="S49" i="55"/>
  <c r="S57" i="55"/>
  <c r="S98" i="55"/>
  <c r="S86" i="55"/>
  <c r="R88" i="55"/>
  <c r="R78" i="55"/>
  <c r="S78" i="55"/>
  <c r="R89" i="55"/>
  <c r="S10" i="55"/>
  <c r="S41" i="55"/>
  <c r="R21" i="55"/>
  <c r="S75" i="55"/>
  <c r="R73" i="55"/>
  <c r="S39" i="55"/>
  <c r="S34" i="55"/>
  <c r="R10" i="55"/>
  <c r="S85" i="55"/>
  <c r="S48" i="55"/>
  <c r="S24" i="55"/>
  <c r="S88" i="55"/>
  <c r="R48" i="55"/>
  <c r="S110" i="55"/>
  <c r="R43" i="55"/>
  <c r="R41" i="55"/>
  <c r="S21" i="55"/>
  <c r="S94" i="55"/>
  <c r="S55" i="55"/>
  <c r="S20" i="55"/>
  <c r="S56" i="55"/>
  <c r="S19" i="55"/>
  <c r="S74" i="55"/>
  <c r="S14" i="55"/>
  <c r="S91" i="55"/>
  <c r="S8" i="55"/>
  <c r="R19" i="55"/>
  <c r="R85" i="55"/>
  <c r="R24" i="55"/>
  <c r="R56" i="55"/>
  <c r="R86" i="55"/>
  <c r="R76" i="55"/>
  <c r="S125" i="55"/>
  <c r="S3" i="55"/>
  <c r="R100" i="55"/>
  <c r="R39" i="55"/>
  <c r="R57" i="55"/>
  <c r="R34" i="55"/>
  <c r="R67" i="55"/>
  <c r="R146" i="55"/>
  <c r="R42" i="55"/>
  <c r="R3" i="55"/>
  <c r="S60" i="55"/>
  <c r="R49" i="55"/>
  <c r="R94" i="55"/>
  <c r="R55" i="55"/>
  <c r="R91" i="55"/>
  <c r="R8" i="55"/>
  <c r="S89" i="55"/>
  <c r="R20" i="55"/>
  <c r="H18" i="47"/>
  <c r="H7" i="47"/>
  <c r="H114" i="47"/>
  <c r="H32" i="47"/>
  <c r="H106" i="47"/>
  <c r="H77" i="47"/>
  <c r="H34" i="47"/>
  <c r="H4" i="47"/>
  <c r="H26" i="47"/>
  <c r="H28" i="47"/>
  <c r="H12" i="47"/>
  <c r="H66" i="47"/>
  <c r="H104" i="47"/>
  <c r="H94" i="47"/>
  <c r="H37" i="47"/>
  <c r="H135" i="47"/>
  <c r="H78" i="47"/>
  <c r="R160" i="55"/>
  <c r="R143" i="55"/>
  <c r="S106" i="55"/>
  <c r="S112" i="55"/>
  <c r="S124" i="55"/>
  <c r="R93" i="55"/>
  <c r="R122" i="55"/>
  <c r="S163" i="55"/>
  <c r="R124" i="55"/>
  <c r="R136" i="55"/>
  <c r="S152" i="55"/>
  <c r="R87" i="55"/>
  <c r="R79" i="55"/>
  <c r="R138" i="55"/>
  <c r="S121" i="55"/>
  <c r="S169" i="55"/>
  <c r="S142" i="55"/>
  <c r="R95" i="55"/>
  <c r="R53" i="55"/>
  <c r="S138" i="55"/>
  <c r="S155" i="55"/>
  <c r="S168" i="55"/>
  <c r="S46" i="55"/>
  <c r="R50" i="55"/>
  <c r="S136" i="55"/>
  <c r="R84" i="55"/>
  <c r="S126" i="55"/>
  <c r="H151" i="47"/>
  <c r="H49" i="47"/>
  <c r="H11" i="47"/>
  <c r="H119" i="47"/>
  <c r="H115" i="47"/>
  <c r="H123" i="47"/>
  <c r="H131" i="47"/>
  <c r="H51" i="47"/>
  <c r="H108" i="47"/>
  <c r="H176" i="47"/>
  <c r="H23" i="47"/>
  <c r="H165" i="47"/>
  <c r="H122" i="47"/>
  <c r="H19" i="47"/>
  <c r="H86" i="47"/>
  <c r="H150" i="47"/>
  <c r="H35" i="47"/>
  <c r="H116" i="47"/>
  <c r="H144" i="47"/>
  <c r="H5" i="47"/>
  <c r="H126" i="47"/>
  <c r="S81" i="55"/>
  <c r="R46" i="55"/>
  <c r="S149" i="55"/>
  <c r="R68" i="55"/>
  <c r="R157" i="55"/>
  <c r="R134" i="55"/>
  <c r="S36" i="55"/>
  <c r="S115" i="55"/>
  <c r="R167" i="55"/>
  <c r="S54" i="55"/>
  <c r="S130" i="55"/>
  <c r="S147" i="55"/>
  <c r="R135" i="55"/>
  <c r="S171" i="55"/>
  <c r="R148" i="55"/>
  <c r="S156" i="55"/>
  <c r="S141" i="55"/>
  <c r="R158" i="55"/>
  <c r="R108" i="55"/>
  <c r="S38" i="55"/>
  <c r="S160" i="55"/>
  <c r="R126" i="55"/>
  <c r="R154" i="55"/>
  <c r="R110" i="55"/>
  <c r="S83" i="55"/>
  <c r="H142" i="47"/>
  <c r="H15" i="47"/>
  <c r="H89" i="47"/>
  <c r="H152" i="47"/>
  <c r="H148" i="47"/>
  <c r="H118" i="47"/>
  <c r="H97" i="47"/>
  <c r="H44" i="47"/>
  <c r="H96" i="47"/>
  <c r="H95" i="47"/>
  <c r="H124" i="47"/>
  <c r="H62" i="47"/>
  <c r="H93" i="47"/>
  <c r="H103" i="47"/>
  <c r="H159" i="47"/>
  <c r="H110" i="47"/>
  <c r="H140" i="47"/>
  <c r="H13" i="47"/>
  <c r="H175" i="47"/>
  <c r="H107" i="47"/>
  <c r="S135" i="55"/>
  <c r="S154" i="55"/>
  <c r="R114" i="55"/>
  <c r="R83" i="55"/>
  <c r="R109" i="55"/>
  <c r="S102" i="55"/>
  <c r="S103" i="55"/>
  <c r="S96" i="55"/>
  <c r="R150" i="55"/>
  <c r="R123" i="55"/>
  <c r="R120" i="55"/>
  <c r="S40" i="55"/>
  <c r="R107" i="55"/>
  <c r="R35" i="55"/>
  <c r="R99" i="55"/>
  <c r="R16" i="55"/>
  <c r="S165" i="55"/>
  <c r="R119" i="55"/>
  <c r="S140" i="55"/>
  <c r="S122" i="55"/>
  <c r="S137" i="55"/>
  <c r="R98" i="55"/>
  <c r="R118" i="55"/>
  <c r="R153" i="55"/>
  <c r="S158" i="55"/>
  <c r="S161" i="55"/>
  <c r="R60" i="55"/>
  <c r="H53" i="47"/>
  <c r="H67" i="47"/>
  <c r="H81" i="47"/>
  <c r="H76" i="47"/>
  <c r="H154" i="47"/>
  <c r="H113" i="47"/>
  <c r="H43" i="47"/>
  <c r="H55" i="47"/>
  <c r="H168" i="47"/>
  <c r="H80" i="47"/>
  <c r="H147" i="47"/>
  <c r="H164" i="47"/>
  <c r="H133" i="47"/>
  <c r="H166" i="47"/>
  <c r="H73" i="47"/>
  <c r="S159" i="55"/>
  <c r="R44" i="55"/>
  <c r="S68" i="55"/>
  <c r="R127" i="55"/>
  <c r="S164" i="55"/>
  <c r="S157" i="55"/>
  <c r="R145" i="55"/>
  <c r="R4" i="55"/>
  <c r="R159" i="55"/>
  <c r="S101" i="55"/>
  <c r="R168" i="55"/>
  <c r="R105" i="55"/>
  <c r="S27" i="55"/>
  <c r="S143" i="55"/>
  <c r="S116" i="55"/>
  <c r="S72" i="55"/>
  <c r="S33" i="55"/>
  <c r="R142" i="55"/>
  <c r="R72" i="55"/>
  <c r="S6" i="55"/>
  <c r="R81" i="55"/>
  <c r="S120" i="55"/>
  <c r="S127" i="55"/>
  <c r="S132" i="55"/>
  <c r="S42" i="55"/>
  <c r="H20" i="47"/>
  <c r="H48" i="47"/>
  <c r="H111" i="47"/>
  <c r="H143" i="47"/>
  <c r="H99" i="47"/>
  <c r="H21" i="47"/>
  <c r="H146" i="47"/>
  <c r="H54" i="47"/>
  <c r="H74" i="47"/>
  <c r="H132" i="47"/>
  <c r="H72" i="47"/>
  <c r="H173" i="47"/>
  <c r="H88" i="47"/>
  <c r="S146" i="55"/>
  <c r="S76" i="55"/>
  <c r="R116" i="55"/>
  <c r="S111" i="55"/>
  <c r="S150" i="55"/>
  <c r="H70" i="47"/>
  <c r="H9" i="47"/>
  <c r="H82" i="47"/>
  <c r="H127" i="47"/>
  <c r="H163" i="47"/>
  <c r="H117" i="47"/>
  <c r="R112" i="55"/>
  <c r="S109" i="55"/>
  <c r="S139" i="55"/>
  <c r="R113" i="55"/>
  <c r="S133" i="55"/>
  <c r="R101" i="55"/>
  <c r="S123" i="55"/>
  <c r="R31" i="55"/>
  <c r="R165" i="55"/>
  <c r="S148" i="55"/>
  <c r="R151" i="55"/>
  <c r="S129" i="55"/>
  <c r="S145" i="55"/>
  <c r="S95" i="55"/>
  <c r="S87" i="55"/>
  <c r="R38" i="55"/>
  <c r="R129" i="55"/>
  <c r="R132" i="55"/>
  <c r="R152" i="55"/>
  <c r="R128" i="55"/>
  <c r="S80" i="55"/>
  <c r="S99" i="55"/>
  <c r="R162" i="55"/>
  <c r="H27" i="47"/>
  <c r="H155" i="47"/>
  <c r="H64" i="47"/>
  <c r="H156" i="47"/>
  <c r="H149" i="47"/>
  <c r="H130" i="47"/>
  <c r="H65" i="47"/>
  <c r="H141" i="47"/>
  <c r="H91" i="47"/>
  <c r="H177" i="47"/>
  <c r="H92" i="47"/>
  <c r="H84" i="47"/>
  <c r="H101" i="47"/>
  <c r="H160" i="47"/>
  <c r="H22" i="47"/>
  <c r="H3" i="47"/>
  <c r="H52" i="47"/>
  <c r="H174" i="47"/>
  <c r="S117" i="55"/>
  <c r="S114" i="55"/>
  <c r="S166" i="55"/>
  <c r="R103" i="55"/>
  <c r="R36" i="55"/>
  <c r="S131" i="55"/>
  <c r="R80" i="55"/>
  <c r="S107" i="55"/>
  <c r="S2" i="55"/>
  <c r="S119" i="55"/>
  <c r="R161" i="55"/>
  <c r="R125" i="55"/>
  <c r="R27" i="55"/>
  <c r="R121" i="55"/>
  <c r="R111" i="55"/>
  <c r="R171" i="55"/>
  <c r="S44" i="55"/>
  <c r="R117" i="55"/>
  <c r="S151" i="55"/>
  <c r="R12" i="55"/>
  <c r="R54" i="55"/>
  <c r="S73" i="55"/>
  <c r="S79" i="55"/>
  <c r="R149" i="55"/>
  <c r="S167" i="55"/>
  <c r="R131" i="55"/>
  <c r="H30" i="47"/>
  <c r="H79" i="47"/>
  <c r="H158" i="47"/>
  <c r="H75" i="47"/>
  <c r="H128" i="47"/>
  <c r="H134" i="47"/>
  <c r="H138" i="47"/>
  <c r="H59" i="47"/>
  <c r="H109" i="47"/>
  <c r="H60" i="47"/>
  <c r="H121" i="47"/>
  <c r="H98" i="47"/>
  <c r="H125" i="47"/>
  <c r="H68" i="47"/>
  <c r="H153" i="47"/>
  <c r="H112" i="47"/>
  <c r="S84" i="55"/>
  <c r="H162" i="47"/>
  <c r="H145" i="47"/>
  <c r="H171" i="47"/>
  <c r="S53" i="55"/>
  <c r="S105" i="55"/>
  <c r="R40" i="55"/>
  <c r="R166" i="55"/>
  <c r="S29" i="55"/>
  <c r="R2" i="55"/>
  <c r="R6" i="55"/>
  <c r="R155" i="55"/>
  <c r="S108" i="55"/>
  <c r="S16" i="55"/>
  <c r="R104" i="55"/>
  <c r="S170" i="55"/>
  <c r="R170" i="55"/>
  <c r="R33" i="55"/>
  <c r="R164" i="55"/>
  <c r="S128" i="55"/>
  <c r="S50" i="55"/>
  <c r="S93" i="55"/>
  <c r="R133" i="55"/>
  <c r="S144" i="55"/>
  <c r="R147" i="55"/>
  <c r="R96" i="55"/>
  <c r="R115" i="55"/>
  <c r="R102" i="55"/>
  <c r="S134" i="55"/>
  <c r="H16" i="47"/>
  <c r="H167" i="47"/>
  <c r="H170" i="47"/>
  <c r="H46" i="47"/>
  <c r="H90" i="47"/>
  <c r="H85" i="47"/>
  <c r="H137" i="47"/>
  <c r="H58" i="47"/>
  <c r="H87" i="47"/>
  <c r="H100" i="47"/>
  <c r="H63" i="47"/>
  <c r="H157" i="47"/>
  <c r="H129" i="47"/>
  <c r="H169" i="47"/>
  <c r="H83" i="47"/>
  <c r="H36" i="47"/>
  <c r="H161" i="47"/>
  <c r="S31" i="55"/>
  <c r="R74" i="55"/>
  <c r="S113" i="55"/>
  <c r="S153" i="55"/>
  <c r="S162" i="55"/>
  <c r="R140" i="55"/>
  <c r="R156" i="55"/>
  <c r="R69" i="55"/>
  <c r="R29" i="55"/>
  <c r="R137" i="55"/>
  <c r="R169" i="55"/>
  <c r="S35" i="55"/>
  <c r="R144" i="55"/>
  <c r="S12" i="55"/>
  <c r="R163" i="55"/>
  <c r="S118" i="55"/>
  <c r="R141" i="55"/>
  <c r="R139" i="55"/>
  <c r="R106" i="55"/>
  <c r="S69" i="55"/>
  <c r="R130" i="55"/>
  <c r="S104" i="55"/>
  <c r="S4" i="55"/>
  <c r="H8" i="47"/>
  <c r="H136" i="47"/>
  <c r="H29" i="47"/>
  <c r="H47" i="47"/>
  <c r="H139" i="47"/>
  <c r="H56" i="47"/>
  <c r="H69" i="47"/>
  <c r="H42" i="47"/>
  <c r="H41" i="47"/>
  <c r="H31" i="47"/>
  <c r="H6" i="47"/>
  <c r="H33" i="47"/>
  <c r="H10" i="47"/>
  <c r="H38" i="47"/>
  <c r="H40" i="47"/>
  <c r="H17" i="47"/>
  <c r="H14" i="47"/>
  <c r="H25" i="47"/>
  <c r="H39" i="47"/>
  <c r="H45" i="47"/>
  <c r="H50" i="47"/>
  <c r="H61" i="47"/>
  <c r="H120" i="47"/>
  <c r="H71" i="47"/>
  <c r="H102" i="47"/>
  <c r="H24" i="47"/>
  <c r="H172" i="47"/>
  <c r="H105" i="47"/>
  <c r="H57" i="47"/>
  <c r="A73" i="35" l="1"/>
  <c r="I60" i="48"/>
  <c r="AI100" i="48" s="1"/>
  <c r="L26" i="44"/>
  <c r="I95" i="44"/>
  <c r="AA94" i="54"/>
  <c r="J89" i="48"/>
  <c r="I61" i="44"/>
  <c r="J94" i="44"/>
  <c r="K62" i="48"/>
  <c r="AK102" i="48" s="1"/>
  <c r="Q112" i="54"/>
  <c r="J70" i="48"/>
  <c r="K20" i="44"/>
  <c r="AA70" i="54"/>
  <c r="AA166" i="54"/>
  <c r="K116" i="44"/>
  <c r="Q62" i="54"/>
  <c r="Q49" i="54"/>
  <c r="J81" i="48"/>
  <c r="K27" i="48"/>
  <c r="AK67" i="48" s="1"/>
  <c r="I158" i="48"/>
  <c r="Q89" i="54"/>
  <c r="L106" i="48"/>
  <c r="J46" i="48"/>
  <c r="K4" i="44"/>
  <c r="I90" i="48"/>
  <c r="AI130" i="48" s="1"/>
  <c r="L59" i="44"/>
  <c r="I94" i="48"/>
  <c r="AI134" i="48" s="1"/>
  <c r="K26" i="44"/>
  <c r="J69" i="44"/>
  <c r="Q87" i="54"/>
  <c r="I77" i="48"/>
  <c r="AI117" i="48" s="1"/>
  <c r="K98" i="44"/>
  <c r="J95" i="48"/>
  <c r="K113" i="48"/>
  <c r="J18" i="44"/>
  <c r="I61" i="48"/>
  <c r="AI101" i="48" s="1"/>
  <c r="L14" i="44"/>
  <c r="J106" i="48"/>
  <c r="I4" i="48"/>
  <c r="AI44" i="48" s="1"/>
  <c r="Q21" i="54"/>
  <c r="J4" i="48"/>
  <c r="I15" i="44"/>
  <c r="I69" i="44"/>
  <c r="K89" i="44"/>
  <c r="I91" i="48"/>
  <c r="AI131" i="48" s="1"/>
  <c r="L63" i="44"/>
  <c r="L116" i="44"/>
  <c r="Q69" i="54"/>
  <c r="I161" i="48"/>
  <c r="K140" i="48"/>
  <c r="Q63" i="54"/>
  <c r="J58" i="44"/>
  <c r="AA63" i="54"/>
  <c r="L60" i="44"/>
  <c r="J60" i="44"/>
  <c r="Q95" i="54"/>
  <c r="I58" i="44"/>
  <c r="L91" i="44"/>
  <c r="I91" i="44"/>
  <c r="L30" i="44"/>
  <c r="Q30" i="54"/>
  <c r="K60" i="48"/>
  <c r="AK100" i="48" s="1"/>
  <c r="Q86" i="54"/>
  <c r="I95" i="48"/>
  <c r="AI135" i="48" s="1"/>
  <c r="AA60" i="54"/>
  <c r="K94" i="44"/>
  <c r="J86" i="44"/>
  <c r="K95" i="48"/>
  <c r="AK135" i="48" s="1"/>
  <c r="L21" i="44"/>
  <c r="J82" i="48"/>
  <c r="K92" i="44"/>
  <c r="AA46" i="54"/>
  <c r="L49" i="44"/>
  <c r="AA30" i="54"/>
  <c r="I123" i="48"/>
  <c r="L7" i="44"/>
  <c r="I59" i="44"/>
  <c r="Q76" i="54"/>
  <c r="L62" i="48"/>
  <c r="L98" i="48"/>
  <c r="Q135" i="54"/>
  <c r="I60" i="44"/>
  <c r="K26" i="48"/>
  <c r="AK66" i="48" s="1"/>
  <c r="I26" i="48"/>
  <c r="AI66" i="48" s="1"/>
  <c r="I97" i="44"/>
  <c r="I81" i="44"/>
  <c r="K58" i="48"/>
  <c r="AK98" i="48" s="1"/>
  <c r="L130" i="48"/>
  <c r="L11" i="48"/>
  <c r="AA11" i="54"/>
  <c r="K4" i="48"/>
  <c r="AK44" i="48" s="1"/>
  <c r="J172" i="48"/>
  <c r="J30" i="48"/>
  <c r="L8" i="48"/>
  <c r="I4" i="44"/>
  <c r="AA106" i="54"/>
  <c r="K49" i="44"/>
  <c r="I106" i="44"/>
  <c r="I130" i="44"/>
  <c r="K106" i="44"/>
  <c r="K63" i="48"/>
  <c r="AK103" i="48" s="1"/>
  <c r="J7" i="48"/>
  <c r="L58" i="44"/>
  <c r="Q106" i="54"/>
  <c r="J108" i="44"/>
  <c r="Q7" i="54"/>
  <c r="J89" i="44"/>
  <c r="I26" i="44"/>
  <c r="L58" i="48"/>
  <c r="Q50" i="54"/>
  <c r="I76" i="48"/>
  <c r="AI116" i="48" s="1"/>
  <c r="L86" i="44"/>
  <c r="L170" i="44"/>
  <c r="K60" i="44"/>
  <c r="J95" i="44"/>
  <c r="L94" i="48"/>
  <c r="L16" i="44"/>
  <c r="K94" i="48"/>
  <c r="AK134" i="48" s="1"/>
  <c r="K76" i="44"/>
  <c r="L62" i="44"/>
  <c r="J68" i="44"/>
  <c r="J58" i="48"/>
  <c r="J49" i="44"/>
  <c r="Q18" i="54"/>
  <c r="J21" i="48"/>
  <c r="I21" i="44"/>
  <c r="L89" i="48"/>
  <c r="I58" i="48"/>
  <c r="AI98" i="48" s="1"/>
  <c r="L7" i="48"/>
  <c r="K21" i="48"/>
  <c r="AK61" i="48" s="1"/>
  <c r="J158" i="48"/>
  <c r="K61" i="48"/>
  <c r="AK101" i="48" s="1"/>
  <c r="K91" i="44"/>
  <c r="I89" i="44"/>
  <c r="K70" i="44"/>
  <c r="L70" i="48"/>
  <c r="J37" i="48"/>
  <c r="L4" i="44"/>
  <c r="L63" i="48"/>
  <c r="I94" i="44"/>
  <c r="AA163" i="54"/>
  <c r="K98" i="48"/>
  <c r="AK138" i="48" s="1"/>
  <c r="K81" i="44"/>
  <c r="J63" i="48"/>
  <c r="J26" i="44"/>
  <c r="J26" i="48"/>
  <c r="AA95" i="54"/>
  <c r="J91" i="44"/>
  <c r="I98" i="48"/>
  <c r="AI138" i="48" s="1"/>
  <c r="J60" i="48"/>
  <c r="J94" i="48"/>
  <c r="Q60" i="54"/>
  <c r="K46" i="48"/>
  <c r="AK86" i="48" s="1"/>
  <c r="L20" i="44"/>
  <c r="AA7" i="54"/>
  <c r="L81" i="44"/>
  <c r="J46" i="44"/>
  <c r="I11" i="44"/>
  <c r="I76" i="44"/>
  <c r="I7" i="48"/>
  <c r="AI47" i="48" s="1"/>
  <c r="Q61" i="54"/>
  <c r="J113" i="44"/>
  <c r="AA61" i="54"/>
  <c r="K113" i="44"/>
  <c r="J30" i="44"/>
  <c r="J106" i="44"/>
  <c r="I62" i="44"/>
  <c r="Q26" i="54"/>
  <c r="K18" i="48"/>
  <c r="AK58" i="48" s="1"/>
  <c r="L60" i="48"/>
  <c r="K62" i="44"/>
  <c r="J50" i="48"/>
  <c r="J20" i="44"/>
  <c r="I7" i="44"/>
  <c r="I18" i="48"/>
  <c r="AI58" i="48" s="1"/>
  <c r="K162" i="48"/>
  <c r="J76" i="48"/>
  <c r="I30" i="44"/>
  <c r="I42" i="48"/>
  <c r="AI82" i="48" s="1"/>
  <c r="I59" i="48"/>
  <c r="AI99" i="48" s="1"/>
  <c r="I70" i="44"/>
  <c r="Q113" i="54"/>
  <c r="L18" i="48"/>
  <c r="L26" i="48"/>
  <c r="J175" i="48"/>
  <c r="K130" i="48"/>
  <c r="AA58" i="54"/>
  <c r="L18" i="44"/>
  <c r="K59" i="44"/>
  <c r="J7" i="44"/>
  <c r="L81" i="48"/>
  <c r="J98" i="44"/>
  <c r="I30" i="48"/>
  <c r="AI70" i="48" s="1"/>
  <c r="AA86" i="54"/>
  <c r="I86" i="48"/>
  <c r="AI126" i="48" s="1"/>
  <c r="Q46" i="54"/>
  <c r="I46" i="44"/>
  <c r="J59" i="44"/>
  <c r="AA26" i="54"/>
  <c r="K11" i="48"/>
  <c r="AK51" i="48" s="1"/>
  <c r="K58" i="44"/>
  <c r="J69" i="48"/>
  <c r="AA160" i="54"/>
  <c r="I33" i="48"/>
  <c r="AI73" i="48" s="1"/>
  <c r="I63" i="48"/>
  <c r="AI103" i="48" s="1"/>
  <c r="K86" i="44"/>
  <c r="K49" i="48"/>
  <c r="AK89" i="48" s="1"/>
  <c r="L95" i="44"/>
  <c r="L106" i="44"/>
  <c r="L61" i="44"/>
  <c r="K89" i="48"/>
  <c r="AK129" i="48" s="1"/>
  <c r="J76" i="44"/>
  <c r="J62" i="48"/>
  <c r="K46" i="44"/>
  <c r="K7" i="44"/>
  <c r="AA44" i="54"/>
  <c r="AA67" i="54"/>
  <c r="L120" i="44"/>
  <c r="I154" i="44"/>
  <c r="K45" i="44"/>
  <c r="I22" i="48"/>
  <c r="AI62" i="48" s="1"/>
  <c r="J19" i="48"/>
  <c r="Q23" i="54"/>
  <c r="I166" i="48"/>
  <c r="K114" i="48"/>
  <c r="L115" i="48"/>
  <c r="I3" i="44"/>
  <c r="L32" i="48"/>
  <c r="L130" i="44"/>
  <c r="K157" i="44"/>
  <c r="J157" i="44"/>
  <c r="L122" i="44"/>
  <c r="K32" i="44"/>
  <c r="Q130" i="54"/>
  <c r="J146" i="48"/>
  <c r="I92" i="48"/>
  <c r="AI132" i="48" s="1"/>
  <c r="Q147" i="54"/>
  <c r="I35" i="48"/>
  <c r="AI75" i="48" s="1"/>
  <c r="L77" i="48"/>
  <c r="I96" i="44"/>
  <c r="L66" i="48"/>
  <c r="I133" i="48"/>
  <c r="I44" i="48"/>
  <c r="AI84" i="48" s="1"/>
  <c r="K96" i="44"/>
  <c r="AA132" i="54"/>
  <c r="K93" i="48"/>
  <c r="AK133" i="48" s="1"/>
  <c r="I158" i="44"/>
  <c r="J155" i="48"/>
  <c r="J99" i="48"/>
  <c r="K3" i="48"/>
  <c r="AK43" i="48" s="1"/>
  <c r="L41" i="44"/>
  <c r="Q162" i="54"/>
  <c r="J101" i="44"/>
  <c r="Q19" i="54"/>
  <c r="I137" i="44"/>
  <c r="I56" i="44"/>
  <c r="I41" i="44"/>
  <c r="L83" i="44"/>
  <c r="L31" i="48"/>
  <c r="AA122" i="54"/>
  <c r="Q52" i="54"/>
  <c r="AA50" i="54"/>
  <c r="AA102" i="54"/>
  <c r="L44" i="44"/>
  <c r="J170" i="48"/>
  <c r="I126" i="48"/>
  <c r="J102" i="44"/>
  <c r="J78" i="48"/>
  <c r="J87" i="44"/>
  <c r="K134" i="48"/>
  <c r="L110" i="44"/>
  <c r="K96" i="48"/>
  <c r="AK136" i="48" s="1"/>
  <c r="K97" i="48"/>
  <c r="AK137" i="48" s="1"/>
  <c r="I57" i="48"/>
  <c r="AI97" i="48" s="1"/>
  <c r="Q14" i="54"/>
  <c r="I138" i="48"/>
  <c r="I136" i="48"/>
  <c r="AA83" i="54"/>
  <c r="I98" i="44"/>
  <c r="I18" i="44"/>
  <c r="AA49" i="54"/>
  <c r="J49" i="48"/>
  <c r="J51" i="44"/>
  <c r="K123" i="48"/>
  <c r="J70" i="44"/>
  <c r="AA98" i="54"/>
  <c r="AA89" i="54"/>
  <c r="K69" i="48"/>
  <c r="AK109" i="48" s="1"/>
  <c r="Q70" i="54"/>
  <c r="AA59" i="54"/>
  <c r="J4" i="44"/>
  <c r="L89" i="44"/>
  <c r="K87" i="44"/>
  <c r="J81" i="44"/>
  <c r="J161" i="48"/>
  <c r="I84" i="48"/>
  <c r="AI124" i="48" s="1"/>
  <c r="K106" i="48"/>
  <c r="J18" i="48"/>
  <c r="L46" i="44"/>
  <c r="I133" i="44"/>
  <c r="K28" i="44"/>
  <c r="I83" i="44"/>
  <c r="J88" i="48"/>
  <c r="AA56" i="54"/>
  <c r="I92" i="44"/>
  <c r="I93" i="44"/>
  <c r="I78" i="44"/>
  <c r="K38" i="48"/>
  <c r="AK78" i="48" s="1"/>
  <c r="AA103" i="54"/>
  <c r="Q2" i="54"/>
  <c r="Q78" i="54"/>
  <c r="L116" i="48"/>
  <c r="J130" i="44"/>
  <c r="AA15" i="54"/>
  <c r="K51" i="48"/>
  <c r="AK91" i="48" s="1"/>
  <c r="Q137" i="54"/>
  <c r="L53" i="44"/>
  <c r="J164" i="44"/>
  <c r="AA75" i="54"/>
  <c r="J107" i="48"/>
  <c r="K64" i="48"/>
  <c r="AK104" i="48" s="1"/>
  <c r="K155" i="48"/>
  <c r="J34" i="44"/>
  <c r="J32" i="48"/>
  <c r="AA126" i="54"/>
  <c r="I100" i="48"/>
  <c r="AI140" i="48" s="1"/>
  <c r="AA93" i="54"/>
  <c r="I31" i="48"/>
  <c r="AI71" i="48" s="1"/>
  <c r="L72" i="44"/>
  <c r="I35" i="44"/>
  <c r="I71" i="44"/>
  <c r="Q165" i="54"/>
  <c r="Q57" i="54"/>
  <c r="AA51" i="54"/>
  <c r="K128" i="44"/>
  <c r="K176" i="48"/>
  <c r="J176" i="48"/>
  <c r="I12" i="44"/>
  <c r="K54" i="48"/>
  <c r="AK94" i="48" s="1"/>
  <c r="AA171" i="54"/>
  <c r="K43" i="44"/>
  <c r="J164" i="48"/>
  <c r="K10" i="48"/>
  <c r="AK50" i="48" s="1"/>
  <c r="L133" i="48"/>
  <c r="K55" i="48"/>
  <c r="AK95" i="48" s="1"/>
  <c r="L132" i="48"/>
  <c r="K121" i="44"/>
  <c r="K32" i="48"/>
  <c r="AK72" i="48" s="1"/>
  <c r="I20" i="48"/>
  <c r="AI60" i="48" s="1"/>
  <c r="J21" i="44"/>
  <c r="L46" i="48"/>
  <c r="J11" i="44"/>
  <c r="I124" i="48"/>
  <c r="K63" i="44"/>
  <c r="K69" i="44"/>
  <c r="I20" i="44"/>
  <c r="Q168" i="54"/>
  <c r="L76" i="48"/>
  <c r="I113" i="44"/>
  <c r="K30" i="44"/>
  <c r="K81" i="48"/>
  <c r="AK121" i="48" s="1"/>
  <c r="I11" i="48"/>
  <c r="AI51" i="48" s="1"/>
  <c r="L137" i="44"/>
  <c r="Q98" i="54"/>
  <c r="L98" i="44"/>
  <c r="J159" i="48"/>
  <c r="AA62" i="54"/>
  <c r="K95" i="44"/>
  <c r="L49" i="48"/>
  <c r="K169" i="48"/>
  <c r="I43" i="48"/>
  <c r="AI83" i="48" s="1"/>
  <c r="J74" i="48"/>
  <c r="AA104" i="54"/>
  <c r="J149" i="48"/>
  <c r="L170" i="48"/>
  <c r="Q159" i="54"/>
  <c r="K42" i="44"/>
  <c r="Q114" i="54"/>
  <c r="AA9" i="54"/>
  <c r="AA87" i="54"/>
  <c r="Q93" i="54"/>
  <c r="Q56" i="54"/>
  <c r="J97" i="44"/>
  <c r="L28" i="44"/>
  <c r="L155" i="48"/>
  <c r="J66" i="48"/>
  <c r="K9" i="48"/>
  <c r="AK49" i="48" s="1"/>
  <c r="J57" i="44"/>
  <c r="K146" i="44"/>
  <c r="K148" i="44"/>
  <c r="I100" i="44"/>
  <c r="K100" i="48"/>
  <c r="AK140" i="48" s="1"/>
  <c r="AA158" i="54"/>
  <c r="K154" i="48"/>
  <c r="AA119" i="54"/>
  <c r="Q155" i="54"/>
  <c r="L27" i="44"/>
  <c r="J17" i="44"/>
  <c r="AA35" i="54"/>
  <c r="L159" i="44"/>
  <c r="K53" i="48"/>
  <c r="AK93" i="48" s="1"/>
  <c r="L139" i="44"/>
  <c r="J5" i="44"/>
  <c r="L25" i="48"/>
  <c r="L75" i="48"/>
  <c r="L102" i="48"/>
  <c r="L32" i="44"/>
  <c r="K109" i="48"/>
  <c r="K85" i="44"/>
  <c r="L65" i="44"/>
  <c r="J114" i="44"/>
  <c r="K124" i="48"/>
  <c r="AA48" i="54"/>
  <c r="L73" i="48"/>
  <c r="L137" i="48"/>
  <c r="J107" i="44"/>
  <c r="K143" i="44"/>
  <c r="J128" i="44"/>
  <c r="I48" i="44"/>
  <c r="L28" i="48"/>
  <c r="AA124" i="54"/>
  <c r="AA73" i="54"/>
  <c r="L96" i="44"/>
  <c r="K119" i="48"/>
  <c r="L150" i="48"/>
  <c r="I152" i="44"/>
  <c r="L99" i="48"/>
  <c r="L22" i="48"/>
  <c r="K57" i="44"/>
  <c r="L143" i="44"/>
  <c r="Q5" i="54"/>
  <c r="L12" i="44"/>
  <c r="J102" i="48"/>
  <c r="J110" i="44"/>
  <c r="I75" i="48"/>
  <c r="AI115" i="48" s="1"/>
  <c r="L21" i="48"/>
  <c r="J86" i="48"/>
  <c r="L113" i="48"/>
  <c r="J61" i="44"/>
  <c r="K30" i="48"/>
  <c r="AK70" i="48" s="1"/>
  <c r="L4" i="48"/>
  <c r="AA22" i="54"/>
  <c r="K5" i="48"/>
  <c r="AK45" i="48" s="1"/>
  <c r="AA113" i="54"/>
  <c r="I113" i="48"/>
  <c r="L95" i="48"/>
  <c r="L161" i="44"/>
  <c r="L25" i="44"/>
  <c r="J56" i="44"/>
  <c r="K91" i="48"/>
  <c r="AK131" i="48" s="1"/>
  <c r="K11" i="44"/>
  <c r="K76" i="48"/>
  <c r="AK116" i="48" s="1"/>
  <c r="J20" i="48"/>
  <c r="I39" i="48"/>
  <c r="AI79" i="48" s="1"/>
  <c r="I33" i="44"/>
  <c r="AA28" i="54"/>
  <c r="K127" i="44"/>
  <c r="L73" i="44"/>
  <c r="L141" i="48"/>
  <c r="K97" i="44"/>
  <c r="K74" i="48"/>
  <c r="AK114" i="48" s="1"/>
  <c r="I141" i="48"/>
  <c r="K100" i="44"/>
  <c r="Q127" i="54"/>
  <c r="L101" i="48"/>
  <c r="K83" i="44"/>
  <c r="AA27" i="54"/>
  <c r="K150" i="44"/>
  <c r="K56" i="48"/>
  <c r="AK96" i="48" s="1"/>
  <c r="AA14" i="54"/>
  <c r="K56" i="44"/>
  <c r="K126" i="44"/>
  <c r="J38" i="44"/>
  <c r="AA162" i="54"/>
  <c r="AA165" i="54"/>
  <c r="J13" i="44"/>
  <c r="L40" i="44"/>
  <c r="J119" i="44"/>
  <c r="L152" i="44"/>
  <c r="L48" i="48"/>
  <c r="Q141" i="54"/>
  <c r="L12" i="48"/>
  <c r="K84" i="48"/>
  <c r="AK124" i="48" s="1"/>
  <c r="Q129" i="54"/>
  <c r="J168" i="44"/>
  <c r="L105" i="48"/>
  <c r="I125" i="48"/>
  <c r="J31" i="44"/>
  <c r="J79" i="44"/>
  <c r="I120" i="48"/>
  <c r="K148" i="48"/>
  <c r="K5" i="44"/>
  <c r="I75" i="44"/>
  <c r="Q71" i="54"/>
  <c r="J112" i="44"/>
  <c r="I176" i="48"/>
  <c r="K66" i="48"/>
  <c r="AK106" i="48" s="1"/>
  <c r="L165" i="44"/>
  <c r="K44" i="48"/>
  <c r="AK84" i="48" s="1"/>
  <c r="L129" i="48"/>
  <c r="AA152" i="54"/>
  <c r="I172" i="48"/>
  <c r="K131" i="48"/>
  <c r="K77" i="44"/>
  <c r="I167" i="48"/>
  <c r="L117" i="48"/>
  <c r="J168" i="48"/>
  <c r="L96" i="48"/>
  <c r="I132" i="48"/>
  <c r="K139" i="44"/>
  <c r="Q48" i="54"/>
  <c r="AA149" i="54"/>
  <c r="L87" i="48"/>
  <c r="AA10" i="54"/>
  <c r="K66" i="44"/>
  <c r="K78" i="48"/>
  <c r="AK118" i="48" s="1"/>
  <c r="I21" i="48"/>
  <c r="AI61" i="48" s="1"/>
  <c r="J91" i="48"/>
  <c r="J62" i="44"/>
  <c r="Q116" i="54"/>
  <c r="L76" i="44"/>
  <c r="Q11" i="54"/>
  <c r="J75" i="44"/>
  <c r="L121" i="48"/>
  <c r="J156" i="48"/>
  <c r="I81" i="48"/>
  <c r="AI121" i="48" s="1"/>
  <c r="K65" i="48"/>
  <c r="AK105" i="48" s="1"/>
  <c r="AA20" i="54"/>
  <c r="AA69" i="54"/>
  <c r="L92" i="48"/>
  <c r="Q125" i="54"/>
  <c r="L113" i="44"/>
  <c r="I62" i="48"/>
  <c r="AI102" i="48" s="1"/>
  <c r="AA21" i="54"/>
  <c r="AA4" i="54"/>
  <c r="K67" i="44"/>
  <c r="K64" i="44"/>
  <c r="L29" i="48"/>
  <c r="L13" i="48"/>
  <c r="I39" i="44"/>
  <c r="I16" i="44"/>
  <c r="L44" i="48"/>
  <c r="I47" i="44"/>
  <c r="K25" i="48"/>
  <c r="AK65" i="48" s="1"/>
  <c r="K115" i="44"/>
  <c r="L79" i="48"/>
  <c r="AA57" i="54"/>
  <c r="AA12" i="54"/>
  <c r="I14" i="48"/>
  <c r="AI54" i="48" s="1"/>
  <c r="I68" i="48"/>
  <c r="AI108" i="48" s="1"/>
  <c r="L103" i="48"/>
  <c r="K133" i="48"/>
  <c r="I37" i="48"/>
  <c r="AI77" i="48" s="1"/>
  <c r="L107" i="48"/>
  <c r="L174" i="48"/>
  <c r="Q68" i="54"/>
  <c r="J137" i="44"/>
  <c r="AA5" i="54"/>
  <c r="L127" i="44"/>
  <c r="J29" i="44"/>
  <c r="L5" i="48"/>
  <c r="J114" i="48"/>
  <c r="I145" i="44"/>
  <c r="I16" i="48"/>
  <c r="AI56" i="48" s="1"/>
  <c r="Q133" i="54"/>
  <c r="K141" i="44"/>
  <c r="Q118" i="54"/>
  <c r="AA142" i="54"/>
  <c r="AA66" i="54"/>
  <c r="I38" i="48"/>
  <c r="AI78" i="48" s="1"/>
  <c r="L166" i="48"/>
  <c r="I64" i="48"/>
  <c r="AI104" i="48" s="1"/>
  <c r="J131" i="44"/>
  <c r="K22" i="44"/>
  <c r="K68" i="44"/>
  <c r="J120" i="44"/>
  <c r="Q100" i="54"/>
  <c r="K156" i="44"/>
  <c r="K41" i="48"/>
  <c r="AK81" i="48" s="1"/>
  <c r="J9" i="44"/>
  <c r="L142" i="44"/>
  <c r="L34" i="48"/>
  <c r="L153" i="48"/>
  <c r="I34" i="44"/>
  <c r="K16" i="48"/>
  <c r="AK56" i="48" s="1"/>
  <c r="AA116" i="54"/>
  <c r="AA107" i="54"/>
  <c r="I165" i="44"/>
  <c r="AA92" i="54"/>
  <c r="K35" i="44"/>
  <c r="K149" i="44"/>
  <c r="J139" i="48"/>
  <c r="K20" i="48"/>
  <c r="AK60" i="48" s="1"/>
  <c r="AA91" i="54"/>
  <c r="K75" i="44"/>
  <c r="Q160" i="54"/>
  <c r="J63" i="44"/>
  <c r="AA128" i="54"/>
  <c r="L45" i="44"/>
  <c r="K18" i="44"/>
  <c r="Q24" i="54"/>
  <c r="I49" i="48"/>
  <c r="AI89" i="48" s="1"/>
  <c r="Q81" i="54"/>
  <c r="L69" i="48"/>
  <c r="K70" i="48"/>
  <c r="AK110" i="48" s="1"/>
  <c r="Q20" i="54"/>
  <c r="L70" i="44"/>
  <c r="J55" i="48"/>
  <c r="L86" i="48"/>
  <c r="I89" i="48"/>
  <c r="AI129" i="48" s="1"/>
  <c r="I46" i="48"/>
  <c r="AI86" i="48" s="1"/>
  <c r="L59" i="48"/>
  <c r="AA81" i="54"/>
  <c r="K104" i="44"/>
  <c r="J121" i="44"/>
  <c r="I149" i="44"/>
  <c r="J8" i="48"/>
  <c r="I74" i="48"/>
  <c r="AI114" i="48" s="1"/>
  <c r="I122" i="48"/>
  <c r="Q152" i="54"/>
  <c r="AA32" i="54"/>
  <c r="Q79" i="54"/>
  <c r="K131" i="44"/>
  <c r="Q122" i="54"/>
  <c r="J165" i="48"/>
  <c r="I171" i="44"/>
  <c r="J2" i="44"/>
  <c r="J85" i="48"/>
  <c r="Q143" i="54"/>
  <c r="J6" i="44"/>
  <c r="AA54" i="54"/>
  <c r="AA170" i="54"/>
  <c r="Q41" i="54"/>
  <c r="L161" i="48"/>
  <c r="AA117" i="54"/>
  <c r="K151" i="44"/>
  <c r="L112" i="48"/>
  <c r="Q92" i="54"/>
  <c r="J135" i="44"/>
  <c r="L168" i="48"/>
  <c r="K29" i="48"/>
  <c r="AK69" i="48" s="1"/>
  <c r="L42" i="48"/>
  <c r="Q36" i="54"/>
  <c r="I65" i="44"/>
  <c r="I149" i="48"/>
  <c r="J145" i="48"/>
  <c r="J24" i="44"/>
  <c r="J163" i="48"/>
  <c r="I97" i="48"/>
  <c r="AI137" i="48" s="1"/>
  <c r="L77" i="44"/>
  <c r="K114" i="44"/>
  <c r="I155" i="48"/>
  <c r="K37" i="48"/>
  <c r="AK77" i="48" s="1"/>
  <c r="Q15" i="54"/>
  <c r="J43" i="48"/>
  <c r="AA156" i="54"/>
  <c r="I96" i="48"/>
  <c r="AI136" i="48" s="1"/>
  <c r="L54" i="48"/>
  <c r="K23" i="48"/>
  <c r="AK63" i="48" s="1"/>
  <c r="K167" i="44"/>
  <c r="AA3" i="54"/>
  <c r="I88" i="48"/>
  <c r="AI128" i="48" s="1"/>
  <c r="K137" i="48"/>
  <c r="J80" i="44"/>
  <c r="AA25" i="54"/>
  <c r="I107" i="44"/>
  <c r="I164" i="44"/>
  <c r="K138" i="44"/>
  <c r="AA23" i="54"/>
  <c r="I106" i="48"/>
  <c r="K21" i="44"/>
  <c r="Q97" i="54"/>
  <c r="J98" i="48"/>
  <c r="J59" i="48"/>
  <c r="I49" i="44"/>
  <c r="Q91" i="54"/>
  <c r="J45" i="44"/>
  <c r="Q156" i="54"/>
  <c r="L126" i="44"/>
  <c r="AA76" i="54"/>
  <c r="L35" i="44"/>
  <c r="L30" i="48"/>
  <c r="AA18" i="54"/>
  <c r="K40" i="48"/>
  <c r="AK80" i="48" s="1"/>
  <c r="Q59" i="54"/>
  <c r="AA45" i="54"/>
  <c r="K59" i="48"/>
  <c r="AK99" i="48" s="1"/>
  <c r="L69" i="44"/>
  <c r="Q4" i="54"/>
  <c r="Q94" i="54"/>
  <c r="Q96" i="54"/>
  <c r="AA90" i="54"/>
  <c r="I80" i="48"/>
  <c r="AI120" i="48" s="1"/>
  <c r="J105" i="48"/>
  <c r="I160" i="44"/>
  <c r="L146" i="48"/>
  <c r="L114" i="48"/>
  <c r="L126" i="48"/>
  <c r="AA145" i="54"/>
  <c r="Q38" i="54"/>
  <c r="K159" i="44"/>
  <c r="L159" i="48"/>
  <c r="L108" i="48"/>
  <c r="L56" i="48"/>
  <c r="I143" i="44"/>
  <c r="I161" i="44"/>
  <c r="I93" i="48"/>
  <c r="AI133" i="48" s="1"/>
  <c r="J12" i="48"/>
  <c r="Q158" i="54"/>
  <c r="L85" i="48"/>
  <c r="K17" i="44"/>
  <c r="J9" i="48"/>
  <c r="Q6" i="54"/>
  <c r="I74" i="44"/>
  <c r="J104" i="44"/>
  <c r="L43" i="44"/>
  <c r="J122" i="44"/>
  <c r="I109" i="44"/>
  <c r="L163" i="44"/>
  <c r="I119" i="44"/>
  <c r="J47" i="44"/>
  <c r="AA40" i="54"/>
  <c r="K124" i="44"/>
  <c r="L33" i="48"/>
  <c r="AA139" i="54"/>
  <c r="L27" i="48"/>
  <c r="J110" i="48"/>
  <c r="AA17" i="54"/>
  <c r="I43" i="44"/>
  <c r="L66" i="44"/>
  <c r="K104" i="48"/>
  <c r="L37" i="44"/>
  <c r="K101" i="48"/>
  <c r="AK141" i="48" s="1"/>
  <c r="J27" i="48"/>
  <c r="K47" i="48"/>
  <c r="AK87" i="48" s="1"/>
  <c r="K40" i="44"/>
  <c r="I169" i="48"/>
  <c r="K159" i="48"/>
  <c r="J138" i="44"/>
  <c r="J64" i="44"/>
  <c r="Q40" i="54"/>
  <c r="I15" i="48"/>
  <c r="AI55" i="48" s="1"/>
  <c r="L122" i="48"/>
  <c r="Q85" i="54"/>
  <c r="AA127" i="54"/>
  <c r="I44" i="44"/>
  <c r="I32" i="44"/>
  <c r="Q90" i="54"/>
  <c r="Q123" i="54"/>
  <c r="J41" i="48"/>
  <c r="L23" i="44"/>
  <c r="J113" i="48"/>
  <c r="K7" i="48"/>
  <c r="AK47" i="48" s="1"/>
  <c r="J11" i="48"/>
  <c r="K61" i="44"/>
  <c r="J61" i="48"/>
  <c r="J136" i="48"/>
  <c r="I63" i="44"/>
  <c r="K92" i="48"/>
  <c r="AK132" i="48" s="1"/>
  <c r="L20" i="48"/>
  <c r="J173" i="48"/>
  <c r="I69" i="48"/>
  <c r="AI109" i="48" s="1"/>
  <c r="I70" i="48"/>
  <c r="AI110" i="48" s="1"/>
  <c r="I86" i="44"/>
  <c r="L11" i="44"/>
  <c r="K86" i="48"/>
  <c r="AK126" i="48" s="1"/>
  <c r="L156" i="48"/>
  <c r="J37" i="44"/>
  <c r="L61" i="48"/>
  <c r="L91" i="48"/>
  <c r="Q58" i="54"/>
  <c r="L94" i="44"/>
  <c r="AA155" i="54"/>
  <c r="L93" i="48"/>
  <c r="Q126" i="54"/>
  <c r="AA85" i="54"/>
  <c r="J33" i="44"/>
  <c r="L51" i="44"/>
  <c r="J138" i="48"/>
  <c r="I111" i="44"/>
  <c r="I67" i="48"/>
  <c r="AI107" i="48" s="1"/>
  <c r="L53" i="48"/>
  <c r="I41" i="48"/>
  <c r="AI81" i="48" s="1"/>
  <c r="J122" i="48"/>
  <c r="L45" i="48"/>
  <c r="K48" i="48"/>
  <c r="AK88" i="48" s="1"/>
  <c r="I53" i="44"/>
  <c r="K119" i="44"/>
  <c r="Q32" i="54"/>
  <c r="K31" i="48"/>
  <c r="AK71" i="48" s="1"/>
  <c r="L128" i="48"/>
  <c r="L90" i="48"/>
  <c r="AA99" i="54"/>
  <c r="AA136" i="54"/>
  <c r="AA120" i="54"/>
  <c r="J84" i="44"/>
  <c r="Q3" i="54"/>
  <c r="J41" i="44"/>
  <c r="K165" i="44"/>
  <c r="K72" i="48"/>
  <c r="AK112" i="48" s="1"/>
  <c r="AA121" i="54"/>
  <c r="Q148" i="54"/>
  <c r="AA47" i="54"/>
  <c r="AA108" i="54"/>
  <c r="J36" i="48"/>
  <c r="J153" i="48"/>
  <c r="K38" i="44"/>
  <c r="K142" i="44"/>
  <c r="K142" i="48"/>
  <c r="AA110" i="54"/>
  <c r="I50" i="48"/>
  <c r="AI90" i="48" s="1"/>
  <c r="L80" i="48"/>
  <c r="J147" i="48"/>
  <c r="AA133" i="54"/>
  <c r="I168" i="48"/>
  <c r="J3" i="44"/>
  <c r="L162" i="48"/>
  <c r="M162" i="48" s="1"/>
  <c r="Q161" i="54"/>
  <c r="K29" i="44"/>
  <c r="K15" i="48"/>
  <c r="AK55" i="48" s="1"/>
  <c r="AA64" i="54"/>
  <c r="AA129" i="54"/>
  <c r="K102" i="48"/>
  <c r="K145" i="44"/>
  <c r="L6" i="48"/>
  <c r="L48" i="44"/>
  <c r="K108" i="44"/>
  <c r="I143" i="48"/>
  <c r="J42" i="48"/>
  <c r="L120" i="48"/>
  <c r="Q83" i="54"/>
  <c r="AA115" i="54"/>
  <c r="J35" i="48"/>
  <c r="I140" i="48"/>
  <c r="L128" i="44"/>
  <c r="K105" i="48"/>
  <c r="K138" i="48"/>
  <c r="L90" i="44"/>
  <c r="L164" i="48"/>
  <c r="Q8" i="54"/>
  <c r="K51" i="44"/>
  <c r="I154" i="48"/>
  <c r="J169" i="48"/>
  <c r="Q128" i="54"/>
  <c r="I108" i="44"/>
  <c r="J112" i="48"/>
  <c r="K171" i="44"/>
  <c r="K14" i="44"/>
  <c r="Q101" i="54"/>
  <c r="K24" i="44"/>
  <c r="AA41" i="54"/>
  <c r="L14" i="48"/>
  <c r="L147" i="44"/>
  <c r="L131" i="44"/>
  <c r="I24" i="44"/>
  <c r="I144" i="44"/>
  <c r="Q88" i="54"/>
  <c r="J93" i="48"/>
  <c r="AA146" i="54"/>
  <c r="K168" i="44"/>
  <c r="L145" i="48"/>
  <c r="K71" i="44"/>
  <c r="I52" i="44"/>
  <c r="J29" i="48"/>
  <c r="J150" i="44"/>
  <c r="J171" i="48"/>
  <c r="L150" i="44"/>
  <c r="K6" i="44"/>
  <c r="K57" i="48"/>
  <c r="AK97" i="48" s="1"/>
  <c r="J132" i="44"/>
  <c r="K8" i="48"/>
  <c r="AK48" i="48" s="1"/>
  <c r="K154" i="44"/>
  <c r="L92" i="44"/>
  <c r="K109" i="44"/>
  <c r="K83" i="48"/>
  <c r="AK123" i="48" s="1"/>
  <c r="L57" i="44"/>
  <c r="K87" i="48"/>
  <c r="AK127" i="48" s="1"/>
  <c r="I77" i="44"/>
  <c r="K48" i="44"/>
  <c r="J111" i="48"/>
  <c r="I36" i="44"/>
  <c r="AA38" i="54"/>
  <c r="Q134" i="54"/>
  <c r="J151" i="44"/>
  <c r="I156" i="48"/>
  <c r="K2" i="44"/>
  <c r="I23" i="48"/>
  <c r="AI63" i="48" s="1"/>
  <c r="I126" i="44"/>
  <c r="K79" i="44"/>
  <c r="J53" i="44"/>
  <c r="J77" i="48"/>
  <c r="I29" i="48"/>
  <c r="AI69" i="48" s="1"/>
  <c r="I5" i="48"/>
  <c r="AI45" i="48" s="1"/>
  <c r="I64" i="44"/>
  <c r="AA169" i="54"/>
  <c r="I19" i="48"/>
  <c r="AI59" i="48" s="1"/>
  <c r="K111" i="44"/>
  <c r="J166" i="48"/>
  <c r="L135" i="44"/>
  <c r="J104" i="48"/>
  <c r="J28" i="44"/>
  <c r="I45" i="44"/>
  <c r="I107" i="48"/>
  <c r="Q65" i="54"/>
  <c r="I137" i="48"/>
  <c r="Q99" i="54"/>
  <c r="J129" i="44"/>
  <c r="J96" i="48"/>
  <c r="I99" i="44"/>
  <c r="I147" i="48"/>
  <c r="L133" i="44"/>
  <c r="I112" i="48"/>
  <c r="Q124" i="54"/>
  <c r="I165" i="48"/>
  <c r="K84" i="44"/>
  <c r="I121" i="48"/>
  <c r="Q31" i="54"/>
  <c r="L144" i="44"/>
  <c r="K99" i="44"/>
  <c r="J72" i="44"/>
  <c r="L9" i="48"/>
  <c r="K128" i="48"/>
  <c r="AA137" i="54"/>
  <c r="L82" i="44"/>
  <c r="K163" i="44"/>
  <c r="L166" i="44"/>
  <c r="L2" i="48"/>
  <c r="I117" i="48"/>
  <c r="Q75" i="54"/>
  <c r="I110" i="48"/>
  <c r="K65" i="44"/>
  <c r="I122" i="44"/>
  <c r="I112" i="44"/>
  <c r="J77" i="44"/>
  <c r="L141" i="44"/>
  <c r="J15" i="44"/>
  <c r="K140" i="44"/>
  <c r="J127" i="44"/>
  <c r="L143" i="48"/>
  <c r="I151" i="48"/>
  <c r="L15" i="48"/>
  <c r="K41" i="44"/>
  <c r="J141" i="44"/>
  <c r="I17" i="48"/>
  <c r="AI57" i="48" s="1"/>
  <c r="I142" i="44"/>
  <c r="K146" i="48"/>
  <c r="J2" i="48"/>
  <c r="K68" i="48"/>
  <c r="AK108" i="48" s="1"/>
  <c r="K103" i="48"/>
  <c r="L151" i="48"/>
  <c r="Q120" i="54"/>
  <c r="J64" i="48"/>
  <c r="L54" i="44"/>
  <c r="L100" i="44"/>
  <c r="I136" i="44"/>
  <c r="J162" i="44"/>
  <c r="J72" i="48"/>
  <c r="K158" i="44"/>
  <c r="K169" i="44"/>
  <c r="I105" i="44"/>
  <c r="J83" i="48"/>
  <c r="I128" i="44"/>
  <c r="K137" i="44"/>
  <c r="K103" i="44"/>
  <c r="L17" i="44"/>
  <c r="L172" i="48"/>
  <c r="I67" i="44"/>
  <c r="I48" i="48"/>
  <c r="AI88" i="48" s="1"/>
  <c r="K50" i="44"/>
  <c r="AA168" i="54"/>
  <c r="Q54" i="54"/>
  <c r="L118" i="48"/>
  <c r="Q80" i="54"/>
  <c r="L168" i="44"/>
  <c r="K15" i="44"/>
  <c r="Q34" i="54"/>
  <c r="L111" i="48"/>
  <c r="M111" i="48" s="1"/>
  <c r="L84" i="48"/>
  <c r="K108" i="48"/>
  <c r="Q66" i="54"/>
  <c r="K35" i="48"/>
  <c r="AK75" i="48" s="1"/>
  <c r="L43" i="48"/>
  <c r="I110" i="44"/>
  <c r="L134" i="44"/>
  <c r="J71" i="48"/>
  <c r="L139" i="48"/>
  <c r="L167" i="44"/>
  <c r="Q132" i="54"/>
  <c r="AA36" i="54"/>
  <c r="I55" i="44"/>
  <c r="L108" i="44"/>
  <c r="I104" i="44"/>
  <c r="AA161" i="54"/>
  <c r="J125" i="48"/>
  <c r="L154" i="44"/>
  <c r="L171" i="48"/>
  <c r="K118" i="44"/>
  <c r="AA143" i="54"/>
  <c r="AA74" i="54"/>
  <c r="L42" i="44"/>
  <c r="K156" i="48"/>
  <c r="I151" i="44"/>
  <c r="K88" i="44"/>
  <c r="J117" i="48"/>
  <c r="J45" i="48"/>
  <c r="K37" i="44"/>
  <c r="Q39" i="54"/>
  <c r="K120" i="48"/>
  <c r="J87" i="48"/>
  <c r="L41" i="48"/>
  <c r="I124" i="44"/>
  <c r="J47" i="48"/>
  <c r="K125" i="44"/>
  <c r="K165" i="48"/>
  <c r="J57" i="48"/>
  <c r="K116" i="48"/>
  <c r="I163" i="44"/>
  <c r="I109" i="48"/>
  <c r="I127" i="48"/>
  <c r="L37" i="48"/>
  <c r="K110" i="44"/>
  <c r="K143" i="48"/>
  <c r="L153" i="44"/>
  <c r="K14" i="48"/>
  <c r="AK54" i="48" s="1"/>
  <c r="Q146" i="54"/>
  <c r="I79" i="44"/>
  <c r="J139" i="44"/>
  <c r="AA53" i="54"/>
  <c r="K153" i="44"/>
  <c r="J24" i="48"/>
  <c r="I79" i="48"/>
  <c r="AI119" i="48" s="1"/>
  <c r="L13" i="44"/>
  <c r="J16" i="48"/>
  <c r="L109" i="44"/>
  <c r="J126" i="48"/>
  <c r="L85" i="44"/>
  <c r="K71" i="48"/>
  <c r="AK111" i="48" s="1"/>
  <c r="K145" i="48"/>
  <c r="J83" i="44"/>
  <c r="J121" i="48"/>
  <c r="Q42" i="54"/>
  <c r="Q145" i="54"/>
  <c r="K168" i="48"/>
  <c r="K82" i="44"/>
  <c r="I83" i="48"/>
  <c r="AI123" i="48" s="1"/>
  <c r="J123" i="48"/>
  <c r="K52" i="48"/>
  <c r="AK92" i="48" s="1"/>
  <c r="K12" i="48"/>
  <c r="AK52" i="48" s="1"/>
  <c r="I170" i="44"/>
  <c r="L165" i="48"/>
  <c r="I167" i="44"/>
  <c r="L57" i="48"/>
  <c r="L160" i="48"/>
  <c r="L109" i="48"/>
  <c r="L135" i="48"/>
  <c r="K13" i="48"/>
  <c r="AK53" i="48" s="1"/>
  <c r="J152" i="44"/>
  <c r="L15" i="44"/>
  <c r="J40" i="48"/>
  <c r="I80" i="44"/>
  <c r="Q45" i="54"/>
  <c r="I108" i="48"/>
  <c r="J74" i="44"/>
  <c r="Q167" i="54"/>
  <c r="J126" i="44"/>
  <c r="AA105" i="54"/>
  <c r="Q17" i="54"/>
  <c r="J160" i="48"/>
  <c r="K132" i="44"/>
  <c r="AA130" i="54"/>
  <c r="J53" i="48"/>
  <c r="J14" i="44"/>
  <c r="I134" i="44"/>
  <c r="K73" i="44"/>
  <c r="I66" i="44"/>
  <c r="L74" i="44"/>
  <c r="I111" i="48"/>
  <c r="J146" i="44"/>
  <c r="L65" i="48"/>
  <c r="I135" i="44"/>
  <c r="J52" i="44"/>
  <c r="I119" i="48"/>
  <c r="L88" i="48"/>
  <c r="K136" i="44"/>
  <c r="K141" i="48"/>
  <c r="AA55" i="54"/>
  <c r="I103" i="48"/>
  <c r="K33" i="48"/>
  <c r="AK73" i="48" s="1"/>
  <c r="I51" i="48"/>
  <c r="AI91" i="48" s="1"/>
  <c r="L121" i="44"/>
  <c r="L102" i="44"/>
  <c r="I12" i="48"/>
  <c r="AI52" i="48" s="1"/>
  <c r="J120" i="48"/>
  <c r="AA148" i="54"/>
  <c r="J154" i="44"/>
  <c r="J174" i="48"/>
  <c r="K166" i="44"/>
  <c r="I27" i="48"/>
  <c r="AI67" i="48" s="1"/>
  <c r="J44" i="48"/>
  <c r="L55" i="44"/>
  <c r="L3" i="48"/>
  <c r="I105" i="48"/>
  <c r="AA123" i="54"/>
  <c r="L84" i="44"/>
  <c r="K55" i="44"/>
  <c r="K118" i="48"/>
  <c r="J73" i="48"/>
  <c r="J79" i="48"/>
  <c r="L97" i="44"/>
  <c r="J118" i="48"/>
  <c r="L52" i="48"/>
  <c r="K161" i="44"/>
  <c r="Q64" i="54"/>
  <c r="L167" i="48"/>
  <c r="K174" i="48"/>
  <c r="I146" i="44"/>
  <c r="K121" i="48"/>
  <c r="J115" i="48"/>
  <c r="L38" i="44"/>
  <c r="J158" i="44"/>
  <c r="L123" i="48"/>
  <c r="M123" i="48" s="1"/>
  <c r="AA42" i="54"/>
  <c r="AA72" i="54"/>
  <c r="J143" i="48"/>
  <c r="I54" i="44"/>
  <c r="I13" i="44"/>
  <c r="J43" i="44"/>
  <c r="K172" i="48"/>
  <c r="L67" i="48"/>
  <c r="J100" i="48"/>
  <c r="I150" i="44"/>
  <c r="Q47" i="54"/>
  <c r="Q108" i="54"/>
  <c r="L148" i="44"/>
  <c r="J68" i="48"/>
  <c r="I131" i="44"/>
  <c r="K175" i="48"/>
  <c r="I82" i="48"/>
  <c r="AI122" i="48" s="1"/>
  <c r="I145" i="48"/>
  <c r="I3" i="48"/>
  <c r="AI43" i="48" s="1"/>
  <c r="L148" i="48"/>
  <c r="J167" i="48"/>
  <c r="J32" i="44"/>
  <c r="L163" i="48"/>
  <c r="J116" i="44"/>
  <c r="J143" i="44"/>
  <c r="L117" i="44"/>
  <c r="J54" i="44"/>
  <c r="I175" i="48"/>
  <c r="Q140" i="54"/>
  <c r="K54" i="44"/>
  <c r="J155" i="44"/>
  <c r="I116" i="48"/>
  <c r="Q117" i="54"/>
  <c r="I118" i="48"/>
  <c r="J135" i="48"/>
  <c r="AA16" i="54"/>
  <c r="AA109" i="54"/>
  <c r="L82" i="48"/>
  <c r="L79" i="44"/>
  <c r="Q166" i="54"/>
  <c r="L19" i="44"/>
  <c r="AA101" i="54"/>
  <c r="K144" i="48"/>
  <c r="L104" i="44"/>
  <c r="K111" i="48"/>
  <c r="L5" i="44"/>
  <c r="J84" i="48"/>
  <c r="L16" i="48"/>
  <c r="L111" i="44"/>
  <c r="I73" i="48"/>
  <c r="AI113" i="48" s="1"/>
  <c r="J141" i="48"/>
  <c r="I87" i="44"/>
  <c r="Q10" i="54"/>
  <c r="I121" i="44"/>
  <c r="I148" i="44"/>
  <c r="L123" i="44"/>
  <c r="I120" i="44"/>
  <c r="K149" i="48"/>
  <c r="K135" i="48"/>
  <c r="AA144" i="54"/>
  <c r="I71" i="48"/>
  <c r="AI111" i="48" s="1"/>
  <c r="Q107" i="54"/>
  <c r="K134" i="44"/>
  <c r="AA43" i="54"/>
  <c r="AA125" i="54"/>
  <c r="AA153" i="54"/>
  <c r="I157" i="44"/>
  <c r="I29" i="44"/>
  <c r="L36" i="44"/>
  <c r="AA131" i="54"/>
  <c r="I127" i="44"/>
  <c r="L136" i="48"/>
  <c r="M136" i="48" s="1"/>
  <c r="L64" i="48"/>
  <c r="L162" i="44"/>
  <c r="AA82" i="54"/>
  <c r="I129" i="44"/>
  <c r="Q163" i="54"/>
  <c r="J117" i="44"/>
  <c r="J157" i="48"/>
  <c r="L136" i="44"/>
  <c r="K135" i="44"/>
  <c r="Q22" i="54"/>
  <c r="I115" i="48"/>
  <c r="J19" i="44"/>
  <c r="AA88" i="54"/>
  <c r="I24" i="48"/>
  <c r="AI64" i="48" s="1"/>
  <c r="J75" i="48"/>
  <c r="J101" i="48"/>
  <c r="J137" i="48"/>
  <c r="K152" i="48"/>
  <c r="J23" i="44"/>
  <c r="I117" i="44"/>
  <c r="K25" i="44"/>
  <c r="I104" i="48"/>
  <c r="L52" i="44"/>
  <c r="K34" i="48"/>
  <c r="AK74" i="48" s="1"/>
  <c r="J90" i="48"/>
  <c r="L100" i="48"/>
  <c r="L147" i="48"/>
  <c r="I131" i="48"/>
  <c r="AA37" i="54"/>
  <c r="I50" i="44"/>
  <c r="K72" i="44"/>
  <c r="I5" i="44"/>
  <c r="L171" i="44"/>
  <c r="I156" i="44"/>
  <c r="J3" i="48"/>
  <c r="Q119" i="54"/>
  <c r="L68" i="44"/>
  <c r="Q82" i="54"/>
  <c r="I141" i="44"/>
  <c r="J25" i="48"/>
  <c r="J78" i="44"/>
  <c r="K127" i="48"/>
  <c r="I139" i="48"/>
  <c r="K33" i="44"/>
  <c r="K120" i="44"/>
  <c r="J65" i="44"/>
  <c r="Q37" i="54"/>
  <c r="K17" i="48"/>
  <c r="AK57" i="48" s="1"/>
  <c r="L129" i="44"/>
  <c r="L88" i="44"/>
  <c r="J145" i="44"/>
  <c r="AA150" i="54"/>
  <c r="Q139" i="54"/>
  <c r="Q29" i="54"/>
  <c r="AA134" i="54"/>
  <c r="J8" i="44"/>
  <c r="L31" i="44"/>
  <c r="I36" i="48"/>
  <c r="AI76" i="48" s="1"/>
  <c r="J151" i="48"/>
  <c r="K153" i="48"/>
  <c r="L10" i="48"/>
  <c r="L127" i="48"/>
  <c r="K78" i="44"/>
  <c r="K160" i="48"/>
  <c r="K50" i="48"/>
  <c r="AK90" i="48" s="1"/>
  <c r="AA96" i="54"/>
  <c r="L6" i="44"/>
  <c r="I17" i="44"/>
  <c r="Q111" i="54"/>
  <c r="Q144" i="54"/>
  <c r="L169" i="48"/>
  <c r="K82" i="48"/>
  <c r="AK122" i="48" s="1"/>
  <c r="AA154" i="54"/>
  <c r="L9" i="44"/>
  <c r="J129" i="48"/>
  <c r="L87" i="44"/>
  <c r="I19" i="44"/>
  <c r="I171" i="48"/>
  <c r="L134" i="48"/>
  <c r="L152" i="48"/>
  <c r="M152" i="48" s="1"/>
  <c r="Q136" i="54"/>
  <c r="AA114" i="54"/>
  <c r="K43" i="48"/>
  <c r="AK83" i="48" s="1"/>
  <c r="K110" i="48"/>
  <c r="L17" i="48"/>
  <c r="AA97" i="54"/>
  <c r="I166" i="44"/>
  <c r="J165" i="44"/>
  <c r="L119" i="44"/>
  <c r="Q16" i="54"/>
  <c r="J96" i="44"/>
  <c r="I2" i="44"/>
  <c r="J118" i="44"/>
  <c r="I159" i="44"/>
  <c r="L175" i="48"/>
  <c r="I32" i="48"/>
  <c r="AI72" i="48" s="1"/>
  <c r="K136" i="48"/>
  <c r="I142" i="48"/>
  <c r="Q74" i="54"/>
  <c r="J148" i="44"/>
  <c r="Q157" i="54"/>
  <c r="L40" i="48"/>
  <c r="J133" i="48"/>
  <c r="I157" i="48"/>
  <c r="J38" i="48"/>
  <c r="L24" i="44"/>
  <c r="J124" i="48"/>
  <c r="J147" i="44"/>
  <c r="I14" i="44"/>
  <c r="K147" i="44"/>
  <c r="I169" i="44"/>
  <c r="J80" i="48"/>
  <c r="L47" i="48"/>
  <c r="J50" i="44"/>
  <c r="AA31" i="54"/>
  <c r="I66" i="48"/>
  <c r="AI106" i="48" s="1"/>
  <c r="J130" i="48"/>
  <c r="J6" i="48"/>
  <c r="J142" i="48"/>
  <c r="J134" i="48"/>
  <c r="Q72" i="54"/>
  <c r="I25" i="48"/>
  <c r="AI65" i="48" s="1"/>
  <c r="K13" i="44"/>
  <c r="L50" i="48"/>
  <c r="L156" i="44"/>
  <c r="L39" i="44"/>
  <c r="I78" i="48"/>
  <c r="AI118" i="48" s="1"/>
  <c r="K39" i="48"/>
  <c r="AK79" i="48" s="1"/>
  <c r="I139" i="44"/>
  <c r="K79" i="48"/>
  <c r="AK119" i="48" s="1"/>
  <c r="K52" i="44"/>
  <c r="L50" i="44"/>
  <c r="K88" i="48"/>
  <c r="AK128" i="48" s="1"/>
  <c r="K77" i="48"/>
  <c r="AK117" i="48" s="1"/>
  <c r="Q67" i="54"/>
  <c r="K28" i="48"/>
  <c r="AK68" i="48" s="1"/>
  <c r="Q110" i="54"/>
  <c r="AA118" i="54"/>
  <c r="I28" i="44"/>
  <c r="L140" i="44"/>
  <c r="J140" i="48"/>
  <c r="I150" i="48"/>
  <c r="AA140" i="54"/>
  <c r="Q103" i="54"/>
  <c r="J22" i="48"/>
  <c r="K161" i="48"/>
  <c r="AA6" i="54"/>
  <c r="I129" i="48"/>
  <c r="I37" i="44"/>
  <c r="L47" i="44"/>
  <c r="K36" i="48"/>
  <c r="AK76" i="48" s="1"/>
  <c r="L51" i="48"/>
  <c r="J105" i="44"/>
  <c r="J167" i="44"/>
  <c r="AA138" i="54"/>
  <c r="J108" i="48"/>
  <c r="I164" i="48"/>
  <c r="K6" i="48"/>
  <c r="AK46" i="48" s="1"/>
  <c r="AA29" i="54"/>
  <c r="J156" i="44"/>
  <c r="I118" i="44"/>
  <c r="I54" i="48"/>
  <c r="AI94" i="48" s="1"/>
  <c r="I72" i="44"/>
  <c r="L64" i="44"/>
  <c r="J92" i="48"/>
  <c r="L138" i="44"/>
  <c r="J56" i="48"/>
  <c r="AA167" i="54"/>
  <c r="I159" i="48"/>
  <c r="J152" i="48"/>
  <c r="K80" i="48"/>
  <c r="AK120" i="48" s="1"/>
  <c r="AA34" i="54"/>
  <c r="K102" i="44"/>
  <c r="J67" i="48"/>
  <c r="J23" i="48"/>
  <c r="I53" i="48"/>
  <c r="AI93" i="48" s="1"/>
  <c r="L19" i="48"/>
  <c r="L164" i="44"/>
  <c r="J100" i="44"/>
  <c r="K173" i="48"/>
  <c r="L36" i="48"/>
  <c r="K112" i="48"/>
  <c r="L124" i="48"/>
  <c r="I102" i="44"/>
  <c r="J144" i="44"/>
  <c r="L75" i="44"/>
  <c r="J27" i="44"/>
  <c r="J85" i="44"/>
  <c r="J153" i="44"/>
  <c r="J10" i="48"/>
  <c r="I42" i="44"/>
  <c r="K151" i="48"/>
  <c r="L157" i="44"/>
  <c r="Q169" i="54"/>
  <c r="AA19" i="54"/>
  <c r="K34" i="44"/>
  <c r="L99" i="44"/>
  <c r="Q51" i="54"/>
  <c r="K101" i="44"/>
  <c r="AA52" i="54"/>
  <c r="AA39" i="54"/>
  <c r="L138" i="48"/>
  <c r="K115" i="48"/>
  <c r="J44" i="44"/>
  <c r="L149" i="48"/>
  <c r="I56" i="48"/>
  <c r="AI96" i="48" s="1"/>
  <c r="I47" i="48"/>
  <c r="AI87" i="48" s="1"/>
  <c r="AA159" i="54"/>
  <c r="K67" i="48"/>
  <c r="AK107" i="48" s="1"/>
  <c r="J127" i="48"/>
  <c r="J125" i="44"/>
  <c r="I85" i="48"/>
  <c r="AI125" i="48" s="1"/>
  <c r="I132" i="44"/>
  <c r="J162" i="48"/>
  <c r="Q43" i="54"/>
  <c r="L154" i="48"/>
  <c r="M154" i="48" s="1"/>
  <c r="K85" i="48"/>
  <c r="AK125" i="48" s="1"/>
  <c r="I10" i="48"/>
  <c r="AI50" i="48" s="1"/>
  <c r="L125" i="48"/>
  <c r="AA111" i="54"/>
  <c r="I25" i="44"/>
  <c r="I57" i="44"/>
  <c r="Q171" i="54"/>
  <c r="J92" i="44"/>
  <c r="K44" i="44"/>
  <c r="L131" i="48"/>
  <c r="K122" i="44"/>
  <c r="Q53" i="54"/>
  <c r="AA84" i="54"/>
  <c r="I9" i="44"/>
  <c r="L39" i="48"/>
  <c r="I148" i="48"/>
  <c r="I40" i="44"/>
  <c r="J142" i="44"/>
  <c r="K107" i="48"/>
  <c r="Q33" i="54"/>
  <c r="I125" i="44"/>
  <c r="I173" i="48"/>
  <c r="J73" i="44"/>
  <c r="I103" i="44"/>
  <c r="K19" i="44"/>
  <c r="L93" i="44"/>
  <c r="Q154" i="54"/>
  <c r="Q149" i="54"/>
  <c r="L23" i="48"/>
  <c r="K22" i="48"/>
  <c r="AK62" i="48" s="1"/>
  <c r="I40" i="48"/>
  <c r="AI80" i="48" s="1"/>
  <c r="I45" i="48"/>
  <c r="AI85" i="48" s="1"/>
  <c r="Q44" i="54"/>
  <c r="L78" i="44"/>
  <c r="J109" i="48"/>
  <c r="Q142" i="54"/>
  <c r="I170" i="48"/>
  <c r="J128" i="48"/>
  <c r="I153" i="44"/>
  <c r="K19" i="48"/>
  <c r="AK59" i="48" s="1"/>
  <c r="AA78" i="54"/>
  <c r="L29" i="44"/>
  <c r="K16" i="44"/>
  <c r="L160" i="44"/>
  <c r="L8" i="44"/>
  <c r="J42" i="44"/>
  <c r="Q170" i="54"/>
  <c r="L173" i="48"/>
  <c r="M173" i="48" s="1"/>
  <c r="I73" i="44"/>
  <c r="K36" i="44"/>
  <c r="K112" i="44"/>
  <c r="I114" i="48"/>
  <c r="Q84" i="54"/>
  <c r="L35" i="48"/>
  <c r="L78" i="48"/>
  <c r="K160" i="44"/>
  <c r="K74" i="44"/>
  <c r="J54" i="48"/>
  <c r="L24" i="48"/>
  <c r="I116" i="44"/>
  <c r="L157" i="48"/>
  <c r="L110" i="48"/>
  <c r="K166" i="48"/>
  <c r="I2" i="48"/>
  <c r="AI42" i="48" s="1"/>
  <c r="I27" i="44"/>
  <c r="I144" i="48"/>
  <c r="Q27" i="54"/>
  <c r="AA157" i="54"/>
  <c r="L34" i="44"/>
  <c r="I34" i="48"/>
  <c r="AI74" i="48" s="1"/>
  <c r="AA147" i="54"/>
  <c r="J170" i="44"/>
  <c r="L104" i="48"/>
  <c r="J116" i="48"/>
  <c r="J12" i="44"/>
  <c r="AA135" i="54"/>
  <c r="L71" i="48"/>
  <c r="I160" i="48"/>
  <c r="J67" i="44"/>
  <c r="I130" i="48"/>
  <c r="I146" i="48"/>
  <c r="J16" i="44"/>
  <c r="L142" i="48"/>
  <c r="J48" i="44"/>
  <c r="K12" i="44"/>
  <c r="I65" i="48"/>
  <c r="AI105" i="48" s="1"/>
  <c r="L103" i="44"/>
  <c r="L151" i="44"/>
  <c r="I55" i="48"/>
  <c r="AI95" i="48" s="1"/>
  <c r="I9" i="48"/>
  <c r="AI49" i="48" s="1"/>
  <c r="AA33" i="54"/>
  <c r="I153" i="48"/>
  <c r="L112" i="44"/>
  <c r="I38" i="44"/>
  <c r="L105" i="44"/>
  <c r="K31" i="44"/>
  <c r="AA24" i="54"/>
  <c r="AA164" i="54"/>
  <c r="J48" i="48"/>
  <c r="L169" i="44"/>
  <c r="Q138" i="54"/>
  <c r="Q121" i="54"/>
  <c r="K126" i="48"/>
  <c r="I135" i="48"/>
  <c r="J55" i="44"/>
  <c r="J15" i="48"/>
  <c r="J123" i="44"/>
  <c r="I138" i="44"/>
  <c r="K73" i="48"/>
  <c r="AK113" i="48" s="1"/>
  <c r="Q131" i="54"/>
  <c r="Q150" i="54"/>
  <c r="I68" i="44"/>
  <c r="I88" i="44"/>
  <c r="AA79" i="54"/>
  <c r="Q151" i="54"/>
  <c r="I10" i="44"/>
  <c r="J39" i="44"/>
  <c r="J124" i="44"/>
  <c r="Q9" i="54"/>
  <c r="I140" i="44"/>
  <c r="K155" i="44"/>
  <c r="J90" i="44"/>
  <c r="Q28" i="54"/>
  <c r="L158" i="48"/>
  <c r="L72" i="48"/>
  <c r="K170" i="44"/>
  <c r="K93" i="44"/>
  <c r="J51" i="48"/>
  <c r="L114" i="44"/>
  <c r="J10" i="44"/>
  <c r="L83" i="48"/>
  <c r="J28" i="48"/>
  <c r="L146" i="44"/>
  <c r="L107" i="44"/>
  <c r="K162" i="44"/>
  <c r="J161" i="44"/>
  <c r="J33" i="48"/>
  <c r="I162" i="48"/>
  <c r="L22" i="44"/>
  <c r="J149" i="44"/>
  <c r="AA8" i="54"/>
  <c r="K107" i="44"/>
  <c r="J36" i="44"/>
  <c r="K139" i="48"/>
  <c r="J14" i="48"/>
  <c r="I134" i="48"/>
  <c r="L144" i="48"/>
  <c r="I152" i="48"/>
  <c r="K171" i="48"/>
  <c r="AA71" i="54"/>
  <c r="J111" i="44"/>
  <c r="I84" i="44"/>
  <c r="AA100" i="54"/>
  <c r="K129" i="44"/>
  <c r="J40" i="44"/>
  <c r="Q115" i="54"/>
  <c r="J103" i="44"/>
  <c r="L158" i="44"/>
  <c r="K75" i="48"/>
  <c r="AK115" i="48" s="1"/>
  <c r="K164" i="44"/>
  <c r="Q164" i="54"/>
  <c r="J17" i="48"/>
  <c r="L55" i="48"/>
  <c r="L3" i="44"/>
  <c r="L149" i="44"/>
  <c r="L10" i="44"/>
  <c r="I155" i="44"/>
  <c r="I31" i="44"/>
  <c r="I87" i="48"/>
  <c r="AI127" i="48" s="1"/>
  <c r="K147" i="48"/>
  <c r="I8" i="44"/>
  <c r="K163" i="48"/>
  <c r="K122" i="48"/>
  <c r="I90" i="44"/>
  <c r="J66" i="44"/>
  <c r="L118" i="44"/>
  <c r="K130" i="44"/>
  <c r="J71" i="44"/>
  <c r="I162" i="44"/>
  <c r="J140" i="44"/>
  <c r="L140" i="48"/>
  <c r="I85" i="44"/>
  <c r="L80" i="44"/>
  <c r="J159" i="44"/>
  <c r="I99" i="48"/>
  <c r="AI139" i="48" s="1"/>
  <c r="L56" i="44"/>
  <c r="J22" i="44"/>
  <c r="K129" i="48"/>
  <c r="I123" i="44"/>
  <c r="AA77" i="54"/>
  <c r="J154" i="48"/>
  <c r="J115" i="44"/>
  <c r="I28" i="48"/>
  <c r="AI68" i="48" s="1"/>
  <c r="I23" i="44"/>
  <c r="I8" i="48"/>
  <c r="AI48" i="48" s="1"/>
  <c r="L115" i="44"/>
  <c r="L155" i="44"/>
  <c r="K80" i="44"/>
  <c r="J99" i="44"/>
  <c r="J39" i="48"/>
  <c r="Q35" i="54"/>
  <c r="K8" i="44"/>
  <c r="K47" i="44"/>
  <c r="K123" i="44"/>
  <c r="L74" i="48"/>
  <c r="K164" i="48"/>
  <c r="K170" i="48"/>
  <c r="AA112" i="54"/>
  <c r="K10" i="44"/>
  <c r="Q13" i="54"/>
  <c r="K27" i="44"/>
  <c r="AA65" i="54"/>
  <c r="I101" i="44"/>
  <c r="Q104" i="54"/>
  <c r="I13" i="48"/>
  <c r="AI53" i="48" s="1"/>
  <c r="J35" i="44"/>
  <c r="K152" i="44"/>
  <c r="J82" i="44"/>
  <c r="J97" i="48"/>
  <c r="J52" i="48"/>
  <c r="K99" i="48"/>
  <c r="AK139" i="48" s="1"/>
  <c r="L2" i="44"/>
  <c r="I128" i="48"/>
  <c r="J93" i="44"/>
  <c r="Q12" i="54"/>
  <c r="AA151" i="54"/>
  <c r="I115" i="44"/>
  <c r="AA2" i="54"/>
  <c r="J31" i="48"/>
  <c r="J132" i="48"/>
  <c r="J171" i="44"/>
  <c r="I102" i="48"/>
  <c r="L101" i="44"/>
  <c r="K158" i="48"/>
  <c r="L67" i="44"/>
  <c r="L125" i="44"/>
  <c r="I6" i="44"/>
  <c r="I163" i="48"/>
  <c r="J88" i="44"/>
  <c r="Q105" i="54"/>
  <c r="K42" i="48"/>
  <c r="AK82" i="48" s="1"/>
  <c r="K117" i="48"/>
  <c r="K90" i="48"/>
  <c r="AK130" i="48" s="1"/>
  <c r="J133" i="44"/>
  <c r="Q77" i="54"/>
  <c r="K2" i="48"/>
  <c r="AK42" i="48" s="1"/>
  <c r="K150" i="48"/>
  <c r="K144" i="44"/>
  <c r="L33" i="44"/>
  <c r="J160" i="44"/>
  <c r="I22" i="44"/>
  <c r="L145" i="44"/>
  <c r="I168" i="44"/>
  <c r="J65" i="48"/>
  <c r="AA13" i="54"/>
  <c r="L71" i="44"/>
  <c r="L97" i="48"/>
  <c r="K9" i="44"/>
  <c r="J13" i="48"/>
  <c r="K3" i="44"/>
  <c r="L132" i="44"/>
  <c r="Q102" i="54"/>
  <c r="J25" i="44"/>
  <c r="J109" i="44"/>
  <c r="L176" i="48"/>
  <c r="K167" i="48"/>
  <c r="AA80" i="54"/>
  <c r="Q25" i="54"/>
  <c r="J131" i="48"/>
  <c r="K90" i="44"/>
  <c r="L119" i="48"/>
  <c r="I174" i="48"/>
  <c r="AA141" i="54"/>
  <c r="K157" i="48"/>
  <c r="Q55" i="54"/>
  <c r="J144" i="48"/>
  <c r="J150" i="48"/>
  <c r="L124" i="44"/>
  <c r="J34" i="48"/>
  <c r="J169" i="44"/>
  <c r="I114" i="44"/>
  <c r="Q153" i="54"/>
  <c r="J136" i="44"/>
  <c r="Q109" i="54"/>
  <c r="J5" i="48"/>
  <c r="J148" i="48"/>
  <c r="K132" i="48"/>
  <c r="K105" i="44"/>
  <c r="I82" i="44"/>
  <c r="Q73" i="54"/>
  <c r="I52" i="48"/>
  <c r="AI92" i="48" s="1"/>
  <c r="K133" i="44"/>
  <c r="I147" i="44"/>
  <c r="K23" i="44"/>
  <c r="J134" i="44"/>
  <c r="I101" i="48"/>
  <c r="AI141" i="48" s="1"/>
  <c r="L38" i="48"/>
  <c r="L68" i="48"/>
  <c r="K24" i="48"/>
  <c r="AK64" i="48" s="1"/>
  <c r="J163" i="44"/>
  <c r="K53" i="44"/>
  <c r="J119" i="48"/>
  <c r="K125" i="48"/>
  <c r="K45" i="48"/>
  <c r="AK85" i="48" s="1"/>
  <c r="AA68" i="54"/>
  <c r="I72" i="48"/>
  <c r="AI112" i="48" s="1"/>
  <c r="I6" i="48"/>
  <c r="AI46" i="48" s="1"/>
  <c r="K39" i="44"/>
  <c r="K117" i="44"/>
  <c r="I51" i="44"/>
  <c r="J166" i="44"/>
  <c r="J103" i="48"/>
  <c r="A74" i="35" l="1"/>
  <c r="M119" i="48"/>
  <c r="M124" i="48"/>
  <c r="M175" i="48"/>
  <c r="M134" i="48"/>
  <c r="M169" i="48"/>
  <c r="M163" i="48"/>
  <c r="M127" i="48"/>
  <c r="M164" i="48"/>
  <c r="M128" i="48"/>
  <c r="M135" i="48"/>
  <c r="M140" i="48"/>
  <c r="M157" i="48"/>
  <c r="M149" i="48"/>
  <c r="M109" i="48"/>
  <c r="M172" i="48"/>
  <c r="M151" i="48"/>
  <c r="M120" i="48"/>
  <c r="M110" i="48"/>
  <c r="M148" i="48"/>
  <c r="M160" i="48"/>
  <c r="M145" i="48"/>
  <c r="M158" i="48"/>
  <c r="M144" i="48"/>
  <c r="M142" i="48"/>
  <c r="M125" i="48"/>
  <c r="M147" i="48"/>
  <c r="M171" i="48"/>
  <c r="M118" i="48"/>
  <c r="M131" i="48"/>
  <c r="M143" i="48"/>
  <c r="M138" i="48"/>
  <c r="M176" i="48"/>
  <c r="M104" i="48"/>
  <c r="M167" i="48"/>
  <c r="M165" i="48"/>
  <c r="M139" i="48"/>
  <c r="M156" i="48"/>
  <c r="X105" i="54"/>
  <c r="T105" i="54"/>
  <c r="V105" i="54"/>
  <c r="W105" i="54"/>
  <c r="R105" i="54"/>
  <c r="S105" i="54"/>
  <c r="Z105" i="54"/>
  <c r="U105" i="54"/>
  <c r="Y105" i="54"/>
  <c r="AL91" i="48"/>
  <c r="M51" i="48"/>
  <c r="W103" i="54"/>
  <c r="Y103" i="54"/>
  <c r="V103" i="54"/>
  <c r="S103" i="54"/>
  <c r="U103" i="54"/>
  <c r="R103" i="54"/>
  <c r="X103" i="54"/>
  <c r="T103" i="54"/>
  <c r="Z103" i="54"/>
  <c r="AL56" i="48"/>
  <c r="M16" i="48"/>
  <c r="W166" i="54"/>
  <c r="V166" i="54"/>
  <c r="T166" i="54"/>
  <c r="Y166" i="54"/>
  <c r="U166" i="54"/>
  <c r="Z166" i="54"/>
  <c r="R166" i="54"/>
  <c r="S166" i="54"/>
  <c r="X166" i="54"/>
  <c r="AL107" i="48"/>
  <c r="M67" i="48"/>
  <c r="S64" i="54"/>
  <c r="Z64" i="54"/>
  <c r="W64" i="54"/>
  <c r="V64" i="54"/>
  <c r="X64" i="54"/>
  <c r="Y64" i="54"/>
  <c r="T64" i="54"/>
  <c r="R64" i="54"/>
  <c r="U64" i="54"/>
  <c r="V42" i="54"/>
  <c r="Y42" i="54"/>
  <c r="R42" i="54"/>
  <c r="X42" i="54"/>
  <c r="U42" i="54"/>
  <c r="T42" i="54"/>
  <c r="Z42" i="54"/>
  <c r="S42" i="54"/>
  <c r="W42" i="54"/>
  <c r="Y146" i="54"/>
  <c r="W146" i="54"/>
  <c r="V146" i="54"/>
  <c r="U146" i="54"/>
  <c r="R146" i="54"/>
  <c r="Z146" i="54"/>
  <c r="S146" i="54"/>
  <c r="T146" i="54"/>
  <c r="X146" i="54"/>
  <c r="V75" i="54"/>
  <c r="X75" i="54"/>
  <c r="Z75" i="54"/>
  <c r="U75" i="54"/>
  <c r="W75" i="54"/>
  <c r="T75" i="54"/>
  <c r="R75" i="54"/>
  <c r="S75" i="54"/>
  <c r="Y75" i="54"/>
  <c r="M9" i="48"/>
  <c r="AL49" i="48"/>
  <c r="W124" i="54"/>
  <c r="S124" i="54"/>
  <c r="X124" i="54"/>
  <c r="Z124" i="54"/>
  <c r="R124" i="54"/>
  <c r="Y124" i="54"/>
  <c r="U124" i="54"/>
  <c r="V124" i="54"/>
  <c r="T124" i="54"/>
  <c r="X88" i="54"/>
  <c r="Z88" i="54"/>
  <c r="Y88" i="54"/>
  <c r="S88" i="54"/>
  <c r="V88" i="54"/>
  <c r="T88" i="54"/>
  <c r="R88" i="54"/>
  <c r="U88" i="54"/>
  <c r="W88" i="54"/>
  <c r="R101" i="54"/>
  <c r="S101" i="54"/>
  <c r="W101" i="54"/>
  <c r="X101" i="54"/>
  <c r="U101" i="54"/>
  <c r="V101" i="54"/>
  <c r="T101" i="54"/>
  <c r="Y101" i="54"/>
  <c r="Z101" i="54"/>
  <c r="AL46" i="48"/>
  <c r="M6" i="48"/>
  <c r="AL85" i="48"/>
  <c r="M45" i="48"/>
  <c r="AL101" i="48"/>
  <c r="M61" i="48"/>
  <c r="R6" i="54"/>
  <c r="T6" i="54"/>
  <c r="Y6" i="54"/>
  <c r="S6" i="54"/>
  <c r="Z6" i="54"/>
  <c r="U6" i="54"/>
  <c r="V6" i="54"/>
  <c r="X6" i="54"/>
  <c r="W6" i="54"/>
  <c r="M114" i="48"/>
  <c r="X4" i="54"/>
  <c r="S4" i="54"/>
  <c r="R4" i="54"/>
  <c r="W4" i="54"/>
  <c r="Y4" i="54"/>
  <c r="U4" i="54"/>
  <c r="T4" i="54"/>
  <c r="Z4" i="54"/>
  <c r="V4" i="54"/>
  <c r="Y41" i="54"/>
  <c r="S41" i="54"/>
  <c r="Z41" i="54"/>
  <c r="R41" i="54"/>
  <c r="T41" i="54"/>
  <c r="W41" i="54"/>
  <c r="X41" i="54"/>
  <c r="U41" i="54"/>
  <c r="V41" i="54"/>
  <c r="AL126" i="48"/>
  <c r="M86" i="48"/>
  <c r="V24" i="54"/>
  <c r="X24" i="54"/>
  <c r="U24" i="54"/>
  <c r="Y24" i="54"/>
  <c r="Z24" i="54"/>
  <c r="T24" i="54"/>
  <c r="W24" i="54"/>
  <c r="R24" i="54"/>
  <c r="S24" i="54"/>
  <c r="X100" i="54"/>
  <c r="T100" i="54"/>
  <c r="Y100" i="54"/>
  <c r="S100" i="54"/>
  <c r="U100" i="54"/>
  <c r="R100" i="54"/>
  <c r="W100" i="54"/>
  <c r="Z100" i="54"/>
  <c r="V100" i="54"/>
  <c r="AL45" i="48"/>
  <c r="M5" i="48"/>
  <c r="M87" i="48"/>
  <c r="AL127" i="48"/>
  <c r="U141" i="54"/>
  <c r="Y141" i="54"/>
  <c r="Z141" i="54"/>
  <c r="W141" i="54"/>
  <c r="V141" i="54"/>
  <c r="X141" i="54"/>
  <c r="T141" i="54"/>
  <c r="R141" i="54"/>
  <c r="S141" i="54"/>
  <c r="AL141" i="48"/>
  <c r="M101" i="48"/>
  <c r="AL44" i="48"/>
  <c r="M4" i="48"/>
  <c r="M150" i="48"/>
  <c r="M155" i="48"/>
  <c r="AL89" i="48"/>
  <c r="M49" i="48"/>
  <c r="X70" i="54"/>
  <c r="V70" i="54"/>
  <c r="W70" i="54"/>
  <c r="Z70" i="54"/>
  <c r="R70" i="54"/>
  <c r="Y70" i="54"/>
  <c r="S70" i="54"/>
  <c r="T70" i="54"/>
  <c r="U70" i="54"/>
  <c r="AL106" i="48"/>
  <c r="M66" i="48"/>
  <c r="X61" i="54"/>
  <c r="W61" i="54"/>
  <c r="Z61" i="54"/>
  <c r="U61" i="54"/>
  <c r="V61" i="54"/>
  <c r="Y61" i="54"/>
  <c r="T61" i="54"/>
  <c r="R61" i="54"/>
  <c r="S61" i="54"/>
  <c r="AL47" i="48"/>
  <c r="M7" i="48"/>
  <c r="AL51" i="48"/>
  <c r="M11" i="48"/>
  <c r="V135" i="54"/>
  <c r="X135" i="54"/>
  <c r="Y135" i="54"/>
  <c r="T135" i="54"/>
  <c r="Z135" i="54"/>
  <c r="W135" i="54"/>
  <c r="R135" i="54"/>
  <c r="U135" i="54"/>
  <c r="S135" i="54"/>
  <c r="S49" i="54"/>
  <c r="Z49" i="54"/>
  <c r="R49" i="54"/>
  <c r="Y49" i="54"/>
  <c r="U49" i="54"/>
  <c r="V49" i="54"/>
  <c r="T49" i="54"/>
  <c r="W49" i="54"/>
  <c r="X49" i="54"/>
  <c r="Y9" i="54"/>
  <c r="T9" i="54"/>
  <c r="U9" i="54"/>
  <c r="Z9" i="54"/>
  <c r="W9" i="54"/>
  <c r="R9" i="54"/>
  <c r="X9" i="54"/>
  <c r="V9" i="54"/>
  <c r="S9" i="54"/>
  <c r="U150" i="54"/>
  <c r="Y150" i="54"/>
  <c r="V150" i="54"/>
  <c r="T150" i="54"/>
  <c r="X150" i="54"/>
  <c r="S150" i="54"/>
  <c r="W150" i="54"/>
  <c r="Z150" i="54"/>
  <c r="R150" i="54"/>
  <c r="AL118" i="48"/>
  <c r="M78" i="48"/>
  <c r="X170" i="54"/>
  <c r="U170" i="54"/>
  <c r="W170" i="54"/>
  <c r="Z170" i="54"/>
  <c r="T170" i="54"/>
  <c r="S170" i="54"/>
  <c r="V170" i="54"/>
  <c r="R170" i="54"/>
  <c r="Y170" i="54"/>
  <c r="AL79" i="48"/>
  <c r="M39" i="48"/>
  <c r="W171" i="54"/>
  <c r="R171" i="54"/>
  <c r="T171" i="54"/>
  <c r="Y171" i="54"/>
  <c r="Z171" i="54"/>
  <c r="X171" i="54"/>
  <c r="V171" i="54"/>
  <c r="U171" i="54"/>
  <c r="S171" i="54"/>
  <c r="S43" i="54"/>
  <c r="X43" i="54"/>
  <c r="Z43" i="54"/>
  <c r="U43" i="54"/>
  <c r="T43" i="54"/>
  <c r="W43" i="54"/>
  <c r="Y43" i="54"/>
  <c r="V43" i="54"/>
  <c r="R43" i="54"/>
  <c r="V67" i="54"/>
  <c r="T67" i="54"/>
  <c r="U67" i="54"/>
  <c r="R67" i="54"/>
  <c r="Z67" i="54"/>
  <c r="Y67" i="54"/>
  <c r="W67" i="54"/>
  <c r="S67" i="54"/>
  <c r="X67" i="54"/>
  <c r="S37" i="54"/>
  <c r="V37" i="54"/>
  <c r="Y37" i="54"/>
  <c r="T37" i="54"/>
  <c r="R37" i="54"/>
  <c r="U37" i="54"/>
  <c r="Z37" i="54"/>
  <c r="X37" i="54"/>
  <c r="W37" i="54"/>
  <c r="X167" i="54"/>
  <c r="S167" i="54"/>
  <c r="R167" i="54"/>
  <c r="T167" i="54"/>
  <c r="Z167" i="54"/>
  <c r="Y167" i="54"/>
  <c r="W167" i="54"/>
  <c r="V167" i="54"/>
  <c r="U167" i="54"/>
  <c r="W34" i="54"/>
  <c r="T34" i="54"/>
  <c r="S34" i="54"/>
  <c r="Z34" i="54"/>
  <c r="V34" i="54"/>
  <c r="Y34" i="54"/>
  <c r="U34" i="54"/>
  <c r="X34" i="54"/>
  <c r="R34" i="54"/>
  <c r="Y65" i="54"/>
  <c r="R65" i="54"/>
  <c r="U65" i="54"/>
  <c r="W65" i="54"/>
  <c r="X65" i="54"/>
  <c r="T65" i="54"/>
  <c r="S65" i="54"/>
  <c r="Z65" i="54"/>
  <c r="V65" i="54"/>
  <c r="S8" i="54"/>
  <c r="T8" i="54"/>
  <c r="Z8" i="54"/>
  <c r="W8" i="54"/>
  <c r="V8" i="54"/>
  <c r="U8" i="54"/>
  <c r="Y8" i="54"/>
  <c r="X8" i="54"/>
  <c r="R8" i="54"/>
  <c r="AL130" i="48"/>
  <c r="M90" i="48"/>
  <c r="AL60" i="48"/>
  <c r="M20" i="48"/>
  <c r="V85" i="54"/>
  <c r="S85" i="54"/>
  <c r="X85" i="54"/>
  <c r="Z85" i="54"/>
  <c r="R85" i="54"/>
  <c r="U85" i="54"/>
  <c r="T85" i="54"/>
  <c r="W85" i="54"/>
  <c r="Y85" i="54"/>
  <c r="AL96" i="48"/>
  <c r="M56" i="48"/>
  <c r="M146" i="48"/>
  <c r="Z97" i="54"/>
  <c r="X97" i="54"/>
  <c r="R97" i="54"/>
  <c r="T97" i="54"/>
  <c r="Y97" i="54"/>
  <c r="U97" i="54"/>
  <c r="W97" i="54"/>
  <c r="S97" i="54"/>
  <c r="V97" i="54"/>
  <c r="M168" i="48"/>
  <c r="X122" i="54"/>
  <c r="Y122" i="54"/>
  <c r="S122" i="54"/>
  <c r="U122" i="54"/>
  <c r="V122" i="54"/>
  <c r="Z122" i="54"/>
  <c r="W122" i="54"/>
  <c r="T122" i="54"/>
  <c r="R122" i="54"/>
  <c r="Z116" i="54"/>
  <c r="W116" i="54"/>
  <c r="S116" i="54"/>
  <c r="X116" i="54"/>
  <c r="T116" i="54"/>
  <c r="R116" i="54"/>
  <c r="Y116" i="54"/>
  <c r="V116" i="54"/>
  <c r="U116" i="54"/>
  <c r="AL88" i="48"/>
  <c r="M48" i="48"/>
  <c r="Z127" i="54"/>
  <c r="V127" i="54"/>
  <c r="X127" i="54"/>
  <c r="S127" i="54"/>
  <c r="T127" i="54"/>
  <c r="R127" i="54"/>
  <c r="Y127" i="54"/>
  <c r="U127" i="54"/>
  <c r="W127" i="54"/>
  <c r="T159" i="54"/>
  <c r="V159" i="54"/>
  <c r="S159" i="54"/>
  <c r="X159" i="54"/>
  <c r="R159" i="54"/>
  <c r="Y159" i="54"/>
  <c r="U159" i="54"/>
  <c r="W159" i="54"/>
  <c r="Z159" i="54"/>
  <c r="M133" i="48"/>
  <c r="M116" i="48"/>
  <c r="AL66" i="48"/>
  <c r="M26" i="48"/>
  <c r="Y26" i="54"/>
  <c r="S26" i="54"/>
  <c r="Z26" i="54"/>
  <c r="R26" i="54"/>
  <c r="U26" i="54"/>
  <c r="X26" i="54"/>
  <c r="W26" i="54"/>
  <c r="V26" i="54"/>
  <c r="T26" i="54"/>
  <c r="X60" i="54"/>
  <c r="Z60" i="54"/>
  <c r="W60" i="54"/>
  <c r="Y60" i="54"/>
  <c r="T60" i="54"/>
  <c r="S60" i="54"/>
  <c r="V60" i="54"/>
  <c r="U60" i="54"/>
  <c r="R60" i="54"/>
  <c r="AL110" i="48"/>
  <c r="M70" i="48"/>
  <c r="R106" i="54"/>
  <c r="X106" i="54"/>
  <c r="S106" i="54"/>
  <c r="Y106" i="54"/>
  <c r="V106" i="54"/>
  <c r="T106" i="54"/>
  <c r="Z106" i="54"/>
  <c r="U106" i="54"/>
  <c r="W106" i="54"/>
  <c r="M130" i="48"/>
  <c r="AL138" i="48"/>
  <c r="M98" i="48"/>
  <c r="T95" i="54"/>
  <c r="U95" i="54"/>
  <c r="S95" i="54"/>
  <c r="V95" i="54"/>
  <c r="X95" i="54"/>
  <c r="R95" i="54"/>
  <c r="Z95" i="54"/>
  <c r="W95" i="54"/>
  <c r="Y95" i="54"/>
  <c r="Y69" i="54"/>
  <c r="X69" i="54"/>
  <c r="T69" i="54"/>
  <c r="S69" i="54"/>
  <c r="V69" i="54"/>
  <c r="W69" i="54"/>
  <c r="R69" i="54"/>
  <c r="U69" i="54"/>
  <c r="Z69" i="54"/>
  <c r="T21" i="54"/>
  <c r="W21" i="54"/>
  <c r="Y21" i="54"/>
  <c r="V21" i="54"/>
  <c r="R21" i="54"/>
  <c r="X21" i="54"/>
  <c r="S21" i="54"/>
  <c r="Z21" i="54"/>
  <c r="U21" i="54"/>
  <c r="V62" i="54"/>
  <c r="X62" i="54"/>
  <c r="U62" i="54"/>
  <c r="R62" i="54"/>
  <c r="T62" i="54"/>
  <c r="W62" i="54"/>
  <c r="Z62" i="54"/>
  <c r="S62" i="54"/>
  <c r="Y62" i="54"/>
  <c r="R102" i="54"/>
  <c r="W102" i="54"/>
  <c r="Z102" i="54"/>
  <c r="S102" i="54"/>
  <c r="T102" i="54"/>
  <c r="X102" i="54"/>
  <c r="Y102" i="54"/>
  <c r="V102" i="54"/>
  <c r="U102" i="54"/>
  <c r="S104" i="54"/>
  <c r="W104" i="54"/>
  <c r="T104" i="54"/>
  <c r="Z104" i="54"/>
  <c r="U104" i="54"/>
  <c r="Y104" i="54"/>
  <c r="R104" i="54"/>
  <c r="X104" i="54"/>
  <c r="V104" i="54"/>
  <c r="U131" i="54"/>
  <c r="X131" i="54"/>
  <c r="R131" i="54"/>
  <c r="T131" i="54"/>
  <c r="V131" i="54"/>
  <c r="W131" i="54"/>
  <c r="S131" i="54"/>
  <c r="Y131" i="54"/>
  <c r="Z131" i="54"/>
  <c r="T121" i="54"/>
  <c r="S121" i="54"/>
  <c r="U121" i="54"/>
  <c r="Z121" i="54"/>
  <c r="W121" i="54"/>
  <c r="X121" i="54"/>
  <c r="R121" i="54"/>
  <c r="Y121" i="54"/>
  <c r="V121" i="54"/>
  <c r="AL75" i="48"/>
  <c r="M35" i="48"/>
  <c r="Y51" i="54"/>
  <c r="S51" i="54"/>
  <c r="V51" i="54"/>
  <c r="X51" i="54"/>
  <c r="Z51" i="54"/>
  <c r="U51" i="54"/>
  <c r="W51" i="54"/>
  <c r="T51" i="54"/>
  <c r="R51" i="54"/>
  <c r="AL80" i="48"/>
  <c r="M40" i="48"/>
  <c r="U144" i="54"/>
  <c r="T144" i="54"/>
  <c r="S144" i="54"/>
  <c r="V144" i="54"/>
  <c r="X144" i="54"/>
  <c r="Z144" i="54"/>
  <c r="Y144" i="54"/>
  <c r="W144" i="54"/>
  <c r="R144" i="54"/>
  <c r="T29" i="54"/>
  <c r="S29" i="54"/>
  <c r="V29" i="54"/>
  <c r="X29" i="54"/>
  <c r="W29" i="54"/>
  <c r="Z29" i="54"/>
  <c r="Y29" i="54"/>
  <c r="U29" i="54"/>
  <c r="R29" i="54"/>
  <c r="V82" i="54"/>
  <c r="U82" i="54"/>
  <c r="X82" i="54"/>
  <c r="W82" i="54"/>
  <c r="Z82" i="54"/>
  <c r="R82" i="54"/>
  <c r="S82" i="54"/>
  <c r="Y82" i="54"/>
  <c r="T82" i="54"/>
  <c r="Z107" i="54"/>
  <c r="R107" i="54"/>
  <c r="S107" i="54"/>
  <c r="U107" i="54"/>
  <c r="Y107" i="54"/>
  <c r="X107" i="54"/>
  <c r="W107" i="54"/>
  <c r="V107" i="54"/>
  <c r="T107" i="54"/>
  <c r="AL122" i="48"/>
  <c r="M82" i="48"/>
  <c r="AL92" i="48"/>
  <c r="M52" i="48"/>
  <c r="AL105" i="48"/>
  <c r="M65" i="48"/>
  <c r="U39" i="54"/>
  <c r="W39" i="54"/>
  <c r="X39" i="54"/>
  <c r="Z39" i="54"/>
  <c r="Y39" i="54"/>
  <c r="T39" i="54"/>
  <c r="R39" i="54"/>
  <c r="S39" i="54"/>
  <c r="V39" i="54"/>
  <c r="Z120" i="54"/>
  <c r="W120" i="54"/>
  <c r="T120" i="54"/>
  <c r="S120" i="54"/>
  <c r="U120" i="54"/>
  <c r="R120" i="54"/>
  <c r="Y120" i="54"/>
  <c r="V120" i="54"/>
  <c r="X120" i="54"/>
  <c r="AL42" i="48"/>
  <c r="M2" i="48"/>
  <c r="R83" i="54"/>
  <c r="U83" i="54"/>
  <c r="Z83" i="54"/>
  <c r="X83" i="54"/>
  <c r="V83" i="54"/>
  <c r="W83" i="54"/>
  <c r="S83" i="54"/>
  <c r="Y83" i="54"/>
  <c r="T83" i="54"/>
  <c r="X126" i="54"/>
  <c r="W126" i="54"/>
  <c r="Z126" i="54"/>
  <c r="Y126" i="54"/>
  <c r="R126" i="54"/>
  <c r="S126" i="54"/>
  <c r="V126" i="54"/>
  <c r="U126" i="54"/>
  <c r="T126" i="54"/>
  <c r="M122" i="48"/>
  <c r="M108" i="48"/>
  <c r="M153" i="48"/>
  <c r="Y118" i="54"/>
  <c r="S118" i="54"/>
  <c r="T118" i="54"/>
  <c r="Z118" i="54"/>
  <c r="W118" i="54"/>
  <c r="X118" i="54"/>
  <c r="V118" i="54"/>
  <c r="U118" i="54"/>
  <c r="R118" i="54"/>
  <c r="M103" i="48"/>
  <c r="X48" i="54"/>
  <c r="V48" i="54"/>
  <c r="Y48" i="54"/>
  <c r="U48" i="54"/>
  <c r="Z48" i="54"/>
  <c r="S48" i="54"/>
  <c r="T48" i="54"/>
  <c r="W48" i="54"/>
  <c r="R48" i="54"/>
  <c r="V5" i="54"/>
  <c r="T5" i="54"/>
  <c r="Z5" i="54"/>
  <c r="Y5" i="54"/>
  <c r="W5" i="54"/>
  <c r="U5" i="54"/>
  <c r="X5" i="54"/>
  <c r="S5" i="54"/>
  <c r="R5" i="54"/>
  <c r="M137" i="48"/>
  <c r="M170" i="48"/>
  <c r="AL86" i="48"/>
  <c r="M46" i="48"/>
  <c r="X78" i="54"/>
  <c r="R78" i="54"/>
  <c r="U78" i="54"/>
  <c r="V78" i="54"/>
  <c r="T78" i="54"/>
  <c r="S78" i="54"/>
  <c r="Y78" i="54"/>
  <c r="W78" i="54"/>
  <c r="Z78" i="54"/>
  <c r="AL117" i="48"/>
  <c r="M77" i="48"/>
  <c r="X23" i="54"/>
  <c r="Y23" i="54"/>
  <c r="V23" i="54"/>
  <c r="T23" i="54"/>
  <c r="W23" i="54"/>
  <c r="S23" i="54"/>
  <c r="U23" i="54"/>
  <c r="R23" i="54"/>
  <c r="Z23" i="54"/>
  <c r="AL121" i="48"/>
  <c r="M81" i="48"/>
  <c r="AL58" i="48"/>
  <c r="M18" i="48"/>
  <c r="AL129" i="48"/>
  <c r="M89" i="48"/>
  <c r="AL102" i="48"/>
  <c r="M62" i="48"/>
  <c r="Y86" i="54"/>
  <c r="U86" i="54"/>
  <c r="Z86" i="54"/>
  <c r="R86" i="54"/>
  <c r="X86" i="54"/>
  <c r="V86" i="54"/>
  <c r="T86" i="54"/>
  <c r="S86" i="54"/>
  <c r="W86" i="54"/>
  <c r="U77" i="54"/>
  <c r="Z77" i="54"/>
  <c r="W77" i="54"/>
  <c r="Y77" i="54"/>
  <c r="V77" i="54"/>
  <c r="S77" i="54"/>
  <c r="T77" i="54"/>
  <c r="X77" i="54"/>
  <c r="R77" i="54"/>
  <c r="AL114" i="48"/>
  <c r="M74" i="48"/>
  <c r="AL112" i="48"/>
  <c r="M72" i="48"/>
  <c r="V138" i="54"/>
  <c r="Z138" i="54"/>
  <c r="U138" i="54"/>
  <c r="R138" i="54"/>
  <c r="T138" i="54"/>
  <c r="Y138" i="54"/>
  <c r="W138" i="54"/>
  <c r="S138" i="54"/>
  <c r="X138" i="54"/>
  <c r="AL111" i="48"/>
  <c r="M71" i="48"/>
  <c r="X84" i="54"/>
  <c r="T84" i="54"/>
  <c r="S84" i="54"/>
  <c r="Y84" i="54"/>
  <c r="U84" i="54"/>
  <c r="R84" i="54"/>
  <c r="Z84" i="54"/>
  <c r="W84" i="54"/>
  <c r="V84" i="54"/>
  <c r="AL63" i="48"/>
  <c r="M23" i="48"/>
  <c r="AL76" i="48"/>
  <c r="M36" i="48"/>
  <c r="X157" i="54"/>
  <c r="T157" i="54"/>
  <c r="U157" i="54"/>
  <c r="Z157" i="54"/>
  <c r="W157" i="54"/>
  <c r="V157" i="54"/>
  <c r="R157" i="54"/>
  <c r="Y157" i="54"/>
  <c r="S157" i="54"/>
  <c r="AL57" i="48"/>
  <c r="M17" i="48"/>
  <c r="Y111" i="54"/>
  <c r="U111" i="54"/>
  <c r="R111" i="54"/>
  <c r="T111" i="54"/>
  <c r="W111" i="54"/>
  <c r="S111" i="54"/>
  <c r="V111" i="54"/>
  <c r="Z111" i="54"/>
  <c r="X111" i="54"/>
  <c r="AL50" i="48"/>
  <c r="M10" i="48"/>
  <c r="T139" i="54"/>
  <c r="X139" i="54"/>
  <c r="V139" i="54"/>
  <c r="Y139" i="54"/>
  <c r="Z139" i="54"/>
  <c r="R139" i="54"/>
  <c r="W139" i="54"/>
  <c r="U139" i="54"/>
  <c r="S139" i="54"/>
  <c r="S163" i="54"/>
  <c r="V163" i="54"/>
  <c r="W163" i="54"/>
  <c r="X163" i="54"/>
  <c r="U163" i="54"/>
  <c r="T163" i="54"/>
  <c r="R163" i="54"/>
  <c r="Y163" i="54"/>
  <c r="Z163" i="54"/>
  <c r="S10" i="54"/>
  <c r="Z10" i="54"/>
  <c r="R10" i="54"/>
  <c r="V10" i="54"/>
  <c r="Y10" i="54"/>
  <c r="T10" i="54"/>
  <c r="U10" i="54"/>
  <c r="W10" i="54"/>
  <c r="X10" i="54"/>
  <c r="W140" i="54"/>
  <c r="Y140" i="54"/>
  <c r="U140" i="54"/>
  <c r="S140" i="54"/>
  <c r="X140" i="54"/>
  <c r="R140" i="54"/>
  <c r="Z140" i="54"/>
  <c r="T140" i="54"/>
  <c r="V140" i="54"/>
  <c r="AL83" i="48"/>
  <c r="M43" i="48"/>
  <c r="AL93" i="48"/>
  <c r="M53" i="48"/>
  <c r="AL133" i="48"/>
  <c r="M93" i="48"/>
  <c r="AL67" i="48"/>
  <c r="M27" i="48"/>
  <c r="AL125" i="48"/>
  <c r="M85" i="48"/>
  <c r="M159" i="48"/>
  <c r="W156" i="54"/>
  <c r="Z156" i="54"/>
  <c r="Y156" i="54"/>
  <c r="T156" i="54"/>
  <c r="S156" i="54"/>
  <c r="R156" i="54"/>
  <c r="X156" i="54"/>
  <c r="U156" i="54"/>
  <c r="V156" i="54"/>
  <c r="T15" i="54"/>
  <c r="Z15" i="54"/>
  <c r="W15" i="54"/>
  <c r="U15" i="54"/>
  <c r="R15" i="54"/>
  <c r="X15" i="54"/>
  <c r="V15" i="54"/>
  <c r="Y15" i="54"/>
  <c r="S15" i="54"/>
  <c r="T92" i="54"/>
  <c r="Z92" i="54"/>
  <c r="S92" i="54"/>
  <c r="V92" i="54"/>
  <c r="R92" i="54"/>
  <c r="Y92" i="54"/>
  <c r="U92" i="54"/>
  <c r="X92" i="54"/>
  <c r="W92" i="54"/>
  <c r="V79" i="54"/>
  <c r="W79" i="54"/>
  <c r="X79" i="54"/>
  <c r="R79" i="54"/>
  <c r="T79" i="54"/>
  <c r="Y79" i="54"/>
  <c r="Z79" i="54"/>
  <c r="S79" i="54"/>
  <c r="U79" i="54"/>
  <c r="Z20" i="54"/>
  <c r="V20" i="54"/>
  <c r="T20" i="54"/>
  <c r="Y20" i="54"/>
  <c r="X20" i="54"/>
  <c r="W20" i="54"/>
  <c r="S20" i="54"/>
  <c r="U20" i="54"/>
  <c r="R20" i="54"/>
  <c r="AL74" i="48"/>
  <c r="M34" i="48"/>
  <c r="AL84" i="48"/>
  <c r="M44" i="48"/>
  <c r="R71" i="54"/>
  <c r="X71" i="54"/>
  <c r="W71" i="54"/>
  <c r="V71" i="54"/>
  <c r="U71" i="54"/>
  <c r="S71" i="54"/>
  <c r="T71" i="54"/>
  <c r="Z71" i="54"/>
  <c r="Y71" i="54"/>
  <c r="M105" i="48"/>
  <c r="AL135" i="48"/>
  <c r="M95" i="48"/>
  <c r="M113" i="48"/>
  <c r="AL113" i="48"/>
  <c r="M73" i="48"/>
  <c r="M102" i="48"/>
  <c r="T56" i="54"/>
  <c r="V56" i="54"/>
  <c r="Y56" i="54"/>
  <c r="R56" i="54"/>
  <c r="X56" i="54"/>
  <c r="S56" i="54"/>
  <c r="Z56" i="54"/>
  <c r="U56" i="54"/>
  <c r="W56" i="54"/>
  <c r="AL116" i="48"/>
  <c r="M76" i="48"/>
  <c r="V2" i="54"/>
  <c r="S2" i="54"/>
  <c r="U2" i="54"/>
  <c r="Z2" i="54"/>
  <c r="T2" i="54"/>
  <c r="Y2" i="54"/>
  <c r="R2" i="54"/>
  <c r="W2" i="54"/>
  <c r="X2" i="54"/>
  <c r="V19" i="54"/>
  <c r="W19" i="54"/>
  <c r="R19" i="54"/>
  <c r="S19" i="54"/>
  <c r="U19" i="54"/>
  <c r="Z19" i="54"/>
  <c r="T19" i="54"/>
  <c r="X19" i="54"/>
  <c r="Y19" i="54"/>
  <c r="Z113" i="54"/>
  <c r="U113" i="54"/>
  <c r="W113" i="54"/>
  <c r="S113" i="54"/>
  <c r="Y113" i="54"/>
  <c r="X113" i="54"/>
  <c r="R113" i="54"/>
  <c r="T113" i="54"/>
  <c r="V113" i="54"/>
  <c r="Z50" i="54"/>
  <c r="W50" i="54"/>
  <c r="U50" i="54"/>
  <c r="X50" i="54"/>
  <c r="T50" i="54"/>
  <c r="S50" i="54"/>
  <c r="Y50" i="54"/>
  <c r="V50" i="54"/>
  <c r="R50" i="54"/>
  <c r="AL48" i="48"/>
  <c r="M8" i="48"/>
  <c r="Z76" i="54"/>
  <c r="X76" i="54"/>
  <c r="Y76" i="54"/>
  <c r="T76" i="54"/>
  <c r="S76" i="54"/>
  <c r="V76" i="54"/>
  <c r="R76" i="54"/>
  <c r="U76" i="54"/>
  <c r="W76" i="54"/>
  <c r="Y87" i="54"/>
  <c r="Z87" i="54"/>
  <c r="U87" i="54"/>
  <c r="S87" i="54"/>
  <c r="R87" i="54"/>
  <c r="W87" i="54"/>
  <c r="T87" i="54"/>
  <c r="V87" i="54"/>
  <c r="X87" i="54"/>
  <c r="M106" i="48"/>
  <c r="V55" i="54"/>
  <c r="X55" i="54"/>
  <c r="R55" i="54"/>
  <c r="T55" i="54"/>
  <c r="U55" i="54"/>
  <c r="W55" i="54"/>
  <c r="S55" i="54"/>
  <c r="Z55" i="54"/>
  <c r="Y55" i="54"/>
  <c r="Y109" i="54"/>
  <c r="S109" i="54"/>
  <c r="Z109" i="54"/>
  <c r="T109" i="54"/>
  <c r="W109" i="54"/>
  <c r="X109" i="54"/>
  <c r="R109" i="54"/>
  <c r="V109" i="54"/>
  <c r="U109" i="54"/>
  <c r="R25" i="54"/>
  <c r="T25" i="54"/>
  <c r="Y25" i="54"/>
  <c r="U25" i="54"/>
  <c r="Z25" i="54"/>
  <c r="W25" i="54"/>
  <c r="V25" i="54"/>
  <c r="X25" i="54"/>
  <c r="S25" i="54"/>
  <c r="W115" i="54"/>
  <c r="U115" i="54"/>
  <c r="V115" i="54"/>
  <c r="Y115" i="54"/>
  <c r="T115" i="54"/>
  <c r="R115" i="54"/>
  <c r="S115" i="54"/>
  <c r="Z115" i="54"/>
  <c r="X115" i="54"/>
  <c r="Y142" i="54"/>
  <c r="Z142" i="54"/>
  <c r="S142" i="54"/>
  <c r="T142" i="54"/>
  <c r="W142" i="54"/>
  <c r="V142" i="54"/>
  <c r="R142" i="54"/>
  <c r="X142" i="54"/>
  <c r="U142" i="54"/>
  <c r="X149" i="54"/>
  <c r="R149" i="54"/>
  <c r="T149" i="54"/>
  <c r="S149" i="54"/>
  <c r="W149" i="54"/>
  <c r="U149" i="54"/>
  <c r="Z149" i="54"/>
  <c r="V149" i="54"/>
  <c r="Y149" i="54"/>
  <c r="Y33" i="54"/>
  <c r="Z33" i="54"/>
  <c r="W33" i="54"/>
  <c r="S33" i="54"/>
  <c r="V33" i="54"/>
  <c r="R33" i="54"/>
  <c r="X33" i="54"/>
  <c r="U33" i="54"/>
  <c r="T33" i="54"/>
  <c r="X53" i="54"/>
  <c r="Y53" i="54"/>
  <c r="Z53" i="54"/>
  <c r="T53" i="54"/>
  <c r="U53" i="54"/>
  <c r="W53" i="54"/>
  <c r="S53" i="54"/>
  <c r="R53" i="54"/>
  <c r="V53" i="54"/>
  <c r="AL90" i="48"/>
  <c r="M50" i="48"/>
  <c r="Y119" i="54"/>
  <c r="T119" i="54"/>
  <c r="W119" i="54"/>
  <c r="R119" i="54"/>
  <c r="V119" i="54"/>
  <c r="Z119" i="54"/>
  <c r="S119" i="54"/>
  <c r="X119" i="54"/>
  <c r="U119" i="54"/>
  <c r="Y108" i="54"/>
  <c r="W108" i="54"/>
  <c r="V108" i="54"/>
  <c r="X108" i="54"/>
  <c r="T108" i="54"/>
  <c r="R108" i="54"/>
  <c r="U108" i="54"/>
  <c r="S108" i="54"/>
  <c r="Z108" i="54"/>
  <c r="AL43" i="48"/>
  <c r="M3" i="48"/>
  <c r="U45" i="54"/>
  <c r="T45" i="54"/>
  <c r="Z45" i="54"/>
  <c r="V45" i="54"/>
  <c r="X45" i="54"/>
  <c r="R45" i="54"/>
  <c r="W45" i="54"/>
  <c r="S45" i="54"/>
  <c r="Y45" i="54"/>
  <c r="Y80" i="54"/>
  <c r="V80" i="54"/>
  <c r="W80" i="54"/>
  <c r="S80" i="54"/>
  <c r="T80" i="54"/>
  <c r="X80" i="54"/>
  <c r="R80" i="54"/>
  <c r="Z80" i="54"/>
  <c r="U80" i="54"/>
  <c r="AL55" i="48"/>
  <c r="M15" i="48"/>
  <c r="S31" i="54"/>
  <c r="R31" i="54"/>
  <c r="T31" i="54"/>
  <c r="Y31" i="54"/>
  <c r="W31" i="54"/>
  <c r="X31" i="54"/>
  <c r="V31" i="54"/>
  <c r="U31" i="54"/>
  <c r="Z31" i="54"/>
  <c r="U3" i="54"/>
  <c r="Z3" i="54"/>
  <c r="R3" i="54"/>
  <c r="W3" i="54"/>
  <c r="T3" i="54"/>
  <c r="S3" i="54"/>
  <c r="V3" i="54"/>
  <c r="Y3" i="54"/>
  <c r="X3" i="54"/>
  <c r="S32" i="54"/>
  <c r="X32" i="54"/>
  <c r="R32" i="54"/>
  <c r="U32" i="54"/>
  <c r="V32" i="54"/>
  <c r="T32" i="54"/>
  <c r="Y32" i="54"/>
  <c r="Z32" i="54"/>
  <c r="W32" i="54"/>
  <c r="S123" i="54"/>
  <c r="R123" i="54"/>
  <c r="V123" i="54"/>
  <c r="W123" i="54"/>
  <c r="Y123" i="54"/>
  <c r="U123" i="54"/>
  <c r="T123" i="54"/>
  <c r="Z123" i="54"/>
  <c r="X123" i="54"/>
  <c r="W40" i="54"/>
  <c r="X40" i="54"/>
  <c r="Z40" i="54"/>
  <c r="Y40" i="54"/>
  <c r="V40" i="54"/>
  <c r="S40" i="54"/>
  <c r="T40" i="54"/>
  <c r="R40" i="54"/>
  <c r="U40" i="54"/>
  <c r="W158" i="54"/>
  <c r="Y158" i="54"/>
  <c r="R158" i="54"/>
  <c r="S158" i="54"/>
  <c r="V158" i="54"/>
  <c r="U158" i="54"/>
  <c r="X158" i="54"/>
  <c r="Z158" i="54"/>
  <c r="T158" i="54"/>
  <c r="R59" i="54"/>
  <c r="X59" i="54"/>
  <c r="T59" i="54"/>
  <c r="W59" i="54"/>
  <c r="S59" i="54"/>
  <c r="Y59" i="54"/>
  <c r="U59" i="54"/>
  <c r="Z59" i="54"/>
  <c r="V59" i="54"/>
  <c r="M112" i="48"/>
  <c r="S143" i="54"/>
  <c r="U143" i="54"/>
  <c r="V143" i="54"/>
  <c r="X143" i="54"/>
  <c r="R143" i="54"/>
  <c r="Y143" i="54"/>
  <c r="T143" i="54"/>
  <c r="Z143" i="54"/>
  <c r="W143" i="54"/>
  <c r="V133" i="54"/>
  <c r="Y133" i="54"/>
  <c r="R133" i="54"/>
  <c r="X133" i="54"/>
  <c r="T133" i="54"/>
  <c r="U133" i="54"/>
  <c r="S133" i="54"/>
  <c r="Z133" i="54"/>
  <c r="W133" i="54"/>
  <c r="AL115" i="48"/>
  <c r="M75" i="48"/>
  <c r="T93" i="54"/>
  <c r="Y93" i="54"/>
  <c r="V93" i="54"/>
  <c r="Z93" i="54"/>
  <c r="R93" i="54"/>
  <c r="W93" i="54"/>
  <c r="X93" i="54"/>
  <c r="U93" i="54"/>
  <c r="S93" i="54"/>
  <c r="R168" i="54"/>
  <c r="T168" i="54"/>
  <c r="W168" i="54"/>
  <c r="Z168" i="54"/>
  <c r="S168" i="54"/>
  <c r="V168" i="54"/>
  <c r="Y168" i="54"/>
  <c r="X168" i="54"/>
  <c r="U168" i="54"/>
  <c r="W57" i="54"/>
  <c r="V57" i="54"/>
  <c r="R57" i="54"/>
  <c r="Z57" i="54"/>
  <c r="T57" i="54"/>
  <c r="Y57" i="54"/>
  <c r="S57" i="54"/>
  <c r="X57" i="54"/>
  <c r="U57" i="54"/>
  <c r="R52" i="54"/>
  <c r="W52" i="54"/>
  <c r="Z52" i="54"/>
  <c r="X52" i="54"/>
  <c r="V52" i="54"/>
  <c r="U52" i="54"/>
  <c r="T52" i="54"/>
  <c r="Y52" i="54"/>
  <c r="S52" i="54"/>
  <c r="Z147" i="54"/>
  <c r="X147" i="54"/>
  <c r="S147" i="54"/>
  <c r="W147" i="54"/>
  <c r="V147" i="54"/>
  <c r="Y147" i="54"/>
  <c r="U147" i="54"/>
  <c r="R147" i="54"/>
  <c r="T147" i="54"/>
  <c r="AL98" i="48"/>
  <c r="M58" i="48"/>
  <c r="U30" i="54"/>
  <c r="T30" i="54"/>
  <c r="Z30" i="54"/>
  <c r="X30" i="54"/>
  <c r="Y30" i="54"/>
  <c r="S30" i="54"/>
  <c r="V30" i="54"/>
  <c r="W30" i="54"/>
  <c r="R30" i="54"/>
  <c r="V89" i="54"/>
  <c r="T89" i="54"/>
  <c r="R89" i="54"/>
  <c r="X89" i="54"/>
  <c r="S89" i="54"/>
  <c r="U89" i="54"/>
  <c r="Y89" i="54"/>
  <c r="Z89" i="54"/>
  <c r="W89" i="54"/>
  <c r="AL95" i="48"/>
  <c r="M55" i="48"/>
  <c r="AL123" i="48"/>
  <c r="M83" i="48"/>
  <c r="T28" i="54"/>
  <c r="Z28" i="54"/>
  <c r="X28" i="54"/>
  <c r="W28" i="54"/>
  <c r="R28" i="54"/>
  <c r="S28" i="54"/>
  <c r="U28" i="54"/>
  <c r="Y28" i="54"/>
  <c r="V28" i="54"/>
  <c r="R151" i="54"/>
  <c r="S151" i="54"/>
  <c r="U151" i="54"/>
  <c r="X151" i="54"/>
  <c r="Y151" i="54"/>
  <c r="Z151" i="54"/>
  <c r="W151" i="54"/>
  <c r="V151" i="54"/>
  <c r="T151" i="54"/>
  <c r="T27" i="54"/>
  <c r="V27" i="54"/>
  <c r="S27" i="54"/>
  <c r="U27" i="54"/>
  <c r="W27" i="54"/>
  <c r="Y27" i="54"/>
  <c r="X27" i="54"/>
  <c r="Z27" i="54"/>
  <c r="R27" i="54"/>
  <c r="AL64" i="48"/>
  <c r="M24" i="48"/>
  <c r="W154" i="54"/>
  <c r="V154" i="54"/>
  <c r="X154" i="54"/>
  <c r="S154" i="54"/>
  <c r="Z154" i="54"/>
  <c r="U154" i="54"/>
  <c r="Y154" i="54"/>
  <c r="T154" i="54"/>
  <c r="R154" i="54"/>
  <c r="V74" i="54"/>
  <c r="X74" i="54"/>
  <c r="Y74" i="54"/>
  <c r="R74" i="54"/>
  <c r="T74" i="54"/>
  <c r="U74" i="54"/>
  <c r="Z74" i="54"/>
  <c r="S74" i="54"/>
  <c r="W74" i="54"/>
  <c r="Y47" i="54"/>
  <c r="R47" i="54"/>
  <c r="W47" i="54"/>
  <c r="T47" i="54"/>
  <c r="S47" i="54"/>
  <c r="V47" i="54"/>
  <c r="X47" i="54"/>
  <c r="U47" i="54"/>
  <c r="Z47" i="54"/>
  <c r="AL97" i="48"/>
  <c r="M57" i="48"/>
  <c r="AL77" i="48"/>
  <c r="M37" i="48"/>
  <c r="V132" i="54"/>
  <c r="Y132" i="54"/>
  <c r="T132" i="54"/>
  <c r="R132" i="54"/>
  <c r="W132" i="54"/>
  <c r="S132" i="54"/>
  <c r="U132" i="54"/>
  <c r="Z132" i="54"/>
  <c r="X132" i="54"/>
  <c r="X66" i="54"/>
  <c r="S66" i="54"/>
  <c r="Z66" i="54"/>
  <c r="U66" i="54"/>
  <c r="Y66" i="54"/>
  <c r="T66" i="54"/>
  <c r="W66" i="54"/>
  <c r="V66" i="54"/>
  <c r="R66" i="54"/>
  <c r="AL54" i="48"/>
  <c r="M14" i="48"/>
  <c r="W128" i="54"/>
  <c r="X128" i="54"/>
  <c r="S128" i="54"/>
  <c r="Y128" i="54"/>
  <c r="V128" i="54"/>
  <c r="T128" i="54"/>
  <c r="Z128" i="54"/>
  <c r="R128" i="54"/>
  <c r="U128" i="54"/>
  <c r="AL120" i="48"/>
  <c r="M80" i="48"/>
  <c r="Y90" i="54"/>
  <c r="X90" i="54"/>
  <c r="Z90" i="54"/>
  <c r="R90" i="54"/>
  <c r="T90" i="54"/>
  <c r="V90" i="54"/>
  <c r="S90" i="54"/>
  <c r="U90" i="54"/>
  <c r="W90" i="54"/>
  <c r="AL73" i="48"/>
  <c r="M33" i="48"/>
  <c r="V38" i="54"/>
  <c r="S38" i="54"/>
  <c r="Y38" i="54"/>
  <c r="T38" i="54"/>
  <c r="X38" i="54"/>
  <c r="W38" i="54"/>
  <c r="U38" i="54"/>
  <c r="Z38" i="54"/>
  <c r="R38" i="54"/>
  <c r="T91" i="54"/>
  <c r="Y91" i="54"/>
  <c r="W91" i="54"/>
  <c r="U91" i="54"/>
  <c r="Z91" i="54"/>
  <c r="S91" i="54"/>
  <c r="V91" i="54"/>
  <c r="R91" i="54"/>
  <c r="X91" i="54"/>
  <c r="Z152" i="54"/>
  <c r="U152" i="54"/>
  <c r="V152" i="54"/>
  <c r="R152" i="54"/>
  <c r="T152" i="54"/>
  <c r="X152" i="54"/>
  <c r="S152" i="54"/>
  <c r="Y152" i="54"/>
  <c r="W152" i="54"/>
  <c r="AL99" i="48"/>
  <c r="M59" i="48"/>
  <c r="AL109" i="48"/>
  <c r="M69" i="48"/>
  <c r="U160" i="54"/>
  <c r="Z160" i="54"/>
  <c r="W160" i="54"/>
  <c r="V160" i="54"/>
  <c r="S160" i="54"/>
  <c r="R160" i="54"/>
  <c r="X160" i="54"/>
  <c r="Y160" i="54"/>
  <c r="T160" i="54"/>
  <c r="S68" i="54"/>
  <c r="W68" i="54"/>
  <c r="T68" i="54"/>
  <c r="R68" i="54"/>
  <c r="Z68" i="54"/>
  <c r="Y68" i="54"/>
  <c r="X68" i="54"/>
  <c r="V68" i="54"/>
  <c r="U68" i="54"/>
  <c r="M121" i="48"/>
  <c r="AL136" i="48"/>
  <c r="M96" i="48"/>
  <c r="M129" i="48"/>
  <c r="S129" i="54"/>
  <c r="Y129" i="54"/>
  <c r="X129" i="54"/>
  <c r="V129" i="54"/>
  <c r="U129" i="54"/>
  <c r="R129" i="54"/>
  <c r="W129" i="54"/>
  <c r="T129" i="54"/>
  <c r="Z129" i="54"/>
  <c r="AL61" i="48"/>
  <c r="M21" i="48"/>
  <c r="AL62" i="48"/>
  <c r="M22" i="48"/>
  <c r="AL68" i="48"/>
  <c r="M28" i="48"/>
  <c r="AL65" i="48"/>
  <c r="M25" i="48"/>
  <c r="Z155" i="54"/>
  <c r="T155" i="54"/>
  <c r="U155" i="54"/>
  <c r="S155" i="54"/>
  <c r="R155" i="54"/>
  <c r="W155" i="54"/>
  <c r="V155" i="54"/>
  <c r="X155" i="54"/>
  <c r="Y155" i="54"/>
  <c r="V98" i="54"/>
  <c r="S98" i="54"/>
  <c r="X98" i="54"/>
  <c r="T98" i="54"/>
  <c r="Y98" i="54"/>
  <c r="R98" i="54"/>
  <c r="W98" i="54"/>
  <c r="Z98" i="54"/>
  <c r="U98" i="54"/>
  <c r="X165" i="54"/>
  <c r="R165" i="54"/>
  <c r="Y165" i="54"/>
  <c r="V165" i="54"/>
  <c r="W165" i="54"/>
  <c r="U165" i="54"/>
  <c r="T165" i="54"/>
  <c r="S165" i="54"/>
  <c r="Z165" i="54"/>
  <c r="R137" i="54"/>
  <c r="X137" i="54"/>
  <c r="S137" i="54"/>
  <c r="Z137" i="54"/>
  <c r="W137" i="54"/>
  <c r="V137" i="54"/>
  <c r="U137" i="54"/>
  <c r="Y137" i="54"/>
  <c r="T137" i="54"/>
  <c r="X162" i="54"/>
  <c r="V162" i="54"/>
  <c r="R162" i="54"/>
  <c r="Y162" i="54"/>
  <c r="T162" i="54"/>
  <c r="W162" i="54"/>
  <c r="U162" i="54"/>
  <c r="S162" i="54"/>
  <c r="Z162" i="54"/>
  <c r="AL72" i="48"/>
  <c r="M32" i="48"/>
  <c r="W46" i="54"/>
  <c r="Y46" i="54"/>
  <c r="R46" i="54"/>
  <c r="T46" i="54"/>
  <c r="S46" i="54"/>
  <c r="X46" i="54"/>
  <c r="Z46" i="54"/>
  <c r="U46" i="54"/>
  <c r="V46" i="54"/>
  <c r="T18" i="54"/>
  <c r="S18" i="54"/>
  <c r="W18" i="54"/>
  <c r="Y18" i="54"/>
  <c r="Z18" i="54"/>
  <c r="X18" i="54"/>
  <c r="R18" i="54"/>
  <c r="V18" i="54"/>
  <c r="U18" i="54"/>
  <c r="AL134" i="48"/>
  <c r="M94" i="48"/>
  <c r="M68" i="48"/>
  <c r="AL108" i="48"/>
  <c r="V73" i="54"/>
  <c r="X73" i="54"/>
  <c r="Z73" i="54"/>
  <c r="Y73" i="54"/>
  <c r="U73" i="54"/>
  <c r="R73" i="54"/>
  <c r="W73" i="54"/>
  <c r="S73" i="54"/>
  <c r="T73" i="54"/>
  <c r="R153" i="54"/>
  <c r="Z153" i="54"/>
  <c r="Y153" i="54"/>
  <c r="X153" i="54"/>
  <c r="U153" i="54"/>
  <c r="T153" i="54"/>
  <c r="V153" i="54"/>
  <c r="S153" i="54"/>
  <c r="W153" i="54"/>
  <c r="Y13" i="54"/>
  <c r="X13" i="54"/>
  <c r="V13" i="54"/>
  <c r="R13" i="54"/>
  <c r="U13" i="54"/>
  <c r="Z13" i="54"/>
  <c r="S13" i="54"/>
  <c r="T13" i="54"/>
  <c r="W13" i="54"/>
  <c r="Z169" i="54"/>
  <c r="R169" i="54"/>
  <c r="Y169" i="54"/>
  <c r="T169" i="54"/>
  <c r="U169" i="54"/>
  <c r="W169" i="54"/>
  <c r="S169" i="54"/>
  <c r="X169" i="54"/>
  <c r="V169" i="54"/>
  <c r="S16" i="54"/>
  <c r="T16" i="54"/>
  <c r="R16" i="54"/>
  <c r="U16" i="54"/>
  <c r="V16" i="54"/>
  <c r="W16" i="54"/>
  <c r="X16" i="54"/>
  <c r="Y16" i="54"/>
  <c r="Z16" i="54"/>
  <c r="AL140" i="48"/>
  <c r="M100" i="48"/>
  <c r="R22" i="54"/>
  <c r="V22" i="54"/>
  <c r="T22" i="54"/>
  <c r="S22" i="54"/>
  <c r="X22" i="54"/>
  <c r="Z22" i="54"/>
  <c r="W22" i="54"/>
  <c r="Y22" i="54"/>
  <c r="U22" i="54"/>
  <c r="AL128" i="48"/>
  <c r="M88" i="48"/>
  <c r="W17" i="54"/>
  <c r="X17" i="54"/>
  <c r="T17" i="54"/>
  <c r="U17" i="54"/>
  <c r="V17" i="54"/>
  <c r="Y17" i="54"/>
  <c r="R17" i="54"/>
  <c r="Z17" i="54"/>
  <c r="S17" i="54"/>
  <c r="X54" i="54"/>
  <c r="Y54" i="54"/>
  <c r="V54" i="54"/>
  <c r="Z54" i="54"/>
  <c r="W54" i="54"/>
  <c r="S54" i="54"/>
  <c r="T54" i="54"/>
  <c r="R54" i="54"/>
  <c r="U54" i="54"/>
  <c r="Y134" i="54"/>
  <c r="V134" i="54"/>
  <c r="R134" i="54"/>
  <c r="T134" i="54"/>
  <c r="X134" i="54"/>
  <c r="Z134" i="54"/>
  <c r="S134" i="54"/>
  <c r="W134" i="54"/>
  <c r="U134" i="54"/>
  <c r="U58" i="54"/>
  <c r="Z58" i="54"/>
  <c r="R58" i="54"/>
  <c r="W58" i="54"/>
  <c r="S58" i="54"/>
  <c r="X58" i="54"/>
  <c r="T58" i="54"/>
  <c r="V58" i="54"/>
  <c r="Y58" i="54"/>
  <c r="R96" i="54"/>
  <c r="U96" i="54"/>
  <c r="W96" i="54"/>
  <c r="Y96" i="54"/>
  <c r="S96" i="54"/>
  <c r="V96" i="54"/>
  <c r="T96" i="54"/>
  <c r="Z96" i="54"/>
  <c r="X96" i="54"/>
  <c r="T36" i="54"/>
  <c r="U36" i="54"/>
  <c r="S36" i="54"/>
  <c r="W36" i="54"/>
  <c r="X36" i="54"/>
  <c r="Y36" i="54"/>
  <c r="Z36" i="54"/>
  <c r="V36" i="54"/>
  <c r="R36" i="54"/>
  <c r="S81" i="54"/>
  <c r="X81" i="54"/>
  <c r="W81" i="54"/>
  <c r="U81" i="54"/>
  <c r="V81" i="54"/>
  <c r="R81" i="54"/>
  <c r="Z81" i="54"/>
  <c r="T81" i="54"/>
  <c r="Y81" i="54"/>
  <c r="M166" i="48"/>
  <c r="M174" i="48"/>
  <c r="AL53" i="48"/>
  <c r="M13" i="48"/>
  <c r="R125" i="54"/>
  <c r="S125" i="54"/>
  <c r="T125" i="54"/>
  <c r="W125" i="54"/>
  <c r="U125" i="54"/>
  <c r="Y125" i="54"/>
  <c r="Z125" i="54"/>
  <c r="X125" i="54"/>
  <c r="V125" i="54"/>
  <c r="M141" i="48"/>
  <c r="AL139" i="48"/>
  <c r="M99" i="48"/>
  <c r="R14" i="54"/>
  <c r="X14" i="54"/>
  <c r="U14" i="54"/>
  <c r="W14" i="54"/>
  <c r="Z14" i="54"/>
  <c r="V14" i="54"/>
  <c r="S14" i="54"/>
  <c r="Y14" i="54"/>
  <c r="T14" i="54"/>
  <c r="AL71" i="48"/>
  <c r="M31" i="48"/>
  <c r="AL103" i="48"/>
  <c r="M63" i="48"/>
  <c r="U63" i="54"/>
  <c r="S63" i="54"/>
  <c r="W63" i="54"/>
  <c r="T63" i="54"/>
  <c r="Z63" i="54"/>
  <c r="Y63" i="54"/>
  <c r="X63" i="54"/>
  <c r="V63" i="54"/>
  <c r="R63" i="54"/>
  <c r="AL78" i="48"/>
  <c r="M38" i="48"/>
  <c r="AL137" i="48"/>
  <c r="M97" i="48"/>
  <c r="Z12" i="54"/>
  <c r="V12" i="54"/>
  <c r="Y12" i="54"/>
  <c r="X12" i="54"/>
  <c r="U12" i="54"/>
  <c r="T12" i="54"/>
  <c r="S12" i="54"/>
  <c r="R12" i="54"/>
  <c r="W12" i="54"/>
  <c r="S35" i="54"/>
  <c r="R35" i="54"/>
  <c r="V35" i="54"/>
  <c r="X35" i="54"/>
  <c r="U35" i="54"/>
  <c r="W35" i="54"/>
  <c r="Z35" i="54"/>
  <c r="Y35" i="54"/>
  <c r="T35" i="54"/>
  <c r="U164" i="54"/>
  <c r="Z164" i="54"/>
  <c r="Y164" i="54"/>
  <c r="X164" i="54"/>
  <c r="W164" i="54"/>
  <c r="T164" i="54"/>
  <c r="S164" i="54"/>
  <c r="V164" i="54"/>
  <c r="R164" i="54"/>
  <c r="T44" i="54"/>
  <c r="V44" i="54"/>
  <c r="R44" i="54"/>
  <c r="Z44" i="54"/>
  <c r="X44" i="54"/>
  <c r="W44" i="54"/>
  <c r="Y44" i="54"/>
  <c r="U44" i="54"/>
  <c r="S44" i="54"/>
  <c r="AL59" i="48"/>
  <c r="M19" i="48"/>
  <c r="S110" i="54"/>
  <c r="T110" i="54"/>
  <c r="Y110" i="54"/>
  <c r="X110" i="54"/>
  <c r="R110" i="54"/>
  <c r="Z110" i="54"/>
  <c r="W110" i="54"/>
  <c r="U110" i="54"/>
  <c r="V110" i="54"/>
  <c r="U72" i="54"/>
  <c r="Z72" i="54"/>
  <c r="S72" i="54"/>
  <c r="T72" i="54"/>
  <c r="V72" i="54"/>
  <c r="R72" i="54"/>
  <c r="Y72" i="54"/>
  <c r="X72" i="54"/>
  <c r="W72" i="54"/>
  <c r="AL87" i="48"/>
  <c r="M47" i="48"/>
  <c r="Z136" i="54"/>
  <c r="R136" i="54"/>
  <c r="U136" i="54"/>
  <c r="W136" i="54"/>
  <c r="X136" i="54"/>
  <c r="S136" i="54"/>
  <c r="V136" i="54"/>
  <c r="T136" i="54"/>
  <c r="Y136" i="54"/>
  <c r="AL104" i="48"/>
  <c r="M64" i="48"/>
  <c r="V117" i="54"/>
  <c r="Y117" i="54"/>
  <c r="S117" i="54"/>
  <c r="U117" i="54"/>
  <c r="R117" i="54"/>
  <c r="T117" i="54"/>
  <c r="W117" i="54"/>
  <c r="Z117" i="54"/>
  <c r="X117" i="54"/>
  <c r="X145" i="54"/>
  <c r="Y145" i="54"/>
  <c r="R145" i="54"/>
  <c r="S145" i="54"/>
  <c r="V145" i="54"/>
  <c r="T145" i="54"/>
  <c r="U145" i="54"/>
  <c r="W145" i="54"/>
  <c r="Z145" i="54"/>
  <c r="AL81" i="48"/>
  <c r="M41" i="48"/>
  <c r="AL124" i="48"/>
  <c r="M84" i="48"/>
  <c r="T99" i="54"/>
  <c r="Y99" i="54"/>
  <c r="S99" i="54"/>
  <c r="U99" i="54"/>
  <c r="V99" i="54"/>
  <c r="X99" i="54"/>
  <c r="R99" i="54"/>
  <c r="W99" i="54"/>
  <c r="Z99" i="54"/>
  <c r="U161" i="54"/>
  <c r="S161" i="54"/>
  <c r="Y161" i="54"/>
  <c r="Z161" i="54"/>
  <c r="X161" i="54"/>
  <c r="V161" i="54"/>
  <c r="T161" i="54"/>
  <c r="W161" i="54"/>
  <c r="R161" i="54"/>
  <c r="T148" i="54"/>
  <c r="Y148" i="54"/>
  <c r="R148" i="54"/>
  <c r="U148" i="54"/>
  <c r="V148" i="54"/>
  <c r="Z148" i="54"/>
  <c r="W148" i="54"/>
  <c r="X148" i="54"/>
  <c r="S148" i="54"/>
  <c r="AL131" i="48"/>
  <c r="M91" i="48"/>
  <c r="M126" i="48"/>
  <c r="X94" i="54"/>
  <c r="R94" i="54"/>
  <c r="V94" i="54"/>
  <c r="W94" i="54"/>
  <c r="Z94" i="54"/>
  <c r="U94" i="54"/>
  <c r="T94" i="54"/>
  <c r="S94" i="54"/>
  <c r="Y94" i="54"/>
  <c r="AL70" i="48"/>
  <c r="M30" i="48"/>
  <c r="AL94" i="48"/>
  <c r="M54" i="48"/>
  <c r="AL82" i="48"/>
  <c r="M42" i="48"/>
  <c r="M161" i="48"/>
  <c r="M107" i="48"/>
  <c r="AL119" i="48"/>
  <c r="M79" i="48"/>
  <c r="AL69" i="48"/>
  <c r="M29" i="48"/>
  <c r="AL132" i="48"/>
  <c r="M92" i="48"/>
  <c r="W11" i="54"/>
  <c r="S11" i="54"/>
  <c r="U11" i="54"/>
  <c r="Y11" i="54"/>
  <c r="X11" i="54"/>
  <c r="R11" i="54"/>
  <c r="T11" i="54"/>
  <c r="Z11" i="54"/>
  <c r="V11" i="54"/>
  <c r="M117" i="48"/>
  <c r="AL52" i="48"/>
  <c r="M12" i="48"/>
  <c r="R114" i="54"/>
  <c r="Z114" i="54"/>
  <c r="Y114" i="54"/>
  <c r="T114" i="54"/>
  <c r="W114" i="54"/>
  <c r="V114" i="54"/>
  <c r="X114" i="54"/>
  <c r="U114" i="54"/>
  <c r="S114" i="54"/>
  <c r="M132" i="48"/>
  <c r="T130" i="54"/>
  <c r="W130" i="54"/>
  <c r="X130" i="54"/>
  <c r="Z130" i="54"/>
  <c r="Y130" i="54"/>
  <c r="S130" i="54"/>
  <c r="U130" i="54"/>
  <c r="V130" i="54"/>
  <c r="R130" i="54"/>
  <c r="M115" i="48"/>
  <c r="AL100" i="48"/>
  <c r="M60" i="48"/>
  <c r="T7" i="54"/>
  <c r="Z7" i="54"/>
  <c r="Y7" i="54"/>
  <c r="S7" i="54"/>
  <c r="X7" i="54"/>
  <c r="W7" i="54"/>
  <c r="U7" i="54"/>
  <c r="R7" i="54"/>
  <c r="V7" i="54"/>
  <c r="W112" i="54"/>
  <c r="Z112" i="54"/>
  <c r="R112" i="54"/>
  <c r="V112" i="54"/>
  <c r="S112" i="54"/>
  <c r="Y112" i="54"/>
  <c r="X112" i="54"/>
  <c r="U112" i="54"/>
  <c r="T112" i="54"/>
  <c r="A75" i="35" l="1"/>
  <c r="AM69" i="48"/>
  <c r="F29" i="48"/>
  <c r="AM52" i="48"/>
  <c r="F12" i="48"/>
  <c r="F79" i="48"/>
  <c r="AM119" i="48"/>
  <c r="AM137" i="48"/>
  <c r="F97" i="48"/>
  <c r="F80" i="48"/>
  <c r="AM120" i="48"/>
  <c r="AM113" i="48"/>
  <c r="F73" i="48"/>
  <c r="F44" i="48"/>
  <c r="AM84" i="48"/>
  <c r="AM50" i="48"/>
  <c r="F10" i="48"/>
  <c r="F23" i="48"/>
  <c r="AM63" i="48"/>
  <c r="AM112" i="48"/>
  <c r="F72" i="48"/>
  <c r="F81" i="48"/>
  <c r="AM121" i="48"/>
  <c r="AM122" i="48"/>
  <c r="F82" i="48"/>
  <c r="AM138" i="48"/>
  <c r="F98" i="48"/>
  <c r="AM51" i="48"/>
  <c r="F11" i="48"/>
  <c r="AM44" i="48"/>
  <c r="F4" i="48"/>
  <c r="F5" i="48"/>
  <c r="AM45" i="48"/>
  <c r="AM56" i="48"/>
  <c r="F16" i="48"/>
  <c r="AM82" i="48"/>
  <c r="F42" i="48"/>
  <c r="F21" i="48"/>
  <c r="AM61" i="48"/>
  <c r="F59" i="48"/>
  <c r="AM99" i="48"/>
  <c r="F50" i="48"/>
  <c r="AM90" i="48"/>
  <c r="F90" i="48"/>
  <c r="AM130" i="48"/>
  <c r="AM101" i="48"/>
  <c r="F61" i="48"/>
  <c r="F60" i="48"/>
  <c r="AM100" i="48"/>
  <c r="AM70" i="48"/>
  <c r="F30" i="48"/>
  <c r="AM131" i="48"/>
  <c r="F91" i="48"/>
  <c r="F47" i="48"/>
  <c r="AM87" i="48"/>
  <c r="F19" i="48"/>
  <c r="AM59" i="48"/>
  <c r="F68" i="48"/>
  <c r="AM108" i="48"/>
  <c r="AM73" i="48"/>
  <c r="F33" i="48"/>
  <c r="AM64" i="48"/>
  <c r="F24" i="48"/>
  <c r="AM123" i="48"/>
  <c r="F83" i="48"/>
  <c r="F34" i="48"/>
  <c r="AM74" i="48"/>
  <c r="AM67" i="48"/>
  <c r="F27" i="48"/>
  <c r="F89" i="48"/>
  <c r="AM129" i="48"/>
  <c r="AM96" i="48"/>
  <c r="F56" i="48"/>
  <c r="AM47" i="48"/>
  <c r="F7" i="48"/>
  <c r="AM141" i="48"/>
  <c r="F101" i="48"/>
  <c r="AM124" i="48"/>
  <c r="F84" i="48"/>
  <c r="F63" i="48"/>
  <c r="AM103" i="48"/>
  <c r="F13" i="48"/>
  <c r="AM53" i="48"/>
  <c r="AM140" i="48"/>
  <c r="F100" i="48"/>
  <c r="F25" i="48"/>
  <c r="AM65" i="48"/>
  <c r="AM77" i="48"/>
  <c r="F37" i="48"/>
  <c r="AM116" i="48"/>
  <c r="F76" i="48"/>
  <c r="AM135" i="48"/>
  <c r="F95" i="48"/>
  <c r="F36" i="48"/>
  <c r="AM76" i="48"/>
  <c r="AM114" i="48"/>
  <c r="F74" i="48"/>
  <c r="AM86" i="48"/>
  <c r="F46" i="48"/>
  <c r="AM75" i="48"/>
  <c r="F35" i="48"/>
  <c r="AM66" i="48"/>
  <c r="F26" i="48"/>
  <c r="F45" i="48"/>
  <c r="AM85" i="48"/>
  <c r="AM132" i="48"/>
  <c r="F92" i="48"/>
  <c r="AM78" i="48"/>
  <c r="F38" i="48"/>
  <c r="F14" i="48"/>
  <c r="AM54" i="48"/>
  <c r="AM95" i="48"/>
  <c r="F55" i="48"/>
  <c r="AM115" i="48"/>
  <c r="F75" i="48"/>
  <c r="AM43" i="48"/>
  <c r="F3" i="48"/>
  <c r="AM48" i="48"/>
  <c r="F8" i="48"/>
  <c r="AM83" i="48"/>
  <c r="F43" i="48"/>
  <c r="F71" i="48"/>
  <c r="AM111" i="48"/>
  <c r="AM117" i="48"/>
  <c r="F77" i="48"/>
  <c r="F2" i="48"/>
  <c r="BM3" i="48"/>
  <c r="AM42" i="48"/>
  <c r="AM105" i="48"/>
  <c r="F65" i="48"/>
  <c r="AM118" i="48"/>
  <c r="F78" i="48"/>
  <c r="F49" i="48"/>
  <c r="AM89" i="48"/>
  <c r="F67" i="48"/>
  <c r="AM107" i="48"/>
  <c r="F32" i="48"/>
  <c r="AM72" i="48"/>
  <c r="AM68" i="48"/>
  <c r="F28" i="48"/>
  <c r="F57" i="48"/>
  <c r="AM97" i="48"/>
  <c r="F93" i="48"/>
  <c r="AM133" i="48"/>
  <c r="AM57" i="48"/>
  <c r="F17" i="48"/>
  <c r="F40" i="48"/>
  <c r="AM80" i="48"/>
  <c r="F70" i="48"/>
  <c r="AM110" i="48"/>
  <c r="AM46" i="48"/>
  <c r="F6" i="48"/>
  <c r="F51" i="48"/>
  <c r="AM91" i="48"/>
  <c r="AM81" i="48"/>
  <c r="F41" i="48"/>
  <c r="AM104" i="48"/>
  <c r="F64" i="48"/>
  <c r="F99" i="48"/>
  <c r="AM139" i="48"/>
  <c r="F88" i="48"/>
  <c r="AM128" i="48"/>
  <c r="AM134" i="48"/>
  <c r="F94" i="48"/>
  <c r="AM136" i="48"/>
  <c r="F96" i="48"/>
  <c r="AM98" i="48"/>
  <c r="F58" i="48"/>
  <c r="AM55" i="48"/>
  <c r="F15" i="48"/>
  <c r="F18" i="48"/>
  <c r="AM58" i="48"/>
  <c r="AM92" i="48"/>
  <c r="F52" i="48"/>
  <c r="AM88" i="48"/>
  <c r="F48" i="48"/>
  <c r="AM106" i="48"/>
  <c r="F66" i="48"/>
  <c r="AM126" i="48"/>
  <c r="F86" i="48"/>
  <c r="F54" i="48"/>
  <c r="AM94" i="48"/>
  <c r="F31" i="48"/>
  <c r="AM71" i="48"/>
  <c r="F22" i="48"/>
  <c r="AM62" i="48"/>
  <c r="AM109" i="48"/>
  <c r="F69" i="48"/>
  <c r="F85" i="48"/>
  <c r="AM125" i="48"/>
  <c r="AM93" i="48"/>
  <c r="F53" i="48"/>
  <c r="F62" i="48"/>
  <c r="AM102" i="48"/>
  <c r="F20" i="48"/>
  <c r="AM60" i="48"/>
  <c r="F39" i="48"/>
  <c r="AM79" i="48"/>
  <c r="AM127" i="48"/>
  <c r="F87" i="48"/>
  <c r="AM49" i="48"/>
  <c r="F9" i="48"/>
  <c r="A76" i="35" l="1"/>
  <c r="AM9" i="48"/>
  <c r="AM31" i="48"/>
  <c r="AM2" i="48"/>
  <c r="BM2" i="48"/>
  <c r="AM16" i="48"/>
  <c r="AM6" i="48"/>
  <c r="AM28" i="48"/>
  <c r="AM30" i="48"/>
  <c r="AM11" i="48"/>
  <c r="AM20" i="48"/>
  <c r="AM18" i="48"/>
  <c r="AM15" i="48"/>
  <c r="AM26" i="48"/>
  <c r="AM23" i="48"/>
  <c r="AM40" i="48"/>
  <c r="AM8" i="48"/>
  <c r="AM10" i="48"/>
  <c r="AM32" i="48"/>
  <c r="AM37" i="48"/>
  <c r="AM13" i="48"/>
  <c r="AM27" i="48"/>
  <c r="AM24" i="48"/>
  <c r="AM19" i="48"/>
  <c r="AM21" i="48"/>
  <c r="AM12" i="48"/>
  <c r="AM22" i="48"/>
  <c r="AM41" i="48"/>
  <c r="AM35" i="48"/>
  <c r="AM5" i="48"/>
  <c r="AM39" i="48"/>
  <c r="AM3" i="48"/>
  <c r="AM14" i="48"/>
  <c r="AM36" i="48"/>
  <c r="AM33" i="48"/>
  <c r="AM4" i="48"/>
  <c r="AM29" i="48"/>
  <c r="AM17" i="48"/>
  <c r="AM38" i="48"/>
  <c r="AM25" i="48"/>
  <c r="AM7" i="48"/>
  <c r="AM34" i="48"/>
  <c r="A77" i="35" l="1"/>
  <c r="A78" i="35" l="1"/>
  <c r="A79" i="35" l="1"/>
  <c r="A80" i="35" l="1"/>
  <c r="A81" i="35" l="1"/>
  <c r="A82" i="35" l="1"/>
  <c r="A83" i="35" l="1"/>
  <c r="A84" i="35" l="1"/>
  <c r="A85" i="35" l="1"/>
  <c r="A86" i="35" s="1"/>
  <c r="A87" i="35" s="1"/>
  <c r="A88" i="35" s="1"/>
  <c r="A89" i="35" s="1"/>
  <c r="A90" i="35" s="1"/>
  <c r="A91" i="35" s="1"/>
  <c r="A92" i="35" s="1"/>
  <c r="A93" i="35" s="1"/>
  <c r="A94" i="35" s="1"/>
  <c r="A95" i="35" s="1"/>
  <c r="A96" i="35" s="1"/>
  <c r="A97" i="35" s="1"/>
  <c r="AO173" i="47"/>
  <c r="S77" i="47"/>
  <c r="AO177" i="47"/>
  <c r="AN176" i="47"/>
  <c r="R77" i="47"/>
  <c r="AL174" i="47"/>
  <c r="S73" i="47"/>
  <c r="Q76" i="47"/>
  <c r="AN172" i="47"/>
  <c r="R73" i="47"/>
  <c r="T77" i="47"/>
  <c r="AO175" i="47"/>
  <c r="AL176" i="47"/>
  <c r="AP176" i="47"/>
  <c r="R72" i="47"/>
  <c r="AN177" i="47"/>
  <c r="T78" i="47"/>
  <c r="AP173" i="47"/>
  <c r="AP172" i="47"/>
  <c r="S74" i="47"/>
  <c r="T73" i="47"/>
  <c r="Q73" i="47"/>
  <c r="Q74" i="47"/>
  <c r="Q78" i="47"/>
  <c r="Q75" i="47"/>
  <c r="AN178" i="47"/>
  <c r="Q77" i="47"/>
  <c r="AO174" i="47"/>
  <c r="T76" i="47"/>
  <c r="AO176" i="47"/>
  <c r="AL178" i="47"/>
  <c r="AL172" i="47"/>
  <c r="AL173" i="47"/>
  <c r="T74" i="47"/>
  <c r="AN174" i="47"/>
  <c r="R75" i="47"/>
  <c r="AN173" i="47"/>
  <c r="S76" i="47"/>
  <c r="R74" i="47"/>
  <c r="R76" i="47"/>
  <c r="AP177" i="47"/>
  <c r="AP178" i="47"/>
  <c r="R78" i="47"/>
  <c r="AP174" i="47"/>
  <c r="AN175" i="47"/>
  <c r="AO178" i="47"/>
  <c r="T75" i="47"/>
  <c r="AL175" i="47"/>
  <c r="S78" i="47"/>
  <c r="T72" i="47"/>
  <c r="S75" i="47"/>
  <c r="AP175" i="47"/>
  <c r="A98" i="35"/>
  <c r="T80" i="47" s="1"/>
  <c r="AN179" i="47"/>
  <c r="S80" i="47"/>
  <c r="Q79" i="47"/>
  <c r="S79" i="47"/>
  <c r="AL179" i="47"/>
  <c r="T79" i="47"/>
  <c r="R79" i="47"/>
  <c r="AP179" i="47"/>
  <c r="AL180" i="47"/>
  <c r="AP180" i="47"/>
  <c r="AO179" i="47"/>
  <c r="R80" i="47"/>
  <c r="AO180" i="47" l="1"/>
  <c r="AN180" i="47"/>
  <c r="Q80" i="47"/>
  <c r="AL177" i="47"/>
  <c r="A99" i="35"/>
  <c r="A100" i="35" l="1"/>
  <c r="A101" i="35" s="1"/>
  <c r="A102" i="35" s="1"/>
  <c r="A103" i="35" s="1"/>
  <c r="A104" i="35" s="1"/>
  <c r="A105" i="35" s="1"/>
  <c r="A106" i="35" s="1"/>
  <c r="A107" i="35" s="1"/>
  <c r="A108" i="35" s="1"/>
  <c r="A109" i="35" s="1"/>
  <c r="A110" i="35" s="1"/>
  <c r="A111" i="35" s="1"/>
  <c r="A112" i="35" s="1"/>
  <c r="A113" i="35" s="1"/>
  <c r="A114" i="35" s="1"/>
  <c r="A115" i="35" s="1"/>
  <c r="A116" i="35" s="1"/>
  <c r="A117" i="35" s="1"/>
  <c r="A118" i="35" s="1"/>
  <c r="A119" i="35" s="1"/>
  <c r="A120" i="35" s="1"/>
  <c r="A121" i="35" s="1"/>
  <c r="A122" i="35" s="1"/>
  <c r="A123" i="35" s="1"/>
  <c r="A124" i="35" s="1"/>
  <c r="A125" i="35" s="1"/>
  <c r="A126" i="35" s="1"/>
  <c r="A127" i="35" s="1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A141" i="35" s="1"/>
  <c r="A142" i="35" s="1"/>
  <c r="A143" i="35" s="1"/>
  <c r="A144" i="35" s="1"/>
  <c r="A145" i="35" s="1"/>
  <c r="A146" i="35" s="1"/>
  <c r="A147" i="35" s="1"/>
  <c r="A148" i="35" s="1"/>
  <c r="A149" i="35" s="1"/>
  <c r="A150" i="35" s="1"/>
  <c r="A151" i="35" s="1"/>
  <c r="A152" i="35" s="1"/>
  <c r="A153" i="35" s="1"/>
  <c r="A154" i="35" s="1"/>
  <c r="A155" i="35" s="1"/>
  <c r="A156" i="35" s="1"/>
  <c r="A157" i="35" s="1"/>
  <c r="A158" i="35" s="1"/>
  <c r="A159" i="35" s="1"/>
  <c r="A160" i="35" s="1"/>
  <c r="A161" i="35" s="1"/>
  <c r="A162" i="35" s="1"/>
  <c r="A163" i="35" s="1"/>
  <c r="A164" i="35" s="1"/>
  <c r="A165" i="35" s="1"/>
  <c r="A166" i="35" s="1"/>
  <c r="A167" i="35" s="1"/>
  <c r="A168" i="35" s="1"/>
  <c r="A169" i="35" s="1"/>
  <c r="A170" i="35" s="1"/>
  <c r="A171" i="35" s="1"/>
  <c r="A172" i="35" s="1"/>
  <c r="A173" i="35" s="1"/>
  <c r="A174" i="35" s="1"/>
  <c r="A175" i="35" s="1"/>
  <c r="A176" i="35" s="1"/>
  <c r="A177" i="35" s="1"/>
  <c r="A178" i="35" s="1"/>
  <c r="A179" i="35" s="1"/>
  <c r="A180" i="35" s="1"/>
  <c r="A181" i="35" s="1"/>
  <c r="A182" i="35" s="1"/>
  <c r="A183" i="35" s="1"/>
  <c r="A184" i="35" s="1"/>
  <c r="A185" i="35" s="1"/>
  <c r="A186" i="35" s="1"/>
  <c r="A187" i="35" s="1"/>
  <c r="A188" i="35" s="1"/>
  <c r="A189" i="35" s="1"/>
  <c r="A190" i="35" s="1"/>
  <c r="A191" i="35" s="1"/>
  <c r="A192" i="35" s="1"/>
  <c r="A193" i="35" s="1"/>
  <c r="A194" i="35" s="1"/>
  <c r="A195" i="35" s="1"/>
  <c r="A196" i="35" s="1"/>
  <c r="A197" i="35" s="1"/>
  <c r="A198" i="35" s="1"/>
  <c r="A199" i="35" s="1"/>
  <c r="A200" i="35" s="1"/>
  <c r="A201" i="35" s="1"/>
  <c r="A202" i="35" s="1"/>
  <c r="A203" i="35" s="1"/>
  <c r="R91" i="47"/>
  <c r="Q119" i="47"/>
  <c r="S81" i="47"/>
  <c r="Q87" i="47"/>
  <c r="Q88" i="47"/>
  <c r="AP202" i="47"/>
  <c r="AO227" i="47"/>
  <c r="AL188" i="47"/>
  <c r="AO206" i="47"/>
  <c r="AL192" i="47"/>
  <c r="T114" i="47"/>
  <c r="AL193" i="47"/>
  <c r="AO222" i="47"/>
  <c r="AO197" i="47"/>
  <c r="S161" i="47"/>
  <c r="S114" i="47"/>
  <c r="AO217" i="47"/>
  <c r="R223" i="47"/>
  <c r="T89" i="47"/>
  <c r="AN195" i="47"/>
  <c r="R114" i="47"/>
  <c r="AP312" i="47"/>
  <c r="AN188" i="47"/>
  <c r="R139" i="47"/>
  <c r="S85" i="47"/>
  <c r="T170" i="47"/>
  <c r="T117" i="47"/>
  <c r="T125" i="47"/>
  <c r="AL197" i="47"/>
  <c r="S124" i="47"/>
  <c r="AL215" i="47"/>
  <c r="AO240" i="47"/>
  <c r="R132" i="47"/>
  <c r="Q111" i="47"/>
  <c r="AN307" i="47"/>
  <c r="AN236" i="47"/>
  <c r="AL209" i="47"/>
  <c r="AP249" i="47"/>
  <c r="AP203" i="47"/>
  <c r="S120" i="47"/>
  <c r="AN192" i="47"/>
  <c r="R153" i="47"/>
  <c r="R185" i="47"/>
  <c r="AO236" i="47"/>
  <c r="T109" i="47"/>
  <c r="AP302" i="47"/>
  <c r="S148" i="47"/>
  <c r="AO293" i="47"/>
  <c r="R193" i="47"/>
  <c r="S105" i="47"/>
  <c r="T145" i="47"/>
  <c r="AP280" i="47"/>
  <c r="T218" i="47"/>
  <c r="S180" i="47"/>
  <c r="AL242" i="47"/>
  <c r="AN218" i="47"/>
  <c r="AP229" i="47"/>
  <c r="AO319" i="47"/>
  <c r="AN262" i="47"/>
  <c r="R168" i="47"/>
  <c r="R83" i="47"/>
  <c r="T99" i="47"/>
  <c r="AO207" i="47"/>
  <c r="AL285" i="47"/>
  <c r="AN266" i="47"/>
  <c r="AL300" i="47"/>
  <c r="AN310" i="47"/>
  <c r="AL271" i="47"/>
  <c r="Q178" i="47"/>
  <c r="AP275" i="47"/>
  <c r="AP306" i="47"/>
  <c r="AN186" i="47"/>
  <c r="AL238" i="47"/>
  <c r="AL184" i="47"/>
  <c r="AL268" i="47"/>
  <c r="T169" i="47"/>
  <c r="Q152" i="47"/>
  <c r="T198" i="47"/>
  <c r="AO297" i="47"/>
  <c r="T138" i="47"/>
  <c r="S202" i="47"/>
  <c r="R98" i="47"/>
  <c r="S200" i="47"/>
  <c r="T201" i="47"/>
  <c r="AP220" i="47"/>
  <c r="AN309" i="47"/>
  <c r="AP323" i="47"/>
  <c r="AP197" i="47"/>
  <c r="AL194" i="47"/>
  <c r="AP232" i="47"/>
  <c r="AO245" i="47"/>
  <c r="AP273" i="47"/>
  <c r="Q125" i="47"/>
  <c r="T188" i="47"/>
  <c r="AO275" i="47"/>
  <c r="S118" i="47"/>
  <c r="AL234" i="47"/>
  <c r="R206" i="47"/>
  <c r="T211" i="47"/>
  <c r="Q115" i="47"/>
  <c r="AO257" i="47"/>
  <c r="S214" i="47"/>
  <c r="S211" i="47"/>
  <c r="AO260" i="47"/>
  <c r="S82" i="47"/>
  <c r="S187" i="47"/>
  <c r="S155" i="47"/>
  <c r="AN300" i="47"/>
  <c r="T207" i="47"/>
  <c r="T146" i="47"/>
  <c r="AP305" i="47"/>
  <c r="S121" i="47"/>
  <c r="Q211" i="47"/>
  <c r="AO220" i="47"/>
  <c r="S170" i="47"/>
  <c r="R141" i="47"/>
  <c r="AL248" i="47"/>
  <c r="Q161" i="47"/>
  <c r="AP253" i="47"/>
  <c r="AP281" i="47"/>
  <c r="AN325" i="47"/>
  <c r="AN279" i="47"/>
  <c r="AO327" i="47"/>
  <c r="S119" i="47"/>
  <c r="T191" i="47"/>
  <c r="S203" i="47"/>
  <c r="AO214" i="47"/>
  <c r="Q83" i="47"/>
  <c r="AO278" i="47"/>
  <c r="T171" i="47"/>
  <c r="R208" i="47"/>
  <c r="AO284" i="47"/>
  <c r="AN220" i="47"/>
  <c r="AO216" i="47"/>
  <c r="T164" i="47"/>
  <c r="R180" i="47"/>
  <c r="T174" i="47"/>
  <c r="AL277" i="47"/>
  <c r="Q110" i="47"/>
  <c r="AL281" i="47"/>
  <c r="AL324" i="47"/>
  <c r="S125" i="47"/>
  <c r="S158" i="47"/>
  <c r="AP206" i="47"/>
  <c r="AP314" i="47"/>
  <c r="AL278" i="47"/>
  <c r="Q200" i="47"/>
  <c r="AP313" i="47"/>
  <c r="AL266" i="47"/>
  <c r="Q227" i="47"/>
  <c r="Q212" i="47"/>
  <c r="T131" i="47"/>
  <c r="R154" i="47"/>
  <c r="S221" i="47"/>
  <c r="S138" i="47"/>
  <c r="Q217" i="47"/>
  <c r="AP318" i="47"/>
  <c r="AL323" i="47"/>
  <c r="AO228" i="47"/>
  <c r="R155" i="47"/>
  <c r="R211" i="47"/>
  <c r="AO300" i="47"/>
  <c r="AO255" i="47"/>
  <c r="AN271" i="47"/>
  <c r="Q104" i="47"/>
  <c r="AO261" i="47"/>
  <c r="S109" i="47"/>
  <c r="Q153" i="47"/>
  <c r="R94" i="47"/>
  <c r="R137" i="47"/>
  <c r="AP190" i="47"/>
  <c r="T113" i="47"/>
  <c r="T110" i="47"/>
  <c r="Q145" i="47"/>
  <c r="T121" i="47"/>
  <c r="AP226" i="47"/>
  <c r="AL189" i="47"/>
  <c r="T167" i="47"/>
  <c r="AO221" i="47"/>
  <c r="Q102" i="47"/>
  <c r="Q141" i="47"/>
  <c r="S128" i="47"/>
  <c r="S196" i="47"/>
  <c r="T225" i="47"/>
  <c r="Q103" i="47"/>
  <c r="AL270" i="47"/>
  <c r="R99" i="47"/>
  <c r="T148" i="47"/>
  <c r="AO267" i="47"/>
  <c r="S112" i="47"/>
  <c r="T96" i="47"/>
  <c r="R197" i="47"/>
  <c r="AO288" i="47"/>
  <c r="AN221" i="47"/>
  <c r="Q214" i="47"/>
  <c r="AL195" i="47"/>
  <c r="S83" i="47"/>
  <c r="S191" i="47"/>
  <c r="AN273" i="47"/>
  <c r="AN234" i="47"/>
  <c r="S213" i="47"/>
  <c r="AL291" i="47"/>
  <c r="AL264" i="47"/>
  <c r="AN274" i="47"/>
  <c r="AP324" i="47"/>
  <c r="AL229" i="47"/>
  <c r="S123" i="47"/>
  <c r="R192" i="47"/>
  <c r="AP209" i="47"/>
  <c r="AL262" i="47"/>
  <c r="Q205" i="47"/>
  <c r="S129" i="47"/>
  <c r="AL257" i="47"/>
  <c r="Q144" i="47"/>
  <c r="AP242" i="47"/>
  <c r="AO239" i="47"/>
  <c r="T150" i="47"/>
  <c r="R127" i="47"/>
  <c r="AN206" i="47"/>
  <c r="Q137" i="47"/>
  <c r="Q122" i="47"/>
  <c r="AO270" i="47"/>
  <c r="AO277" i="47"/>
  <c r="AL309" i="47"/>
  <c r="T200" i="47"/>
  <c r="T162" i="47"/>
  <c r="AO262" i="47"/>
  <c r="AO181" i="47"/>
  <c r="AN237" i="47"/>
  <c r="Q106" i="47"/>
  <c r="Q213" i="47"/>
  <c r="S168" i="47"/>
  <c r="Q127" i="47"/>
  <c r="AL202" i="47"/>
  <c r="T104" i="47"/>
  <c r="S212" i="47"/>
  <c r="S90" i="47"/>
  <c r="T141" i="47"/>
  <c r="T94" i="47"/>
  <c r="AL317" i="47"/>
  <c r="R165" i="47"/>
  <c r="AO305" i="47"/>
  <c r="AL325" i="47"/>
  <c r="R85" i="47"/>
  <c r="AL296" i="47"/>
  <c r="T101" i="47"/>
  <c r="S115" i="47"/>
  <c r="AO296" i="47"/>
  <c r="Q202" i="47"/>
  <c r="T197" i="47"/>
  <c r="Q188" i="47"/>
  <c r="AN264" i="47"/>
  <c r="T161" i="47"/>
  <c r="T227" i="47"/>
  <c r="AO210" i="47"/>
  <c r="R92" i="47"/>
  <c r="T189" i="47"/>
  <c r="S210" i="47"/>
  <c r="S165" i="47"/>
  <c r="S185" i="47"/>
  <c r="Q216" i="47"/>
  <c r="AP234" i="47"/>
  <c r="AL182" i="47"/>
  <c r="R202" i="47"/>
  <c r="S152" i="47"/>
  <c r="AP187" i="47"/>
  <c r="T82" i="47"/>
  <c r="AL226" i="47"/>
  <c r="AP214" i="47"/>
  <c r="AO316" i="47"/>
  <c r="AL261" i="47"/>
  <c r="AN181" i="47"/>
  <c r="Q143" i="47"/>
  <c r="S94" i="47"/>
  <c r="AP311" i="47"/>
  <c r="T149" i="47"/>
  <c r="AL258" i="47"/>
  <c r="AL284" i="47"/>
  <c r="AL185" i="47"/>
  <c r="AP256" i="47"/>
  <c r="AL289" i="47"/>
  <c r="S216" i="47"/>
  <c r="AP278" i="47"/>
  <c r="Q171" i="47"/>
  <c r="AO321" i="47"/>
  <c r="AO205" i="47"/>
  <c r="Q97" i="47"/>
  <c r="AN216" i="47"/>
  <c r="T123" i="47"/>
  <c r="R187" i="47"/>
  <c r="AN327" i="47"/>
  <c r="AL293" i="47"/>
  <c r="T186" i="47"/>
  <c r="S175" i="47"/>
  <c r="Q91" i="47"/>
  <c r="AN259" i="47"/>
  <c r="R104" i="47"/>
  <c r="R183" i="47"/>
  <c r="S108" i="47"/>
  <c r="R142" i="47"/>
  <c r="S149" i="47"/>
  <c r="T187" i="47"/>
  <c r="S226" i="47"/>
  <c r="AP320" i="47"/>
  <c r="AP222" i="47"/>
  <c r="Q139" i="47"/>
  <c r="AO208" i="47"/>
  <c r="AO318" i="47"/>
  <c r="AN191" i="47"/>
  <c r="S110" i="47"/>
  <c r="AN275" i="47"/>
  <c r="Q195" i="47"/>
  <c r="S184" i="47"/>
  <c r="S126" i="47"/>
  <c r="Q86" i="47"/>
  <c r="AO192" i="47"/>
  <c r="Q148" i="47"/>
  <c r="Q173" i="47"/>
  <c r="AO266" i="47"/>
  <c r="R159" i="47"/>
  <c r="AP237" i="47"/>
  <c r="AL267" i="47"/>
  <c r="R222" i="47"/>
  <c r="AN239" i="47"/>
  <c r="AO191" i="47"/>
  <c r="AO229" i="47"/>
  <c r="T216" i="47"/>
  <c r="AN252" i="47"/>
  <c r="AN308" i="47"/>
  <c r="AP315" i="47"/>
  <c r="S162" i="47"/>
  <c r="AO308" i="47"/>
  <c r="AL265" i="47"/>
  <c r="Q192" i="47"/>
  <c r="Q222" i="47"/>
  <c r="Q113" i="47"/>
  <c r="AL191" i="47"/>
  <c r="AN257" i="47"/>
  <c r="Q105" i="47"/>
  <c r="AN272" i="47"/>
  <c r="T95" i="47"/>
  <c r="T224" i="47"/>
  <c r="Q174" i="47"/>
  <c r="T130" i="47"/>
  <c r="R144" i="47"/>
  <c r="S182" i="47"/>
  <c r="AO185" i="47"/>
  <c r="R171" i="47"/>
  <c r="S102" i="47"/>
  <c r="Q182" i="47"/>
  <c r="AO218" i="47"/>
  <c r="T182" i="47"/>
  <c r="AL214" i="47"/>
  <c r="AO320" i="47"/>
  <c r="Q116" i="47"/>
  <c r="AO285" i="47"/>
  <c r="Q98" i="47"/>
  <c r="T133" i="47"/>
  <c r="S97" i="47"/>
  <c r="Q146" i="47"/>
  <c r="R177" i="47"/>
  <c r="S107" i="47"/>
  <c r="AP282" i="47"/>
  <c r="AN227" i="47"/>
  <c r="T115" i="47"/>
  <c r="T190" i="47"/>
  <c r="AN311" i="47"/>
  <c r="S153" i="47"/>
  <c r="AN224" i="47"/>
  <c r="AP254" i="47"/>
  <c r="Q193" i="47"/>
  <c r="AO326" i="47"/>
  <c r="AN225" i="47"/>
  <c r="T120" i="47"/>
  <c r="Q201" i="47"/>
  <c r="AN284" i="47"/>
  <c r="AO286" i="47"/>
  <c r="AL294" i="47"/>
  <c r="Q165" i="47"/>
  <c r="T93" i="47"/>
  <c r="R179" i="47"/>
  <c r="T206" i="47"/>
  <c r="AL228" i="47"/>
  <c r="AN277" i="47"/>
  <c r="AL207" i="47"/>
  <c r="R140" i="47"/>
  <c r="T144" i="47"/>
  <c r="T226" i="47"/>
  <c r="AL279" i="47"/>
  <c r="AN240" i="47"/>
  <c r="R221" i="47"/>
  <c r="S183" i="47"/>
  <c r="AO234" i="47"/>
  <c r="AN290" i="47"/>
  <c r="AN288" i="47"/>
  <c r="AL237" i="47"/>
  <c r="AN201" i="47"/>
  <c r="AO243" i="47"/>
  <c r="AL302" i="47"/>
  <c r="AO280" i="47"/>
  <c r="AP285" i="47"/>
  <c r="S130" i="47"/>
  <c r="T142" i="47"/>
  <c r="R160" i="47"/>
  <c r="S227" i="47"/>
  <c r="AO231" i="47"/>
  <c r="AP193" i="47"/>
  <c r="R227" i="47"/>
  <c r="AO306" i="47"/>
  <c r="AO183" i="47"/>
  <c r="Q197" i="47"/>
  <c r="AL206" i="47"/>
  <c r="AN320" i="47"/>
  <c r="R224" i="47"/>
  <c r="T184" i="47"/>
  <c r="S135" i="47"/>
  <c r="T173" i="47"/>
  <c r="S92" i="47"/>
  <c r="R149" i="47"/>
  <c r="R131" i="47"/>
  <c r="S98" i="47"/>
  <c r="AP279" i="47"/>
  <c r="AP192" i="47"/>
  <c r="T108" i="47"/>
  <c r="S154" i="47"/>
  <c r="Q132" i="47"/>
  <c r="AN294" i="47"/>
  <c r="AL308" i="47"/>
  <c r="S116" i="47"/>
  <c r="AL210" i="47"/>
  <c r="AN297" i="47"/>
  <c r="T195" i="47"/>
  <c r="S171" i="47"/>
  <c r="AO186" i="47"/>
  <c r="AO302" i="47"/>
  <c r="R112" i="47"/>
  <c r="AN219" i="47"/>
  <c r="AN228" i="47"/>
  <c r="AP277" i="47"/>
  <c r="AN189" i="47"/>
  <c r="T194" i="47"/>
  <c r="AL216" i="47"/>
  <c r="AO258" i="47"/>
  <c r="AL208" i="47"/>
  <c r="AN270" i="47"/>
  <c r="S160" i="47"/>
  <c r="AO317" i="47"/>
  <c r="AN283" i="47"/>
  <c r="AP326" i="47"/>
  <c r="AP298" i="47"/>
  <c r="S91" i="47"/>
  <c r="AO201" i="47"/>
  <c r="Q121" i="47"/>
  <c r="T83" i="47"/>
  <c r="Q92" i="47"/>
  <c r="R106" i="47"/>
  <c r="AP255" i="47"/>
  <c r="AL203" i="47"/>
  <c r="R100" i="47"/>
  <c r="S176" i="47"/>
  <c r="T102" i="47"/>
  <c r="R107" i="47"/>
  <c r="AP263" i="47"/>
  <c r="T92" i="47"/>
  <c r="T168" i="47"/>
  <c r="AN214" i="47"/>
  <c r="AN313" i="47"/>
  <c r="AN198" i="47"/>
  <c r="T160" i="47"/>
  <c r="AP271" i="47"/>
  <c r="S156" i="47"/>
  <c r="R167" i="47"/>
  <c r="T203" i="47"/>
  <c r="Q166" i="47"/>
  <c r="AN222" i="47"/>
  <c r="AN280" i="47"/>
  <c r="T128" i="47"/>
  <c r="S86" i="47"/>
  <c r="AO295" i="47"/>
  <c r="AO251" i="47"/>
  <c r="R157" i="47"/>
  <c r="R118" i="47"/>
  <c r="Q164" i="47"/>
  <c r="R110" i="47"/>
  <c r="AL276" i="47"/>
  <c r="R210" i="47"/>
  <c r="T204" i="47"/>
  <c r="AL231" i="47"/>
  <c r="S113" i="47"/>
  <c r="AL240" i="47"/>
  <c r="AL263" i="47"/>
  <c r="R199" i="47"/>
  <c r="AP283" i="47"/>
  <c r="Q84" i="47"/>
  <c r="R130" i="47"/>
  <c r="R121" i="47"/>
  <c r="AL198" i="47"/>
  <c r="AN196" i="47"/>
  <c r="R116" i="47"/>
  <c r="AN233" i="47"/>
  <c r="T176" i="47"/>
  <c r="S197" i="47"/>
  <c r="Q142" i="47"/>
  <c r="AO256" i="47"/>
  <c r="T212" i="47"/>
  <c r="T192" i="47"/>
  <c r="R147" i="47"/>
  <c r="R161" i="47"/>
  <c r="R209" i="47"/>
  <c r="AO274" i="47"/>
  <c r="S95" i="47"/>
  <c r="AP250" i="47"/>
  <c r="T208" i="47"/>
  <c r="R90" i="47"/>
  <c r="R196" i="47"/>
  <c r="AN207" i="47"/>
  <c r="Q112" i="47"/>
  <c r="AN229" i="47"/>
  <c r="AN203" i="47"/>
  <c r="AO187" i="47"/>
  <c r="AP182" i="47"/>
  <c r="Q160" i="47"/>
  <c r="AO313" i="47"/>
  <c r="AP230" i="47"/>
  <c r="AO263" i="47"/>
  <c r="S146" i="47"/>
  <c r="AL298" i="47"/>
  <c r="Q172" i="47"/>
  <c r="S84" i="47"/>
  <c r="S163" i="47"/>
  <c r="T103" i="47"/>
  <c r="S186" i="47"/>
  <c r="AP208" i="47"/>
  <c r="S88" i="47"/>
  <c r="AN324" i="47"/>
  <c r="AN258" i="47"/>
  <c r="R226" i="47"/>
  <c r="R125" i="47"/>
  <c r="T143" i="47"/>
  <c r="AN199" i="47"/>
  <c r="R195" i="47"/>
  <c r="S206" i="47"/>
  <c r="Q123" i="47"/>
  <c r="AN247" i="47"/>
  <c r="AO232" i="47"/>
  <c r="AN316" i="47"/>
  <c r="T147" i="47"/>
  <c r="S224" i="47"/>
  <c r="Q149" i="47"/>
  <c r="R205" i="47"/>
  <c r="Q225" i="47"/>
  <c r="AN260" i="47"/>
  <c r="AL314" i="47"/>
  <c r="Q189" i="47"/>
  <c r="AO215" i="47"/>
  <c r="T88" i="47"/>
  <c r="S208" i="47"/>
  <c r="AP262" i="47"/>
  <c r="R82" i="47"/>
  <c r="AP322" i="47"/>
  <c r="AO244" i="47"/>
  <c r="AO209" i="47"/>
  <c r="S205" i="47"/>
  <c r="AN286" i="47"/>
  <c r="AO224" i="47"/>
  <c r="AL292" i="47"/>
  <c r="S143" i="47"/>
  <c r="R213" i="47"/>
  <c r="R190" i="47"/>
  <c r="T177" i="47"/>
  <c r="AO323" i="47"/>
  <c r="Q199" i="47"/>
  <c r="AL230" i="47"/>
  <c r="S151" i="47"/>
  <c r="AN231" i="47"/>
  <c r="AP292" i="47"/>
  <c r="T81" i="47"/>
  <c r="AN278" i="47"/>
  <c r="R220" i="47"/>
  <c r="S89" i="47"/>
  <c r="AP207" i="47"/>
  <c r="AP194" i="47"/>
  <c r="AL235" i="47"/>
  <c r="AO241" i="47"/>
  <c r="AL243" i="47"/>
  <c r="AN323" i="47"/>
  <c r="R88" i="47"/>
  <c r="S195" i="47"/>
  <c r="Q180" i="47"/>
  <c r="AO238" i="47"/>
  <c r="AL299" i="47"/>
  <c r="AO252" i="47"/>
  <c r="AO190" i="47"/>
  <c r="R219" i="47"/>
  <c r="R175" i="47"/>
  <c r="AO198" i="47"/>
  <c r="AL315" i="47"/>
  <c r="S174" i="47"/>
  <c r="AO200" i="47"/>
  <c r="Q126" i="47"/>
  <c r="T153" i="47"/>
  <c r="T221" i="47"/>
  <c r="AP198" i="47"/>
  <c r="AO291" i="47"/>
  <c r="Q204" i="47"/>
  <c r="AO282" i="47"/>
  <c r="T193" i="47"/>
  <c r="T134" i="47"/>
  <c r="AP264" i="47"/>
  <c r="AP181" i="47"/>
  <c r="AO253" i="47"/>
  <c r="S220" i="47"/>
  <c r="AL225" i="47"/>
  <c r="Q185" i="47"/>
  <c r="R174" i="47"/>
  <c r="Q85" i="47"/>
  <c r="S164" i="47"/>
  <c r="AL321" i="47"/>
  <c r="AO223" i="47"/>
  <c r="Q147" i="47"/>
  <c r="S194" i="47"/>
  <c r="AP316" i="47"/>
  <c r="R189" i="47"/>
  <c r="AP213" i="47"/>
  <c r="R101" i="47"/>
  <c r="S96" i="47"/>
  <c r="AP231" i="47"/>
  <c r="AN193" i="47"/>
  <c r="AL313" i="47"/>
  <c r="AO314" i="47"/>
  <c r="AN235" i="47"/>
  <c r="T223" i="47"/>
  <c r="AP210" i="47"/>
  <c r="AP240" i="47"/>
  <c r="AO182" i="47"/>
  <c r="AP317" i="47"/>
  <c r="AO281" i="47"/>
  <c r="R108" i="47"/>
  <c r="AO304" i="47"/>
  <c r="T179" i="47"/>
  <c r="AL304" i="47"/>
  <c r="Q136" i="47"/>
  <c r="AL249" i="47"/>
  <c r="R103" i="47"/>
  <c r="AP287" i="47"/>
  <c r="AP224" i="47"/>
  <c r="AN244" i="47"/>
  <c r="AO268" i="47"/>
  <c r="R158" i="47"/>
  <c r="AL260" i="47"/>
  <c r="T136" i="47"/>
  <c r="S134" i="47"/>
  <c r="T152" i="47"/>
  <c r="AN261" i="47"/>
  <c r="AP200" i="47"/>
  <c r="Q207" i="47"/>
  <c r="AP233" i="47"/>
  <c r="AL211" i="47"/>
  <c r="S144" i="47"/>
  <c r="T100" i="47"/>
  <c r="R123" i="47"/>
  <c r="AN200" i="47"/>
  <c r="S106" i="47"/>
  <c r="R89" i="47"/>
  <c r="AP212" i="47"/>
  <c r="AN267" i="47"/>
  <c r="AN197" i="47"/>
  <c r="AN215" i="47"/>
  <c r="R186" i="47"/>
  <c r="Q157" i="47"/>
  <c r="R166" i="47"/>
  <c r="AL218" i="47"/>
  <c r="R93" i="47"/>
  <c r="AP195" i="47"/>
  <c r="R95" i="47"/>
  <c r="S204" i="47"/>
  <c r="AL183" i="47"/>
  <c r="R119" i="47"/>
  <c r="Q95" i="47"/>
  <c r="S218" i="47"/>
  <c r="AL212" i="47"/>
  <c r="AN276" i="47"/>
  <c r="AO303" i="47"/>
  <c r="R214" i="47"/>
  <c r="Q226" i="47"/>
  <c r="AP327" i="47"/>
  <c r="AP199" i="47"/>
  <c r="T112" i="47"/>
  <c r="AN226" i="47"/>
  <c r="AP289" i="47"/>
  <c r="Q130" i="47"/>
  <c r="AN281" i="47"/>
  <c r="AO211" i="47"/>
  <c r="AO237" i="47"/>
  <c r="AP228" i="47"/>
  <c r="Q99" i="47"/>
  <c r="AN182" i="47"/>
  <c r="S139" i="47"/>
  <c r="S166" i="47"/>
  <c r="T172" i="47"/>
  <c r="AL190" i="47"/>
  <c r="R200" i="47"/>
  <c r="R212" i="47"/>
  <c r="Q100" i="47"/>
  <c r="AP286" i="47"/>
  <c r="T209" i="47"/>
  <c r="AO265" i="47"/>
  <c r="T215" i="47"/>
  <c r="AP188" i="47"/>
  <c r="AO194" i="47"/>
  <c r="AP218" i="47"/>
  <c r="AL244" i="47"/>
  <c r="AP308" i="47"/>
  <c r="AN245" i="47"/>
  <c r="R129" i="47"/>
  <c r="Q206" i="47"/>
  <c r="AP244" i="47"/>
  <c r="AP183" i="47"/>
  <c r="Q108" i="47"/>
  <c r="AP291" i="47"/>
  <c r="AP269" i="47"/>
  <c r="R162" i="47"/>
  <c r="R109" i="47"/>
  <c r="AP300" i="47"/>
  <c r="AN213" i="47"/>
  <c r="AL327" i="47"/>
  <c r="S145" i="47"/>
  <c r="AP268" i="47"/>
  <c r="AO279" i="47"/>
  <c r="S87" i="47"/>
  <c r="AN185" i="47"/>
  <c r="AO250" i="47"/>
  <c r="AN317" i="47"/>
  <c r="AN269" i="47"/>
  <c r="AP184" i="47"/>
  <c r="AL196" i="47"/>
  <c r="AP303" i="47"/>
  <c r="S167" i="47"/>
  <c r="AP261" i="47"/>
  <c r="AP252" i="47"/>
  <c r="AP196" i="47"/>
  <c r="AP205" i="47"/>
  <c r="AL224" i="47"/>
  <c r="AO235" i="47"/>
  <c r="AN291" i="47"/>
  <c r="AN187" i="47"/>
  <c r="AP290" i="47"/>
  <c r="AL282" i="47"/>
  <c r="S137" i="47"/>
  <c r="Q187" i="47"/>
  <c r="AN282" i="47"/>
  <c r="AP246" i="47"/>
  <c r="AN204" i="47"/>
  <c r="AN248" i="47"/>
  <c r="Q131" i="47"/>
  <c r="S136" i="47"/>
  <c r="AO195" i="47"/>
  <c r="AP247" i="47"/>
  <c r="AL273" i="47"/>
  <c r="R217" i="47"/>
  <c r="AL322" i="47"/>
  <c r="R87" i="47"/>
  <c r="AL245" i="47"/>
  <c r="Q176" i="47"/>
  <c r="Q93" i="47"/>
  <c r="T166" i="47"/>
  <c r="T180" i="47"/>
  <c r="AL286" i="47"/>
  <c r="Q129" i="47"/>
  <c r="T91" i="47"/>
  <c r="AO226" i="47"/>
  <c r="AN183" i="47"/>
  <c r="T199" i="47"/>
  <c r="AP211" i="47"/>
  <c r="AL239" i="47"/>
  <c r="AL241" i="47"/>
  <c r="S104" i="47"/>
  <c r="S223" i="47"/>
  <c r="AL227" i="47"/>
  <c r="AO301" i="47"/>
  <c r="AL312" i="47"/>
  <c r="Q140" i="47"/>
  <c r="AN296" i="47"/>
  <c r="Q109" i="47"/>
  <c r="R172" i="47"/>
  <c r="R148" i="47"/>
  <c r="T202" i="47"/>
  <c r="T151" i="47"/>
  <c r="AN314" i="47"/>
  <c r="AP215" i="47"/>
  <c r="AO289" i="47"/>
  <c r="T214" i="47"/>
  <c r="R201" i="47"/>
  <c r="AO219" i="47"/>
  <c r="AP251" i="47"/>
  <c r="Q94" i="47"/>
  <c r="Q158" i="47"/>
  <c r="Q184" i="47"/>
  <c r="AN263" i="47"/>
  <c r="AN305" i="47"/>
  <c r="T116" i="47"/>
  <c r="S101" i="47"/>
  <c r="AP296" i="47"/>
  <c r="AL269" i="47"/>
  <c r="T105" i="47"/>
  <c r="AN190" i="47"/>
  <c r="AP216" i="47"/>
  <c r="AN250" i="47"/>
  <c r="AO196" i="47"/>
  <c r="S99" i="47"/>
  <c r="R169" i="47"/>
  <c r="R156" i="47"/>
  <c r="T122" i="47"/>
  <c r="T129" i="47"/>
  <c r="AP201" i="47"/>
  <c r="R216" i="47"/>
  <c r="Q167" i="47"/>
  <c r="AN217" i="47"/>
  <c r="Q82" i="47"/>
  <c r="AN319" i="47"/>
  <c r="AL290" i="47"/>
  <c r="S117" i="47"/>
  <c r="Q133" i="47"/>
  <c r="Q203" i="47"/>
  <c r="Q101" i="47"/>
  <c r="T139" i="47"/>
  <c r="AL250" i="47"/>
  <c r="AL219" i="47"/>
  <c r="AP239" i="47"/>
  <c r="AP225" i="47"/>
  <c r="AP301" i="47"/>
  <c r="Q181" i="47"/>
  <c r="AL272" i="47"/>
  <c r="T183" i="47"/>
  <c r="R181" i="47"/>
  <c r="R128" i="47"/>
  <c r="AN265" i="47"/>
  <c r="AP243" i="47"/>
  <c r="AL251" i="47"/>
  <c r="AO225" i="47"/>
  <c r="AL236" i="47"/>
  <c r="Q117" i="47"/>
  <c r="AL201" i="47"/>
  <c r="AL283" i="47"/>
  <c r="AO213" i="47"/>
  <c r="R194" i="47"/>
  <c r="S141" i="47"/>
  <c r="AL187" i="47"/>
  <c r="T118" i="47"/>
  <c r="Q89" i="47"/>
  <c r="T98" i="47"/>
  <c r="AL319" i="47"/>
  <c r="T163" i="47"/>
  <c r="AN253" i="47"/>
  <c r="S140" i="47"/>
  <c r="AP236" i="47"/>
  <c r="R151" i="47"/>
  <c r="S179" i="47"/>
  <c r="AO233" i="47"/>
  <c r="Q90" i="47"/>
  <c r="T157" i="47"/>
  <c r="AL280" i="47"/>
  <c r="S198" i="47"/>
  <c r="T210" i="47"/>
  <c r="S193" i="47"/>
  <c r="AN318" i="47"/>
  <c r="AO294" i="47"/>
  <c r="AL326" i="47"/>
  <c r="AN209" i="47"/>
  <c r="AL306" i="47"/>
  <c r="AL233" i="47"/>
  <c r="AP272" i="47"/>
  <c r="AN223" i="47"/>
  <c r="Q219" i="47"/>
  <c r="AP235" i="47"/>
  <c r="S111" i="47"/>
  <c r="AN254" i="47"/>
  <c r="R102" i="47"/>
  <c r="Q135" i="47"/>
  <c r="T155" i="47"/>
  <c r="Q156" i="47"/>
  <c r="R215" i="47"/>
  <c r="T219" i="47"/>
  <c r="AN202" i="47"/>
  <c r="Q162" i="47"/>
  <c r="AL256" i="47"/>
  <c r="Q224" i="47"/>
  <c r="Q183" i="47"/>
  <c r="AL199" i="47"/>
  <c r="AP325" i="47"/>
  <c r="S147" i="47"/>
  <c r="AL311" i="47"/>
  <c r="AN287" i="47"/>
  <c r="S217" i="47"/>
  <c r="Q124" i="47"/>
  <c r="R105" i="47"/>
  <c r="T127" i="47"/>
  <c r="AP295" i="47"/>
  <c r="T124" i="47"/>
  <c r="R133" i="47"/>
  <c r="Q154" i="47"/>
  <c r="AO312" i="47"/>
  <c r="AN315" i="47"/>
  <c r="AL232" i="47"/>
  <c r="AN208" i="47"/>
  <c r="Q223" i="47"/>
  <c r="R84" i="47"/>
  <c r="AL217" i="47"/>
  <c r="AP257" i="47"/>
  <c r="S173" i="47"/>
  <c r="S225" i="47"/>
  <c r="T185" i="47"/>
  <c r="AP294" i="47"/>
  <c r="Q159" i="47"/>
  <c r="Q170" i="47"/>
  <c r="AN322" i="47"/>
  <c r="AN255" i="47"/>
  <c r="T140" i="47"/>
  <c r="AN246" i="47"/>
  <c r="S122" i="47"/>
  <c r="AL200" i="47"/>
  <c r="AN298" i="47"/>
  <c r="S172" i="47"/>
  <c r="Q134" i="47"/>
  <c r="AP293" i="47"/>
  <c r="S132" i="47"/>
  <c r="Q114" i="47"/>
  <c r="T220" i="47"/>
  <c r="AN301" i="47"/>
  <c r="Q175" i="47"/>
  <c r="T217" i="47"/>
  <c r="R225" i="47"/>
  <c r="AN212" i="47"/>
  <c r="AL221" i="47"/>
  <c r="AO188" i="47"/>
  <c r="AN232" i="47"/>
  <c r="AN302" i="47"/>
  <c r="S127" i="47"/>
  <c r="AO325" i="47"/>
  <c r="AL287" i="47"/>
  <c r="R115" i="47"/>
  <c r="AO292" i="47"/>
  <c r="R173" i="47"/>
  <c r="Q163" i="47"/>
  <c r="T84" i="47"/>
  <c r="AP238" i="47"/>
  <c r="AL274" i="47"/>
  <c r="T97" i="47"/>
  <c r="AL223" i="47"/>
  <c r="AP221" i="47"/>
  <c r="T137" i="47"/>
  <c r="R150" i="47"/>
  <c r="AO212" i="47"/>
  <c r="AP321" i="47"/>
  <c r="AN211" i="47"/>
  <c r="AO307" i="47"/>
  <c r="AN306" i="47"/>
  <c r="AO299" i="47"/>
  <c r="Q208" i="47"/>
  <c r="Q81" i="47"/>
  <c r="AN251" i="47"/>
  <c r="R97" i="47"/>
  <c r="AP266" i="47"/>
  <c r="Q218" i="47"/>
  <c r="S188" i="47"/>
  <c r="AN249" i="47"/>
  <c r="Q190" i="47"/>
  <c r="R188" i="47"/>
  <c r="Q220" i="47"/>
  <c r="AO290" i="47"/>
  <c r="R146" i="47"/>
  <c r="S209" i="47"/>
  <c r="Q150" i="47"/>
  <c r="R124" i="47"/>
  <c r="AP186" i="47"/>
  <c r="AL307" i="47"/>
  <c r="AO246" i="47"/>
  <c r="S215" i="47"/>
  <c r="S178" i="47"/>
  <c r="S100" i="47"/>
  <c r="AO204" i="47"/>
  <c r="AN184" i="47"/>
  <c r="Q169" i="47"/>
  <c r="Q118" i="47"/>
  <c r="R170" i="47"/>
  <c r="T85" i="47"/>
  <c r="T107" i="47"/>
  <c r="S219" i="47"/>
  <c r="R120" i="47"/>
  <c r="Q194" i="47"/>
  <c r="AO269" i="47"/>
  <c r="AN326" i="47"/>
  <c r="Q107" i="47"/>
  <c r="AL181" i="47"/>
  <c r="AO254" i="47"/>
  <c r="R96" i="47"/>
  <c r="AN242" i="47"/>
  <c r="AN295" i="47"/>
  <c r="AO184" i="47"/>
  <c r="AN194" i="47"/>
  <c r="Q151" i="47"/>
  <c r="Q221" i="47"/>
  <c r="AO203" i="47"/>
  <c r="AN321" i="47"/>
  <c r="AO272" i="47"/>
  <c r="AP258" i="47"/>
  <c r="S93" i="47"/>
  <c r="AP248" i="47"/>
  <c r="AP227" i="47"/>
  <c r="AO249" i="47"/>
  <c r="AP191" i="47"/>
  <c r="T90" i="47"/>
  <c r="Q138" i="47"/>
  <c r="AN243" i="47"/>
  <c r="AO309" i="47"/>
  <c r="R135" i="47"/>
  <c r="R122" i="47"/>
  <c r="AP307" i="47"/>
  <c r="R111" i="47"/>
  <c r="AP189" i="47"/>
  <c r="AL288" i="47"/>
  <c r="AO189" i="47"/>
  <c r="AO230" i="47"/>
  <c r="S222" i="47"/>
  <c r="S199" i="47"/>
  <c r="S142" i="47"/>
  <c r="AP241" i="47"/>
  <c r="R113" i="47"/>
  <c r="AN299" i="47"/>
  <c r="AO287" i="47"/>
  <c r="R117" i="47"/>
  <c r="T111" i="47"/>
  <c r="R191" i="47"/>
  <c r="AO283" i="47"/>
  <c r="R143" i="47"/>
  <c r="S201" i="47"/>
  <c r="R145" i="47"/>
  <c r="S159" i="47"/>
  <c r="AL222" i="47"/>
  <c r="AP267" i="47"/>
  <c r="AO315" i="47"/>
  <c r="AO324" i="47"/>
  <c r="AL246" i="47"/>
  <c r="AO242" i="47"/>
  <c r="AO193" i="47"/>
  <c r="Q179" i="47"/>
  <c r="AN205" i="47"/>
  <c r="T154" i="47"/>
  <c r="Q168" i="47"/>
  <c r="T159" i="47"/>
  <c r="T132" i="47"/>
  <c r="T106" i="47"/>
  <c r="AN241" i="47"/>
  <c r="AL255" i="47"/>
  <c r="AP260" i="47"/>
  <c r="R86" i="47"/>
  <c r="T87" i="47"/>
  <c r="AL186" i="47"/>
  <c r="Q196" i="47"/>
  <c r="S190" i="47"/>
  <c r="AO273" i="47"/>
  <c r="T175" i="47"/>
  <c r="AP319" i="47"/>
  <c r="AO271" i="47"/>
  <c r="AP309" i="47"/>
  <c r="T86" i="47"/>
  <c r="S192" i="47"/>
  <c r="AO199" i="47"/>
  <c r="AO247" i="47"/>
  <c r="AL310" i="47"/>
  <c r="AL205" i="47"/>
  <c r="AP217" i="47"/>
  <c r="T213" i="47"/>
  <c r="Q96" i="47"/>
  <c r="AL259" i="47"/>
  <c r="AN312" i="47"/>
  <c r="S131" i="47"/>
  <c r="AP204" i="47"/>
  <c r="S189" i="47"/>
  <c r="T126" i="47"/>
  <c r="AN289" i="47"/>
  <c r="AN230" i="47"/>
  <c r="R81" i="47"/>
  <c r="AL204" i="47"/>
  <c r="AN303" i="47" l="1"/>
  <c r="AL254" i="47"/>
  <c r="AO264" i="47"/>
  <c r="S181" i="47"/>
  <c r="AO248" i="47"/>
  <c r="Q120" i="47"/>
  <c r="AP219" i="47"/>
  <c r="R182" i="47"/>
  <c r="T222" i="47"/>
  <c r="AO298" i="47"/>
  <c r="AL301" i="47"/>
  <c r="Q155" i="47"/>
  <c r="AP223" i="47"/>
  <c r="Q191" i="47"/>
  <c r="AN256" i="47"/>
  <c r="AN210" i="47"/>
  <c r="R164" i="47"/>
  <c r="AP299" i="47"/>
  <c r="S133" i="47"/>
  <c r="T135" i="47"/>
  <c r="Q198" i="47"/>
  <c r="Q186" i="47"/>
  <c r="R198" i="47"/>
  <c r="AO259" i="47"/>
  <c r="AN238" i="47"/>
  <c r="AL252" i="47"/>
  <c r="Q128" i="47"/>
  <c r="S103" i="47"/>
  <c r="AL318" i="47"/>
  <c r="AP270" i="47"/>
  <c r="AP276" i="47"/>
  <c r="AP274" i="47"/>
  <c r="AL295" i="47"/>
  <c r="AO202" i="47"/>
  <c r="R184" i="47"/>
  <c r="T178" i="47"/>
  <c r="R207" i="47"/>
  <c r="R134" i="47"/>
  <c r="R163" i="47"/>
  <c r="R10" i="47"/>
  <c r="AF123" i="55" s="1"/>
  <c r="AL112" i="47"/>
  <c r="Q31" i="47"/>
  <c r="S11" i="47"/>
  <c r="AN112" i="47"/>
  <c r="AO113" i="47"/>
  <c r="AL113" i="47"/>
  <c r="Q26" i="47"/>
  <c r="AN113" i="47"/>
  <c r="S14" i="47"/>
  <c r="AN117" i="47"/>
  <c r="AL120" i="47"/>
  <c r="AL121" i="47"/>
  <c r="R35" i="47"/>
  <c r="AL115" i="47"/>
  <c r="S28" i="47"/>
  <c r="AL118" i="47"/>
  <c r="S23" i="47"/>
  <c r="AP122" i="47"/>
  <c r="Q13" i="47"/>
  <c r="R13" i="47"/>
  <c r="AO124" i="47"/>
  <c r="R21" i="47"/>
  <c r="AN149" i="47"/>
  <c r="T22" i="47"/>
  <c r="AN115" i="47"/>
  <c r="AO118" i="47"/>
  <c r="AO147" i="47"/>
  <c r="Q22" i="47"/>
  <c r="AL122" i="47"/>
  <c r="S13" i="47"/>
  <c r="AN138" i="47"/>
  <c r="AL138" i="47"/>
  <c r="R36" i="47"/>
  <c r="AN125" i="47"/>
  <c r="R32" i="47"/>
  <c r="R34" i="47"/>
  <c r="R16" i="47"/>
  <c r="S45" i="47"/>
  <c r="Q41" i="47"/>
  <c r="R42" i="47"/>
  <c r="AL116" i="47"/>
  <c r="S41" i="47"/>
  <c r="S37" i="47"/>
  <c r="Q43" i="47"/>
  <c r="AN124" i="47"/>
  <c r="R17" i="47"/>
  <c r="Q28" i="47"/>
  <c r="AN128" i="47"/>
  <c r="AL119" i="47"/>
  <c r="AO123" i="47"/>
  <c r="AL140" i="47"/>
  <c r="S18" i="47"/>
  <c r="AN144" i="47"/>
  <c r="AL144" i="47"/>
  <c r="AN145" i="47"/>
  <c r="AO133" i="47"/>
  <c r="Q45" i="47"/>
  <c r="AL146" i="47"/>
  <c r="Q42" i="47"/>
  <c r="AO126" i="47"/>
  <c r="Q47" i="47"/>
  <c r="Q48" i="47"/>
  <c r="AO114" i="47"/>
  <c r="T21" i="47"/>
  <c r="S20" i="47"/>
  <c r="AO120" i="47"/>
  <c r="R50" i="47"/>
  <c r="T38" i="47"/>
  <c r="Q20" i="47"/>
  <c r="AO141" i="47"/>
  <c r="AL149" i="47"/>
  <c r="Q33" i="47"/>
  <c r="Q27" i="47"/>
  <c r="AP119" i="47"/>
  <c r="AO148" i="47"/>
  <c r="T36" i="47"/>
  <c r="Q25" i="47"/>
  <c r="Q29" i="47"/>
  <c r="R22" i="47"/>
  <c r="AL133" i="47"/>
  <c r="AL117" i="47"/>
  <c r="AO134" i="47"/>
  <c r="S48" i="47"/>
  <c r="AN130" i="47"/>
  <c r="S31" i="47"/>
  <c r="AN120" i="47"/>
  <c r="Q39" i="47"/>
  <c r="R26" i="47"/>
  <c r="AP142" i="47"/>
  <c r="AO131" i="47"/>
  <c r="R39" i="47"/>
  <c r="Q15" i="47"/>
  <c r="R48" i="47"/>
  <c r="R18" i="47"/>
  <c r="AL132" i="47"/>
  <c r="S26" i="47"/>
  <c r="AN116" i="47"/>
  <c r="AO142" i="47"/>
  <c r="AO119" i="47"/>
  <c r="AO125" i="47"/>
  <c r="AN131" i="47"/>
  <c r="Q17" i="47"/>
  <c r="R23" i="47"/>
  <c r="AL136" i="47"/>
  <c r="AN148" i="47"/>
  <c r="AN140" i="47"/>
  <c r="R47" i="47"/>
  <c r="AL143" i="47"/>
  <c r="S25" i="47"/>
  <c r="AL129" i="47"/>
  <c r="S42" i="47"/>
  <c r="AO127" i="47"/>
  <c r="Q30" i="47"/>
  <c r="T52" i="47"/>
  <c r="S35" i="47"/>
  <c r="R14" i="47"/>
  <c r="AN121" i="47"/>
  <c r="Q35" i="47"/>
  <c r="R43" i="47"/>
  <c r="AN137" i="47"/>
  <c r="R15" i="47"/>
  <c r="T19" i="47"/>
  <c r="AL131" i="47"/>
  <c r="AL134" i="47"/>
  <c r="Q49" i="47"/>
  <c r="AO149" i="47"/>
  <c r="S43" i="47"/>
  <c r="S47" i="47"/>
  <c r="Q36" i="47"/>
  <c r="R20" i="47"/>
  <c r="Q37" i="47"/>
  <c r="AO122" i="47"/>
  <c r="S36" i="47"/>
  <c r="R46" i="47"/>
  <c r="Q14" i="47"/>
  <c r="AP138" i="47"/>
  <c r="AP143" i="47"/>
  <c r="R27" i="47"/>
  <c r="AO129" i="47"/>
  <c r="Q38" i="47"/>
  <c r="AN147" i="47"/>
  <c r="Q24" i="47"/>
  <c r="S15" i="47"/>
  <c r="AO140" i="47"/>
  <c r="AO150" i="47"/>
  <c r="S50" i="47"/>
  <c r="AL147" i="47"/>
  <c r="AP116" i="47"/>
  <c r="T39" i="47"/>
  <c r="AL128" i="47"/>
  <c r="AO136" i="47"/>
  <c r="R30" i="47"/>
  <c r="Q34" i="47"/>
  <c r="S39" i="47"/>
  <c r="S34" i="47"/>
  <c r="AO135" i="47"/>
  <c r="AN142" i="47"/>
  <c r="AO139" i="47"/>
  <c r="AO132" i="47"/>
  <c r="AL141" i="47"/>
  <c r="AL126" i="47"/>
  <c r="AO117" i="47"/>
  <c r="AN127" i="47"/>
  <c r="AO128" i="47"/>
  <c r="AO115" i="47"/>
  <c r="S49" i="47"/>
  <c r="AN132" i="47"/>
  <c r="S16" i="47"/>
  <c r="AN143" i="47"/>
  <c r="AL150" i="47"/>
  <c r="S33" i="47"/>
  <c r="AO116" i="47"/>
  <c r="R41" i="47"/>
  <c r="S51" i="47"/>
  <c r="Q46" i="47"/>
  <c r="AN150" i="47"/>
  <c r="R24" i="47"/>
  <c r="R44" i="47"/>
  <c r="S38" i="47"/>
  <c r="AL135" i="47"/>
  <c r="R19" i="47"/>
  <c r="AN114" i="47"/>
  <c r="R33" i="47"/>
  <c r="AO151" i="47"/>
  <c r="AN133" i="47"/>
  <c r="AN129" i="47"/>
  <c r="AN141" i="47"/>
  <c r="AN123" i="47"/>
  <c r="AL125" i="47"/>
  <c r="AO146" i="47"/>
  <c r="AN119" i="47"/>
  <c r="S24" i="47"/>
  <c r="T37" i="47"/>
  <c r="T47" i="47"/>
  <c r="AP121" i="47"/>
  <c r="T27" i="47"/>
  <c r="AO143" i="47"/>
  <c r="AN136" i="47"/>
  <c r="AN135" i="47"/>
  <c r="S40" i="47"/>
  <c r="R37" i="47"/>
  <c r="Q19" i="47"/>
  <c r="S19" i="47"/>
  <c r="Q18" i="47"/>
  <c r="AP118" i="47"/>
  <c r="AL124" i="47"/>
  <c r="AP151" i="47"/>
  <c r="AL130" i="47"/>
  <c r="R28" i="47"/>
  <c r="AO144" i="47"/>
  <c r="S27" i="47"/>
  <c r="AO145" i="47"/>
  <c r="Q40" i="47"/>
  <c r="S30" i="47"/>
  <c r="R40" i="47"/>
  <c r="Q16" i="47"/>
  <c r="AL123" i="47"/>
  <c r="AP137" i="47"/>
  <c r="AP117" i="47"/>
  <c r="Q44" i="47"/>
  <c r="S17" i="47"/>
  <c r="Q32" i="47"/>
  <c r="AN139" i="47"/>
  <c r="AL145" i="47"/>
  <c r="R45" i="47"/>
  <c r="AL148" i="47"/>
  <c r="T42" i="47"/>
  <c r="T46" i="47"/>
  <c r="T20" i="47"/>
  <c r="T50" i="47"/>
  <c r="AN151" i="47"/>
  <c r="R29" i="47"/>
  <c r="S32" i="47"/>
  <c r="AP136" i="47"/>
  <c r="AP150" i="47"/>
  <c r="AN118" i="47"/>
  <c r="T41" i="47"/>
  <c r="R31" i="47"/>
  <c r="AN134" i="47"/>
  <c r="R38" i="47"/>
  <c r="AP123" i="47"/>
  <c r="T24" i="47"/>
  <c r="AL152" i="47"/>
  <c r="AL127" i="47"/>
  <c r="AP124" i="47"/>
  <c r="AN126" i="47"/>
  <c r="AN122" i="47"/>
  <c r="T43" i="47"/>
  <c r="S46" i="47"/>
  <c r="AP125" i="47"/>
  <c r="T26" i="47"/>
  <c r="AO138" i="47"/>
  <c r="AL137" i="47"/>
  <c r="T35" i="47"/>
  <c r="AO130" i="47"/>
  <c r="T16" i="47"/>
  <c r="R51" i="47"/>
  <c r="S29" i="47"/>
  <c r="Q50" i="47"/>
  <c r="T51" i="47"/>
  <c r="AO137" i="47"/>
  <c r="Q51" i="47"/>
  <c r="Q21" i="47"/>
  <c r="T18" i="47"/>
  <c r="AP120" i="47"/>
  <c r="T40" i="47"/>
  <c r="Q23" i="47"/>
  <c r="AN146" i="47"/>
  <c r="S44" i="47"/>
  <c r="R49" i="47"/>
  <c r="AL139" i="47"/>
  <c r="T17" i="47"/>
  <c r="T23" i="47"/>
  <c r="R25" i="47"/>
  <c r="AO121" i="47"/>
  <c r="AP146" i="47"/>
  <c r="AP139" i="47"/>
  <c r="AL142" i="47"/>
  <c r="AP140" i="47"/>
  <c r="AP152" i="47"/>
  <c r="AP135" i="47"/>
  <c r="S22" i="47"/>
  <c r="S21" i="47"/>
  <c r="AL151" i="47"/>
  <c r="AP128" i="47"/>
  <c r="AP147" i="47"/>
  <c r="AP126" i="47"/>
  <c r="AP144" i="47"/>
  <c r="T45" i="47"/>
  <c r="T25" i="47"/>
  <c r="AP141" i="47"/>
  <c r="T28" i="47"/>
  <c r="T44" i="47"/>
  <c r="T33" i="47"/>
  <c r="AN153" i="47"/>
  <c r="R53" i="47"/>
  <c r="AP148" i="47"/>
  <c r="AP129" i="47"/>
  <c r="AP130" i="47"/>
  <c r="R52" i="47"/>
  <c r="AO152" i="47"/>
  <c r="Q52" i="47"/>
  <c r="AN152" i="47"/>
  <c r="T48" i="47"/>
  <c r="S52" i="47"/>
  <c r="AP127" i="47"/>
  <c r="AP149" i="47"/>
  <c r="T49" i="47"/>
  <c r="AP145" i="47"/>
  <c r="T31" i="47"/>
  <c r="AP133" i="47"/>
  <c r="AL155" i="47"/>
  <c r="Q55" i="47"/>
  <c r="Q54" i="47"/>
  <c r="Q53" i="47"/>
  <c r="AN154" i="47"/>
  <c r="T32" i="47"/>
  <c r="AP132" i="47"/>
  <c r="AL153" i="47"/>
  <c r="AO153" i="47"/>
  <c r="S54" i="47"/>
  <c r="T54" i="47"/>
  <c r="S53" i="47"/>
  <c r="AO154" i="47"/>
  <c r="AP131" i="47"/>
  <c r="AL154" i="47"/>
  <c r="T34" i="47"/>
  <c r="T30" i="47"/>
  <c r="AP153" i="47"/>
  <c r="T53" i="47"/>
  <c r="AP134" i="47"/>
  <c r="T29" i="47"/>
  <c r="AO155" i="47"/>
  <c r="AN155" i="47"/>
  <c r="S55" i="47"/>
  <c r="AL156" i="47"/>
  <c r="S56" i="47"/>
  <c r="AO156" i="47"/>
  <c r="R59" i="47"/>
  <c r="AP154" i="47"/>
  <c r="T57" i="47"/>
  <c r="R54" i="47"/>
  <c r="AL159" i="47"/>
  <c r="T56" i="47"/>
  <c r="R55" i="47"/>
  <c r="R57" i="47"/>
  <c r="AP155" i="47"/>
  <c r="T55" i="47"/>
  <c r="T60" i="47"/>
  <c r="AP156" i="47"/>
  <c r="AN156" i="47"/>
  <c r="T58" i="47"/>
  <c r="S59" i="47"/>
  <c r="S57" i="47"/>
  <c r="R56" i="47"/>
  <c r="T59" i="47"/>
  <c r="Q58" i="47"/>
  <c r="AN160" i="47"/>
  <c r="Q56" i="47"/>
  <c r="AP157" i="47"/>
  <c r="AL158" i="47"/>
  <c r="AO161" i="47"/>
  <c r="AL157" i="47"/>
  <c r="AO159" i="47"/>
  <c r="S58" i="47"/>
  <c r="AG81" i="55" s="1"/>
  <c r="AP158" i="47"/>
  <c r="S61" i="47"/>
  <c r="Q57" i="47"/>
  <c r="AN157" i="47"/>
  <c r="AP159" i="47"/>
  <c r="AO158" i="47"/>
  <c r="T61" i="47"/>
  <c r="R58" i="47"/>
  <c r="AN159" i="47"/>
  <c r="AL161" i="47"/>
  <c r="AO157" i="47"/>
  <c r="AN158" i="47"/>
  <c r="AP160" i="47"/>
  <c r="S60" i="47"/>
  <c r="AL160" i="47"/>
  <c r="AO166" i="47"/>
  <c r="T62" i="47"/>
  <c r="AO160" i="47"/>
  <c r="AN162" i="47"/>
  <c r="Q60" i="47"/>
  <c r="AP161" i="47"/>
  <c r="AO162" i="47"/>
  <c r="R62" i="47"/>
  <c r="R60" i="47"/>
  <c r="Q61" i="47"/>
  <c r="AN161" i="47"/>
  <c r="R61" i="47"/>
  <c r="AF81" i="55" s="1"/>
  <c r="R63" i="47"/>
  <c r="T63" i="47"/>
  <c r="AP164" i="47"/>
  <c r="AO164" i="47"/>
  <c r="AP162" i="47"/>
  <c r="Q62" i="47"/>
  <c r="AO163" i="47"/>
  <c r="AL163" i="47"/>
  <c r="S62" i="47"/>
  <c r="AL162" i="47"/>
  <c r="Q63" i="47"/>
  <c r="AP163" i="47"/>
  <c r="AN163" i="47"/>
  <c r="AN164" i="47"/>
  <c r="T64" i="47"/>
  <c r="AL164" i="47"/>
  <c r="R64" i="47"/>
  <c r="S64" i="47"/>
  <c r="AN166" i="47"/>
  <c r="Q64" i="47"/>
  <c r="AN168" i="47"/>
  <c r="S63" i="47"/>
  <c r="T66" i="47"/>
  <c r="S65" i="47"/>
  <c r="AL168" i="47"/>
  <c r="AL166" i="47"/>
  <c r="R66" i="47"/>
  <c r="AN165" i="47"/>
  <c r="AO165" i="47"/>
  <c r="T65" i="47"/>
  <c r="R65" i="47"/>
  <c r="AP165" i="47"/>
  <c r="AO167" i="47"/>
  <c r="Q66" i="47"/>
  <c r="AP166" i="47"/>
  <c r="Q65" i="47"/>
  <c r="AL165" i="47"/>
  <c r="Q68" i="47"/>
  <c r="S66" i="47"/>
  <c r="T68" i="47"/>
  <c r="S67" i="47"/>
  <c r="AP168" i="47"/>
  <c r="AP167" i="47"/>
  <c r="AO168" i="47"/>
  <c r="S68" i="47"/>
  <c r="R67" i="47"/>
  <c r="Q67" i="47"/>
  <c r="AL167" i="47"/>
  <c r="R68" i="47"/>
  <c r="AN169" i="47"/>
  <c r="AP169" i="47"/>
  <c r="S69" i="47"/>
  <c r="AN167" i="47"/>
  <c r="Q69" i="47"/>
  <c r="Q71" i="47"/>
  <c r="R71" i="47"/>
  <c r="T67" i="47"/>
  <c r="AO169" i="47"/>
  <c r="T69" i="47"/>
  <c r="R69" i="47"/>
  <c r="AL169" i="47"/>
  <c r="AO171" i="47"/>
  <c r="S72" i="47"/>
  <c r="AN170" i="47"/>
  <c r="T71" i="47"/>
  <c r="T70" i="47"/>
  <c r="AO170" i="47"/>
  <c r="S70" i="47"/>
  <c r="AL171" i="47"/>
  <c r="Q70" i="47"/>
  <c r="AN171" i="47"/>
  <c r="S71" i="47"/>
  <c r="R70" i="47"/>
  <c r="AP171" i="47"/>
  <c r="AL170" i="47"/>
  <c r="AO172" i="47"/>
  <c r="AP170" i="47"/>
  <c r="Q72" i="47"/>
  <c r="AG115" i="55" s="1"/>
  <c r="R152" i="47"/>
  <c r="AO322" i="47"/>
  <c r="AP310" i="47"/>
  <c r="T205" i="47"/>
  <c r="Q210" i="47"/>
  <c r="Q215" i="47"/>
  <c r="AP284" i="47"/>
  <c r="AP288" i="47"/>
  <c r="AL275" i="47"/>
  <c r="AN292" i="47"/>
  <c r="AP297" i="47"/>
  <c r="AN268" i="47"/>
  <c r="AP304" i="47"/>
  <c r="S207" i="47"/>
  <c r="R136" i="47"/>
  <c r="AP259" i="47"/>
  <c r="Q177" i="47"/>
  <c r="AN285" i="47"/>
  <c r="AO276" i="47"/>
  <c r="AL247" i="47"/>
  <c r="AL253" i="47"/>
  <c r="S150" i="47"/>
  <c r="AO310" i="47"/>
  <c r="R178" i="47"/>
  <c r="AN293" i="47"/>
  <c r="AL320" i="47"/>
  <c r="AP245" i="47"/>
  <c r="T119" i="47"/>
  <c r="T196" i="47"/>
  <c r="T165" i="47"/>
  <c r="AL303" i="47"/>
  <c r="R204" i="47"/>
  <c r="R218" i="47"/>
  <c r="R176" i="47"/>
  <c r="R126" i="47"/>
  <c r="AF11" i="55" s="1"/>
  <c r="AG47" i="55"/>
  <c r="AF25" i="55"/>
  <c r="AG110" i="55"/>
  <c r="AG64" i="55"/>
  <c r="AG87" i="55"/>
  <c r="AG100" i="55"/>
  <c r="AF59" i="55"/>
  <c r="AF62" i="55"/>
  <c r="AG33" i="55"/>
  <c r="AF98" i="55"/>
  <c r="AG19" i="55"/>
  <c r="AG114" i="55"/>
  <c r="AF33" i="55"/>
  <c r="AG13" i="55"/>
  <c r="AF80" i="55"/>
  <c r="AF35" i="55"/>
  <c r="AF51" i="55"/>
  <c r="AF28" i="55"/>
  <c r="AG59" i="55"/>
  <c r="AG109" i="55"/>
  <c r="AG2" i="55"/>
  <c r="AF32" i="55"/>
  <c r="AF15" i="55"/>
  <c r="AF75" i="55"/>
  <c r="AG80" i="55"/>
  <c r="AF110" i="55"/>
  <c r="AF22" i="55"/>
  <c r="AG105" i="55"/>
  <c r="AF41" i="55"/>
  <c r="AF112" i="55"/>
  <c r="AG122" i="55"/>
  <c r="AG106" i="55"/>
  <c r="AF122" i="55"/>
  <c r="AG10" i="55"/>
  <c r="AF70" i="55"/>
  <c r="AF89" i="55"/>
  <c r="AF13" i="55"/>
  <c r="AG67" i="55"/>
  <c r="AG22" i="55"/>
  <c r="AF24" i="55"/>
  <c r="AF85" i="55"/>
  <c r="AG85" i="55"/>
  <c r="AF50" i="55"/>
  <c r="AG11" i="55"/>
  <c r="AG46" i="55"/>
  <c r="AG72" i="55"/>
  <c r="AF93" i="55"/>
  <c r="AF88" i="55"/>
  <c r="AG35" i="55"/>
  <c r="AF2" i="55"/>
  <c r="AG24" i="55"/>
  <c r="AF97" i="55"/>
  <c r="AF47" i="55"/>
  <c r="AG89" i="55"/>
  <c r="AF64" i="55"/>
  <c r="AG99" i="55"/>
  <c r="AF66" i="55"/>
  <c r="AF87" i="55"/>
  <c r="AG70" i="55"/>
  <c r="AG75" i="55"/>
  <c r="AF115" i="55"/>
  <c r="AG92" i="55"/>
  <c r="AF99" i="55"/>
  <c r="AF118" i="55"/>
  <c r="AF109" i="55"/>
  <c r="AF17" i="55"/>
  <c r="AF91" i="55"/>
  <c r="AF26" i="55"/>
  <c r="AG36" i="55"/>
  <c r="AF108" i="55"/>
  <c r="AG112" i="55"/>
  <c r="AG116" i="55"/>
  <c r="AG86" i="55"/>
  <c r="AF72" i="55"/>
  <c r="AF104" i="55"/>
  <c r="AG93" i="55"/>
  <c r="AG66" i="55"/>
  <c r="AG104" i="55"/>
  <c r="AG91" i="55"/>
  <c r="AF8" i="55"/>
  <c r="AG88" i="55"/>
  <c r="AG55" i="55"/>
  <c r="AG41" i="55"/>
  <c r="AG50" i="55"/>
  <c r="AF54" i="55"/>
  <c r="AF116" i="55"/>
  <c r="AF19" i="55"/>
  <c r="AF27" i="55"/>
  <c r="AF105" i="55"/>
  <c r="AG16" i="55"/>
  <c r="AF5" i="55"/>
  <c r="AG26" i="55"/>
  <c r="AG54" i="55"/>
  <c r="AG97" i="55"/>
  <c r="AF3" i="55"/>
  <c r="AG28" i="55"/>
  <c r="AF114" i="55"/>
  <c r="AG25" i="55"/>
  <c r="AF86" i="55"/>
  <c r="AF20" i="55"/>
  <c r="AF67" i="55"/>
  <c r="AF16" i="55"/>
  <c r="AG8" i="55"/>
  <c r="AG51" i="55"/>
  <c r="AG5" i="55"/>
  <c r="AG20" i="55"/>
  <c r="AF36" i="55"/>
  <c r="AF92" i="55"/>
  <c r="AG129" i="55"/>
  <c r="AG27" i="55"/>
  <c r="AG118" i="55"/>
  <c r="AG3" i="55"/>
  <c r="AG62" i="55"/>
  <c r="AG32" i="55"/>
  <c r="AF100" i="55"/>
  <c r="AF111" i="55"/>
  <c r="AF106" i="55"/>
  <c r="AG108" i="55"/>
  <c r="AG98" i="55"/>
  <c r="AF10" i="55"/>
  <c r="AF39" i="55"/>
  <c r="AG39" i="55"/>
  <c r="AF55" i="55"/>
  <c r="AG17" i="55"/>
  <c r="AG15" i="55"/>
  <c r="AF46" i="55"/>
  <c r="R203" i="47"/>
  <c r="S157" i="47"/>
  <c r="T181" i="47"/>
  <c r="AN304" i="47"/>
  <c r="AL316" i="47"/>
  <c r="S169" i="47"/>
  <c r="T158" i="47"/>
  <c r="T156" i="47"/>
  <c r="Q209" i="47"/>
  <c r="AG176" i="55" s="1"/>
  <c r="R138" i="47"/>
  <c r="AL297" i="47"/>
  <c r="S177" i="47"/>
  <c r="AG111" i="55" s="1"/>
  <c r="AL213" i="47"/>
  <c r="AP265" i="47"/>
  <c r="AO311" i="47"/>
  <c r="AL305" i="47"/>
  <c r="AL220" i="47"/>
  <c r="AP185" i="47"/>
  <c r="AF129" i="55" l="1"/>
  <c r="AF7" i="55"/>
  <c r="AF58" i="55"/>
  <c r="AG45" i="55"/>
  <c r="AG84" i="55"/>
  <c r="AF78" i="55"/>
  <c r="AG102" i="55"/>
  <c r="AF121" i="55"/>
  <c r="AG58" i="55"/>
  <c r="AG57" i="55"/>
  <c r="AG78" i="55"/>
  <c r="AF6" i="55"/>
  <c r="AF45" i="55"/>
  <c r="AG121" i="55"/>
  <c r="AG126" i="55"/>
  <c r="AF94" i="55"/>
  <c r="AF57" i="55"/>
  <c r="AF63" i="55"/>
  <c r="AF102" i="55"/>
  <c r="AG9" i="55"/>
  <c r="AF77" i="55"/>
  <c r="AG6" i="55"/>
  <c r="AF9" i="55"/>
  <c r="AF56" i="55"/>
  <c r="AF21" i="55"/>
  <c r="AF84" i="55"/>
  <c r="AG77" i="55"/>
  <c r="AG63" i="55"/>
  <c r="AG21" i="55"/>
  <c r="AG56" i="55"/>
  <c r="AG117" i="55"/>
  <c r="AG94" i="55"/>
  <c r="AF120" i="55"/>
  <c r="AG120" i="55"/>
  <c r="AF37" i="55"/>
  <c r="AF4" i="55"/>
  <c r="AF113" i="55"/>
  <c r="AG44" i="55"/>
  <c r="AG23" i="55"/>
  <c r="AG113" i="55"/>
  <c r="AG124" i="55"/>
  <c r="AG53" i="55"/>
  <c r="AF90" i="55"/>
  <c r="AG30" i="55"/>
  <c r="AF23" i="55"/>
  <c r="AF30" i="55"/>
  <c r="AF61" i="55"/>
  <c r="AG31" i="55"/>
  <c r="AF12" i="55"/>
  <c r="AF95" i="55"/>
  <c r="AG79" i="55"/>
  <c r="AG48" i="55"/>
  <c r="AF101" i="55"/>
  <c r="AF107" i="55"/>
  <c r="AG127" i="55"/>
  <c r="AG65" i="55"/>
  <c r="AG37" i="55"/>
  <c r="AF40" i="55"/>
  <c r="AG107" i="55"/>
  <c r="AF128" i="55"/>
  <c r="AF76" i="55"/>
  <c r="AF124" i="55"/>
  <c r="AG90" i="55"/>
  <c r="AG61" i="55"/>
  <c r="AF48" i="55"/>
  <c r="AG40" i="55"/>
  <c r="AG4" i="55"/>
  <c r="AG12" i="55"/>
  <c r="AF18" i="55"/>
  <c r="AF127" i="55"/>
  <c r="AG69" i="55"/>
  <c r="AG101" i="55"/>
  <c r="AF31" i="55"/>
  <c r="AF65" i="55"/>
  <c r="AF79" i="55"/>
  <c r="AG128" i="55"/>
  <c r="AG95" i="55"/>
  <c r="AF53" i="55"/>
  <c r="AF38" i="55"/>
  <c r="AG60" i="55"/>
  <c r="AF44" i="55"/>
  <c r="AF69" i="55"/>
  <c r="AG76" i="55"/>
  <c r="AG38" i="55"/>
  <c r="AF60" i="55"/>
  <c r="AG18" i="55"/>
  <c r="AF49" i="55"/>
  <c r="AG49" i="55"/>
  <c r="AG74" i="55"/>
  <c r="AF74" i="55"/>
  <c r="AF130" i="55"/>
  <c r="AG130" i="55"/>
  <c r="AG103" i="55"/>
  <c r="AF103" i="55"/>
  <c r="AG82" i="55"/>
  <c r="AF82" i="55"/>
  <c r="AF43" i="55"/>
  <c r="AG43" i="55"/>
  <c r="AG119" i="55"/>
  <c r="AG83" i="55"/>
  <c r="AF119" i="55"/>
  <c r="AF83" i="55"/>
  <c r="AG71" i="55"/>
  <c r="AF71" i="55"/>
  <c r="AF34" i="55"/>
  <c r="AG34" i="55"/>
  <c r="AF52" i="55"/>
  <c r="AF14" i="55"/>
  <c r="AG14" i="55"/>
  <c r="AG52" i="55"/>
  <c r="AF125" i="55"/>
  <c r="AG125" i="55"/>
  <c r="AG42" i="55"/>
  <c r="AF73" i="55"/>
  <c r="AF42" i="55"/>
  <c r="AG73" i="55"/>
  <c r="AG7" i="55"/>
  <c r="AF126" i="55"/>
  <c r="AF117" i="55"/>
  <c r="AG150" i="55"/>
  <c r="AG184" i="55"/>
  <c r="AG161" i="55"/>
  <c r="AF134" i="55"/>
  <c r="AF164" i="55"/>
  <c r="AG140" i="55"/>
  <c r="AF177" i="55"/>
  <c r="AG170" i="55"/>
  <c r="AF168" i="55"/>
  <c r="AG148" i="55"/>
  <c r="AF135" i="55"/>
  <c r="AF185" i="55"/>
  <c r="AF169" i="55"/>
  <c r="AG147" i="55"/>
  <c r="AF176" i="55"/>
  <c r="AG146" i="55"/>
  <c r="AG168" i="55"/>
  <c r="AG174" i="55"/>
  <c r="AG158" i="55"/>
  <c r="AG180" i="55"/>
  <c r="AG141" i="55"/>
  <c r="O204" i="47"/>
  <c r="O224" i="47"/>
  <c r="AJ116" i="47"/>
  <c r="AJ185" i="47"/>
  <c r="O125" i="47"/>
  <c r="O187" i="47"/>
  <c r="O78" i="47"/>
  <c r="O83" i="47"/>
  <c r="O158" i="47"/>
  <c r="O129" i="47"/>
  <c r="O114" i="47"/>
  <c r="O164" i="47"/>
  <c r="O77" i="47"/>
  <c r="O216" i="47"/>
  <c r="O105" i="47"/>
  <c r="AJ39" i="47"/>
  <c r="O176" i="47"/>
  <c r="AJ228" i="47"/>
  <c r="AJ249" i="47"/>
  <c r="O195" i="47"/>
  <c r="O51" i="47"/>
  <c r="AJ150" i="47"/>
  <c r="AJ72" i="47"/>
  <c r="AJ69" i="47"/>
  <c r="O117" i="47"/>
  <c r="AJ190" i="47"/>
  <c r="AJ259" i="47"/>
  <c r="O93" i="47"/>
  <c r="O97" i="47"/>
  <c r="AJ310" i="47"/>
  <c r="O141" i="47"/>
  <c r="O133" i="47"/>
  <c r="AJ262" i="47"/>
  <c r="AJ243" i="47"/>
  <c r="O121" i="47"/>
  <c r="AJ184" i="47"/>
  <c r="O154" i="47"/>
  <c r="O92" i="47"/>
  <c r="O179" i="47"/>
  <c r="AF170" i="55"/>
  <c r="AF141" i="55"/>
  <c r="AG178" i="55"/>
  <c r="AF158" i="55"/>
  <c r="AG163" i="55"/>
  <c r="AG171" i="55"/>
  <c r="AF165" i="55"/>
  <c r="AF181" i="55"/>
  <c r="AF179" i="55"/>
  <c r="AG162" i="55"/>
  <c r="AF180" i="55"/>
  <c r="AF171" i="55"/>
  <c r="AG138" i="55"/>
  <c r="AF167" i="55"/>
  <c r="AG181" i="55"/>
  <c r="AJ267" i="47"/>
  <c r="AJ207" i="47"/>
  <c r="AJ223" i="47"/>
  <c r="O173" i="47"/>
  <c r="O208" i="47"/>
  <c r="O38" i="47"/>
  <c r="O43" i="47"/>
  <c r="O44" i="47"/>
  <c r="O65" i="47"/>
  <c r="O30" i="47"/>
  <c r="O69" i="47"/>
  <c r="O27" i="47"/>
  <c r="O13" i="47"/>
  <c r="O19" i="47"/>
  <c r="O81" i="47"/>
  <c r="O213" i="47"/>
  <c r="O170" i="47"/>
  <c r="AJ315" i="47"/>
  <c r="O177" i="47"/>
  <c r="AJ176" i="47"/>
  <c r="AJ91" i="47"/>
  <c r="AJ54" i="47"/>
  <c r="AJ151" i="47"/>
  <c r="AJ75" i="47"/>
  <c r="AJ180" i="47"/>
  <c r="AJ165" i="47"/>
  <c r="AJ40" i="47"/>
  <c r="AJ8" i="47"/>
  <c r="AJ118" i="47"/>
  <c r="AJ163" i="47"/>
  <c r="AJ161" i="47"/>
  <c r="AJ143" i="47"/>
  <c r="AJ76" i="47"/>
  <c r="AJ63" i="47"/>
  <c r="AJ166" i="47"/>
  <c r="AJ84" i="47"/>
  <c r="AJ106" i="47"/>
  <c r="AJ139" i="47"/>
  <c r="AJ11" i="47"/>
  <c r="AJ289" i="47"/>
  <c r="AJ321" i="47"/>
  <c r="O157" i="47"/>
  <c r="O135" i="47"/>
  <c r="O142" i="47"/>
  <c r="O136" i="47"/>
  <c r="AJ266" i="47"/>
  <c r="AJ270" i="47"/>
  <c r="AJ313" i="47"/>
  <c r="O226" i="47"/>
  <c r="O100" i="47"/>
  <c r="O90" i="47"/>
  <c r="AJ318" i="47"/>
  <c r="AJ221" i="47"/>
  <c r="AJ271" i="47"/>
  <c r="AJ258" i="47"/>
  <c r="AJ218" i="47"/>
  <c r="O222" i="47"/>
  <c r="O155" i="47"/>
  <c r="O48" i="47"/>
  <c r="O16" i="47"/>
  <c r="AJ245" i="47"/>
  <c r="AJ140" i="47"/>
  <c r="AJ124" i="47"/>
  <c r="AJ123" i="47"/>
  <c r="AJ195" i="47"/>
  <c r="O144" i="47"/>
  <c r="AJ296" i="47"/>
  <c r="AJ317" i="47"/>
  <c r="O191" i="47"/>
  <c r="AJ302" i="47"/>
  <c r="AJ288" i="47"/>
  <c r="O99" i="47"/>
  <c r="O101" i="47"/>
  <c r="O190" i="47"/>
  <c r="AJ205" i="47"/>
  <c r="O175" i="47"/>
  <c r="AJ265" i="47"/>
  <c r="AJ203" i="47"/>
  <c r="O96" i="47"/>
  <c r="O126" i="47"/>
  <c r="O138" i="47"/>
  <c r="O185" i="47"/>
  <c r="AF138" i="55"/>
  <c r="AG185" i="55"/>
  <c r="AG145" i="55"/>
  <c r="AF160" i="55"/>
  <c r="AG137" i="55"/>
  <c r="AG169" i="55"/>
  <c r="AG186" i="55"/>
  <c r="AF172" i="55"/>
  <c r="AF184" i="55"/>
  <c r="AG152" i="55"/>
  <c r="AG172" i="55"/>
  <c r="AF149" i="55"/>
  <c r="AG167" i="55"/>
  <c r="AF140" i="55"/>
  <c r="AF156" i="55"/>
  <c r="AF162" i="55"/>
  <c r="AG132" i="55"/>
  <c r="AJ217" i="47"/>
  <c r="AJ244" i="47"/>
  <c r="O165" i="47"/>
  <c r="O174" i="47"/>
  <c r="O123" i="47"/>
  <c r="O194" i="47"/>
  <c r="AJ182" i="47"/>
  <c r="O36" i="47"/>
  <c r="O50" i="47"/>
  <c r="O80" i="47"/>
  <c r="O46" i="47"/>
  <c r="O5" i="47"/>
  <c r="O40" i="47"/>
  <c r="O31" i="47"/>
  <c r="O7" i="47"/>
  <c r="AJ286" i="47"/>
  <c r="O118" i="47"/>
  <c r="AJ220" i="47"/>
  <c r="AJ254" i="47"/>
  <c r="O221" i="47"/>
  <c r="AJ5" i="47"/>
  <c r="AJ47" i="47"/>
  <c r="AJ168" i="47"/>
  <c r="AJ174" i="47"/>
  <c r="AJ119" i="47"/>
  <c r="AJ92" i="47"/>
  <c r="AJ164" i="47"/>
  <c r="AJ35" i="47"/>
  <c r="AJ120" i="47"/>
  <c r="AJ37" i="47"/>
  <c r="AJ73" i="47"/>
  <c r="AJ67" i="47"/>
  <c r="AJ64" i="47"/>
  <c r="AJ111" i="47"/>
  <c r="AJ105" i="47"/>
  <c r="AJ50" i="47"/>
  <c r="AJ25" i="47"/>
  <c r="AJ148" i="47"/>
  <c r="AJ156" i="47"/>
  <c r="AJ81" i="47"/>
  <c r="AJ132" i="47"/>
  <c r="O209" i="47"/>
  <c r="O85" i="47"/>
  <c r="O89" i="47"/>
  <c r="O104" i="47"/>
  <c r="AJ261" i="47"/>
  <c r="O107" i="47"/>
  <c r="O110" i="47"/>
  <c r="O113" i="47"/>
  <c r="O172" i="47"/>
  <c r="AJ189" i="47"/>
  <c r="AJ214" i="47"/>
  <c r="AJ253" i="47"/>
  <c r="AJ183" i="47"/>
  <c r="O225" i="47"/>
  <c r="O111" i="47"/>
  <c r="O212" i="47"/>
  <c r="O49" i="47"/>
  <c r="AJ212" i="47"/>
  <c r="O167" i="47"/>
  <c r="AJ85" i="47"/>
  <c r="AJ80" i="47"/>
  <c r="AJ62" i="47"/>
  <c r="AJ238" i="47"/>
  <c r="O205" i="47"/>
  <c r="O120" i="47"/>
  <c r="AJ247" i="47"/>
  <c r="AJ242" i="47"/>
  <c r="AJ193" i="47"/>
  <c r="O137" i="47"/>
  <c r="O87" i="47"/>
  <c r="AJ239" i="47"/>
  <c r="O181" i="47"/>
  <c r="AJ197" i="47"/>
  <c r="AJ256" i="47"/>
  <c r="AJ250" i="47"/>
  <c r="O112" i="47"/>
  <c r="O214" i="47"/>
  <c r="O220" i="47"/>
  <c r="AG133" i="55"/>
  <c r="AF142" i="55"/>
  <c r="AF151" i="55"/>
  <c r="AG144" i="55"/>
  <c r="AF144" i="55"/>
  <c r="AF154" i="55"/>
  <c r="AG143" i="55"/>
  <c r="AF143" i="55"/>
  <c r="AF163" i="55"/>
  <c r="AF148" i="55"/>
  <c r="AG160" i="55"/>
  <c r="AJ309" i="47"/>
  <c r="O122" i="47"/>
  <c r="O196" i="47"/>
  <c r="AJ314" i="47"/>
  <c r="AJ222" i="47"/>
  <c r="AJ326" i="47"/>
  <c r="O58" i="47"/>
  <c r="O70" i="47"/>
  <c r="O18" i="47"/>
  <c r="O45" i="47"/>
  <c r="O66" i="47"/>
  <c r="O60" i="47"/>
  <c r="O28" i="47"/>
  <c r="O61" i="47"/>
  <c r="O37" i="47"/>
  <c r="O153" i="47"/>
  <c r="AJ308" i="47"/>
  <c r="O102" i="47"/>
  <c r="AJ42" i="47"/>
  <c r="AJ133" i="47"/>
  <c r="AJ60" i="47"/>
  <c r="AJ41" i="47"/>
  <c r="AJ18" i="47"/>
  <c r="AJ172" i="47"/>
  <c r="AJ10" i="47"/>
  <c r="AJ53" i="47"/>
  <c r="AJ16" i="47"/>
  <c r="AJ129" i="47"/>
  <c r="AJ87" i="47"/>
  <c r="AJ26" i="47"/>
  <c r="AJ74" i="47"/>
  <c r="AJ66" i="47"/>
  <c r="AJ30" i="47"/>
  <c r="AJ70" i="47"/>
  <c r="AJ4" i="47"/>
  <c r="AJ112" i="47"/>
  <c r="AJ36" i="47"/>
  <c r="AJ9" i="47"/>
  <c r="AJ141" i="47"/>
  <c r="AJ181" i="47"/>
  <c r="O91" i="47"/>
  <c r="AJ324" i="47"/>
  <c r="O178" i="47"/>
  <c r="O103" i="47"/>
  <c r="AJ290" i="47"/>
  <c r="O98" i="47"/>
  <c r="AJ191" i="47"/>
  <c r="O161" i="47"/>
  <c r="AJ304" i="47"/>
  <c r="AJ280" i="47"/>
  <c r="O148" i="47"/>
  <c r="O215" i="47"/>
  <c r="O106" i="47"/>
  <c r="O160" i="47"/>
  <c r="AJ301" i="47"/>
  <c r="AJ246" i="47"/>
  <c r="AJ283" i="47"/>
  <c r="O67" i="47"/>
  <c r="O22" i="47"/>
  <c r="AJ227" i="47"/>
  <c r="AJ57" i="47"/>
  <c r="AJ86" i="47"/>
  <c r="AJ77" i="47"/>
  <c r="AJ121" i="47"/>
  <c r="O199" i="47"/>
  <c r="AJ194" i="47"/>
  <c r="O227" i="47"/>
  <c r="O166" i="47"/>
  <c r="AJ204" i="47"/>
  <c r="AJ306" i="47"/>
  <c r="O94" i="47"/>
  <c r="O184" i="47"/>
  <c r="O193" i="47"/>
  <c r="O180" i="47"/>
  <c r="AJ186" i="47"/>
  <c r="O218" i="47"/>
  <c r="AJ293" i="47"/>
  <c r="AJ281" i="47"/>
  <c r="AJ320" i="47"/>
  <c r="AJ322" i="47"/>
  <c r="AG157" i="55"/>
  <c r="AG159" i="55"/>
  <c r="AG173" i="55"/>
  <c r="AG177" i="55"/>
  <c r="AF173" i="55"/>
  <c r="AG164" i="55"/>
  <c r="AG139" i="55"/>
  <c r="AF145" i="55"/>
  <c r="AF152" i="55"/>
  <c r="AF186" i="55"/>
  <c r="AG151" i="55"/>
  <c r="AF183" i="55"/>
  <c r="AF139" i="55"/>
  <c r="AG135" i="55"/>
  <c r="AJ284" i="47"/>
  <c r="AJ237" i="47"/>
  <c r="AJ255" i="47"/>
  <c r="O9" i="47"/>
  <c r="O56" i="47"/>
  <c r="O23" i="47"/>
  <c r="O26" i="47"/>
  <c r="O41" i="47"/>
  <c r="O39" i="47"/>
  <c r="O24" i="47"/>
  <c r="O20" i="47"/>
  <c r="O15" i="47"/>
  <c r="O14" i="47"/>
  <c r="AJ264" i="47"/>
  <c r="AJ269" i="47"/>
  <c r="O127" i="47"/>
  <c r="AJ219" i="47"/>
  <c r="AJ232" i="47"/>
  <c r="O162" i="47"/>
  <c r="AJ89" i="47"/>
  <c r="AJ115" i="47"/>
  <c r="AJ22" i="47"/>
  <c r="AJ167" i="47"/>
  <c r="AJ131" i="47"/>
  <c r="AJ82" i="47"/>
  <c r="AJ114" i="47"/>
  <c r="AJ27" i="47"/>
  <c r="AJ177" i="47"/>
  <c r="AJ88" i="47"/>
  <c r="AJ56" i="47"/>
  <c r="AJ44" i="47"/>
  <c r="AJ128" i="47"/>
  <c r="AJ19" i="47"/>
  <c r="AJ15" i="47"/>
  <c r="AJ103" i="47"/>
  <c r="AJ3" i="47"/>
  <c r="AJ142" i="47"/>
  <c r="AJ7" i="47"/>
  <c r="AJ28" i="47"/>
  <c r="AJ122" i="47"/>
  <c r="O139" i="47"/>
  <c r="AJ307" i="47"/>
  <c r="O82" i="47"/>
  <c r="O143" i="47"/>
  <c r="AJ235" i="47"/>
  <c r="AJ241" i="47"/>
  <c r="O95" i="47"/>
  <c r="AJ300" i="47"/>
  <c r="AJ327" i="47"/>
  <c r="AJ319" i="47"/>
  <c r="AJ225" i="47"/>
  <c r="O223" i="47"/>
  <c r="AJ285" i="47"/>
  <c r="O11" i="47"/>
  <c r="O79" i="47"/>
  <c r="AJ312" i="47"/>
  <c r="AJ179" i="47"/>
  <c r="AJ71" i="47"/>
  <c r="AJ48" i="47"/>
  <c r="AJ162" i="47"/>
  <c r="AJ276" i="47"/>
  <c r="O75" i="47"/>
  <c r="O198" i="47"/>
  <c r="O206" i="47"/>
  <c r="AJ234" i="47"/>
  <c r="AJ279" i="47"/>
  <c r="AJ224" i="47"/>
  <c r="AJ211" i="47"/>
  <c r="O140" i="47"/>
  <c r="AJ196" i="47"/>
  <c r="AJ323" i="47"/>
  <c r="AJ192" i="47"/>
  <c r="AJ200" i="47"/>
  <c r="AJ206" i="47"/>
  <c r="O130" i="47"/>
  <c r="AJ292" i="47"/>
  <c r="AJ291" i="47"/>
  <c r="AJ236" i="47"/>
  <c r="AF155" i="55"/>
  <c r="AF150" i="55"/>
  <c r="AF157" i="55"/>
  <c r="AF146" i="55"/>
  <c r="AG134" i="55"/>
  <c r="AG136" i="55"/>
  <c r="AF166" i="55"/>
  <c r="AF136" i="55"/>
  <c r="AF131" i="55"/>
  <c r="AG149" i="55"/>
  <c r="AG175" i="55"/>
  <c r="AF159" i="55"/>
  <c r="AG156" i="55"/>
  <c r="AG155" i="55"/>
  <c r="AJ209" i="47"/>
  <c r="O168" i="47"/>
  <c r="O29" i="47"/>
  <c r="O63" i="47"/>
  <c r="O10" i="47"/>
  <c r="O6" i="47"/>
  <c r="O57" i="47"/>
  <c r="O12" i="47"/>
  <c r="O25" i="47"/>
  <c r="O52" i="47"/>
  <c r="O8" i="47"/>
  <c r="AJ210" i="47"/>
  <c r="AJ303" i="47"/>
  <c r="AJ294" i="47"/>
  <c r="AJ188" i="47"/>
  <c r="O171" i="47"/>
  <c r="AJ298" i="47"/>
  <c r="AJ137" i="47"/>
  <c r="AJ43" i="47"/>
  <c r="AJ130" i="47"/>
  <c r="AJ171" i="47"/>
  <c r="AJ178" i="47"/>
  <c r="AJ107" i="47"/>
  <c r="AJ109" i="47"/>
  <c r="AJ49" i="47"/>
  <c r="AJ158" i="47"/>
  <c r="AJ127" i="47"/>
  <c r="AJ59" i="47"/>
  <c r="AJ147" i="47"/>
  <c r="AJ135" i="47"/>
  <c r="AJ117" i="47"/>
  <c r="AJ145" i="47"/>
  <c r="AJ23" i="47"/>
  <c r="AJ136" i="47"/>
  <c r="AJ154" i="47"/>
  <c r="AJ170" i="47"/>
  <c r="AJ14" i="47"/>
  <c r="AJ93" i="47"/>
  <c r="AJ240" i="47"/>
  <c r="O183" i="47"/>
  <c r="O159" i="47"/>
  <c r="O128" i="47"/>
  <c r="O145" i="47"/>
  <c r="AJ311" i="47"/>
  <c r="O147" i="47"/>
  <c r="O219" i="47"/>
  <c r="AJ297" i="47"/>
  <c r="O169" i="47"/>
  <c r="AJ252" i="47"/>
  <c r="O189" i="47"/>
  <c r="O17" i="47"/>
  <c r="O34" i="47"/>
  <c r="O192" i="47"/>
  <c r="AJ61" i="47"/>
  <c r="AJ6" i="47"/>
  <c r="AJ152" i="47"/>
  <c r="O207" i="47"/>
  <c r="AJ275" i="47"/>
  <c r="AJ202" i="47"/>
  <c r="AJ316" i="47"/>
  <c r="O188" i="47"/>
  <c r="AJ299" i="47"/>
  <c r="O146" i="47"/>
  <c r="AJ175" i="47"/>
  <c r="AJ215" i="47"/>
  <c r="AJ305" i="47"/>
  <c r="AJ277" i="47"/>
  <c r="AJ199" i="47"/>
  <c r="AJ216" i="47"/>
  <c r="AJ260" i="47"/>
  <c r="O156" i="47"/>
  <c r="O131" i="47"/>
  <c r="O182" i="47"/>
  <c r="O134" i="47"/>
  <c r="AJ268" i="47"/>
  <c r="O210" i="47"/>
  <c r="AG179" i="55"/>
  <c r="AG183" i="55"/>
  <c r="AG153" i="55"/>
  <c r="AG182" i="55"/>
  <c r="AG165" i="55"/>
  <c r="AF161" i="55"/>
  <c r="AG131" i="55"/>
  <c r="AG154" i="55"/>
  <c r="AF182" i="55"/>
  <c r="AF175" i="55"/>
  <c r="AF178" i="55"/>
  <c r="AF137" i="55"/>
  <c r="AF174" i="55"/>
  <c r="AF133" i="55"/>
  <c r="AF153" i="55"/>
  <c r="O186" i="47"/>
  <c r="AJ229" i="47"/>
  <c r="O150" i="47"/>
  <c r="O203" i="47"/>
  <c r="O54" i="47"/>
  <c r="O47" i="47"/>
  <c r="O35" i="47"/>
  <c r="O21" i="47"/>
  <c r="O59" i="47"/>
  <c r="O53" i="47"/>
  <c r="O32" i="47"/>
  <c r="O33" i="47"/>
  <c r="O71" i="47"/>
  <c r="O64" i="47"/>
  <c r="AJ257" i="47"/>
  <c r="O197" i="47"/>
  <c r="AJ33" i="47"/>
  <c r="AJ78" i="47"/>
  <c r="AJ125" i="47"/>
  <c r="AJ12" i="47"/>
  <c r="AJ126" i="47"/>
  <c r="AJ20" i="47"/>
  <c r="AJ65" i="47"/>
  <c r="AJ45" i="47"/>
  <c r="AJ146" i="47"/>
  <c r="AJ134" i="47"/>
  <c r="AJ68" i="47"/>
  <c r="AJ34" i="47"/>
  <c r="AJ17" i="47"/>
  <c r="AJ83" i="47"/>
  <c r="AJ169" i="47"/>
  <c r="AJ79" i="47"/>
  <c r="AJ149" i="47"/>
  <c r="AJ58" i="47"/>
  <c r="AJ24" i="47"/>
  <c r="AJ155" i="47"/>
  <c r="AJ173" i="47"/>
  <c r="AJ325" i="47"/>
  <c r="AJ278" i="47"/>
  <c r="AJ198" i="47"/>
  <c r="O202" i="47"/>
  <c r="O124" i="47"/>
  <c r="O132" i="47"/>
  <c r="AJ208" i="47"/>
  <c r="O201" i="47"/>
  <c r="O149" i="47"/>
  <c r="AJ230" i="47"/>
  <c r="AJ263" i="47"/>
  <c r="AJ201" i="47"/>
  <c r="AJ226" i="47"/>
  <c r="O108" i="47"/>
  <c r="AJ213" i="47"/>
  <c r="AJ272" i="47"/>
  <c r="AG166" i="55"/>
  <c r="AF147" i="55"/>
  <c r="AG142" i="55"/>
  <c r="AF132" i="55"/>
  <c r="AJ248" i="47"/>
  <c r="O115" i="47"/>
  <c r="O200" i="47"/>
  <c r="O3" i="47"/>
  <c r="O4" i="47"/>
  <c r="O73" i="47"/>
  <c r="O76" i="47"/>
  <c r="O55" i="47"/>
  <c r="O74" i="47"/>
  <c r="O62" i="47"/>
  <c r="O72" i="47"/>
  <c r="O42" i="47"/>
  <c r="O68" i="47"/>
  <c r="AJ233" i="47"/>
  <c r="O116" i="47"/>
  <c r="O84" i="47"/>
  <c r="O119" i="47"/>
  <c r="AJ187" i="47"/>
  <c r="AJ108" i="47"/>
  <c r="AJ51" i="47"/>
  <c r="AJ13" i="47"/>
  <c r="AJ90" i="47"/>
  <c r="AJ104" i="47"/>
  <c r="AJ52" i="47"/>
  <c r="AJ160" i="47"/>
  <c r="AJ55" i="47"/>
  <c r="AJ144" i="47"/>
  <c r="AJ32" i="47"/>
  <c r="AJ46" i="47"/>
  <c r="AJ153" i="47"/>
  <c r="AJ159" i="47"/>
  <c r="AJ21" i="47"/>
  <c r="AJ110" i="47"/>
  <c r="AJ157" i="47"/>
  <c r="AJ138" i="47"/>
  <c r="AJ38" i="47"/>
  <c r="AJ113" i="47"/>
  <c r="AJ31" i="47"/>
  <c r="AJ29" i="47"/>
  <c r="AJ295" i="47"/>
  <c r="O86" i="47"/>
  <c r="O152" i="47"/>
  <c r="O211" i="47"/>
  <c r="AJ282" i="47"/>
  <c r="AJ231" i="47"/>
  <c r="AJ251" i="47"/>
  <c r="O217" i="47"/>
  <c r="AJ287" i="47"/>
  <c r="AJ274" i="47"/>
  <c r="AJ273" i="47"/>
  <c r="O88" i="47"/>
  <c r="O151" i="47"/>
  <c r="O109" i="47"/>
  <c r="O163" i="47"/>
  <c r="P150" i="48" l="1"/>
  <c r="BF150" i="48" s="1"/>
  <c r="S208" i="44"/>
  <c r="Q60" i="44"/>
  <c r="R132" i="48"/>
  <c r="BH132" i="48" s="1"/>
  <c r="AN72" i="54"/>
  <c r="AN137" i="54"/>
  <c r="S182" i="48"/>
  <c r="Q78" i="48"/>
  <c r="S74" i="44"/>
  <c r="S136" i="48"/>
  <c r="AE80" i="54"/>
  <c r="P94" i="48"/>
  <c r="P204" i="44"/>
  <c r="P140" i="48"/>
  <c r="BF140" i="48" s="1"/>
  <c r="AN165" i="54"/>
  <c r="P154" i="44"/>
  <c r="R22" i="48"/>
  <c r="P210" i="48"/>
  <c r="AE42" i="54"/>
  <c r="P52" i="44"/>
  <c r="R60" i="44"/>
  <c r="P134" i="48"/>
  <c r="BF134" i="48" s="1"/>
  <c r="R159" i="48"/>
  <c r="BH159" i="48" s="1"/>
  <c r="S104" i="48"/>
  <c r="R97" i="48"/>
  <c r="P113" i="48"/>
  <c r="BF113" i="48" s="1"/>
  <c r="AN191" i="54"/>
  <c r="S49" i="48"/>
  <c r="S78" i="48"/>
  <c r="R196" i="48"/>
  <c r="BH196" i="48" s="1"/>
  <c r="Q40" i="44"/>
  <c r="R8" i="48"/>
  <c r="AE138" i="54"/>
  <c r="S86" i="48"/>
  <c r="AN3" i="54"/>
  <c r="AE10" i="54"/>
  <c r="S99" i="48"/>
  <c r="S14" i="48"/>
  <c r="P128" i="44"/>
  <c r="P123" i="44"/>
  <c r="Q54" i="48"/>
  <c r="Q95" i="48"/>
  <c r="Q61" i="48"/>
  <c r="S195" i="48"/>
  <c r="P72" i="48"/>
  <c r="S9" i="48"/>
  <c r="R188" i="44"/>
  <c r="R123" i="48"/>
  <c r="BH123" i="48" s="1"/>
  <c r="R71" i="48"/>
  <c r="S120" i="48"/>
  <c r="AE64" i="54"/>
  <c r="P151" i="48"/>
  <c r="BF151" i="48" s="1"/>
  <c r="Q90" i="44"/>
  <c r="Q219" i="44"/>
  <c r="Q123" i="44"/>
  <c r="S61" i="44"/>
  <c r="R154" i="48"/>
  <c r="BH154" i="48" s="1"/>
  <c r="AN8" i="54"/>
  <c r="R127" i="48"/>
  <c r="BH127" i="48" s="1"/>
  <c r="S35" i="48"/>
  <c r="Q224" i="48"/>
  <c r="P118" i="48"/>
  <c r="BF118" i="48" s="1"/>
  <c r="Q106" i="48"/>
  <c r="P223" i="48"/>
  <c r="S40" i="48"/>
  <c r="P217" i="44"/>
  <c r="Q35" i="44"/>
  <c r="Q24" i="48"/>
  <c r="AE145" i="54"/>
  <c r="Q21" i="44"/>
  <c r="R102" i="48"/>
  <c r="AN124" i="54"/>
  <c r="S142" i="44"/>
  <c r="Q172" i="48"/>
  <c r="Q155" i="48"/>
  <c r="R4" i="48"/>
  <c r="AN130" i="54"/>
  <c r="AE11" i="54"/>
  <c r="AN128" i="54"/>
  <c r="P79" i="44"/>
  <c r="AE30" i="54"/>
  <c r="R210" i="48"/>
  <c r="AE212" i="54"/>
  <c r="Q80" i="48"/>
  <c r="Q177" i="48"/>
  <c r="S152" i="48"/>
  <c r="S165" i="48"/>
  <c r="S100" i="48"/>
  <c r="Q19" i="48"/>
  <c r="S75" i="48"/>
  <c r="AE146" i="54"/>
  <c r="AN30" i="54"/>
  <c r="Q205" i="44"/>
  <c r="AE154" i="54"/>
  <c r="AN194" i="54"/>
  <c r="P100" i="48"/>
  <c r="AE217" i="54"/>
  <c r="P149" i="48"/>
  <c r="BF149" i="48" s="1"/>
  <c r="S181" i="44"/>
  <c r="P43" i="44"/>
  <c r="P112" i="44"/>
  <c r="R176" i="48"/>
  <c r="BH176" i="48" s="1"/>
  <c r="P49" i="48"/>
  <c r="Q100" i="48"/>
  <c r="AN127" i="54"/>
  <c r="S67" i="48"/>
  <c r="Q209" i="48"/>
  <c r="S189" i="48"/>
  <c r="AN170" i="54"/>
  <c r="S122" i="48"/>
  <c r="R139" i="48"/>
  <c r="BH139" i="48" s="1"/>
  <c r="S22" i="44"/>
  <c r="P83" i="48"/>
  <c r="R186" i="48"/>
  <c r="BH186" i="48" s="1"/>
  <c r="Q187" i="44"/>
  <c r="Q188" i="44"/>
  <c r="AE67" i="54"/>
  <c r="S88" i="44"/>
  <c r="P71" i="48"/>
  <c r="AE148" i="54"/>
  <c r="AE155" i="54"/>
  <c r="R207" i="44"/>
  <c r="P47" i="48"/>
  <c r="R28" i="48"/>
  <c r="AN166" i="54"/>
  <c r="R81" i="48"/>
  <c r="AN154" i="54"/>
  <c r="R93" i="48"/>
  <c r="AN7" i="54"/>
  <c r="S89" i="48"/>
  <c r="Q51" i="48"/>
  <c r="S223" i="48"/>
  <c r="AN155" i="54"/>
  <c r="S226" i="48"/>
  <c r="R59" i="48"/>
  <c r="AE141" i="54"/>
  <c r="AE167" i="54"/>
  <c r="R16" i="48"/>
  <c r="P51" i="48"/>
  <c r="AE59" i="54"/>
  <c r="R5" i="44"/>
  <c r="Q56" i="48"/>
  <c r="AE35" i="54"/>
  <c r="R10" i="48"/>
  <c r="R169" i="44"/>
  <c r="P152" i="44"/>
  <c r="AE114" i="54"/>
  <c r="AE189" i="54"/>
  <c r="AE211" i="54"/>
  <c r="AN63" i="54"/>
  <c r="AN14" i="54"/>
  <c r="Q110" i="44"/>
  <c r="AN44" i="54"/>
  <c r="P174" i="48"/>
  <c r="BF174" i="48" s="1"/>
  <c r="R203" i="48"/>
  <c r="AE88" i="54"/>
  <c r="P21" i="44"/>
  <c r="Q8" i="48"/>
  <c r="Q168" i="48"/>
  <c r="R61" i="44"/>
  <c r="R195" i="44"/>
  <c r="R192" i="44"/>
  <c r="S213" i="44"/>
  <c r="S114" i="48"/>
  <c r="Q133" i="44"/>
  <c r="S53" i="48"/>
  <c r="R15" i="48"/>
  <c r="P138" i="48"/>
  <c r="BF138" i="48" s="1"/>
  <c r="S73" i="48"/>
  <c r="P102" i="48"/>
  <c r="R111" i="48"/>
  <c r="P207" i="44"/>
  <c r="S186" i="48"/>
  <c r="Q154" i="48"/>
  <c r="AE164" i="54"/>
  <c r="AE82" i="54"/>
  <c r="R75" i="48"/>
  <c r="AN133" i="54"/>
  <c r="AE87" i="54"/>
  <c r="R122" i="48"/>
  <c r="BH122" i="48" s="1"/>
  <c r="S148" i="44"/>
  <c r="Q103" i="44"/>
  <c r="P85" i="44"/>
  <c r="Q109" i="48"/>
  <c r="AN9" i="54"/>
  <c r="P205" i="48"/>
  <c r="Q99" i="48"/>
  <c r="R221" i="48"/>
  <c r="Q26" i="48"/>
  <c r="P87" i="48"/>
  <c r="AE131" i="54"/>
  <c r="S207" i="48"/>
  <c r="AE5" i="54"/>
  <c r="AN12" i="54"/>
  <c r="R69" i="44"/>
  <c r="R158" i="48"/>
  <c r="BH158" i="48" s="1"/>
  <c r="Q219" i="48"/>
  <c r="P209" i="44"/>
  <c r="S71" i="48"/>
  <c r="AE98" i="54"/>
  <c r="Q189" i="48"/>
  <c r="S184" i="48"/>
  <c r="AE45" i="54"/>
  <c r="P65" i="48"/>
  <c r="R214" i="48"/>
  <c r="AE68" i="54"/>
  <c r="AN92" i="54"/>
  <c r="S198" i="48"/>
  <c r="AE124" i="54"/>
  <c r="AN48" i="54"/>
  <c r="R87" i="44"/>
  <c r="AN79" i="54"/>
  <c r="R214" i="44"/>
  <c r="R114" i="48"/>
  <c r="BH114" i="48" s="1"/>
  <c r="R141" i="48"/>
  <c r="BH141" i="48" s="1"/>
  <c r="P7" i="48"/>
  <c r="P55" i="48"/>
  <c r="P68" i="48"/>
  <c r="P58" i="48"/>
  <c r="AN57" i="54"/>
  <c r="AE61" i="54"/>
  <c r="S56" i="48"/>
  <c r="AE112" i="54"/>
  <c r="Q136" i="48"/>
  <c r="P206" i="48"/>
  <c r="Q25" i="48"/>
  <c r="S183" i="48"/>
  <c r="S15" i="48"/>
  <c r="P123" i="48"/>
  <c r="BF123" i="48" s="1"/>
  <c r="R41" i="48"/>
  <c r="AN147" i="54"/>
  <c r="AN13" i="54"/>
  <c r="P197" i="44"/>
  <c r="P115" i="48"/>
  <c r="BF115" i="48" s="1"/>
  <c r="S213" i="48"/>
  <c r="AE208" i="54"/>
  <c r="R7" i="48"/>
  <c r="R52" i="48"/>
  <c r="S13" i="48"/>
  <c r="R112" i="48"/>
  <c r="BH112" i="48" s="1"/>
  <c r="R39" i="48"/>
  <c r="AN11" i="54"/>
  <c r="AE120" i="54"/>
  <c r="AE52" i="54"/>
  <c r="AN90" i="54"/>
  <c r="AE91" i="54"/>
  <c r="Q4" i="44"/>
  <c r="P130" i="44"/>
  <c r="AE49" i="54"/>
  <c r="AN176" i="54"/>
  <c r="AN95" i="54"/>
  <c r="AE188" i="54"/>
  <c r="S203" i="48"/>
  <c r="AE129" i="54"/>
  <c r="Q191" i="48"/>
  <c r="AN146" i="54"/>
  <c r="S161" i="48"/>
  <c r="AE184" i="54"/>
  <c r="AN39" i="54"/>
  <c r="R96" i="48"/>
  <c r="Q4" i="48"/>
  <c r="AN93" i="54"/>
  <c r="S112" i="48"/>
  <c r="S18" i="44"/>
  <c r="AN101" i="54"/>
  <c r="AN99" i="54"/>
  <c r="P93" i="48"/>
  <c r="S62" i="44"/>
  <c r="R224" i="48"/>
  <c r="Q157" i="48"/>
  <c r="AE66" i="54"/>
  <c r="S162" i="48"/>
  <c r="P34" i="48"/>
  <c r="S70" i="44"/>
  <c r="Q119" i="48"/>
  <c r="R94" i="48"/>
  <c r="S158" i="48"/>
  <c r="S216" i="48"/>
  <c r="AE24" i="54"/>
  <c r="S123" i="44"/>
  <c r="Q94" i="48"/>
  <c r="P130" i="48"/>
  <c r="BF130" i="48" s="1"/>
  <c r="P42" i="44"/>
  <c r="R51" i="48"/>
  <c r="P142" i="48"/>
  <c r="BF142" i="48" s="1"/>
  <c r="P144" i="48"/>
  <c r="BF144" i="48" s="1"/>
  <c r="AN174" i="54"/>
  <c r="Q112" i="48"/>
  <c r="AE57" i="54"/>
  <c r="AN180" i="54"/>
  <c r="AN152" i="54"/>
  <c r="Q185" i="48"/>
  <c r="AE95" i="54"/>
  <c r="R168" i="48"/>
  <c r="BH168" i="48" s="1"/>
  <c r="R94" i="44"/>
  <c r="AE60" i="54"/>
  <c r="Q163" i="48"/>
  <c r="R129" i="48"/>
  <c r="BH129" i="48" s="1"/>
  <c r="AN5" i="54"/>
  <c r="S121" i="48"/>
  <c r="S92" i="44"/>
  <c r="S52" i="48"/>
  <c r="P70" i="48"/>
  <c r="P125" i="48"/>
  <c r="BF125" i="48" s="1"/>
  <c r="S33" i="48"/>
  <c r="AN122" i="54"/>
  <c r="P55" i="44"/>
  <c r="P74" i="44"/>
  <c r="AE79" i="54"/>
  <c r="R199" i="48"/>
  <c r="BH199" i="48" s="1"/>
  <c r="Q31" i="48"/>
  <c r="S23" i="48"/>
  <c r="S215" i="48"/>
  <c r="P80" i="48"/>
  <c r="P168" i="48"/>
  <c r="BF168" i="48" s="1"/>
  <c r="R190" i="48"/>
  <c r="BH190" i="48" s="1"/>
  <c r="P76" i="48"/>
  <c r="R125" i="44"/>
  <c r="Q181" i="48"/>
  <c r="AE187" i="54"/>
  <c r="Q213" i="48"/>
  <c r="Q126" i="48"/>
  <c r="P82" i="48"/>
  <c r="Q130" i="48"/>
  <c r="Q171" i="48"/>
  <c r="R46" i="48"/>
  <c r="P92" i="48"/>
  <c r="Q112" i="44"/>
  <c r="Q68" i="48"/>
  <c r="S155" i="48"/>
  <c r="P77" i="48"/>
  <c r="R89" i="48"/>
  <c r="R74" i="44"/>
  <c r="P193" i="48"/>
  <c r="BF193" i="48" s="1"/>
  <c r="Q166" i="48"/>
  <c r="S111" i="48"/>
  <c r="Q182" i="48"/>
  <c r="AE44" i="54"/>
  <c r="Q33" i="48"/>
  <c r="Q82" i="48"/>
  <c r="AN187" i="54"/>
  <c r="P15" i="48"/>
  <c r="AE163" i="54"/>
  <c r="R15" i="44"/>
  <c r="AN38" i="54"/>
  <c r="AN111" i="54"/>
  <c r="AE89" i="54"/>
  <c r="Q197" i="48"/>
  <c r="AE107" i="54"/>
  <c r="AN169" i="54"/>
  <c r="AN136" i="54"/>
  <c r="R33" i="48"/>
  <c r="S165" i="44"/>
  <c r="Q158" i="48"/>
  <c r="Q173" i="44"/>
  <c r="R153" i="48"/>
  <c r="BH153" i="48" s="1"/>
  <c r="R79" i="48"/>
  <c r="Q118" i="48"/>
  <c r="S79" i="48"/>
  <c r="Q182" i="44"/>
  <c r="R63" i="48"/>
  <c r="AE77" i="54"/>
  <c r="R106" i="48"/>
  <c r="P65" i="44"/>
  <c r="S94" i="48"/>
  <c r="S201" i="48"/>
  <c r="AN121" i="54"/>
  <c r="P3" i="48"/>
  <c r="AE28" i="54"/>
  <c r="S52" i="44"/>
  <c r="S109" i="48"/>
  <c r="R19" i="48"/>
  <c r="S168" i="48"/>
  <c r="P24" i="48"/>
  <c r="S97" i="48"/>
  <c r="Q57" i="48"/>
  <c r="S141" i="48"/>
  <c r="P86" i="48"/>
  <c r="R18" i="48"/>
  <c r="R76" i="48"/>
  <c r="AE170" i="54"/>
  <c r="S199" i="44"/>
  <c r="Q172" i="44"/>
  <c r="Q7" i="48"/>
  <c r="AN80" i="54"/>
  <c r="S74" i="48"/>
  <c r="S58" i="48"/>
  <c r="S65" i="44"/>
  <c r="R49" i="48"/>
  <c r="AE143" i="54"/>
  <c r="Q110" i="48"/>
  <c r="S164" i="48"/>
  <c r="Q24" i="44"/>
  <c r="P40" i="48"/>
  <c r="Q216" i="44"/>
  <c r="AE166" i="54"/>
  <c r="AN193" i="54"/>
  <c r="Q23" i="48"/>
  <c r="R92" i="48"/>
  <c r="P210" i="44"/>
  <c r="S20" i="48"/>
  <c r="AE32" i="54"/>
  <c r="AE115" i="54"/>
  <c r="Q141" i="48"/>
  <c r="S36" i="48"/>
  <c r="AN203" i="54"/>
  <c r="S55" i="48"/>
  <c r="S214" i="44"/>
  <c r="S110" i="48"/>
  <c r="R2" i="48"/>
  <c r="Q195" i="48"/>
  <c r="AE185" i="54"/>
  <c r="Q51" i="44"/>
  <c r="R193" i="48"/>
  <c r="BH193" i="48" s="1"/>
  <c r="AN42" i="54"/>
  <c r="S102" i="48"/>
  <c r="Q173" i="48"/>
  <c r="Q151" i="48"/>
  <c r="P141" i="48"/>
  <c r="BF141" i="48" s="1"/>
  <c r="P136" i="48"/>
  <c r="BF136" i="48" s="1"/>
  <c r="R78" i="48"/>
  <c r="R185" i="48"/>
  <c r="BH185" i="48" s="1"/>
  <c r="R37" i="48"/>
  <c r="Q90" i="48"/>
  <c r="AN86" i="54"/>
  <c r="AN56" i="54"/>
  <c r="S117" i="48"/>
  <c r="Q75" i="44"/>
  <c r="Q87" i="48"/>
  <c r="P87" i="44"/>
  <c r="Q71" i="48"/>
  <c r="AE70" i="54"/>
  <c r="Q107" i="48"/>
  <c r="R65" i="44"/>
  <c r="R66" i="48"/>
  <c r="AN211" i="54"/>
  <c r="AN41" i="54"/>
  <c r="AE22" i="54"/>
  <c r="S58" i="44"/>
  <c r="P91" i="44"/>
  <c r="AN157" i="54"/>
  <c r="P104" i="48"/>
  <c r="S39" i="48"/>
  <c r="P27" i="48"/>
  <c r="S105" i="48"/>
  <c r="P61" i="48"/>
  <c r="P160" i="48"/>
  <c r="BF160" i="48" s="1"/>
  <c r="AE86" i="54"/>
  <c r="S17" i="44"/>
  <c r="S178" i="48"/>
  <c r="P45" i="44"/>
  <c r="S204" i="44"/>
  <c r="Q183" i="48"/>
  <c r="AE48" i="54"/>
  <c r="Q86" i="48"/>
  <c r="P48" i="48"/>
  <c r="S14" i="44"/>
  <c r="P126" i="48"/>
  <c r="BF126" i="48" s="1"/>
  <c r="Q169" i="44"/>
  <c r="S24" i="44"/>
  <c r="Q128" i="48"/>
  <c r="R32" i="48"/>
  <c r="S77" i="48"/>
  <c r="AE2" i="54"/>
  <c r="Q36" i="48"/>
  <c r="AN35" i="54"/>
  <c r="Q162" i="48"/>
  <c r="R121" i="48"/>
  <c r="BH121" i="48" s="1"/>
  <c r="S154" i="48"/>
  <c r="Q70" i="48"/>
  <c r="AE33" i="54"/>
  <c r="R169" i="48"/>
  <c r="BH169" i="48" s="1"/>
  <c r="AN91" i="54"/>
  <c r="AN28" i="54"/>
  <c r="R82" i="44"/>
  <c r="AE198" i="54"/>
  <c r="P167" i="48"/>
  <c r="BF167" i="48" s="1"/>
  <c r="S6" i="48"/>
  <c r="AN207" i="54"/>
  <c r="S106" i="48"/>
  <c r="R12" i="48"/>
  <c r="S63" i="44"/>
  <c r="S200" i="48"/>
  <c r="S151" i="48"/>
  <c r="P61" i="44"/>
  <c r="S98" i="48"/>
  <c r="AE93" i="54"/>
  <c r="R6" i="48"/>
  <c r="AE14" i="54"/>
  <c r="R87" i="48"/>
  <c r="S93" i="48"/>
  <c r="P200" i="48"/>
  <c r="BF200" i="48" s="1"/>
  <c r="R20" i="48"/>
  <c r="P78" i="48"/>
  <c r="AN149" i="54"/>
  <c r="Q16" i="48"/>
  <c r="Q117" i="44"/>
  <c r="Q193" i="48"/>
  <c r="Q97" i="48"/>
  <c r="R11" i="48"/>
  <c r="AN158" i="54"/>
  <c r="R177" i="48"/>
  <c r="BH177" i="48" s="1"/>
  <c r="S30" i="44"/>
  <c r="AN50" i="54"/>
  <c r="S9" i="44"/>
  <c r="Q221" i="44"/>
  <c r="Q168" i="44"/>
  <c r="AE173" i="54"/>
  <c r="S218" i="48"/>
  <c r="R44" i="48"/>
  <c r="R170" i="44"/>
  <c r="Q113" i="48"/>
  <c r="AE134" i="54"/>
  <c r="R30" i="48"/>
  <c r="R201" i="48"/>
  <c r="BH201" i="48" s="1"/>
  <c r="P35" i="48"/>
  <c r="S108" i="48"/>
  <c r="AE161" i="54"/>
  <c r="R29" i="48"/>
  <c r="R134" i="48"/>
  <c r="BH134" i="48" s="1"/>
  <c r="Q169" i="48"/>
  <c r="P39" i="48"/>
  <c r="P75" i="48"/>
  <c r="AN94" i="54"/>
  <c r="R164" i="44"/>
  <c r="Q207" i="44"/>
  <c r="R54" i="48"/>
  <c r="S157" i="48"/>
  <c r="Q186" i="48"/>
  <c r="P209" i="48"/>
  <c r="S144" i="44"/>
  <c r="Q129" i="48"/>
  <c r="AN125" i="54"/>
  <c r="AN173" i="54"/>
  <c r="R88" i="48"/>
  <c r="AE3" i="54"/>
  <c r="Q41" i="48"/>
  <c r="Q139" i="48"/>
  <c r="R58" i="48"/>
  <c r="R204" i="48"/>
  <c r="AE174" i="54"/>
  <c r="R172" i="48"/>
  <c r="BH172" i="48" s="1"/>
  <c r="P51" i="44"/>
  <c r="S107" i="44"/>
  <c r="S193" i="44"/>
  <c r="P172" i="48"/>
  <c r="BF172" i="48" s="1"/>
  <c r="S150" i="48"/>
  <c r="Q199" i="48"/>
  <c r="AE41" i="54"/>
  <c r="AE210" i="54"/>
  <c r="R194" i="48"/>
  <c r="BH194" i="48" s="1"/>
  <c r="AE81" i="54"/>
  <c r="AN89" i="54"/>
  <c r="P185" i="48"/>
  <c r="BF185" i="48" s="1"/>
  <c r="AE192" i="54"/>
  <c r="S11" i="44"/>
  <c r="AE200" i="54"/>
  <c r="R24" i="44"/>
  <c r="S146" i="44"/>
  <c r="S2" i="48"/>
  <c r="AE73" i="54"/>
  <c r="AE215" i="54"/>
  <c r="AN23" i="54"/>
  <c r="R3" i="44"/>
  <c r="S48" i="44"/>
  <c r="P171" i="44"/>
  <c r="AN199" i="54"/>
  <c r="AE34" i="54"/>
  <c r="Q129" i="44"/>
  <c r="S23" i="44"/>
  <c r="R113" i="44"/>
  <c r="R18" i="44"/>
  <c r="Q46" i="48"/>
  <c r="P202" i="48"/>
  <c r="AN135" i="54"/>
  <c r="P206" i="44"/>
  <c r="P150" i="44"/>
  <c r="P119" i="48"/>
  <c r="BF119" i="48" s="1"/>
  <c r="S132" i="48"/>
  <c r="Q84" i="48"/>
  <c r="R90" i="44"/>
  <c r="R183" i="48"/>
  <c r="BH183" i="48" s="1"/>
  <c r="R160" i="48"/>
  <c r="BH160" i="48" s="1"/>
  <c r="AE46" i="54"/>
  <c r="R166" i="48"/>
  <c r="BH166" i="48" s="1"/>
  <c r="AN218" i="54"/>
  <c r="S137" i="44"/>
  <c r="S154" i="44"/>
  <c r="Q163" i="44"/>
  <c r="P169" i="48"/>
  <c r="BF169" i="48" s="1"/>
  <c r="AE50" i="54"/>
  <c r="S57" i="44"/>
  <c r="S151" i="44"/>
  <c r="S140" i="44"/>
  <c r="S27" i="44"/>
  <c r="S152" i="44"/>
  <c r="Q138" i="48"/>
  <c r="AE116" i="54"/>
  <c r="R221" i="44"/>
  <c r="AE152" i="54"/>
  <c r="R91" i="48"/>
  <c r="S95" i="44"/>
  <c r="R147" i="48"/>
  <c r="BH147" i="48" s="1"/>
  <c r="AN62" i="54"/>
  <c r="S131" i="44"/>
  <c r="S35" i="44"/>
  <c r="Q124" i="44"/>
  <c r="R81" i="44"/>
  <c r="Q151" i="44"/>
  <c r="Q37" i="44"/>
  <c r="Q46" i="44"/>
  <c r="S19" i="44"/>
  <c r="Q105" i="44"/>
  <c r="P83" i="44"/>
  <c r="P146" i="44"/>
  <c r="Q100" i="44"/>
  <c r="S129" i="44"/>
  <c r="P32" i="48"/>
  <c r="R188" i="48"/>
  <c r="BH188" i="48" s="1"/>
  <c r="Q38" i="44"/>
  <c r="Q65" i="48"/>
  <c r="S60" i="48"/>
  <c r="Q97" i="44"/>
  <c r="P222" i="48"/>
  <c r="P14" i="48"/>
  <c r="P221" i="48"/>
  <c r="R192" i="48"/>
  <c r="BH192" i="48" s="1"/>
  <c r="Q39" i="44"/>
  <c r="AN217" i="54"/>
  <c r="R157" i="44"/>
  <c r="P194" i="48"/>
  <c r="BF194" i="48" s="1"/>
  <c r="S56" i="44"/>
  <c r="R120" i="44"/>
  <c r="S225" i="48"/>
  <c r="AN60" i="54"/>
  <c r="P181" i="44"/>
  <c r="P20" i="48"/>
  <c r="P64" i="48"/>
  <c r="AN82" i="54"/>
  <c r="R174" i="48"/>
  <c r="BH174" i="48" s="1"/>
  <c r="S5" i="48"/>
  <c r="S185" i="48"/>
  <c r="AN143" i="54"/>
  <c r="AN37" i="54"/>
  <c r="P42" i="48"/>
  <c r="R90" i="48"/>
  <c r="Q178" i="44"/>
  <c r="Q211" i="48"/>
  <c r="R141" i="44"/>
  <c r="AN96" i="54"/>
  <c r="AN114" i="54"/>
  <c r="AN18" i="54"/>
  <c r="S47" i="48"/>
  <c r="AN59" i="54"/>
  <c r="R85" i="48"/>
  <c r="S170" i="44"/>
  <c r="P7" i="44"/>
  <c r="Q48" i="48"/>
  <c r="P33" i="48"/>
  <c r="P90" i="48"/>
  <c r="Q88" i="44"/>
  <c r="Q59" i="48"/>
  <c r="AE218" i="54"/>
  <c r="AE186" i="54"/>
  <c r="R105" i="48"/>
  <c r="Q10" i="48"/>
  <c r="P159" i="48"/>
  <c r="BF159" i="48" s="1"/>
  <c r="AE117" i="54"/>
  <c r="AE121" i="54"/>
  <c r="S171" i="48"/>
  <c r="S38" i="48"/>
  <c r="AN118" i="54"/>
  <c r="AN182" i="54"/>
  <c r="P147" i="48"/>
  <c r="BF147" i="48" s="1"/>
  <c r="AN58" i="54"/>
  <c r="Q6" i="48"/>
  <c r="AN49" i="54"/>
  <c r="Q149" i="48"/>
  <c r="Q132" i="48"/>
  <c r="R35" i="48"/>
  <c r="AN64" i="54"/>
  <c r="P98" i="48"/>
  <c r="S96" i="48"/>
  <c r="AN110" i="54"/>
  <c r="Q32" i="48"/>
  <c r="R60" i="48"/>
  <c r="Q83" i="48"/>
  <c r="S116" i="48"/>
  <c r="Q202" i="48"/>
  <c r="R215" i="48"/>
  <c r="AE78" i="54"/>
  <c r="R70" i="44"/>
  <c r="R111" i="44"/>
  <c r="Q192" i="48"/>
  <c r="R205" i="48"/>
  <c r="Q208" i="44"/>
  <c r="S36" i="44"/>
  <c r="AN132" i="54"/>
  <c r="P106" i="48"/>
  <c r="Q201" i="44"/>
  <c r="R80" i="48"/>
  <c r="AE214" i="54"/>
  <c r="S160" i="44"/>
  <c r="R29" i="44"/>
  <c r="AE113" i="54"/>
  <c r="R58" i="44"/>
  <c r="AN186" i="54"/>
  <c r="AE58" i="54"/>
  <c r="P219" i="48"/>
  <c r="Q188" i="48"/>
  <c r="P198" i="44"/>
  <c r="P173" i="44"/>
  <c r="P13" i="44"/>
  <c r="P72" i="44"/>
  <c r="P216" i="44"/>
  <c r="R27" i="44"/>
  <c r="R162" i="48"/>
  <c r="BH162" i="48" s="1"/>
  <c r="AE197" i="54"/>
  <c r="Q38" i="48"/>
  <c r="Q5" i="48"/>
  <c r="R99" i="44"/>
  <c r="AN65" i="54"/>
  <c r="AN172" i="54"/>
  <c r="P128" i="48"/>
  <c r="BF128" i="48" s="1"/>
  <c r="Q186" i="44"/>
  <c r="P131" i="44"/>
  <c r="P9" i="44"/>
  <c r="Q214" i="48"/>
  <c r="R126" i="44"/>
  <c r="P166" i="48"/>
  <c r="BF166" i="48" s="1"/>
  <c r="R89" i="44"/>
  <c r="R184" i="44"/>
  <c r="R101" i="44"/>
  <c r="Q184" i="44"/>
  <c r="R167" i="48"/>
  <c r="BH167" i="48" s="1"/>
  <c r="R186" i="44"/>
  <c r="P67" i="44"/>
  <c r="S93" i="44"/>
  <c r="AE213" i="54"/>
  <c r="Q28" i="48"/>
  <c r="Q174" i="44"/>
  <c r="P111" i="48"/>
  <c r="S181" i="48"/>
  <c r="AN192" i="54"/>
  <c r="R110" i="48"/>
  <c r="P192" i="44"/>
  <c r="P71" i="44"/>
  <c r="S176" i="48"/>
  <c r="P196" i="48"/>
  <c r="BF196" i="48" s="1"/>
  <c r="Q81" i="44"/>
  <c r="Q70" i="44"/>
  <c r="AN209" i="54"/>
  <c r="R72" i="44"/>
  <c r="S106" i="44"/>
  <c r="S192" i="48"/>
  <c r="P186" i="44"/>
  <c r="S115" i="44"/>
  <c r="P12" i="44"/>
  <c r="S195" i="44"/>
  <c r="S101" i="44"/>
  <c r="S8" i="44"/>
  <c r="S126" i="44"/>
  <c r="AN208" i="54"/>
  <c r="R88" i="44"/>
  <c r="AE175" i="54"/>
  <c r="S68" i="44"/>
  <c r="R45" i="44"/>
  <c r="Q215" i="44"/>
  <c r="P132" i="48"/>
  <c r="BF132" i="48" s="1"/>
  <c r="R101" i="48"/>
  <c r="P18" i="48"/>
  <c r="S193" i="48"/>
  <c r="R193" i="44"/>
  <c r="Q108" i="44"/>
  <c r="AE4" i="54"/>
  <c r="S140" i="48"/>
  <c r="S57" i="48"/>
  <c r="P178" i="48"/>
  <c r="BF178" i="48" s="1"/>
  <c r="AN161" i="54"/>
  <c r="AN145" i="54"/>
  <c r="P89" i="48"/>
  <c r="P110" i="48"/>
  <c r="Q215" i="48"/>
  <c r="P145" i="44"/>
  <c r="R38" i="48"/>
  <c r="R23" i="48"/>
  <c r="R41" i="44"/>
  <c r="R83" i="44"/>
  <c r="R76" i="44"/>
  <c r="R71" i="44"/>
  <c r="P172" i="44"/>
  <c r="P102" i="44"/>
  <c r="R223" i="48"/>
  <c r="P171" i="48"/>
  <c r="BF171" i="48" s="1"/>
  <c r="Q91" i="48"/>
  <c r="P43" i="48"/>
  <c r="S81" i="48"/>
  <c r="AN129" i="54"/>
  <c r="S81" i="44"/>
  <c r="S83" i="48"/>
  <c r="S132" i="44"/>
  <c r="S169" i="48"/>
  <c r="Q7" i="44"/>
  <c r="S76" i="44"/>
  <c r="S45" i="48"/>
  <c r="S136" i="44"/>
  <c r="Q153" i="48"/>
  <c r="R109" i="48"/>
  <c r="AE85" i="54"/>
  <c r="S156" i="48"/>
  <c r="Q61" i="44"/>
  <c r="S61" i="48"/>
  <c r="AN156" i="54"/>
  <c r="AN100" i="54"/>
  <c r="S22" i="48"/>
  <c r="S48" i="48"/>
  <c r="R19" i="44"/>
  <c r="R27" i="48"/>
  <c r="AE96" i="54"/>
  <c r="AN116" i="54"/>
  <c r="P19" i="48"/>
  <c r="R82" i="48"/>
  <c r="R65" i="48"/>
  <c r="P189" i="44"/>
  <c r="P145" i="48"/>
  <c r="BF145" i="48" s="1"/>
  <c r="AN185" i="54"/>
  <c r="S215" i="44"/>
  <c r="Q37" i="48"/>
  <c r="S209" i="44"/>
  <c r="S142" i="48"/>
  <c r="AE63" i="54"/>
  <c r="P103" i="48"/>
  <c r="R130" i="48"/>
  <c r="BH130" i="48" s="1"/>
  <c r="AN138" i="54"/>
  <c r="AE90" i="54"/>
  <c r="R119" i="48"/>
  <c r="BH119" i="48" s="1"/>
  <c r="AE100" i="54"/>
  <c r="AN120" i="54"/>
  <c r="AN34" i="54"/>
  <c r="AE150" i="54"/>
  <c r="R97" i="44"/>
  <c r="P62" i="44"/>
  <c r="R103" i="48"/>
  <c r="AE153" i="54"/>
  <c r="Q74" i="48"/>
  <c r="AN171" i="54"/>
  <c r="Q43" i="48"/>
  <c r="AE102" i="54"/>
  <c r="Q226" i="48"/>
  <c r="AN31" i="54"/>
  <c r="Q101" i="44"/>
  <c r="AE140" i="54"/>
  <c r="S196" i="44"/>
  <c r="P74" i="48"/>
  <c r="AN197" i="54"/>
  <c r="Q26" i="44"/>
  <c r="R179" i="48"/>
  <c r="BH179" i="48" s="1"/>
  <c r="P183" i="48"/>
  <c r="BF183" i="48" s="1"/>
  <c r="P17" i="48"/>
  <c r="Q162" i="44"/>
  <c r="P198" i="48"/>
  <c r="BF198" i="48" s="1"/>
  <c r="Q216" i="48"/>
  <c r="AN36" i="54"/>
  <c r="P101" i="48"/>
  <c r="S172" i="48"/>
  <c r="AN113" i="54"/>
  <c r="Q11" i="44"/>
  <c r="Q152" i="44"/>
  <c r="AE216" i="54"/>
  <c r="P190" i="48"/>
  <c r="BF190" i="48" s="1"/>
  <c r="P182" i="48"/>
  <c r="BF182" i="48" s="1"/>
  <c r="S177" i="44"/>
  <c r="P38" i="44"/>
  <c r="R84" i="48"/>
  <c r="R142" i="48"/>
  <c r="BH142" i="48" s="1"/>
  <c r="S59" i="48"/>
  <c r="R165" i="48"/>
  <c r="BH165" i="48" s="1"/>
  <c r="R197" i="48"/>
  <c r="BH197" i="48" s="1"/>
  <c r="Q147" i="44"/>
  <c r="S38" i="44"/>
  <c r="P215" i="48"/>
  <c r="R166" i="44"/>
  <c r="P75" i="44"/>
  <c r="AN198" i="54"/>
  <c r="Q209" i="44"/>
  <c r="Q133" i="48"/>
  <c r="P10" i="44"/>
  <c r="R189" i="48"/>
  <c r="BH189" i="48" s="1"/>
  <c r="R222" i="48"/>
  <c r="Q205" i="48"/>
  <c r="AN69" i="54"/>
  <c r="S224" i="48"/>
  <c r="S37" i="48"/>
  <c r="P16" i="48"/>
  <c r="R154" i="44"/>
  <c r="P191" i="48"/>
  <c r="BF191" i="48" s="1"/>
  <c r="R106" i="44"/>
  <c r="R131" i="48"/>
  <c r="BH131" i="48" s="1"/>
  <c r="R213" i="44"/>
  <c r="AE194" i="54"/>
  <c r="R161" i="44"/>
  <c r="R160" i="44"/>
  <c r="S79" i="44"/>
  <c r="Q137" i="48"/>
  <c r="R104" i="44"/>
  <c r="Q174" i="48"/>
  <c r="R52" i="44"/>
  <c r="P152" i="48"/>
  <c r="BF152" i="48" s="1"/>
  <c r="AE105" i="54"/>
  <c r="Q211" i="44"/>
  <c r="AN164" i="54"/>
  <c r="P155" i="44"/>
  <c r="AN76" i="54"/>
  <c r="S31" i="48"/>
  <c r="R209" i="44"/>
  <c r="P143" i="48"/>
  <c r="BF143" i="48" s="1"/>
  <c r="AE182" i="54"/>
  <c r="P200" i="44"/>
  <c r="P120" i="48"/>
  <c r="BF120" i="48" s="1"/>
  <c r="S53" i="44"/>
  <c r="P117" i="44"/>
  <c r="Q198" i="44"/>
  <c r="P49" i="44"/>
  <c r="S135" i="44"/>
  <c r="R13" i="48"/>
  <c r="Q132" i="44"/>
  <c r="R45" i="48"/>
  <c r="R51" i="44"/>
  <c r="Q152" i="48"/>
  <c r="AN71" i="54"/>
  <c r="R220" i="44"/>
  <c r="Q217" i="44"/>
  <c r="Q201" i="48"/>
  <c r="R130" i="44"/>
  <c r="P26" i="48"/>
  <c r="AE26" i="54"/>
  <c r="R140" i="48"/>
  <c r="BH140" i="48" s="1"/>
  <c r="Q218" i="44"/>
  <c r="S70" i="48"/>
  <c r="R107" i="48"/>
  <c r="Q131" i="48"/>
  <c r="S197" i="48"/>
  <c r="P201" i="48"/>
  <c r="BF201" i="48" s="1"/>
  <c r="P22" i="48"/>
  <c r="P5" i="44"/>
  <c r="Q12" i="48"/>
  <c r="AE135" i="54"/>
  <c r="P122" i="44"/>
  <c r="P38" i="48"/>
  <c r="R190" i="44"/>
  <c r="S118" i="48"/>
  <c r="AE220" i="54"/>
  <c r="R10" i="44"/>
  <c r="AE171" i="54"/>
  <c r="Q74" i="44"/>
  <c r="AN112" i="54"/>
  <c r="P59" i="48"/>
  <c r="R136" i="48"/>
  <c r="BH136" i="48" s="1"/>
  <c r="S173" i="44"/>
  <c r="S18" i="48"/>
  <c r="R156" i="48"/>
  <c r="BH156" i="48" s="1"/>
  <c r="AN78" i="54"/>
  <c r="Q64" i="48"/>
  <c r="S138" i="48"/>
  <c r="Q9" i="48"/>
  <c r="AN81" i="54"/>
  <c r="R126" i="48"/>
  <c r="BH126" i="48" s="1"/>
  <c r="AN140" i="54"/>
  <c r="AN131" i="54"/>
  <c r="Q92" i="48"/>
  <c r="AN215" i="54"/>
  <c r="Q223" i="48"/>
  <c r="R77" i="48"/>
  <c r="S153" i="44"/>
  <c r="P192" i="48"/>
  <c r="BF192" i="48" s="1"/>
  <c r="AN85" i="54"/>
  <c r="P56" i="48"/>
  <c r="S28" i="48"/>
  <c r="P163" i="44"/>
  <c r="S130" i="44"/>
  <c r="AN74" i="54"/>
  <c r="R133" i="48"/>
  <c r="BH133" i="48" s="1"/>
  <c r="Q76" i="48"/>
  <c r="Q13" i="44"/>
  <c r="AN15" i="54"/>
  <c r="Q30" i="44"/>
  <c r="Q207" i="48"/>
  <c r="S7" i="48"/>
  <c r="S122" i="44"/>
  <c r="Q189" i="44"/>
  <c r="AE51" i="54"/>
  <c r="S211" i="44"/>
  <c r="R70" i="48"/>
  <c r="P166" i="44"/>
  <c r="Q204" i="48"/>
  <c r="AN103" i="54"/>
  <c r="Q149" i="44"/>
  <c r="AN61" i="54"/>
  <c r="R53" i="44"/>
  <c r="Q9" i="44"/>
  <c r="R213" i="48"/>
  <c r="P159" i="44"/>
  <c r="R84" i="44"/>
  <c r="R95" i="44"/>
  <c r="AE205" i="54"/>
  <c r="P120" i="44"/>
  <c r="R17" i="44"/>
  <c r="AE221" i="54"/>
  <c r="R131" i="44"/>
  <c r="R218" i="48"/>
  <c r="Q136" i="44"/>
  <c r="S200" i="44"/>
  <c r="AE139" i="54"/>
  <c r="P6" i="48"/>
  <c r="R119" i="44"/>
  <c r="R117" i="44"/>
  <c r="R25" i="48"/>
  <c r="S62" i="48"/>
  <c r="S126" i="48"/>
  <c r="Q160" i="44"/>
  <c r="Q66" i="44"/>
  <c r="R182" i="48"/>
  <c r="BH182" i="48" s="1"/>
  <c r="S172" i="44"/>
  <c r="S150" i="44"/>
  <c r="R22" i="44"/>
  <c r="AE142" i="54"/>
  <c r="R163" i="48"/>
  <c r="BH163" i="48" s="1"/>
  <c r="S43" i="44"/>
  <c r="P184" i="48"/>
  <c r="BF184" i="48" s="1"/>
  <c r="Q166" i="44"/>
  <c r="S124" i="48"/>
  <c r="P117" i="48"/>
  <c r="BF117" i="48" s="1"/>
  <c r="S160" i="48"/>
  <c r="S98" i="44"/>
  <c r="P164" i="44"/>
  <c r="P212" i="44"/>
  <c r="P6" i="44"/>
  <c r="R42" i="48"/>
  <c r="R85" i="44"/>
  <c r="P191" i="44"/>
  <c r="Q148" i="44"/>
  <c r="R138" i="44"/>
  <c r="S21" i="44"/>
  <c r="Q3" i="44"/>
  <c r="R26" i="44"/>
  <c r="Q73" i="48"/>
  <c r="S85" i="44"/>
  <c r="Q78" i="44"/>
  <c r="P168" i="44"/>
  <c r="P153" i="44"/>
  <c r="R43" i="44"/>
  <c r="R61" i="48"/>
  <c r="Q15" i="48"/>
  <c r="R95" i="48"/>
  <c r="S26" i="44"/>
  <c r="S206" i="48"/>
  <c r="AE55" i="54"/>
  <c r="Q114" i="44"/>
  <c r="Q58" i="48"/>
  <c r="S121" i="44"/>
  <c r="R170" i="48"/>
  <c r="BH170" i="48" s="1"/>
  <c r="Q62" i="48"/>
  <c r="S124" i="44"/>
  <c r="S173" i="48"/>
  <c r="AN107" i="54"/>
  <c r="S4" i="48"/>
  <c r="S221" i="48"/>
  <c r="T221" i="48" s="1"/>
  <c r="AN205" i="54"/>
  <c r="Q105" i="48"/>
  <c r="AE206" i="54"/>
  <c r="S11" i="48"/>
  <c r="S211" i="48"/>
  <c r="Q86" i="44"/>
  <c r="AN201" i="54"/>
  <c r="AN188" i="54"/>
  <c r="P32" i="44"/>
  <c r="P214" i="48"/>
  <c r="P29" i="48"/>
  <c r="S54" i="44"/>
  <c r="AN163" i="54"/>
  <c r="P177" i="48"/>
  <c r="BF177" i="48" s="1"/>
  <c r="AE160" i="54"/>
  <c r="Q89" i="48"/>
  <c r="P45" i="48"/>
  <c r="AN26" i="54"/>
  <c r="Q190" i="48"/>
  <c r="P195" i="48"/>
  <c r="BF195" i="48" s="1"/>
  <c r="P151" i="44"/>
  <c r="R32" i="44"/>
  <c r="P116" i="48"/>
  <c r="BF116" i="48" s="1"/>
  <c r="AN104" i="54"/>
  <c r="P69" i="48"/>
  <c r="S130" i="48"/>
  <c r="Q160" i="48"/>
  <c r="AE162" i="54"/>
  <c r="AN142" i="54"/>
  <c r="AE76" i="54"/>
  <c r="R107" i="44"/>
  <c r="P81" i="48"/>
  <c r="Q52" i="44"/>
  <c r="P96" i="48"/>
  <c r="AN46" i="54"/>
  <c r="R152" i="48"/>
  <c r="BH152" i="48" s="1"/>
  <c r="S190" i="48"/>
  <c r="P23" i="48"/>
  <c r="AE62" i="54"/>
  <c r="P39" i="44"/>
  <c r="P121" i="48"/>
  <c r="BF121" i="48" s="1"/>
  <c r="AE47" i="54"/>
  <c r="P187" i="44"/>
  <c r="AN179" i="54"/>
  <c r="AN87" i="54"/>
  <c r="R64" i="48"/>
  <c r="S19" i="48"/>
  <c r="R108" i="48"/>
  <c r="AE122" i="54"/>
  <c r="P178" i="44"/>
  <c r="S72" i="48"/>
  <c r="Q88" i="48"/>
  <c r="P127" i="44"/>
  <c r="S147" i="44"/>
  <c r="P129" i="44"/>
  <c r="S194" i="48"/>
  <c r="P221" i="44"/>
  <c r="Q14" i="48"/>
  <c r="R212" i="44"/>
  <c r="R173" i="44"/>
  <c r="R198" i="44"/>
  <c r="AE126" i="54"/>
  <c r="S125" i="48"/>
  <c r="R115" i="48"/>
  <c r="BH115" i="48" s="1"/>
  <c r="R12" i="44"/>
  <c r="AN162" i="54"/>
  <c r="P137" i="48"/>
  <c r="BF137" i="48" s="1"/>
  <c r="AE17" i="54"/>
  <c r="P118" i="44"/>
  <c r="R116" i="44"/>
  <c r="P46" i="44"/>
  <c r="S40" i="44"/>
  <c r="P66" i="44"/>
  <c r="Q191" i="44"/>
  <c r="P11" i="44"/>
  <c r="AE190" i="54"/>
  <c r="R75" i="44"/>
  <c r="R211" i="44"/>
  <c r="P129" i="48"/>
  <c r="BF129" i="48" s="1"/>
  <c r="Q165" i="48"/>
  <c r="S164" i="44"/>
  <c r="S131" i="48"/>
  <c r="R208" i="44"/>
  <c r="R189" i="44"/>
  <c r="Q208" i="48"/>
  <c r="S220" i="48"/>
  <c r="T220" i="48" s="1"/>
  <c r="Q19" i="44"/>
  <c r="Q104" i="48"/>
  <c r="R218" i="44"/>
  <c r="R198" i="48"/>
  <c r="BH198" i="48" s="1"/>
  <c r="S60" i="44"/>
  <c r="P203" i="44"/>
  <c r="R28" i="44"/>
  <c r="R181" i="44"/>
  <c r="AN210" i="54"/>
  <c r="S189" i="44"/>
  <c r="S64" i="44"/>
  <c r="S205" i="44"/>
  <c r="AE199" i="54"/>
  <c r="AN47" i="54"/>
  <c r="Q32" i="44"/>
  <c r="R138" i="48"/>
  <c r="BH138" i="48" s="1"/>
  <c r="P108" i="44"/>
  <c r="R128" i="48"/>
  <c r="BH128" i="48" s="1"/>
  <c r="R68" i="48"/>
  <c r="P181" i="48"/>
  <c r="BF181" i="48" s="1"/>
  <c r="Q142" i="48"/>
  <c r="Q164" i="44"/>
  <c r="Q144" i="44"/>
  <c r="R30" i="44"/>
  <c r="Q28" i="44"/>
  <c r="Q195" i="44"/>
  <c r="P174" i="44"/>
  <c r="R38" i="44"/>
  <c r="S180" i="44"/>
  <c r="Q170" i="44"/>
  <c r="R39" i="44"/>
  <c r="R140" i="44"/>
  <c r="AN106" i="54"/>
  <c r="S166" i="44"/>
  <c r="S149" i="48"/>
  <c r="P27" i="44"/>
  <c r="AE109" i="54"/>
  <c r="Q111" i="44"/>
  <c r="R187" i="48"/>
  <c r="BH187" i="48" s="1"/>
  <c r="Q141" i="44"/>
  <c r="P23" i="44"/>
  <c r="R9" i="44"/>
  <c r="AE19" i="54"/>
  <c r="P149" i="44"/>
  <c r="S219" i="44"/>
  <c r="Q22" i="44"/>
  <c r="S198" i="44"/>
  <c r="Q98" i="48"/>
  <c r="AN212" i="54"/>
  <c r="R149" i="48"/>
  <c r="BH149" i="48" s="1"/>
  <c r="AN206" i="54"/>
  <c r="AN102" i="54"/>
  <c r="S50" i="44"/>
  <c r="P103" i="44"/>
  <c r="AE125" i="54"/>
  <c r="R9" i="48"/>
  <c r="Q134" i="44"/>
  <c r="R150" i="48"/>
  <c r="BH150" i="48" s="1"/>
  <c r="Q2" i="48"/>
  <c r="AN183" i="54"/>
  <c r="R216" i="44"/>
  <c r="Q200" i="44"/>
  <c r="S73" i="44"/>
  <c r="Q82" i="44"/>
  <c r="S13" i="44"/>
  <c r="P211" i="48"/>
  <c r="AE165" i="54"/>
  <c r="S103" i="48"/>
  <c r="Q116" i="48"/>
  <c r="R11" i="44"/>
  <c r="S161" i="44"/>
  <c r="P56" i="44"/>
  <c r="Q146" i="48"/>
  <c r="R147" i="44"/>
  <c r="R155" i="48"/>
  <c r="BH155" i="48" s="1"/>
  <c r="AE157" i="54"/>
  <c r="AN151" i="54"/>
  <c r="AE180" i="54"/>
  <c r="R202" i="48"/>
  <c r="Q47" i="48"/>
  <c r="AE144" i="54"/>
  <c r="S32" i="48"/>
  <c r="S30" i="48"/>
  <c r="Q180" i="48"/>
  <c r="AN159" i="54"/>
  <c r="P30" i="48"/>
  <c r="AE127" i="54"/>
  <c r="Q147" i="48"/>
  <c r="R40" i="48"/>
  <c r="P53" i="48"/>
  <c r="P105" i="48"/>
  <c r="Q175" i="48"/>
  <c r="P88" i="48"/>
  <c r="Q140" i="48"/>
  <c r="R137" i="44"/>
  <c r="AN221" i="54"/>
  <c r="S3" i="48"/>
  <c r="S216" i="44"/>
  <c r="S170" i="48"/>
  <c r="AN4" i="54"/>
  <c r="Q120" i="48"/>
  <c r="AE133" i="54"/>
  <c r="Q56" i="44"/>
  <c r="Q96" i="48"/>
  <c r="AE8" i="54"/>
  <c r="AE27" i="54"/>
  <c r="S29" i="48"/>
  <c r="R209" i="48"/>
  <c r="S65" i="48"/>
  <c r="Q115" i="48"/>
  <c r="AE147" i="54"/>
  <c r="P211" i="44"/>
  <c r="AE92" i="54"/>
  <c r="Q130" i="44"/>
  <c r="AN25" i="54"/>
  <c r="S43" i="48"/>
  <c r="Q111" i="48"/>
  <c r="AN160" i="54"/>
  <c r="Q102" i="48"/>
  <c r="AE23" i="54"/>
  <c r="R14" i="48"/>
  <c r="S27" i="48"/>
  <c r="P224" i="48"/>
  <c r="Q8" i="44"/>
  <c r="AN108" i="54"/>
  <c r="Q75" i="48"/>
  <c r="R24" i="48"/>
  <c r="S220" i="44"/>
  <c r="S34" i="44"/>
  <c r="S148" i="48"/>
  <c r="Q3" i="48"/>
  <c r="R162" i="44"/>
  <c r="AN55" i="54"/>
  <c r="AE69" i="54"/>
  <c r="S139" i="48"/>
  <c r="P82" i="44"/>
  <c r="R50" i="44"/>
  <c r="S10" i="44"/>
  <c r="Q212" i="48"/>
  <c r="P218" i="44"/>
  <c r="P85" i="48"/>
  <c r="AN178" i="54"/>
  <c r="Q48" i="44"/>
  <c r="AN29" i="54"/>
  <c r="P89" i="44"/>
  <c r="Q53" i="48"/>
  <c r="R156" i="44"/>
  <c r="Q196" i="48"/>
  <c r="P90" i="44"/>
  <c r="S41" i="44"/>
  <c r="R180" i="48"/>
  <c r="BH180" i="48" s="1"/>
  <c r="S83" i="44"/>
  <c r="R42" i="44"/>
  <c r="S191" i="44"/>
  <c r="R139" i="44"/>
  <c r="Q206" i="44"/>
  <c r="S159" i="48"/>
  <c r="AE38" i="54"/>
  <c r="P50" i="48"/>
  <c r="AN189" i="54"/>
  <c r="AN2" i="54"/>
  <c r="AN109" i="54"/>
  <c r="P161" i="48"/>
  <c r="BF161" i="48" s="1"/>
  <c r="R99" i="48"/>
  <c r="P114" i="48"/>
  <c r="BF114" i="48" s="1"/>
  <c r="R158" i="44"/>
  <c r="P220" i="44"/>
  <c r="Q159" i="44"/>
  <c r="S113" i="44"/>
  <c r="S162" i="44"/>
  <c r="R145" i="44"/>
  <c r="Q104" i="44"/>
  <c r="Q158" i="44"/>
  <c r="S111" i="44"/>
  <c r="AE219" i="54"/>
  <c r="P79" i="48"/>
  <c r="AN220" i="54"/>
  <c r="R151" i="44"/>
  <c r="Q55" i="48"/>
  <c r="P113" i="44"/>
  <c r="S137" i="48"/>
  <c r="AN213" i="54"/>
  <c r="R211" i="48"/>
  <c r="S2" i="44"/>
  <c r="R80" i="44"/>
  <c r="S66" i="48"/>
  <c r="P121" i="44"/>
  <c r="R5" i="48"/>
  <c r="Q144" i="48"/>
  <c r="AE181" i="54"/>
  <c r="R57" i="44"/>
  <c r="S109" i="44"/>
  <c r="Q42" i="44"/>
  <c r="P148" i="44"/>
  <c r="P163" i="48"/>
  <c r="BF163" i="48" s="1"/>
  <c r="R83" i="48"/>
  <c r="S186" i="44"/>
  <c r="AN177" i="54"/>
  <c r="P217" i="48"/>
  <c r="R116" i="48"/>
  <c r="BH116" i="48" s="1"/>
  <c r="P156" i="48"/>
  <c r="BF156" i="48" s="1"/>
  <c r="S46" i="48"/>
  <c r="Q214" i="44"/>
  <c r="Q153" i="44"/>
  <c r="S82" i="48"/>
  <c r="AE97" i="54"/>
  <c r="Q65" i="44"/>
  <c r="Q94" i="44"/>
  <c r="S44" i="48"/>
  <c r="Q176" i="44"/>
  <c r="S175" i="44"/>
  <c r="P218" i="48"/>
  <c r="P99" i="48"/>
  <c r="R215" i="44"/>
  <c r="S102" i="44"/>
  <c r="P216" i="48"/>
  <c r="R47" i="44"/>
  <c r="S16" i="48"/>
  <c r="S171" i="44"/>
  <c r="S218" i="44"/>
  <c r="R103" i="44"/>
  <c r="AE156" i="54"/>
  <c r="P36" i="48"/>
  <c r="P19" i="44"/>
  <c r="R118" i="48"/>
  <c r="BH118" i="48" s="1"/>
  <c r="Q79" i="48"/>
  <c r="Q192" i="44"/>
  <c r="P175" i="48"/>
  <c r="BF175" i="48" s="1"/>
  <c r="AN17" i="54"/>
  <c r="Q220" i="44"/>
  <c r="R34" i="48"/>
  <c r="AE204" i="54"/>
  <c r="Q42" i="48"/>
  <c r="AE101" i="54"/>
  <c r="R123" i="44"/>
  <c r="AE36" i="54"/>
  <c r="S188" i="48"/>
  <c r="Q123" i="48"/>
  <c r="S10" i="48"/>
  <c r="S69" i="48"/>
  <c r="P2" i="48"/>
  <c r="R208" i="48"/>
  <c r="AE110" i="54"/>
  <c r="AE158" i="54"/>
  <c r="S76" i="48"/>
  <c r="AN175" i="54"/>
  <c r="S146" i="48"/>
  <c r="Q52" i="48"/>
  <c r="AN53" i="54"/>
  <c r="R113" i="48"/>
  <c r="BH113" i="48" s="1"/>
  <c r="S21" i="48"/>
  <c r="Q148" i="48"/>
  <c r="AN22" i="54"/>
  <c r="Q40" i="48"/>
  <c r="P37" i="48"/>
  <c r="Q165" i="44"/>
  <c r="P182" i="44"/>
  <c r="S32" i="44"/>
  <c r="AN123" i="54"/>
  <c r="R47" i="48"/>
  <c r="AN144" i="54"/>
  <c r="R57" i="48"/>
  <c r="R35" i="44"/>
  <c r="P158" i="48"/>
  <c r="BF158" i="48" s="1"/>
  <c r="S143" i="48"/>
  <c r="Q121" i="48"/>
  <c r="AE119" i="54"/>
  <c r="R225" i="48"/>
  <c r="AN73" i="54"/>
  <c r="Q193" i="44"/>
  <c r="P122" i="48"/>
  <c r="BF122" i="48" s="1"/>
  <c r="AN168" i="54"/>
  <c r="AN126" i="54"/>
  <c r="AE56" i="54"/>
  <c r="AE29" i="54"/>
  <c r="P9" i="48"/>
  <c r="AE75" i="54"/>
  <c r="R201" i="44"/>
  <c r="P208" i="48"/>
  <c r="AE84" i="54"/>
  <c r="P214" i="44"/>
  <c r="Q164" i="48"/>
  <c r="Q217" i="48"/>
  <c r="R164" i="48"/>
  <c r="BH164" i="48" s="1"/>
  <c r="P146" i="48"/>
  <c r="BF146" i="48" s="1"/>
  <c r="S191" i="48"/>
  <c r="S174" i="48"/>
  <c r="AE39" i="54"/>
  <c r="P69" i="44"/>
  <c r="AE25" i="54"/>
  <c r="P29" i="44"/>
  <c r="S80" i="44"/>
  <c r="R56" i="44"/>
  <c r="Q225" i="48"/>
  <c r="Q145" i="48"/>
  <c r="Q54" i="44"/>
  <c r="P199" i="48"/>
  <c r="BF199" i="48" s="1"/>
  <c r="S196" i="48"/>
  <c r="R23" i="44"/>
  <c r="S95" i="48"/>
  <c r="Q59" i="44"/>
  <c r="S135" i="48"/>
  <c r="AN202" i="54"/>
  <c r="Q17" i="48"/>
  <c r="AE191" i="54"/>
  <c r="Q84" i="44"/>
  <c r="Q72" i="44"/>
  <c r="Q29" i="44"/>
  <c r="P108" i="48"/>
  <c r="S34" i="48"/>
  <c r="S133" i="44"/>
  <c r="AN24" i="54"/>
  <c r="Q135" i="44"/>
  <c r="S188" i="44"/>
  <c r="P97" i="48"/>
  <c r="R153" i="44"/>
  <c r="AN119" i="54"/>
  <c r="P139" i="48"/>
  <c r="BF139" i="48" s="1"/>
  <c r="AE7" i="54"/>
  <c r="P70" i="44"/>
  <c r="Q200" i="48"/>
  <c r="AE177" i="54"/>
  <c r="S55" i="44"/>
  <c r="AN97" i="54"/>
  <c r="R199" i="44"/>
  <c r="S49" i="44"/>
  <c r="R110" i="44"/>
  <c r="S119" i="48"/>
  <c r="P170" i="44"/>
  <c r="Q16" i="44"/>
  <c r="P101" i="44"/>
  <c r="R46" i="44"/>
  <c r="S82" i="44"/>
  <c r="AN77" i="54"/>
  <c r="Q156" i="48"/>
  <c r="R120" i="48"/>
  <c r="BH120" i="48" s="1"/>
  <c r="P196" i="44"/>
  <c r="Q72" i="48"/>
  <c r="R157" i="48"/>
  <c r="BH157" i="48" s="1"/>
  <c r="AN33" i="54"/>
  <c r="AN98" i="54"/>
  <c r="P46" i="48"/>
  <c r="R96" i="44"/>
  <c r="S84" i="48"/>
  <c r="S204" i="48"/>
  <c r="T204" i="48" s="1"/>
  <c r="AN148" i="54"/>
  <c r="R86" i="48"/>
  <c r="R124" i="48"/>
  <c r="BH124" i="48" s="1"/>
  <c r="R173" i="48"/>
  <c r="BH173" i="48" s="1"/>
  <c r="Q49" i="48"/>
  <c r="R135" i="48"/>
  <c r="BH135" i="48" s="1"/>
  <c r="AN40" i="54"/>
  <c r="R36" i="48"/>
  <c r="S90" i="48"/>
  <c r="P175" i="44"/>
  <c r="AN141" i="54"/>
  <c r="AE132" i="54"/>
  <c r="AE99" i="54"/>
  <c r="AE94" i="54"/>
  <c r="R17" i="48"/>
  <c r="R216" i="48"/>
  <c r="AE168" i="54"/>
  <c r="R31" i="48"/>
  <c r="R202" i="44"/>
  <c r="AE179" i="54"/>
  <c r="S187" i="48"/>
  <c r="R178" i="44"/>
  <c r="Q167" i="48"/>
  <c r="P116" i="44"/>
  <c r="P35" i="44"/>
  <c r="AN184" i="54"/>
  <c r="R21" i="48"/>
  <c r="S42" i="48"/>
  <c r="Q159" i="48"/>
  <c r="AE130" i="54"/>
  <c r="R21" i="44"/>
  <c r="P25" i="48"/>
  <c r="S12" i="48"/>
  <c r="P28" i="48"/>
  <c r="P212" i="48"/>
  <c r="Q101" i="48"/>
  <c r="S133" i="48"/>
  <c r="P95" i="48"/>
  <c r="AN27" i="54"/>
  <c r="S222" i="48"/>
  <c r="T222" i="48" s="1"/>
  <c r="AE136" i="54"/>
  <c r="Q62" i="44"/>
  <c r="S91" i="48"/>
  <c r="R69" i="48"/>
  <c r="S41" i="48"/>
  <c r="AN150" i="54"/>
  <c r="P109" i="48"/>
  <c r="R206" i="48"/>
  <c r="S107" i="48"/>
  <c r="Q113" i="44"/>
  <c r="AE65" i="54"/>
  <c r="S87" i="44"/>
  <c r="AN70" i="54"/>
  <c r="S134" i="48"/>
  <c r="R74" i="48"/>
  <c r="S99" i="44"/>
  <c r="R217" i="48"/>
  <c r="Q29" i="48"/>
  <c r="P54" i="48"/>
  <c r="S168" i="44"/>
  <c r="S59" i="44"/>
  <c r="P77" i="44"/>
  <c r="Q213" i="44"/>
  <c r="P203" i="48"/>
  <c r="AN51" i="54"/>
  <c r="R226" i="48"/>
  <c r="R3" i="48"/>
  <c r="R171" i="48"/>
  <c r="BH171" i="48" s="1"/>
  <c r="AN20" i="54"/>
  <c r="Q77" i="48"/>
  <c r="R31" i="44"/>
  <c r="S119" i="44"/>
  <c r="P97" i="44"/>
  <c r="S145" i="48"/>
  <c r="Q39" i="48"/>
  <c r="P86" i="44"/>
  <c r="S31" i="44"/>
  <c r="Q222" i="48"/>
  <c r="P33" i="44"/>
  <c r="R136" i="44"/>
  <c r="Q87" i="44"/>
  <c r="Q194" i="48"/>
  <c r="AE31" i="54"/>
  <c r="AN10" i="54"/>
  <c r="AE12" i="54"/>
  <c r="S24" i="48"/>
  <c r="AE20" i="54"/>
  <c r="Q155" i="44"/>
  <c r="Q93" i="44"/>
  <c r="P20" i="44"/>
  <c r="R167" i="44"/>
  <c r="R98" i="48"/>
  <c r="S69" i="44"/>
  <c r="R40" i="44"/>
  <c r="P99" i="44"/>
  <c r="R59" i="44"/>
  <c r="P34" i="44"/>
  <c r="R92" i="44"/>
  <c r="P215" i="44"/>
  <c r="R151" i="48"/>
  <c r="BH151" i="48" s="1"/>
  <c r="S51" i="48"/>
  <c r="S94" i="44"/>
  <c r="S71" i="44"/>
  <c r="AN67" i="54"/>
  <c r="AN54" i="54"/>
  <c r="S67" i="44"/>
  <c r="P197" i="48"/>
  <c r="BF197" i="48" s="1"/>
  <c r="P80" i="44"/>
  <c r="P114" i="44"/>
  <c r="P188" i="48"/>
  <c r="BF188" i="48" s="1"/>
  <c r="P50" i="44"/>
  <c r="P141" i="44"/>
  <c r="S166" i="48"/>
  <c r="Q122" i="48"/>
  <c r="P11" i="48"/>
  <c r="Q218" i="48"/>
  <c r="P31" i="44"/>
  <c r="S212" i="44"/>
  <c r="R118" i="44"/>
  <c r="P100" i="44"/>
  <c r="Q50" i="48"/>
  <c r="R78" i="44"/>
  <c r="R184" i="48"/>
  <c r="BH184" i="48" s="1"/>
  <c r="AE21" i="54"/>
  <c r="Q6" i="44"/>
  <c r="S123" i="48"/>
  <c r="S203" i="44"/>
  <c r="P67" i="48"/>
  <c r="Q171" i="44"/>
  <c r="Q176" i="48"/>
  <c r="S7" i="44"/>
  <c r="R50" i="48"/>
  <c r="Q157" i="44"/>
  <c r="R149" i="44"/>
  <c r="Q187" i="48"/>
  <c r="AN216" i="54"/>
  <c r="P124" i="48"/>
  <c r="BF124" i="48" s="1"/>
  <c r="P41" i="48"/>
  <c r="Q31" i="44"/>
  <c r="S12" i="44"/>
  <c r="S101" i="48"/>
  <c r="Q20" i="44"/>
  <c r="R44" i="44"/>
  <c r="P156" i="44"/>
  <c r="S208" i="48"/>
  <c r="T208" i="48" s="1"/>
  <c r="P138" i="44"/>
  <c r="AE13" i="54"/>
  <c r="P4" i="44"/>
  <c r="S118" i="44"/>
  <c r="R13" i="44"/>
  <c r="S205" i="48"/>
  <c r="T205" i="48" s="1"/>
  <c r="Q118" i="44"/>
  <c r="R68" i="44"/>
  <c r="P22" i="44"/>
  <c r="P37" i="44"/>
  <c r="Q127" i="44"/>
  <c r="AN66" i="54"/>
  <c r="P219" i="44"/>
  <c r="S47" i="44"/>
  <c r="S180" i="48"/>
  <c r="Q2" i="44"/>
  <c r="Q170" i="48"/>
  <c r="Q91" i="44"/>
  <c r="R49" i="44"/>
  <c r="Q85" i="44"/>
  <c r="P157" i="44"/>
  <c r="R132" i="44"/>
  <c r="P63" i="44"/>
  <c r="R67" i="44"/>
  <c r="P208" i="44"/>
  <c r="P95" i="44"/>
  <c r="AN6" i="54"/>
  <c r="Q67" i="48"/>
  <c r="AN52" i="54"/>
  <c r="S156" i="44"/>
  <c r="S84" i="44"/>
  <c r="S210" i="48"/>
  <c r="T210" i="48" s="1"/>
  <c r="S115" i="48"/>
  <c r="AN196" i="54"/>
  <c r="Q125" i="48"/>
  <c r="S25" i="44"/>
  <c r="P143" i="44"/>
  <c r="Q69" i="44"/>
  <c r="P88" i="44"/>
  <c r="AN115" i="54"/>
  <c r="R93" i="44"/>
  <c r="Q89" i="44"/>
  <c r="AE71" i="54"/>
  <c r="P16" i="44"/>
  <c r="Q177" i="44"/>
  <c r="P186" i="48"/>
  <c r="BF186" i="48" s="1"/>
  <c r="R8" i="44"/>
  <c r="Q203" i="48"/>
  <c r="P54" i="44"/>
  <c r="Q206" i="48"/>
  <c r="AE6" i="54"/>
  <c r="R144" i="44"/>
  <c r="Q145" i="44"/>
  <c r="R55" i="48"/>
  <c r="R195" i="48"/>
  <c r="BH195" i="48" s="1"/>
  <c r="P57" i="48"/>
  <c r="Q15" i="44"/>
  <c r="Q119" i="44"/>
  <c r="P48" i="44"/>
  <c r="Q45" i="44"/>
  <c r="P187" i="48"/>
  <c r="BF187" i="48" s="1"/>
  <c r="S105" i="44"/>
  <c r="R62" i="44"/>
  <c r="R210" i="44"/>
  <c r="S80" i="48"/>
  <c r="P188" i="44"/>
  <c r="R161" i="48"/>
  <c r="BH161" i="48" s="1"/>
  <c r="R112" i="44"/>
  <c r="Q71" i="44"/>
  <c r="R196" i="44"/>
  <c r="R172" i="44"/>
  <c r="S145" i="44"/>
  <c r="Q92" i="44"/>
  <c r="AE106" i="54"/>
  <c r="AE118" i="54"/>
  <c r="R43" i="48"/>
  <c r="Q120" i="44"/>
  <c r="R212" i="48"/>
  <c r="Q35" i="48"/>
  <c r="AE53" i="54"/>
  <c r="P153" i="48"/>
  <c r="BF153" i="48" s="1"/>
  <c r="P126" i="44"/>
  <c r="R175" i="44"/>
  <c r="Q55" i="44"/>
  <c r="Q99" i="44"/>
  <c r="P225" i="48"/>
  <c r="P173" i="48"/>
  <c r="BF173" i="48" s="1"/>
  <c r="P60" i="44"/>
  <c r="P73" i="44"/>
  <c r="Q14" i="44"/>
  <c r="S187" i="44"/>
  <c r="Q121" i="44"/>
  <c r="R180" i="44"/>
  <c r="S116" i="44"/>
  <c r="Q11" i="48"/>
  <c r="R56" i="48"/>
  <c r="AN195" i="54"/>
  <c r="S138" i="44"/>
  <c r="Q18" i="48"/>
  <c r="R219" i="44"/>
  <c r="AN181" i="54"/>
  <c r="Q107" i="44"/>
  <c r="S6" i="44"/>
  <c r="S96" i="44"/>
  <c r="Q63" i="44"/>
  <c r="Q212" i="44"/>
  <c r="P24" i="44"/>
  <c r="Q33" i="44"/>
  <c r="R194" i="44"/>
  <c r="Q23" i="44"/>
  <c r="S114" i="44"/>
  <c r="P167" i="44"/>
  <c r="Q114" i="48"/>
  <c r="S66" i="44"/>
  <c r="AE54" i="54"/>
  <c r="AN21" i="54"/>
  <c r="Q143" i="44"/>
  <c r="S72" i="44"/>
  <c r="S91" i="44"/>
  <c r="P176" i="44"/>
  <c r="AN16" i="54"/>
  <c r="S25" i="48"/>
  <c r="P44" i="48"/>
  <c r="P104" i="44"/>
  <c r="Q181" i="44"/>
  <c r="R54" i="44"/>
  <c r="P164" i="48"/>
  <c r="BF164" i="48" s="1"/>
  <c r="P136" i="44"/>
  <c r="S42" i="44"/>
  <c r="AN43" i="54"/>
  <c r="Q58" i="44"/>
  <c r="P12" i="48"/>
  <c r="R63" i="44"/>
  <c r="P124" i="44"/>
  <c r="S207" i="44"/>
  <c r="AN45" i="54"/>
  <c r="S134" i="44"/>
  <c r="Q220" i="48"/>
  <c r="P30" i="44"/>
  <c r="S45" i="44"/>
  <c r="P170" i="48"/>
  <c r="BF170" i="48" s="1"/>
  <c r="S85" i="48"/>
  <c r="AE207" i="54"/>
  <c r="P213" i="48"/>
  <c r="P111" i="44"/>
  <c r="S147" i="48"/>
  <c r="AE9" i="54"/>
  <c r="R72" i="48"/>
  <c r="P205" i="44"/>
  <c r="R102" i="44"/>
  <c r="S176" i="44"/>
  <c r="AE40" i="54"/>
  <c r="S68" i="48"/>
  <c r="P202" i="44"/>
  <c r="R135" i="44"/>
  <c r="S54" i="48"/>
  <c r="S86" i="44"/>
  <c r="R205" i="44"/>
  <c r="P109" i="44"/>
  <c r="R187" i="44"/>
  <c r="R155" i="44"/>
  <c r="AE203" i="54"/>
  <c r="S110" i="44"/>
  <c r="P84" i="48"/>
  <c r="AE149" i="54"/>
  <c r="Q21" i="48"/>
  <c r="Q190" i="44"/>
  <c r="R145" i="48"/>
  <c r="BH145" i="48" s="1"/>
  <c r="S199" i="48"/>
  <c r="S5" i="44"/>
  <c r="Q20" i="48"/>
  <c r="S33" i="44"/>
  <c r="Q102" i="44"/>
  <c r="P110" i="44"/>
  <c r="P21" i="48"/>
  <c r="R36" i="44"/>
  <c r="P131" i="48"/>
  <c r="BF131" i="48" s="1"/>
  <c r="AE195" i="54"/>
  <c r="AN167" i="54"/>
  <c r="R25" i="44"/>
  <c r="S87" i="48"/>
  <c r="R207" i="48"/>
  <c r="Q47" i="44"/>
  <c r="Q197" i="44"/>
  <c r="R62" i="48"/>
  <c r="AN214" i="54"/>
  <c r="AN153" i="54"/>
  <c r="S97" i="44"/>
  <c r="S90" i="44"/>
  <c r="Q204" i="44"/>
  <c r="S8" i="48"/>
  <c r="P96" i="44"/>
  <c r="Q178" i="48"/>
  <c r="Q45" i="48"/>
  <c r="P84" i="44"/>
  <c r="P134" i="44"/>
  <c r="R181" i="48"/>
  <c r="BH181" i="48" s="1"/>
  <c r="P204" i="48"/>
  <c r="R48" i="44"/>
  <c r="R191" i="44"/>
  <c r="S159" i="44"/>
  <c r="R121" i="44"/>
  <c r="Q194" i="44"/>
  <c r="Q185" i="44"/>
  <c r="P142" i="44"/>
  <c r="Q154" i="44"/>
  <c r="Q167" i="44"/>
  <c r="P3" i="44"/>
  <c r="S92" i="48"/>
  <c r="S28" i="44"/>
  <c r="Q138" i="44"/>
  <c r="R14" i="44"/>
  <c r="P57" i="44"/>
  <c r="AE176" i="54"/>
  <c r="P18" i="44"/>
  <c r="Q34" i="48"/>
  <c r="S217" i="44"/>
  <c r="P135" i="48"/>
  <c r="BF135" i="48" s="1"/>
  <c r="Q27" i="48"/>
  <c r="R174" i="44"/>
  <c r="S192" i="44"/>
  <c r="S144" i="48"/>
  <c r="Q161" i="44"/>
  <c r="S210" i="44"/>
  <c r="P8" i="48"/>
  <c r="S158" i="44"/>
  <c r="Q63" i="48"/>
  <c r="Q142" i="44"/>
  <c r="Q80" i="44"/>
  <c r="Q76" i="44"/>
  <c r="S202" i="48"/>
  <c r="T202" i="48" s="1"/>
  <c r="Q44" i="48"/>
  <c r="S197" i="44"/>
  <c r="R220" i="48"/>
  <c r="R200" i="48"/>
  <c r="BH200" i="48" s="1"/>
  <c r="Q5" i="44"/>
  <c r="P94" i="44"/>
  <c r="P162" i="44"/>
  <c r="Q106" i="44"/>
  <c r="Q30" i="48"/>
  <c r="Q10" i="44"/>
  <c r="S64" i="48"/>
  <c r="P10" i="48"/>
  <c r="Q12" i="44"/>
  <c r="Q184" i="48"/>
  <c r="S128" i="48"/>
  <c r="R197" i="44"/>
  <c r="Q13" i="48"/>
  <c r="R115" i="44"/>
  <c r="R105" i="44"/>
  <c r="P177" i="44"/>
  <c r="R79" i="44"/>
  <c r="P26" i="44"/>
  <c r="Q73" i="44"/>
  <c r="P226" i="48"/>
  <c r="P81" i="44"/>
  <c r="Q41" i="44"/>
  <c r="R16" i="44"/>
  <c r="S153" i="48"/>
  <c r="P193" i="44"/>
  <c r="R34" i="44"/>
  <c r="Q125" i="44"/>
  <c r="S179" i="44"/>
  <c r="S167" i="48"/>
  <c r="S108" i="44"/>
  <c r="P180" i="48"/>
  <c r="BF180" i="48" s="1"/>
  <c r="R177" i="44"/>
  <c r="Q131" i="44"/>
  <c r="S206" i="44"/>
  <c r="AN83" i="54"/>
  <c r="R37" i="44"/>
  <c r="S139" i="44"/>
  <c r="P161" i="44"/>
  <c r="P60" i="48"/>
  <c r="P98" i="44"/>
  <c r="Q199" i="44"/>
  <c r="R6" i="44"/>
  <c r="AE37" i="54"/>
  <c r="S221" i="44"/>
  <c r="R185" i="44"/>
  <c r="R4" i="44"/>
  <c r="P133" i="44"/>
  <c r="R217" i="44"/>
  <c r="AN117" i="54"/>
  <c r="Q66" i="48"/>
  <c r="Q50" i="44"/>
  <c r="P78" i="44"/>
  <c r="P201" i="44"/>
  <c r="P162" i="48"/>
  <c r="BF162" i="48" s="1"/>
  <c r="P25" i="44"/>
  <c r="Q139" i="44"/>
  <c r="Q137" i="44"/>
  <c r="P137" i="44"/>
  <c r="P63" i="48"/>
  <c r="AE128" i="54"/>
  <c r="P147" i="44"/>
  <c r="S178" i="44"/>
  <c r="Q175" i="44"/>
  <c r="S104" i="44"/>
  <c r="R146" i="48"/>
  <c r="BH146" i="48" s="1"/>
  <c r="S39" i="44"/>
  <c r="R73" i="44"/>
  <c r="AN190" i="54"/>
  <c r="R129" i="44"/>
  <c r="Q27" i="44"/>
  <c r="R66" i="44"/>
  <c r="S51" i="44"/>
  <c r="AE72" i="54"/>
  <c r="P119" i="44"/>
  <c r="AE15" i="54"/>
  <c r="R150" i="44"/>
  <c r="R168" i="44"/>
  <c r="S183" i="44"/>
  <c r="Q22" i="48"/>
  <c r="R125" i="48"/>
  <c r="BH125" i="48" s="1"/>
  <c r="Q221" i="48"/>
  <c r="S88" i="48"/>
  <c r="AN219" i="54"/>
  <c r="AE74" i="54"/>
  <c r="S167" i="44"/>
  <c r="S184" i="44"/>
  <c r="S29" i="44"/>
  <c r="R146" i="44"/>
  <c r="P47" i="44"/>
  <c r="Q64" i="44"/>
  <c r="AE193" i="54"/>
  <c r="R148" i="48"/>
  <c r="BH148" i="48" s="1"/>
  <c r="P127" i="48"/>
  <c r="BF127" i="48" s="1"/>
  <c r="P112" i="48"/>
  <c r="BF112" i="48" s="1"/>
  <c r="AN68" i="54"/>
  <c r="AE137" i="54"/>
  <c r="S129" i="48"/>
  <c r="R67" i="48"/>
  <c r="S214" i="48"/>
  <c r="T214" i="48" s="1"/>
  <c r="S174" i="44"/>
  <c r="Q143" i="48"/>
  <c r="P155" i="48"/>
  <c r="BF155" i="48" s="1"/>
  <c r="S46" i="44"/>
  <c r="R2" i="44"/>
  <c r="P14" i="44"/>
  <c r="AN139" i="54"/>
  <c r="R143" i="48"/>
  <c r="BH143" i="48" s="1"/>
  <c r="Q180" i="44"/>
  <c r="S128" i="44"/>
  <c r="P169" i="44"/>
  <c r="R163" i="44"/>
  <c r="R98" i="44"/>
  <c r="S125" i="44"/>
  <c r="P44" i="44"/>
  <c r="R53" i="48"/>
  <c r="P184" i="44"/>
  <c r="R117" i="48"/>
  <c r="BH117" i="48" s="1"/>
  <c r="P53" i="44"/>
  <c r="S75" i="44"/>
  <c r="P125" i="44"/>
  <c r="P107" i="48"/>
  <c r="S78" i="44"/>
  <c r="S175" i="48"/>
  <c r="S209" i="48"/>
  <c r="T209" i="48" s="1"/>
  <c r="AE111" i="54"/>
  <c r="Q210" i="44"/>
  <c r="P5" i="48"/>
  <c r="R7" i="44"/>
  <c r="P180" i="44"/>
  <c r="R48" i="48"/>
  <c r="P165" i="48"/>
  <c r="BF165" i="48" s="1"/>
  <c r="Q116" i="44"/>
  <c r="AE103" i="54"/>
  <c r="Q134" i="48"/>
  <c r="P64" i="44"/>
  <c r="Q43" i="44"/>
  <c r="P185" i="44"/>
  <c r="P59" i="44"/>
  <c r="P73" i="48"/>
  <c r="P213" i="44"/>
  <c r="P76" i="44"/>
  <c r="P115" i="44"/>
  <c r="R142" i="44"/>
  <c r="AN75" i="54"/>
  <c r="Q17" i="44"/>
  <c r="R137" i="48"/>
  <c r="BH137" i="48" s="1"/>
  <c r="S4" i="44"/>
  <c r="Q135" i="48"/>
  <c r="R104" i="48"/>
  <c r="R100" i="44"/>
  <c r="R26" i="48"/>
  <c r="R179" i="44"/>
  <c r="P179" i="48"/>
  <c r="BF179" i="48" s="1"/>
  <c r="S155" i="44"/>
  <c r="S149" i="44"/>
  <c r="R128" i="44"/>
  <c r="R182" i="44"/>
  <c r="R191" i="48"/>
  <c r="BH191" i="48" s="1"/>
  <c r="S185" i="44"/>
  <c r="Q95" i="44"/>
  <c r="R178" i="48"/>
  <c r="BH178" i="48" s="1"/>
  <c r="R171" i="44"/>
  <c r="Q203" i="44"/>
  <c r="Q198" i="48"/>
  <c r="R33" i="44"/>
  <c r="S16" i="44"/>
  <c r="P91" i="48"/>
  <c r="Q85" i="48"/>
  <c r="P132" i="44"/>
  <c r="P183" i="44"/>
  <c r="P179" i="44"/>
  <c r="AE18" i="54"/>
  <c r="AE43" i="54"/>
  <c r="R183" i="44"/>
  <c r="S212" i="48"/>
  <c r="T212" i="48" s="1"/>
  <c r="AE104" i="54"/>
  <c r="R77" i="44"/>
  <c r="R100" i="48"/>
  <c r="Q77" i="44"/>
  <c r="S143" i="44"/>
  <c r="P15" i="44"/>
  <c r="AE172" i="54"/>
  <c r="P154" i="48"/>
  <c r="BF154" i="48" s="1"/>
  <c r="R152" i="44"/>
  <c r="Q68" i="44"/>
  <c r="AN88" i="54"/>
  <c r="Q108" i="48"/>
  <c r="S44" i="44"/>
  <c r="Q98" i="44"/>
  <c r="Q109" i="44"/>
  <c r="P4" i="48"/>
  <c r="R175" i="48"/>
  <c r="BH175" i="48" s="1"/>
  <c r="AE201" i="54"/>
  <c r="AN32" i="54"/>
  <c r="S103" i="44"/>
  <c r="P17" i="44"/>
  <c r="Q140" i="44"/>
  <c r="S15" i="44"/>
  <c r="Q53" i="44"/>
  <c r="AE108" i="54"/>
  <c r="S127" i="48"/>
  <c r="Q115" i="44"/>
  <c r="P2" i="44"/>
  <c r="P105" i="44"/>
  <c r="S17" i="48"/>
  <c r="Q60" i="48"/>
  <c r="S219" i="48"/>
  <c r="T219" i="48" s="1"/>
  <c r="P189" i="48"/>
  <c r="BF189" i="48" s="1"/>
  <c r="Q93" i="48"/>
  <c r="P107" i="44"/>
  <c r="R204" i="44"/>
  <c r="Q126" i="44"/>
  <c r="P62" i="48"/>
  <c r="AE123" i="54"/>
  <c r="AN19" i="54"/>
  <c r="R219" i="48"/>
  <c r="Q79" i="44"/>
  <c r="Q44" i="44"/>
  <c r="Q210" i="48"/>
  <c r="Q179" i="48"/>
  <c r="R165" i="44"/>
  <c r="R108" i="44"/>
  <c r="S112" i="44"/>
  <c r="P165" i="44"/>
  <c r="S127" i="44"/>
  <c r="S113" i="48"/>
  <c r="S202" i="44"/>
  <c r="S77" i="44"/>
  <c r="S63" i="48"/>
  <c r="AE183" i="54"/>
  <c r="Q127" i="48"/>
  <c r="Q161" i="48"/>
  <c r="P148" i="48"/>
  <c r="BF148" i="48" s="1"/>
  <c r="Q117" i="48"/>
  <c r="P58" i="44"/>
  <c r="R203" i="44"/>
  <c r="P92" i="44"/>
  <c r="P135" i="44"/>
  <c r="Q49" i="44"/>
  <c r="P157" i="48"/>
  <c r="BF157" i="48" s="1"/>
  <c r="Q156" i="44"/>
  <c r="R114" i="44"/>
  <c r="R91" i="44"/>
  <c r="Q81" i="48"/>
  <c r="P52" i="48"/>
  <c r="S179" i="48"/>
  <c r="AN84" i="54"/>
  <c r="R124" i="44"/>
  <c r="Q124" i="48"/>
  <c r="R55" i="44"/>
  <c r="S163" i="48"/>
  <c r="Q128" i="44"/>
  <c r="Q34" i="44"/>
  <c r="Q183" i="44"/>
  <c r="Q25" i="44"/>
  <c r="AE16" i="54"/>
  <c r="R159" i="44"/>
  <c r="P158" i="44"/>
  <c r="P41" i="44"/>
  <c r="S217" i="48"/>
  <c r="T217" i="48" s="1"/>
  <c r="R127" i="44"/>
  <c r="Q150" i="44"/>
  <c r="Q103" i="48"/>
  <c r="S20" i="44"/>
  <c r="R200" i="44"/>
  <c r="AE151" i="54"/>
  <c r="S177" i="48"/>
  <c r="R109" i="44"/>
  <c r="Q146" i="44"/>
  <c r="P207" i="48"/>
  <c r="AE209" i="54"/>
  <c r="P66" i="48"/>
  <c r="AE159" i="54"/>
  <c r="P139" i="44"/>
  <c r="P13" i="48"/>
  <c r="S163" i="44"/>
  <c r="Q67" i="44"/>
  <c r="P140" i="44"/>
  <c r="Q36" i="44"/>
  <c r="R143" i="44"/>
  <c r="P199" i="44"/>
  <c r="P28" i="44"/>
  <c r="P133" i="48"/>
  <c r="BF133" i="48" s="1"/>
  <c r="S117" i="44"/>
  <c r="P36" i="44"/>
  <c r="AN200" i="54"/>
  <c r="Q69" i="48"/>
  <c r="R73" i="48"/>
  <c r="R133" i="44"/>
  <c r="P194" i="44"/>
  <c r="S120" i="44"/>
  <c r="AN105" i="54"/>
  <c r="Q150" i="48"/>
  <c r="Q57" i="44"/>
  <c r="S194" i="44"/>
  <c r="S3" i="44"/>
  <c r="S50" i="48"/>
  <c r="P93" i="44"/>
  <c r="R176" i="44"/>
  <c r="R64" i="44"/>
  <c r="R134" i="44"/>
  <c r="AE196" i="54"/>
  <c r="P144" i="44"/>
  <c r="R144" i="48"/>
  <c r="BH144" i="48" s="1"/>
  <c r="P190" i="44"/>
  <c r="AE169" i="54"/>
  <c r="R122" i="44"/>
  <c r="S190" i="44"/>
  <c r="P106" i="44"/>
  <c r="S182" i="44"/>
  <c r="AN134" i="54"/>
  <c r="S141" i="44"/>
  <c r="R206" i="44"/>
  <c r="AE202" i="54"/>
  <c r="R148" i="44"/>
  <c r="P68" i="44"/>
  <c r="AE83" i="54"/>
  <c r="P31" i="48"/>
  <c r="S26" i="48"/>
  <c r="P160" i="44"/>
  <c r="P40" i="44"/>
  <c r="S157" i="44"/>
  <c r="Q196" i="44"/>
  <c r="P195" i="44"/>
  <c r="Q202" i="44"/>
  <c r="S169" i="44"/>
  <c r="Q122" i="44"/>
  <c r="S201" i="44"/>
  <c r="Q179" i="44"/>
  <c r="P8" i="44"/>
  <c r="S37" i="44"/>
  <c r="P176" i="48"/>
  <c r="BF176" i="48" s="1"/>
  <c r="R86" i="44"/>
  <c r="S100" i="44"/>
  <c r="S89" i="44"/>
  <c r="P220" i="48"/>
  <c r="AE178" i="54"/>
  <c r="AN204" i="54"/>
  <c r="Q83" i="44"/>
  <c r="R20" i="44"/>
  <c r="Q18" i="44"/>
  <c r="Q96" i="44"/>
  <c r="AY187" i="48"/>
  <c r="AZ133" i="48"/>
  <c r="AY161" i="48"/>
  <c r="AW205" i="48"/>
  <c r="AW46" i="48"/>
  <c r="AW151" i="48"/>
  <c r="AY148" i="48"/>
  <c r="AZ238" i="48"/>
  <c r="AZ277" i="48"/>
  <c r="AW198" i="48"/>
  <c r="AZ279" i="48"/>
  <c r="AY95" i="48"/>
  <c r="AZ264" i="48"/>
  <c r="AZ110" i="48"/>
  <c r="AW12" i="48"/>
  <c r="AY252" i="48"/>
  <c r="AY172" i="48"/>
  <c r="AZ37" i="48"/>
  <c r="AZ184" i="48"/>
  <c r="AY141" i="48"/>
  <c r="AZ159" i="48"/>
  <c r="AZ76" i="48"/>
  <c r="AW261" i="48"/>
  <c r="AX261" i="48" s="1"/>
  <c r="AW218" i="48"/>
  <c r="AW26" i="48"/>
  <c r="AW50" i="48"/>
  <c r="AW181" i="48"/>
  <c r="AX181" i="48" s="1"/>
  <c r="AZ56" i="48"/>
  <c r="AZ94" i="48"/>
  <c r="AY50" i="48"/>
  <c r="AY83" i="48"/>
  <c r="AZ154" i="48"/>
  <c r="AY149" i="48"/>
  <c r="AW70" i="48"/>
  <c r="AY75" i="48"/>
  <c r="AZ168" i="48"/>
  <c r="AZ121" i="48"/>
  <c r="AW252" i="48"/>
  <c r="AZ138" i="48"/>
  <c r="AW119" i="48"/>
  <c r="AZ4" i="48"/>
  <c r="AZ209" i="48"/>
  <c r="AW120" i="48"/>
  <c r="AZ59" i="48"/>
  <c r="AW117" i="48"/>
  <c r="AY15" i="48"/>
  <c r="AY196" i="48"/>
  <c r="AZ89" i="48"/>
  <c r="AY102" i="48"/>
  <c r="AZ128" i="48"/>
  <c r="AZ223" i="48"/>
  <c r="AZ192" i="48"/>
  <c r="AZ2" i="48"/>
  <c r="AZ216" i="48"/>
  <c r="AW214" i="48"/>
  <c r="AZ228" i="48"/>
  <c r="AY146" i="48"/>
  <c r="AY245" i="48"/>
  <c r="AZ71" i="48"/>
  <c r="AY58" i="48"/>
  <c r="AW23" i="48"/>
  <c r="AZ145" i="48"/>
  <c r="AY192" i="48"/>
  <c r="AW168" i="48"/>
  <c r="AZ269" i="48"/>
  <c r="AW174" i="48"/>
  <c r="AX174" i="48" s="1"/>
  <c r="AZ281" i="48"/>
  <c r="AW176" i="48"/>
  <c r="AX176" i="48" s="1"/>
  <c r="AW60" i="48"/>
  <c r="AY20" i="48"/>
  <c r="AW206" i="48"/>
  <c r="AZ129" i="48"/>
  <c r="AZ175" i="48"/>
  <c r="AW182" i="48"/>
  <c r="AY178" i="48"/>
  <c r="AW48" i="48"/>
  <c r="AZ22" i="48"/>
  <c r="AW19" i="48"/>
  <c r="AY272" i="48"/>
  <c r="AW17" i="48"/>
  <c r="AW104" i="48"/>
  <c r="AY72" i="48"/>
  <c r="AW99" i="48"/>
  <c r="AW167" i="48"/>
  <c r="AW155" i="48"/>
  <c r="AX155" i="48" s="1"/>
  <c r="AY44" i="48"/>
  <c r="AZ107" i="48"/>
  <c r="AZ197" i="48"/>
  <c r="AY154" i="48"/>
  <c r="AZ80" i="48"/>
  <c r="AW255" i="48"/>
  <c r="AX255" i="48" s="1"/>
  <c r="AZ226" i="48"/>
  <c r="AW24" i="48"/>
  <c r="AW204" i="48"/>
  <c r="AY217" i="48"/>
  <c r="AY59" i="48"/>
  <c r="AZ237" i="48"/>
  <c r="AW138" i="48"/>
  <c r="AY97" i="48"/>
  <c r="AZ51" i="48"/>
  <c r="AW54" i="48"/>
  <c r="AY195" i="48"/>
  <c r="AY211" i="48"/>
  <c r="AY247" i="48"/>
  <c r="AZ221" i="48"/>
  <c r="AZ29" i="48"/>
  <c r="AZ182" i="48"/>
  <c r="AZ225" i="48"/>
  <c r="AW72" i="48"/>
  <c r="AW250" i="48"/>
  <c r="AX250" i="48" s="1"/>
  <c r="AZ45" i="48"/>
  <c r="AW36" i="48"/>
  <c r="AW124" i="48"/>
  <c r="AW237" i="48"/>
  <c r="AX237" i="48" s="1"/>
  <c r="AZ96" i="48"/>
  <c r="AW179" i="48"/>
  <c r="AY201" i="48"/>
  <c r="AY35" i="48"/>
  <c r="AW21" i="48"/>
  <c r="AY106" i="48"/>
  <c r="AY236" i="48"/>
  <c r="AY229" i="48"/>
  <c r="AZ55" i="48"/>
  <c r="AZ97" i="48"/>
  <c r="AZ148" i="48"/>
  <c r="AZ77" i="48"/>
  <c r="AW133" i="48"/>
  <c r="AZ62" i="48"/>
  <c r="AY280" i="48"/>
  <c r="AW188" i="48"/>
  <c r="AY21" i="48"/>
  <c r="AY87" i="48"/>
  <c r="AY210" i="48"/>
  <c r="AY62" i="48"/>
  <c r="AZ157" i="48"/>
  <c r="AY164" i="48"/>
  <c r="AW29" i="48"/>
  <c r="AX29" i="48" s="1"/>
  <c r="AW121" i="48"/>
  <c r="AZ272" i="48"/>
  <c r="AW189" i="48"/>
  <c r="AW278" i="48"/>
  <c r="AX278" i="48" s="1"/>
  <c r="AW144" i="48"/>
  <c r="AZ259" i="48"/>
  <c r="AY64" i="48"/>
  <c r="AZ274" i="48"/>
  <c r="AZ239" i="48"/>
  <c r="AY79" i="48"/>
  <c r="AY231" i="48"/>
  <c r="AY34" i="48"/>
  <c r="AY230" i="48"/>
  <c r="AZ103" i="48"/>
  <c r="AW126" i="48"/>
  <c r="AW130" i="48"/>
  <c r="AZ193" i="48"/>
  <c r="AW154" i="48"/>
  <c r="AW274" i="48"/>
  <c r="AX274" i="48" s="1"/>
  <c r="AY43" i="48"/>
  <c r="AY200" i="48"/>
  <c r="AW30" i="48"/>
  <c r="AY76" i="48"/>
  <c r="AY214" i="48"/>
  <c r="AY114" i="48"/>
  <c r="AZ247" i="48"/>
  <c r="AY11" i="48"/>
  <c r="AW222" i="48"/>
  <c r="AW7" i="48"/>
  <c r="AY262" i="48"/>
  <c r="AZ85" i="48"/>
  <c r="AZ111" i="48"/>
  <c r="AZ91" i="48"/>
  <c r="AZ63" i="48"/>
  <c r="AZ253" i="48"/>
  <c r="AW116" i="48"/>
  <c r="AY53" i="48"/>
  <c r="AZ147" i="48"/>
  <c r="AZ7" i="48"/>
  <c r="AY244" i="48"/>
  <c r="AY204" i="48"/>
  <c r="AZ27" i="48"/>
  <c r="AW213" i="48"/>
  <c r="AX213" i="48" s="1"/>
  <c r="AY180" i="48"/>
  <c r="AY213" i="48"/>
  <c r="AY202" i="48"/>
  <c r="AY40" i="48"/>
  <c r="AY46" i="48"/>
  <c r="AW265" i="48"/>
  <c r="AX265" i="48" s="1"/>
  <c r="AY199" i="48"/>
  <c r="AY238" i="48"/>
  <c r="AW113" i="48"/>
  <c r="AY133" i="48"/>
  <c r="AZ48" i="48"/>
  <c r="AY166" i="48"/>
  <c r="AW84" i="48"/>
  <c r="AW217" i="48"/>
  <c r="AW87" i="48"/>
  <c r="AY266" i="48"/>
  <c r="AY207" i="48"/>
  <c r="AZ101" i="48"/>
  <c r="AZ137" i="48"/>
  <c r="AW193" i="48"/>
  <c r="AX193" i="48" s="1"/>
  <c r="AZ98" i="48"/>
  <c r="AZ38" i="48"/>
  <c r="AW245" i="48"/>
  <c r="AX245" i="48" s="1"/>
  <c r="AZ191" i="48"/>
  <c r="AW233" i="48"/>
  <c r="AW14" i="48"/>
  <c r="AW166" i="48"/>
  <c r="AZ232" i="48"/>
  <c r="AZ163" i="48"/>
  <c r="AY237" i="48"/>
  <c r="AW93" i="48"/>
  <c r="AZ169" i="48"/>
  <c r="AY16" i="48"/>
  <c r="AY91" i="48"/>
  <c r="AY138" i="48"/>
  <c r="AZ180" i="48"/>
  <c r="AY6" i="48"/>
  <c r="AY126" i="48"/>
  <c r="AW27" i="48"/>
  <c r="AY226" i="48"/>
  <c r="AZ67" i="48"/>
  <c r="AY109" i="48"/>
  <c r="AZ187" i="48"/>
  <c r="AY268" i="48"/>
  <c r="AW95" i="48"/>
  <c r="AW51" i="48"/>
  <c r="AY163" i="48"/>
  <c r="AZ208" i="48"/>
  <c r="AW145" i="48"/>
  <c r="AZ140" i="48"/>
  <c r="AW77" i="48"/>
  <c r="AW101" i="48"/>
  <c r="AW253" i="48"/>
  <c r="AZ198" i="48"/>
  <c r="AW8" i="48"/>
  <c r="AZ171" i="48"/>
  <c r="AW219" i="48"/>
  <c r="AW201" i="48"/>
  <c r="AZ251" i="48"/>
  <c r="AW281" i="48"/>
  <c r="AX281" i="48" s="1"/>
  <c r="AY32" i="48"/>
  <c r="AW33" i="48"/>
  <c r="AX33" i="48" s="1"/>
  <c r="AW171" i="48"/>
  <c r="AW74" i="48"/>
  <c r="AZ183" i="48"/>
  <c r="AZ224" i="48"/>
  <c r="AY54" i="48"/>
  <c r="AZ263" i="48"/>
  <c r="AY23" i="48"/>
  <c r="AW271" i="48"/>
  <c r="AX271" i="48" s="1"/>
  <c r="AW64" i="48"/>
  <c r="AW110" i="48"/>
  <c r="AZ262" i="48"/>
  <c r="AY70" i="48"/>
  <c r="AY28" i="48"/>
  <c r="AZ186" i="48"/>
  <c r="AY216" i="48"/>
  <c r="AW221" i="48"/>
  <c r="AW59" i="48"/>
  <c r="AZ162" i="48"/>
  <c r="AY179" i="48"/>
  <c r="AY47" i="48"/>
  <c r="AW241" i="48"/>
  <c r="AZ106" i="48"/>
  <c r="AZ201" i="48"/>
  <c r="AY123" i="48"/>
  <c r="AY224" i="48"/>
  <c r="AW143" i="48"/>
  <c r="AY7" i="48"/>
  <c r="AZ54" i="48"/>
  <c r="AW147" i="48"/>
  <c r="AZ105" i="48"/>
  <c r="AZ217" i="48"/>
  <c r="AZ218" i="48"/>
  <c r="AY254" i="48"/>
  <c r="AY78" i="48"/>
  <c r="AY218" i="48"/>
  <c r="AW177" i="48"/>
  <c r="AZ87" i="48"/>
  <c r="AW247" i="48"/>
  <c r="AX247" i="48" s="1"/>
  <c r="AW238" i="48"/>
  <c r="AX238" i="48" s="1"/>
  <c r="AW49" i="48"/>
  <c r="AZ15" i="48"/>
  <c r="AW92" i="48"/>
  <c r="AZ270" i="48"/>
  <c r="AY271" i="48"/>
  <c r="AY220" i="48"/>
  <c r="AY116" i="48"/>
  <c r="AY22" i="48"/>
  <c r="AY144" i="48"/>
  <c r="AY221" i="48"/>
  <c r="AW134" i="48"/>
  <c r="AY165" i="48"/>
  <c r="AY111" i="48"/>
  <c r="AW103" i="48"/>
  <c r="AZ88" i="48"/>
  <c r="AW5" i="48"/>
  <c r="AY212" i="48"/>
  <c r="AY99" i="48"/>
  <c r="AW136" i="48"/>
  <c r="AY249" i="48"/>
  <c r="AZ243" i="48"/>
  <c r="AZ39" i="48"/>
  <c r="AZ43" i="48"/>
  <c r="AW80" i="48"/>
  <c r="AW172" i="48"/>
  <c r="AZ116" i="48"/>
  <c r="AY256" i="48"/>
  <c r="AY177" i="48"/>
  <c r="AW150" i="48"/>
  <c r="AW230" i="48"/>
  <c r="AY131" i="48"/>
  <c r="AW78" i="48"/>
  <c r="AW184" i="48"/>
  <c r="AZ64" i="48"/>
  <c r="AZ271" i="48"/>
  <c r="AZ28" i="48"/>
  <c r="AY264" i="48"/>
  <c r="AZ257" i="48"/>
  <c r="AW272" i="48"/>
  <c r="AX272" i="48" s="1"/>
  <c r="AY239" i="48"/>
  <c r="AY175" i="48"/>
  <c r="AZ5" i="48"/>
  <c r="AZ153" i="48"/>
  <c r="AZ231" i="48"/>
  <c r="AY263" i="48"/>
  <c r="AZ204" i="48"/>
  <c r="AY101" i="48"/>
  <c r="AY69" i="48"/>
  <c r="AZ213" i="48"/>
  <c r="AY137" i="48"/>
  <c r="AY39" i="48"/>
  <c r="AZ174" i="48"/>
  <c r="AW248" i="48"/>
  <c r="AX248" i="48" s="1"/>
  <c r="AW61" i="48"/>
  <c r="AY49" i="48"/>
  <c r="AW192" i="48"/>
  <c r="AZ203" i="48"/>
  <c r="AY89" i="48"/>
  <c r="AW195" i="48"/>
  <c r="AW100" i="48"/>
  <c r="AZ268" i="48"/>
  <c r="AY270" i="48"/>
  <c r="AW16" i="48"/>
  <c r="AY86" i="48"/>
  <c r="AW209" i="48"/>
  <c r="AY173" i="48"/>
  <c r="AW280" i="48"/>
  <c r="AX280" i="48" s="1"/>
  <c r="AZ130" i="48"/>
  <c r="AY184" i="48"/>
  <c r="AY241" i="48"/>
  <c r="AZ102" i="48"/>
  <c r="AZ155" i="48"/>
  <c r="AY136" i="48"/>
  <c r="AW275" i="48"/>
  <c r="AX275" i="48" s="1"/>
  <c r="AY147" i="48"/>
  <c r="AZ90" i="48"/>
  <c r="AZ139" i="48"/>
  <c r="AY107" i="48"/>
  <c r="AW228" i="48"/>
  <c r="AY33" i="48"/>
  <c r="AZ126" i="48"/>
  <c r="AW234" i="48"/>
  <c r="AW137" i="48"/>
  <c r="AZ233" i="48"/>
  <c r="AW231" i="48"/>
  <c r="AY92" i="48"/>
  <c r="AZ73" i="48"/>
  <c r="AW39" i="48"/>
  <c r="AY26" i="48"/>
  <c r="AY134" i="48"/>
  <c r="AY67" i="48"/>
  <c r="AW129" i="48"/>
  <c r="AY113" i="48"/>
  <c r="AZ214" i="48"/>
  <c r="AY225" i="48"/>
  <c r="AY115" i="48"/>
  <c r="AW67" i="48"/>
  <c r="AY119" i="48"/>
  <c r="AW156" i="48"/>
  <c r="AZ190" i="48"/>
  <c r="AW178" i="48"/>
  <c r="AY18" i="48"/>
  <c r="AW236" i="48"/>
  <c r="AX236" i="48" s="1"/>
  <c r="AZ143" i="48"/>
  <c r="AY150" i="48"/>
  <c r="AY61" i="48"/>
  <c r="AY257" i="48"/>
  <c r="AZ58" i="48"/>
  <c r="AW108" i="48"/>
  <c r="AZ25" i="48"/>
  <c r="AW260" i="48"/>
  <c r="AX260" i="48" s="1"/>
  <c r="AY198" i="48"/>
  <c r="AZ108" i="48"/>
  <c r="AZ20" i="48"/>
  <c r="AZ206" i="48"/>
  <c r="AY56" i="48"/>
  <c r="AZ240" i="48"/>
  <c r="AW85" i="48"/>
  <c r="AW79" i="48"/>
  <c r="AY132" i="48"/>
  <c r="AZ178" i="48"/>
  <c r="AZ127" i="48"/>
  <c r="AY73" i="48"/>
  <c r="AY135" i="48"/>
  <c r="AZ66" i="48"/>
  <c r="AW58" i="48"/>
  <c r="AY55" i="48"/>
  <c r="AZ35" i="48"/>
  <c r="AZ244" i="48"/>
  <c r="AY227" i="48"/>
  <c r="AY82" i="48"/>
  <c r="AZ219" i="48"/>
  <c r="AZ250" i="48"/>
  <c r="AZ144" i="48"/>
  <c r="AW42" i="48"/>
  <c r="AW81" i="48"/>
  <c r="AW215" i="48"/>
  <c r="AW107" i="48"/>
  <c r="AZ276" i="48"/>
  <c r="AZ16" i="48"/>
  <c r="AY170" i="48"/>
  <c r="AZ53" i="48"/>
  <c r="AW165" i="48"/>
  <c r="AY222" i="48"/>
  <c r="AZ30" i="48"/>
  <c r="AW276" i="48"/>
  <c r="AX276" i="48" s="1"/>
  <c r="AW43" i="48"/>
  <c r="AZ248" i="48"/>
  <c r="AY45" i="48"/>
  <c r="AZ115" i="48"/>
  <c r="AZ227" i="48"/>
  <c r="AY110" i="48"/>
  <c r="AY261" i="48"/>
  <c r="AY4" i="48"/>
  <c r="AW141" i="48"/>
  <c r="AW73" i="48"/>
  <c r="AW94" i="48"/>
  <c r="AY235" i="48"/>
  <c r="AY158" i="48"/>
  <c r="AY71" i="48"/>
  <c r="AZ123" i="48"/>
  <c r="AY208" i="48"/>
  <c r="AY9" i="48"/>
  <c r="AW13" i="48"/>
  <c r="AY14" i="48"/>
  <c r="AZ207" i="48"/>
  <c r="AZ32" i="48"/>
  <c r="AZ125" i="48"/>
  <c r="AY127" i="48"/>
  <c r="AZ167" i="48"/>
  <c r="AW273" i="48"/>
  <c r="AX273" i="48" s="1"/>
  <c r="AZ151" i="48"/>
  <c r="AW135" i="48"/>
  <c r="AY19" i="48"/>
  <c r="AZ188" i="48"/>
  <c r="AY17" i="48"/>
  <c r="AY157" i="48"/>
  <c r="AY5" i="48"/>
  <c r="AW106" i="48"/>
  <c r="AW127" i="48"/>
  <c r="AY8" i="48"/>
  <c r="AW220" i="48"/>
  <c r="AZ86" i="48"/>
  <c r="AZ49" i="48"/>
  <c r="AW44" i="48"/>
  <c r="AY52" i="48"/>
  <c r="AY66" i="48"/>
  <c r="AZ18" i="48"/>
  <c r="AZ194" i="48"/>
  <c r="AW149" i="48"/>
  <c r="AW57" i="48"/>
  <c r="AY117" i="48"/>
  <c r="AW216" i="48"/>
  <c r="AW96" i="48"/>
  <c r="AY185" i="48"/>
  <c r="AZ44" i="48"/>
  <c r="AW132" i="48"/>
  <c r="AW152" i="48"/>
  <c r="AW242" i="48"/>
  <c r="AX242" i="48" s="1"/>
  <c r="AY3" i="48"/>
  <c r="AW212" i="48"/>
  <c r="AW52" i="48"/>
  <c r="AY142" i="48"/>
  <c r="AZ166" i="48"/>
  <c r="AY124" i="48"/>
  <c r="AY279" i="48"/>
  <c r="AW157" i="48"/>
  <c r="AW256" i="48"/>
  <c r="AZ273" i="48"/>
  <c r="AZ117" i="48"/>
  <c r="AZ146" i="48"/>
  <c r="AZ68" i="48"/>
  <c r="AY120" i="48"/>
  <c r="AY253" i="48"/>
  <c r="AZ11" i="48"/>
  <c r="AY159" i="48"/>
  <c r="AW75" i="48"/>
  <c r="AW31" i="48"/>
  <c r="AW56" i="48"/>
  <c r="AY206" i="48"/>
  <c r="AZ112" i="48"/>
  <c r="AW47" i="48"/>
  <c r="AY251" i="48"/>
  <c r="AW118" i="48"/>
  <c r="AW202" i="48"/>
  <c r="AZ267" i="48"/>
  <c r="AZ265" i="48"/>
  <c r="AY203" i="48"/>
  <c r="AW105" i="48"/>
  <c r="AZ160" i="48"/>
  <c r="AZ210" i="48"/>
  <c r="AZ249" i="48"/>
  <c r="AY167" i="48"/>
  <c r="AY104" i="48"/>
  <c r="AY139" i="48"/>
  <c r="AY118" i="48"/>
  <c r="AY248" i="48"/>
  <c r="AZ122" i="48"/>
  <c r="AY48" i="48"/>
  <c r="AW163" i="48"/>
  <c r="AY274" i="48"/>
  <c r="AZ82" i="48"/>
  <c r="AW246" i="48"/>
  <c r="AX246" i="48" s="1"/>
  <c r="AZ165" i="48"/>
  <c r="AZ131" i="48"/>
  <c r="AW38" i="48"/>
  <c r="AW69" i="48"/>
  <c r="AW243" i="48"/>
  <c r="AW160" i="48"/>
  <c r="AY100" i="48"/>
  <c r="AW187" i="48"/>
  <c r="AW40" i="48"/>
  <c r="AZ185" i="48"/>
  <c r="AW109" i="48"/>
  <c r="AY197" i="48"/>
  <c r="AZ92" i="48"/>
  <c r="AY153" i="48"/>
  <c r="AY112" i="48"/>
  <c r="AY94" i="48"/>
  <c r="AY223" i="48"/>
  <c r="AW102" i="48"/>
  <c r="AZ95" i="48"/>
  <c r="AY277" i="48"/>
  <c r="AY98" i="48"/>
  <c r="AZ236" i="48"/>
  <c r="AZ34" i="48"/>
  <c r="AW83" i="48"/>
  <c r="AY103" i="48"/>
  <c r="AY228" i="48"/>
  <c r="AZ61" i="48"/>
  <c r="BA61" i="48" s="1"/>
  <c r="AW90" i="48"/>
  <c r="AX90" i="48" s="1"/>
  <c r="AW210" i="48"/>
  <c r="AZ124" i="48"/>
  <c r="AW10" i="48"/>
  <c r="AW111" i="48"/>
  <c r="AZ256" i="48"/>
  <c r="AY281" i="48"/>
  <c r="AZ261" i="48"/>
  <c r="BA261" i="48" s="1"/>
  <c r="AZ260" i="48"/>
  <c r="AZ6" i="48"/>
  <c r="AW207" i="48"/>
  <c r="AZ149" i="48"/>
  <c r="AZ60" i="48"/>
  <c r="AW264" i="48"/>
  <c r="AX264" i="48" s="1"/>
  <c r="AZ212" i="48"/>
  <c r="AY42" i="48"/>
  <c r="AY85" i="48"/>
  <c r="AZ278" i="48"/>
  <c r="AZ176" i="48"/>
  <c r="AZ258" i="48"/>
  <c r="AW112" i="48"/>
  <c r="AZ109" i="48"/>
  <c r="AW211" i="48"/>
  <c r="AY29" i="48"/>
  <c r="AY162" i="48"/>
  <c r="AZ255" i="48"/>
  <c r="AW68" i="48"/>
  <c r="AW251" i="48"/>
  <c r="AY63" i="48"/>
  <c r="AZ50" i="48"/>
  <c r="AY57" i="48"/>
  <c r="AZ14" i="48"/>
  <c r="BA14" i="48" s="1"/>
  <c r="AY10" i="48"/>
  <c r="AZ81" i="48"/>
  <c r="AZ57" i="48"/>
  <c r="AZ280" i="48"/>
  <c r="AW122" i="48"/>
  <c r="AX122" i="48" s="1"/>
  <c r="AY250" i="48"/>
  <c r="AZ141" i="48"/>
  <c r="AY143" i="48"/>
  <c r="AY265" i="48"/>
  <c r="AW267" i="48"/>
  <c r="AX267" i="48" s="1"/>
  <c r="AW3" i="48"/>
  <c r="AZ33" i="48"/>
  <c r="AW146" i="48"/>
  <c r="AW41" i="48"/>
  <c r="AW9" i="48"/>
  <c r="AW279" i="48"/>
  <c r="AX279" i="48" s="1"/>
  <c r="AW226" i="48"/>
  <c r="AW131" i="48"/>
  <c r="AY267" i="48"/>
  <c r="AY125" i="48"/>
  <c r="AY194" i="48"/>
  <c r="AY60" i="48"/>
  <c r="AZ114" i="48"/>
  <c r="AW4" i="48"/>
  <c r="AW223" i="48"/>
  <c r="AZ19" i="48"/>
  <c r="AW227" i="48"/>
  <c r="AW28" i="48"/>
  <c r="AZ93" i="48"/>
  <c r="AY84" i="48"/>
  <c r="AY105" i="48"/>
  <c r="AY259" i="48"/>
  <c r="AW240" i="48"/>
  <c r="AZ8" i="48"/>
  <c r="AY240" i="48"/>
  <c r="AY193" i="48"/>
  <c r="AW76" i="48"/>
  <c r="AZ36" i="48"/>
  <c r="AZ79" i="48"/>
  <c r="AY215" i="48"/>
  <c r="AW89" i="48"/>
  <c r="AY25" i="48"/>
  <c r="AY190" i="48"/>
  <c r="AW161" i="48"/>
  <c r="AZ120" i="48"/>
  <c r="AZ70" i="48"/>
  <c r="AZ177" i="48"/>
  <c r="AZ172" i="48"/>
  <c r="BA172" i="48" s="1"/>
  <c r="AZ245" i="48"/>
  <c r="AW125" i="48"/>
  <c r="AW140" i="48"/>
  <c r="AY152" i="48"/>
  <c r="AW34" i="48"/>
  <c r="AZ42" i="48"/>
  <c r="AW139" i="48"/>
  <c r="AW175" i="48"/>
  <c r="AX175" i="48" s="1"/>
  <c r="AZ21" i="48"/>
  <c r="AZ75" i="48"/>
  <c r="AW270" i="48"/>
  <c r="AX270" i="48" s="1"/>
  <c r="AZ72" i="48"/>
  <c r="AZ179" i="48"/>
  <c r="AZ142" i="48"/>
  <c r="AY276" i="48"/>
  <c r="AZ23" i="48"/>
  <c r="BA23" i="48" s="1"/>
  <c r="AW97" i="48"/>
  <c r="AZ266" i="48"/>
  <c r="AW11" i="48"/>
  <c r="AW258" i="48"/>
  <c r="AX258" i="48" s="1"/>
  <c r="AZ189" i="48"/>
  <c r="AW142" i="48"/>
  <c r="AZ136" i="48"/>
  <c r="AW169" i="48"/>
  <c r="AY255" i="48"/>
  <c r="AZ12" i="48"/>
  <c r="AW25" i="48"/>
  <c r="AZ118" i="48"/>
  <c r="AW91" i="48"/>
  <c r="AX91" i="48" s="1"/>
  <c r="AW200" i="48"/>
  <c r="AY41" i="48"/>
  <c r="AZ241" i="48"/>
  <c r="BA241" i="48" s="1"/>
  <c r="AZ104" i="48"/>
  <c r="AY12" i="48"/>
  <c r="AW266" i="48"/>
  <c r="AX266" i="48" s="1"/>
  <c r="AY219" i="48"/>
  <c r="AY176" i="48"/>
  <c r="AY233" i="48"/>
  <c r="AY171" i="48"/>
  <c r="AZ234" i="48"/>
  <c r="BA234" i="48" s="1"/>
  <c r="AZ17" i="48"/>
  <c r="AZ229" i="48"/>
  <c r="AW254" i="48"/>
  <c r="AW35" i="48"/>
  <c r="AZ26" i="48"/>
  <c r="AW208" i="48"/>
  <c r="AW199" i="48"/>
  <c r="AW66" i="48"/>
  <c r="AX66" i="48" s="1"/>
  <c r="AW196" i="48"/>
  <c r="AW268" i="48"/>
  <c r="AX268" i="48" s="1"/>
  <c r="AY209" i="48"/>
  <c r="AW18" i="48"/>
  <c r="AY189" i="48"/>
  <c r="AY68" i="48"/>
  <c r="AW190" i="48"/>
  <c r="AW191" i="48"/>
  <c r="AW262" i="48"/>
  <c r="AX262" i="48" s="1"/>
  <c r="AZ195" i="48"/>
  <c r="AW257" i="48"/>
  <c r="AX257" i="48" s="1"/>
  <c r="AZ202" i="48"/>
  <c r="AY74" i="48"/>
  <c r="AZ40" i="48"/>
  <c r="AZ252" i="48"/>
  <c r="AW183" i="48"/>
  <c r="AW224" i="48"/>
  <c r="AZ205" i="48"/>
  <c r="AY140" i="48"/>
  <c r="AZ69" i="48"/>
  <c r="AY234" i="48"/>
  <c r="AY275" i="48"/>
  <c r="AW53" i="48"/>
  <c r="AY13" i="48"/>
  <c r="AW115" i="48"/>
  <c r="AW86" i="48"/>
  <c r="AY269" i="48"/>
  <c r="AY181" i="48"/>
  <c r="AY2" i="48"/>
  <c r="AW180" i="48"/>
  <c r="AX180" i="48" s="1"/>
  <c r="AY38" i="48"/>
  <c r="AY130" i="48"/>
  <c r="AZ199" i="48"/>
  <c r="AY183" i="48"/>
  <c r="AZ235" i="48"/>
  <c r="AW164" i="48"/>
  <c r="AW259" i="48"/>
  <c r="AX259" i="48" s="1"/>
  <c r="AW162" i="48"/>
  <c r="AY121" i="48"/>
  <c r="AY278" i="48"/>
  <c r="AZ170" i="48"/>
  <c r="AW55" i="48"/>
  <c r="AZ83" i="48"/>
  <c r="AY232" i="48"/>
  <c r="AW225" i="48"/>
  <c r="AZ113" i="48"/>
  <c r="AY243" i="48"/>
  <c r="AY128" i="48"/>
  <c r="AY81" i="48"/>
  <c r="AY96" i="48"/>
  <c r="AW244" i="48"/>
  <c r="AW6" i="48"/>
  <c r="AZ3" i="48"/>
  <c r="AY188" i="48"/>
  <c r="AW128" i="48"/>
  <c r="AZ150" i="48"/>
  <c r="BA150" i="48" s="1"/>
  <c r="AY174" i="48"/>
  <c r="AY90" i="48"/>
  <c r="AY242" i="48"/>
  <c r="AZ230" i="48"/>
  <c r="AZ242" i="48"/>
  <c r="AW277" i="48"/>
  <c r="AX277" i="48" s="1"/>
  <c r="AZ74" i="48"/>
  <c r="AY191" i="48"/>
  <c r="AY24" i="48"/>
  <c r="AW148" i="48"/>
  <c r="AZ156" i="48"/>
  <c r="AW22" i="48"/>
  <c r="AW263" i="48"/>
  <c r="AX263" i="48" s="1"/>
  <c r="AY65" i="48"/>
  <c r="AY273" i="48"/>
  <c r="AZ196" i="48"/>
  <c r="BA196" i="48" s="1"/>
  <c r="AW170" i="48"/>
  <c r="AZ31" i="48"/>
  <c r="AZ46" i="48"/>
  <c r="AY260" i="48"/>
  <c r="AY31" i="48"/>
  <c r="AY145" i="48"/>
  <c r="AW235" i="48"/>
  <c r="AY37" i="48"/>
  <c r="AZ10" i="48"/>
  <c r="AW197" i="48"/>
  <c r="AW114" i="48"/>
  <c r="AZ132" i="48"/>
  <c r="AY169" i="48"/>
  <c r="AZ173" i="48"/>
  <c r="AZ99" i="48"/>
  <c r="AZ211" i="48"/>
  <c r="BA211" i="48" s="1"/>
  <c r="AZ152" i="48"/>
  <c r="AW158" i="48"/>
  <c r="AY51" i="48"/>
  <c r="AZ246" i="48"/>
  <c r="AW82" i="48"/>
  <c r="AW20" i="48"/>
  <c r="AW63" i="48"/>
  <c r="AZ164" i="48"/>
  <c r="BA164" i="48" s="1"/>
  <c r="AY182" i="48"/>
  <c r="AZ65" i="48"/>
  <c r="AZ134" i="48"/>
  <c r="AW2" i="48"/>
  <c r="AZ215" i="48"/>
  <c r="AY129" i="48"/>
  <c r="AZ135" i="48"/>
  <c r="AW71" i="48"/>
  <c r="AW62" i="48"/>
  <c r="AW88" i="48"/>
  <c r="AY108" i="48"/>
  <c r="AW239" i="48"/>
  <c r="AY88" i="48"/>
  <c r="AY77" i="48"/>
  <c r="AW173" i="48"/>
  <c r="AW123" i="48"/>
  <c r="AZ222" i="48"/>
  <c r="AY156" i="48"/>
  <c r="AZ161" i="48"/>
  <c r="AY122" i="48"/>
  <c r="AW203" i="48"/>
  <c r="AY205" i="48"/>
  <c r="AZ78" i="48"/>
  <c r="AY186" i="48"/>
  <c r="AW194" i="48"/>
  <c r="AY258" i="48"/>
  <c r="AW65" i="48"/>
  <c r="AX65" i="48" s="1"/>
  <c r="AZ119" i="48"/>
  <c r="AY30" i="48"/>
  <c r="AW232" i="48"/>
  <c r="AY246" i="48"/>
  <c r="AY36" i="48"/>
  <c r="AZ9" i="48"/>
  <c r="AZ275" i="48"/>
  <c r="AW32" i="48"/>
  <c r="AW37" i="48"/>
  <c r="AZ254" i="48"/>
  <c r="AW153" i="48"/>
  <c r="AW15" i="48"/>
  <c r="AW186" i="48"/>
  <c r="AZ13" i="48"/>
  <c r="AW45" i="48"/>
  <c r="AY155" i="48"/>
  <c r="AZ100" i="48"/>
  <c r="AY151" i="48"/>
  <c r="AW98" i="48"/>
  <c r="AY27" i="48"/>
  <c r="AZ41" i="48"/>
  <c r="BA41" i="48" s="1"/>
  <c r="AY80" i="48"/>
  <c r="AW159" i="48"/>
  <c r="AW249" i="48"/>
  <c r="AX249" i="48" s="1"/>
  <c r="AZ47" i="48"/>
  <c r="AZ181" i="48"/>
  <c r="AY93" i="48"/>
  <c r="AZ200" i="48"/>
  <c r="AW269" i="48"/>
  <c r="AX269" i="48" s="1"/>
  <c r="AZ84" i="48"/>
  <c r="AW229" i="48"/>
  <c r="AY160" i="48"/>
  <c r="AW185" i="48"/>
  <c r="AZ158" i="48"/>
  <c r="AZ24" i="48"/>
  <c r="AY168" i="48"/>
  <c r="AZ52" i="48"/>
  <c r="BA52" i="48" s="1"/>
  <c r="AZ220" i="48"/>
  <c r="T211" i="48" l="1"/>
  <c r="T206" i="48"/>
  <c r="T224" i="48"/>
  <c r="T225" i="48"/>
  <c r="BA158" i="48"/>
  <c r="BA254" i="48"/>
  <c r="BA215" i="48"/>
  <c r="BA181" i="48"/>
  <c r="BA275" i="48"/>
  <c r="BA65" i="48"/>
  <c r="BA31" i="48"/>
  <c r="BA220" i="48"/>
  <c r="BA84" i="48"/>
  <c r="BA78" i="48"/>
  <c r="BA135" i="48"/>
  <c r="BA99" i="48"/>
  <c r="BA74" i="48"/>
  <c r="BA200" i="48"/>
  <c r="BA242" i="48"/>
  <c r="BA3" i="48"/>
  <c r="BA47" i="48"/>
  <c r="BA100" i="48"/>
  <c r="BA119" i="48"/>
  <c r="BA246" i="48"/>
  <c r="BA132" i="48"/>
  <c r="BA161" i="48"/>
  <c r="BA134" i="48"/>
  <c r="BA46" i="48"/>
  <c r="BA156" i="48"/>
  <c r="BA83" i="48"/>
  <c r="BA235" i="48"/>
  <c r="BA13" i="48"/>
  <c r="BA9" i="48"/>
  <c r="BA222" i="48"/>
  <c r="BA152" i="48"/>
  <c r="BA10" i="48"/>
  <c r="BA170" i="48"/>
  <c r="BA199" i="48"/>
  <c r="BA252" i="48"/>
  <c r="BA136" i="48"/>
  <c r="BA177" i="48"/>
  <c r="BA24" i="48"/>
  <c r="BA173" i="48"/>
  <c r="BA79" i="48"/>
  <c r="BA26" i="48"/>
  <c r="BA189" i="48"/>
  <c r="BA179" i="48"/>
  <c r="T218" i="48"/>
  <c r="BA230" i="48"/>
  <c r="BA205" i="48"/>
  <c r="BA195" i="48"/>
  <c r="BA229" i="48"/>
  <c r="BA12" i="48"/>
  <c r="BA266" i="48"/>
  <c r="BA120" i="48"/>
  <c r="BA93" i="48"/>
  <c r="BA60" i="48"/>
  <c r="BA69" i="48"/>
  <c r="BA202" i="48"/>
  <c r="BA118" i="48"/>
  <c r="BA57" i="48"/>
  <c r="BA17" i="48"/>
  <c r="BA114" i="48"/>
  <c r="BA141" i="48"/>
  <c r="BA212" i="48"/>
  <c r="BA185" i="48"/>
  <c r="BA131" i="48"/>
  <c r="BA113" i="48"/>
  <c r="BA40" i="48"/>
  <c r="BA176" i="48"/>
  <c r="BA124" i="48"/>
  <c r="BA75" i="48"/>
  <c r="BA142" i="48"/>
  <c r="BA265" i="48"/>
  <c r="BA146" i="48"/>
  <c r="BA236" i="48"/>
  <c r="BA273" i="48"/>
  <c r="BA8" i="48"/>
  <c r="BA19" i="48"/>
  <c r="BA42" i="48"/>
  <c r="BA70" i="48"/>
  <c r="BA36" i="48"/>
  <c r="BA50" i="48"/>
  <c r="BA276" i="48"/>
  <c r="BA206" i="48"/>
  <c r="BA153" i="48"/>
  <c r="BA271" i="48"/>
  <c r="BA162" i="48"/>
  <c r="BA171" i="48"/>
  <c r="BA208" i="48"/>
  <c r="BA169" i="48"/>
  <c r="BA191" i="48"/>
  <c r="BA253" i="48"/>
  <c r="BA97" i="48"/>
  <c r="BA225" i="48"/>
  <c r="BA51" i="48"/>
  <c r="BA226" i="48"/>
  <c r="BA192" i="48"/>
  <c r="BA59" i="48"/>
  <c r="BA168" i="48"/>
  <c r="BA56" i="48"/>
  <c r="AJ202" i="54"/>
  <c r="AH202" i="54"/>
  <c r="AI202" i="54"/>
  <c r="AG202" i="54"/>
  <c r="AM202" i="54"/>
  <c r="AK202" i="54"/>
  <c r="AF202" i="54"/>
  <c r="AL202" i="54"/>
  <c r="AF169" i="54"/>
  <c r="AL169" i="54"/>
  <c r="AG169" i="54"/>
  <c r="AK169" i="54"/>
  <c r="AM169" i="54"/>
  <c r="AH169" i="54"/>
  <c r="AJ169" i="54"/>
  <c r="AI169" i="54"/>
  <c r="AJ151" i="54"/>
  <c r="AH151" i="54"/>
  <c r="AI151" i="54"/>
  <c r="AM151" i="54"/>
  <c r="AK151" i="54"/>
  <c r="AF151" i="54"/>
  <c r="AG151" i="54"/>
  <c r="AL151" i="54"/>
  <c r="T113" i="48"/>
  <c r="BJ113" i="48" s="1"/>
  <c r="BI113" i="48"/>
  <c r="AK240" i="48"/>
  <c r="BH100" i="48"/>
  <c r="BH48" i="48"/>
  <c r="AK188" i="48"/>
  <c r="BH67" i="48"/>
  <c r="AK207" i="48"/>
  <c r="BI88" i="48"/>
  <c r="T88" i="48"/>
  <c r="AL228" i="48"/>
  <c r="BI87" i="48"/>
  <c r="T87" i="48"/>
  <c r="AL227" i="48"/>
  <c r="AF149" i="54"/>
  <c r="AJ149" i="54"/>
  <c r="AL149" i="54"/>
  <c r="AH149" i="54"/>
  <c r="AK149" i="54"/>
  <c r="AI149" i="54"/>
  <c r="AM149" i="54"/>
  <c r="AG149" i="54"/>
  <c r="BI123" i="48"/>
  <c r="T123" i="48"/>
  <c r="BJ123" i="48" s="1"/>
  <c r="T24" i="48"/>
  <c r="BI24" i="48"/>
  <c r="AL164" i="48"/>
  <c r="T134" i="48"/>
  <c r="BJ134" i="48" s="1"/>
  <c r="BI134" i="48"/>
  <c r="AI235" i="48"/>
  <c r="BF95" i="48"/>
  <c r="AG130" i="54"/>
  <c r="AI130" i="54"/>
  <c r="AK130" i="54"/>
  <c r="AM130" i="54"/>
  <c r="AJ130" i="54"/>
  <c r="AL130" i="54"/>
  <c r="AH130" i="54"/>
  <c r="AF130" i="54"/>
  <c r="AF94" i="54"/>
  <c r="AM94" i="54"/>
  <c r="AH94" i="54"/>
  <c r="AJ94" i="54"/>
  <c r="AL94" i="54"/>
  <c r="AI94" i="54"/>
  <c r="AG94" i="54"/>
  <c r="AK94" i="54"/>
  <c r="AI7" i="54"/>
  <c r="AJ7" i="54"/>
  <c r="AH7" i="54"/>
  <c r="AL7" i="54"/>
  <c r="AG7" i="54"/>
  <c r="AF7" i="54"/>
  <c r="AM7" i="54"/>
  <c r="AK7" i="54"/>
  <c r="BI174" i="48"/>
  <c r="T174" i="48"/>
  <c r="BJ174" i="48" s="1"/>
  <c r="AI177" i="48"/>
  <c r="BF37" i="48"/>
  <c r="T146" i="48"/>
  <c r="BJ146" i="48" s="1"/>
  <c r="BI146" i="48"/>
  <c r="AL150" i="48"/>
  <c r="T10" i="48"/>
  <c r="BI10" i="48"/>
  <c r="AK174" i="48"/>
  <c r="BH34" i="48"/>
  <c r="BF36" i="48"/>
  <c r="AI176" i="48"/>
  <c r="AJ219" i="54"/>
  <c r="AI219" i="54"/>
  <c r="AM219" i="54"/>
  <c r="AH219" i="54"/>
  <c r="AK219" i="54"/>
  <c r="AF219" i="54"/>
  <c r="AG219" i="54"/>
  <c r="AL219" i="54"/>
  <c r="AI190" i="48"/>
  <c r="BF50" i="48"/>
  <c r="T139" i="48"/>
  <c r="BJ139" i="48" s="1"/>
  <c r="BI139" i="48"/>
  <c r="BH24" i="48"/>
  <c r="AK164" i="48"/>
  <c r="AH147" i="54"/>
  <c r="AI147" i="54"/>
  <c r="AK147" i="54"/>
  <c r="AM147" i="54"/>
  <c r="AF147" i="54"/>
  <c r="AG147" i="54"/>
  <c r="AL147" i="54"/>
  <c r="AJ147" i="54"/>
  <c r="AM127" i="54"/>
  <c r="AH127" i="54"/>
  <c r="AL127" i="54"/>
  <c r="AF127" i="54"/>
  <c r="AG127" i="54"/>
  <c r="AJ127" i="54"/>
  <c r="AK127" i="54"/>
  <c r="AI127" i="54"/>
  <c r="AG125" i="54"/>
  <c r="AK125" i="54"/>
  <c r="AJ125" i="54"/>
  <c r="AL125" i="54"/>
  <c r="AI125" i="54"/>
  <c r="AF125" i="54"/>
  <c r="AH125" i="54"/>
  <c r="AM125" i="54"/>
  <c r="T190" i="48"/>
  <c r="BJ190" i="48" s="1"/>
  <c r="BI190" i="48"/>
  <c r="T173" i="48"/>
  <c r="BJ173" i="48" s="1"/>
  <c r="BI173" i="48"/>
  <c r="AF221" i="54"/>
  <c r="AK221" i="54"/>
  <c r="AJ221" i="54"/>
  <c r="AL221" i="54"/>
  <c r="AM221" i="54"/>
  <c r="AH221" i="54"/>
  <c r="AI221" i="54"/>
  <c r="AG221" i="54"/>
  <c r="BI18" i="48"/>
  <c r="AL158" i="48"/>
  <c r="T18" i="48"/>
  <c r="AL220" i="54"/>
  <c r="AF220" i="54"/>
  <c r="AJ220" i="54"/>
  <c r="AH220" i="54"/>
  <c r="AI220" i="54"/>
  <c r="AK220" i="54"/>
  <c r="AG220" i="54"/>
  <c r="AM220" i="54"/>
  <c r="AI162" i="48"/>
  <c r="BF22" i="48"/>
  <c r="AI26" i="54"/>
  <c r="AG26" i="54"/>
  <c r="AK26" i="54"/>
  <c r="AL26" i="54"/>
  <c r="AF26" i="54"/>
  <c r="AM26" i="54"/>
  <c r="AJ26" i="54"/>
  <c r="AH26" i="54"/>
  <c r="AI241" i="48"/>
  <c r="BF101" i="48"/>
  <c r="AL102" i="54"/>
  <c r="AJ102" i="54"/>
  <c r="AK102" i="54"/>
  <c r="AM102" i="54"/>
  <c r="AI102" i="54"/>
  <c r="AH102" i="54"/>
  <c r="AF102" i="54"/>
  <c r="AG102" i="54"/>
  <c r="AK150" i="54"/>
  <c r="AL150" i="54"/>
  <c r="AI150" i="54"/>
  <c r="AH150" i="54"/>
  <c r="AM150" i="54"/>
  <c r="AG150" i="54"/>
  <c r="AF150" i="54"/>
  <c r="AJ150" i="54"/>
  <c r="AI243" i="48"/>
  <c r="BF103" i="48"/>
  <c r="T48" i="48"/>
  <c r="AL188" i="48"/>
  <c r="BI48" i="48"/>
  <c r="BH109" i="48"/>
  <c r="AK249" i="48"/>
  <c r="AL223" i="48"/>
  <c r="T83" i="48"/>
  <c r="BI83" i="48"/>
  <c r="BI140" i="48"/>
  <c r="T140" i="48"/>
  <c r="BJ140" i="48" s="1"/>
  <c r="BI116" i="48"/>
  <c r="T116" i="48"/>
  <c r="BJ116" i="48" s="1"/>
  <c r="BH35" i="48"/>
  <c r="AK175" i="48"/>
  <c r="AF186" i="54"/>
  <c r="AL186" i="54"/>
  <c r="AM186" i="54"/>
  <c r="AK186" i="54"/>
  <c r="AG186" i="54"/>
  <c r="AH186" i="54"/>
  <c r="AI186" i="54"/>
  <c r="AJ186" i="54"/>
  <c r="AI152" i="54"/>
  <c r="AM152" i="54"/>
  <c r="AF152" i="54"/>
  <c r="AH152" i="54"/>
  <c r="AL152" i="54"/>
  <c r="AK152" i="54"/>
  <c r="AJ152" i="54"/>
  <c r="AG152" i="54"/>
  <c r="AK46" i="54"/>
  <c r="AF46" i="54"/>
  <c r="AM46" i="54"/>
  <c r="AH46" i="54"/>
  <c r="AJ46" i="54"/>
  <c r="AI46" i="54"/>
  <c r="AG46" i="54"/>
  <c r="AL46" i="54"/>
  <c r="AL34" i="54"/>
  <c r="AG34" i="54"/>
  <c r="AK34" i="54"/>
  <c r="AJ34" i="54"/>
  <c r="AF34" i="54"/>
  <c r="AM34" i="54"/>
  <c r="AI34" i="54"/>
  <c r="AH34" i="54"/>
  <c r="T2" i="48"/>
  <c r="BI2" i="48"/>
  <c r="AL142" i="48"/>
  <c r="AF81" i="54"/>
  <c r="AI81" i="54"/>
  <c r="AL81" i="54"/>
  <c r="AM81" i="54"/>
  <c r="AG81" i="54"/>
  <c r="AH81" i="54"/>
  <c r="AK81" i="54"/>
  <c r="AJ81" i="54"/>
  <c r="AI3" i="54"/>
  <c r="AM3" i="54"/>
  <c r="AF3" i="54"/>
  <c r="AH3" i="54"/>
  <c r="AL3" i="54"/>
  <c r="AJ3" i="54"/>
  <c r="AK3" i="54"/>
  <c r="AG3" i="54"/>
  <c r="BI157" i="48"/>
  <c r="T157" i="48"/>
  <c r="BJ157" i="48" s="1"/>
  <c r="BH6" i="48"/>
  <c r="AK146" i="48"/>
  <c r="BI106" i="48"/>
  <c r="AL246" i="48"/>
  <c r="T106" i="48"/>
  <c r="AF2" i="54"/>
  <c r="AG2" i="54"/>
  <c r="AI2" i="54"/>
  <c r="AJ2" i="54"/>
  <c r="AK2" i="54"/>
  <c r="AH2" i="54"/>
  <c r="AL2" i="54"/>
  <c r="AM2" i="54"/>
  <c r="BF48" i="48"/>
  <c r="AI188" i="48"/>
  <c r="AG86" i="54"/>
  <c r="AJ86" i="54"/>
  <c r="AI86" i="54"/>
  <c r="AH86" i="54"/>
  <c r="AF86" i="54"/>
  <c r="AK86" i="54"/>
  <c r="AM86" i="54"/>
  <c r="AL86" i="54"/>
  <c r="AI70" i="54"/>
  <c r="AG70" i="54"/>
  <c r="AL70" i="54"/>
  <c r="AJ70" i="54"/>
  <c r="AH70" i="54"/>
  <c r="AF70" i="54"/>
  <c r="AK70" i="54"/>
  <c r="AM70" i="54"/>
  <c r="T102" i="48"/>
  <c r="BI102" i="48"/>
  <c r="AL242" i="48"/>
  <c r="T164" i="48"/>
  <c r="BJ164" i="48" s="1"/>
  <c r="BI164" i="48"/>
  <c r="AI143" i="48"/>
  <c r="BF3" i="48"/>
  <c r="AK173" i="48"/>
  <c r="BH33" i="48"/>
  <c r="AL251" i="48"/>
  <c r="T111" i="48"/>
  <c r="BI111" i="48"/>
  <c r="AL187" i="54"/>
  <c r="AG187" i="54"/>
  <c r="AJ187" i="54"/>
  <c r="AM187" i="54"/>
  <c r="AK187" i="54"/>
  <c r="AF187" i="54"/>
  <c r="AH187" i="54"/>
  <c r="AI187" i="54"/>
  <c r="AL163" i="48"/>
  <c r="T23" i="48"/>
  <c r="BI23" i="48"/>
  <c r="AM60" i="54"/>
  <c r="AJ60" i="54"/>
  <c r="AF60" i="54"/>
  <c r="AI60" i="54"/>
  <c r="AG60" i="54"/>
  <c r="AH60" i="54"/>
  <c r="AK60" i="54"/>
  <c r="AL60" i="54"/>
  <c r="BI162" i="48"/>
  <c r="T162" i="48"/>
  <c r="BJ162" i="48" s="1"/>
  <c r="AI147" i="48"/>
  <c r="BF7" i="48"/>
  <c r="T198" i="48"/>
  <c r="BJ198" i="48" s="1"/>
  <c r="BI198" i="48"/>
  <c r="AJ98" i="54"/>
  <c r="AF98" i="54"/>
  <c r="AK98" i="54"/>
  <c r="AL98" i="54"/>
  <c r="AH98" i="54"/>
  <c r="AI98" i="54"/>
  <c r="AG98" i="54"/>
  <c r="AM98" i="54"/>
  <c r="T207" i="48"/>
  <c r="AF82" i="54"/>
  <c r="AG82" i="54"/>
  <c r="AM82" i="54"/>
  <c r="AK82" i="54"/>
  <c r="AL82" i="54"/>
  <c r="AJ82" i="54"/>
  <c r="AH82" i="54"/>
  <c r="AI82" i="54"/>
  <c r="BH10" i="48"/>
  <c r="AK150" i="48"/>
  <c r="AG141" i="54"/>
  <c r="AL141" i="54"/>
  <c r="AM141" i="54"/>
  <c r="AJ141" i="54"/>
  <c r="AI141" i="54"/>
  <c r="AK141" i="54"/>
  <c r="AH141" i="54"/>
  <c r="AF141" i="54"/>
  <c r="AK233" i="48"/>
  <c r="BH93" i="48"/>
  <c r="AF148" i="54"/>
  <c r="AL148" i="54"/>
  <c r="AI148" i="54"/>
  <c r="AH148" i="54"/>
  <c r="AM148" i="54"/>
  <c r="AK148" i="54"/>
  <c r="AG148" i="54"/>
  <c r="AJ148" i="54"/>
  <c r="BF100" i="48"/>
  <c r="AI240" i="48"/>
  <c r="BI100" i="48"/>
  <c r="T100" i="48"/>
  <c r="AL240" i="48"/>
  <c r="BH8" i="48"/>
  <c r="AK148" i="48"/>
  <c r="T104" i="48"/>
  <c r="AL244" i="48"/>
  <c r="BI104" i="48"/>
  <c r="BA72" i="48"/>
  <c r="BA33" i="48"/>
  <c r="BA280" i="48"/>
  <c r="BA258" i="48"/>
  <c r="BA149" i="48"/>
  <c r="BA34" i="48"/>
  <c r="BA82" i="48"/>
  <c r="BA267" i="48"/>
  <c r="BA117" i="48"/>
  <c r="BA167" i="48"/>
  <c r="BA127" i="48"/>
  <c r="BA20" i="48"/>
  <c r="BA5" i="48"/>
  <c r="BA64" i="48"/>
  <c r="BA116" i="48"/>
  <c r="BA15" i="48"/>
  <c r="BA27" i="48"/>
  <c r="BA63" i="48"/>
  <c r="BA247" i="48"/>
  <c r="BA272" i="48"/>
  <c r="BA55" i="48"/>
  <c r="BA96" i="48"/>
  <c r="BA182" i="48"/>
  <c r="BA281" i="48"/>
  <c r="BA71" i="48"/>
  <c r="BA223" i="48"/>
  <c r="BA184" i="48"/>
  <c r="BA279" i="48"/>
  <c r="AH178" i="54"/>
  <c r="AJ178" i="54"/>
  <c r="AF178" i="54"/>
  <c r="AM178" i="54"/>
  <c r="AL178" i="54"/>
  <c r="AK178" i="54"/>
  <c r="AI178" i="54"/>
  <c r="AG178" i="54"/>
  <c r="T50" i="48"/>
  <c r="AL190" i="48"/>
  <c r="BI50" i="48"/>
  <c r="AL159" i="54"/>
  <c r="AM159" i="54"/>
  <c r="AK159" i="54"/>
  <c r="AG159" i="54"/>
  <c r="AH159" i="54"/>
  <c r="AF159" i="54"/>
  <c r="AI159" i="54"/>
  <c r="AJ159" i="54"/>
  <c r="T127" i="48"/>
  <c r="BJ127" i="48" s="1"/>
  <c r="BI127" i="48"/>
  <c r="AG201" i="54"/>
  <c r="AJ201" i="54"/>
  <c r="AI201" i="54"/>
  <c r="AL201" i="54"/>
  <c r="AF201" i="54"/>
  <c r="AH201" i="54"/>
  <c r="AK201" i="54"/>
  <c r="AM201" i="54"/>
  <c r="AI247" i="48"/>
  <c r="BF107" i="48"/>
  <c r="T129" i="48"/>
  <c r="BJ129" i="48" s="1"/>
  <c r="BI129" i="48"/>
  <c r="AM72" i="54"/>
  <c r="AH72" i="54"/>
  <c r="AG72" i="54"/>
  <c r="AI72" i="54"/>
  <c r="AL72" i="54"/>
  <c r="AF72" i="54"/>
  <c r="AK72" i="54"/>
  <c r="AJ72" i="54"/>
  <c r="AI224" i="48"/>
  <c r="BF84" i="48"/>
  <c r="T54" i="48"/>
  <c r="AL194" i="48"/>
  <c r="BI54" i="48"/>
  <c r="AK212" i="48"/>
  <c r="BH72" i="48"/>
  <c r="AI152" i="48"/>
  <c r="BF12" i="48"/>
  <c r="BH43" i="48"/>
  <c r="AK183" i="48"/>
  <c r="AL241" i="48"/>
  <c r="BI101" i="48"/>
  <c r="T101" i="48"/>
  <c r="AL191" i="48"/>
  <c r="T51" i="48"/>
  <c r="BI51" i="48"/>
  <c r="AI12" i="54"/>
  <c r="AF12" i="54"/>
  <c r="AK12" i="54"/>
  <c r="AG12" i="54"/>
  <c r="AH12" i="54"/>
  <c r="AM12" i="54"/>
  <c r="AL12" i="54"/>
  <c r="AJ12" i="54"/>
  <c r="BI41" i="48"/>
  <c r="AL181" i="48"/>
  <c r="T41" i="48"/>
  <c r="T133" i="48"/>
  <c r="BJ133" i="48" s="1"/>
  <c r="BI133" i="48"/>
  <c r="BI187" i="48"/>
  <c r="T187" i="48"/>
  <c r="BJ187" i="48" s="1"/>
  <c r="AL99" i="54"/>
  <c r="AH99" i="54"/>
  <c r="AG99" i="54"/>
  <c r="AF99" i="54"/>
  <c r="AI99" i="54"/>
  <c r="AJ99" i="54"/>
  <c r="AM99" i="54"/>
  <c r="AK99" i="54"/>
  <c r="BF46" i="48"/>
  <c r="AI186" i="48"/>
  <c r="BI34" i="48"/>
  <c r="AL174" i="48"/>
  <c r="T34" i="48"/>
  <c r="T135" i="48"/>
  <c r="BJ135" i="48" s="1"/>
  <c r="BI135" i="48"/>
  <c r="BI191" i="48"/>
  <c r="T191" i="48"/>
  <c r="BJ191" i="48" s="1"/>
  <c r="BH57" i="48"/>
  <c r="AK197" i="48"/>
  <c r="AK156" i="54"/>
  <c r="AL156" i="54"/>
  <c r="AG156" i="54"/>
  <c r="AH156" i="54"/>
  <c r="AM156" i="54"/>
  <c r="AF156" i="54"/>
  <c r="AJ156" i="54"/>
  <c r="AI156" i="54"/>
  <c r="AH97" i="54"/>
  <c r="AK97" i="54"/>
  <c r="AJ97" i="54"/>
  <c r="AI97" i="54"/>
  <c r="AG97" i="54"/>
  <c r="AL97" i="54"/>
  <c r="AM97" i="54"/>
  <c r="AF97" i="54"/>
  <c r="AF181" i="54"/>
  <c r="AJ181" i="54"/>
  <c r="AH181" i="54"/>
  <c r="AL181" i="54"/>
  <c r="AK181" i="54"/>
  <c r="AM181" i="54"/>
  <c r="AG181" i="54"/>
  <c r="AI181" i="54"/>
  <c r="AG38" i="54"/>
  <c r="AI38" i="54"/>
  <c r="AL38" i="54"/>
  <c r="AK38" i="54"/>
  <c r="AH38" i="54"/>
  <c r="AJ38" i="54"/>
  <c r="AF38" i="54"/>
  <c r="AM38" i="54"/>
  <c r="AK69" i="54"/>
  <c r="AJ69" i="54"/>
  <c r="AG69" i="54"/>
  <c r="AF69" i="54"/>
  <c r="AH69" i="54"/>
  <c r="AI69" i="54"/>
  <c r="AM69" i="54"/>
  <c r="AL69" i="54"/>
  <c r="AJ133" i="54"/>
  <c r="AL133" i="54"/>
  <c r="AI133" i="54"/>
  <c r="AF133" i="54"/>
  <c r="AG133" i="54"/>
  <c r="AM133" i="54"/>
  <c r="AK133" i="54"/>
  <c r="AH133" i="54"/>
  <c r="AI170" i="48"/>
  <c r="BF30" i="48"/>
  <c r="AK180" i="54"/>
  <c r="AI180" i="54"/>
  <c r="AL180" i="54"/>
  <c r="AG180" i="54"/>
  <c r="AH180" i="54"/>
  <c r="AM180" i="54"/>
  <c r="AJ180" i="54"/>
  <c r="AF180" i="54"/>
  <c r="AK190" i="54"/>
  <c r="AJ190" i="54"/>
  <c r="AH190" i="54"/>
  <c r="AF190" i="54"/>
  <c r="AM190" i="54"/>
  <c r="AL190" i="54"/>
  <c r="AG190" i="54"/>
  <c r="AI190" i="54"/>
  <c r="AF17" i="54"/>
  <c r="AI17" i="54"/>
  <c r="AM17" i="54"/>
  <c r="AL17" i="54"/>
  <c r="AG17" i="54"/>
  <c r="AK17" i="54"/>
  <c r="AJ17" i="54"/>
  <c r="AH17" i="54"/>
  <c r="AM162" i="54"/>
  <c r="AH162" i="54"/>
  <c r="AI162" i="54"/>
  <c r="AL162" i="54"/>
  <c r="AF162" i="54"/>
  <c r="AG162" i="54"/>
  <c r="AJ162" i="54"/>
  <c r="AK162" i="54"/>
  <c r="T11" i="48"/>
  <c r="AL151" i="48"/>
  <c r="BI11" i="48"/>
  <c r="BI124" i="48"/>
  <c r="T124" i="48"/>
  <c r="BJ124" i="48" s="1"/>
  <c r="AG51" i="54"/>
  <c r="AH51" i="54"/>
  <c r="AM51" i="54"/>
  <c r="AL51" i="54"/>
  <c r="AI51" i="54"/>
  <c r="AK51" i="54"/>
  <c r="AF51" i="54"/>
  <c r="AJ51" i="54"/>
  <c r="BI118" i="48"/>
  <c r="T118" i="48"/>
  <c r="BJ118" i="48" s="1"/>
  <c r="BF26" i="48"/>
  <c r="AI166" i="48"/>
  <c r="AK185" i="48"/>
  <c r="BH45" i="48"/>
  <c r="AG63" i="54"/>
  <c r="AI63" i="54"/>
  <c r="AK63" i="54"/>
  <c r="AJ63" i="54"/>
  <c r="AH63" i="54"/>
  <c r="AM63" i="54"/>
  <c r="AL63" i="54"/>
  <c r="AF63" i="54"/>
  <c r="BH65" i="48"/>
  <c r="AK205" i="48"/>
  <c r="T22" i="48"/>
  <c r="BI22" i="48"/>
  <c r="AL162" i="48"/>
  <c r="AF4" i="54"/>
  <c r="AG4" i="54"/>
  <c r="AM4" i="54"/>
  <c r="AH4" i="54"/>
  <c r="AL4" i="54"/>
  <c r="AJ4" i="54"/>
  <c r="AI4" i="54"/>
  <c r="AK4" i="54"/>
  <c r="BI181" i="48"/>
  <c r="T181" i="48"/>
  <c r="BJ181" i="48" s="1"/>
  <c r="T38" i="48"/>
  <c r="AL178" i="48"/>
  <c r="BI38" i="48"/>
  <c r="AK218" i="54"/>
  <c r="AM218" i="54"/>
  <c r="AJ218" i="54"/>
  <c r="AH218" i="54"/>
  <c r="AF218" i="54"/>
  <c r="AI218" i="54"/>
  <c r="AG218" i="54"/>
  <c r="AL218" i="54"/>
  <c r="BH85" i="48"/>
  <c r="AK225" i="48"/>
  <c r="AH50" i="54"/>
  <c r="AJ50" i="54"/>
  <c r="AM50" i="54"/>
  <c r="AK50" i="54"/>
  <c r="AG50" i="54"/>
  <c r="AL50" i="54"/>
  <c r="AF50" i="54"/>
  <c r="AI50" i="54"/>
  <c r="BH88" i="48"/>
  <c r="AK228" i="48"/>
  <c r="AK194" i="48"/>
  <c r="BH54" i="48"/>
  <c r="BH29" i="48"/>
  <c r="AK169" i="48"/>
  <c r="AG93" i="54"/>
  <c r="AI93" i="54"/>
  <c r="AM93" i="54"/>
  <c r="AL93" i="54"/>
  <c r="AK93" i="54"/>
  <c r="AJ93" i="54"/>
  <c r="AH93" i="54"/>
  <c r="AF93" i="54"/>
  <c r="AM33" i="54"/>
  <c r="AG33" i="54"/>
  <c r="AL33" i="54"/>
  <c r="AF33" i="54"/>
  <c r="AJ33" i="54"/>
  <c r="AI33" i="54"/>
  <c r="AK33" i="54"/>
  <c r="AH33" i="54"/>
  <c r="BI77" i="48"/>
  <c r="T77" i="48"/>
  <c r="AL217" i="48"/>
  <c r="AK177" i="48"/>
  <c r="BH37" i="48"/>
  <c r="AL195" i="48"/>
  <c r="T55" i="48"/>
  <c r="BI55" i="48"/>
  <c r="BH92" i="48"/>
  <c r="AK232" i="48"/>
  <c r="T97" i="48"/>
  <c r="BI97" i="48"/>
  <c r="AL237" i="48"/>
  <c r="BI79" i="48"/>
  <c r="AL219" i="48"/>
  <c r="T79" i="48"/>
  <c r="AG163" i="54"/>
  <c r="AM163" i="54"/>
  <c r="AF163" i="54"/>
  <c r="AK163" i="54"/>
  <c r="AI163" i="54"/>
  <c r="AL163" i="54"/>
  <c r="AH163" i="54"/>
  <c r="AJ163" i="54"/>
  <c r="BF92" i="48"/>
  <c r="AI232" i="48"/>
  <c r="AI210" i="48"/>
  <c r="BF70" i="48"/>
  <c r="AI24" i="54"/>
  <c r="AJ24" i="54"/>
  <c r="AH24" i="54"/>
  <c r="AL24" i="54"/>
  <c r="AF24" i="54"/>
  <c r="AM24" i="54"/>
  <c r="AG24" i="54"/>
  <c r="AK24" i="54"/>
  <c r="AK66" i="54"/>
  <c r="AL66" i="54"/>
  <c r="AH66" i="54"/>
  <c r="AI66" i="54"/>
  <c r="AJ66" i="54"/>
  <c r="AG66" i="54"/>
  <c r="AF66" i="54"/>
  <c r="AM66" i="54"/>
  <c r="BI112" i="48"/>
  <c r="T112" i="48"/>
  <c r="BJ112" i="48" s="1"/>
  <c r="AL153" i="48"/>
  <c r="BI13" i="48"/>
  <c r="T13" i="48"/>
  <c r="AL112" i="54"/>
  <c r="AF112" i="54"/>
  <c r="AI112" i="54"/>
  <c r="AM112" i="54"/>
  <c r="AJ112" i="54"/>
  <c r="AK112" i="54"/>
  <c r="AH112" i="54"/>
  <c r="AG112" i="54"/>
  <c r="T71" i="48"/>
  <c r="BI71" i="48"/>
  <c r="AL211" i="48"/>
  <c r="AL131" i="54"/>
  <c r="AI131" i="54"/>
  <c r="AG131" i="54"/>
  <c r="AF131" i="54"/>
  <c r="AK131" i="54"/>
  <c r="AH131" i="54"/>
  <c r="AM131" i="54"/>
  <c r="AJ131" i="54"/>
  <c r="AI164" i="54"/>
  <c r="AG164" i="54"/>
  <c r="AJ164" i="54"/>
  <c r="AF164" i="54"/>
  <c r="AL164" i="54"/>
  <c r="AH164" i="54"/>
  <c r="AK164" i="54"/>
  <c r="AM164" i="54"/>
  <c r="AK155" i="48"/>
  <c r="BH15" i="48"/>
  <c r="AJ35" i="54"/>
  <c r="AH35" i="54"/>
  <c r="AK35" i="54"/>
  <c r="AF35" i="54"/>
  <c r="AI35" i="54"/>
  <c r="AM35" i="54"/>
  <c r="AG35" i="54"/>
  <c r="AL35" i="54"/>
  <c r="AK199" i="48"/>
  <c r="BH59" i="48"/>
  <c r="AI211" i="48"/>
  <c r="BF71" i="48"/>
  <c r="AI189" i="48"/>
  <c r="BF49" i="48"/>
  <c r="T165" i="48"/>
  <c r="BJ165" i="48" s="1"/>
  <c r="BI165" i="48"/>
  <c r="AK242" i="48"/>
  <c r="BH102" i="48"/>
  <c r="T182" i="48"/>
  <c r="BJ182" i="48" s="1"/>
  <c r="BI182" i="48"/>
  <c r="BA123" i="48"/>
  <c r="BA30" i="48"/>
  <c r="BA244" i="48"/>
  <c r="BA178" i="48"/>
  <c r="BA108" i="48"/>
  <c r="BA126" i="48"/>
  <c r="BA203" i="48"/>
  <c r="BA213" i="48"/>
  <c r="BA218" i="48"/>
  <c r="BA198" i="48"/>
  <c r="BA38" i="48"/>
  <c r="BA91" i="48"/>
  <c r="BA193" i="48"/>
  <c r="BA239" i="48"/>
  <c r="BA29" i="48"/>
  <c r="BA80" i="48"/>
  <c r="BA128" i="48"/>
  <c r="BA209" i="48"/>
  <c r="BA37" i="48"/>
  <c r="BA133" i="48"/>
  <c r="AK213" i="48"/>
  <c r="BH73" i="48"/>
  <c r="BF66" i="48"/>
  <c r="AI206" i="48"/>
  <c r="AG16" i="54"/>
  <c r="AH16" i="54"/>
  <c r="AM16" i="54"/>
  <c r="AL16" i="54"/>
  <c r="AI16" i="54"/>
  <c r="AJ16" i="54"/>
  <c r="AF16" i="54"/>
  <c r="AK16" i="54"/>
  <c r="AF108" i="54"/>
  <c r="AG108" i="54"/>
  <c r="AH108" i="54"/>
  <c r="AI108" i="54"/>
  <c r="AL108" i="54"/>
  <c r="AJ108" i="54"/>
  <c r="AK108" i="54"/>
  <c r="AM108" i="54"/>
  <c r="AF104" i="54"/>
  <c r="AL104" i="54"/>
  <c r="AI104" i="54"/>
  <c r="AG104" i="54"/>
  <c r="AM104" i="54"/>
  <c r="AK104" i="54"/>
  <c r="AJ104" i="54"/>
  <c r="AH104" i="54"/>
  <c r="AL137" i="54"/>
  <c r="AJ137" i="54"/>
  <c r="AG137" i="54"/>
  <c r="AM137" i="54"/>
  <c r="AH137" i="54"/>
  <c r="AI137" i="54"/>
  <c r="AK137" i="54"/>
  <c r="AF137" i="54"/>
  <c r="BI153" i="48"/>
  <c r="T153" i="48"/>
  <c r="BJ153" i="48" s="1"/>
  <c r="BF10" i="48"/>
  <c r="AI150" i="48"/>
  <c r="AL9" i="54"/>
  <c r="AJ9" i="54"/>
  <c r="AI9" i="54"/>
  <c r="AH9" i="54"/>
  <c r="AK9" i="54"/>
  <c r="AG9" i="54"/>
  <c r="AF9" i="54"/>
  <c r="AM9" i="54"/>
  <c r="BF44" i="48"/>
  <c r="AI184" i="48"/>
  <c r="AJ54" i="54"/>
  <c r="AL54" i="54"/>
  <c r="AF54" i="54"/>
  <c r="AK54" i="54"/>
  <c r="AH54" i="54"/>
  <c r="AI54" i="54"/>
  <c r="AM54" i="54"/>
  <c r="AG54" i="54"/>
  <c r="AF118" i="54"/>
  <c r="AG118" i="54"/>
  <c r="AK118" i="54"/>
  <c r="AM118" i="54"/>
  <c r="AI118" i="54"/>
  <c r="AL118" i="54"/>
  <c r="AH118" i="54"/>
  <c r="AJ118" i="54"/>
  <c r="AL6" i="54"/>
  <c r="AF6" i="54"/>
  <c r="AH6" i="54"/>
  <c r="AK6" i="54"/>
  <c r="AJ6" i="54"/>
  <c r="AG6" i="54"/>
  <c r="AI6" i="54"/>
  <c r="AM6" i="54"/>
  <c r="AK71" i="54"/>
  <c r="AG71" i="54"/>
  <c r="AL71" i="54"/>
  <c r="AJ71" i="54"/>
  <c r="AF71" i="54"/>
  <c r="AH71" i="54"/>
  <c r="AI71" i="54"/>
  <c r="AM71" i="54"/>
  <c r="BH50" i="48"/>
  <c r="AK190" i="48"/>
  <c r="AJ21" i="54"/>
  <c r="AF21" i="54"/>
  <c r="AH21" i="54"/>
  <c r="AG21" i="54"/>
  <c r="AM21" i="54"/>
  <c r="AL21" i="54"/>
  <c r="AI21" i="54"/>
  <c r="AK21" i="54"/>
  <c r="BH98" i="48"/>
  <c r="AK238" i="48"/>
  <c r="AK209" i="48"/>
  <c r="BH69" i="48"/>
  <c r="AL182" i="48"/>
  <c r="BI42" i="48"/>
  <c r="T42" i="48"/>
  <c r="AL179" i="54"/>
  <c r="AH179" i="54"/>
  <c r="AI179" i="54"/>
  <c r="AF179" i="54"/>
  <c r="AG179" i="54"/>
  <c r="AJ179" i="54"/>
  <c r="AM179" i="54"/>
  <c r="AK179" i="54"/>
  <c r="AM132" i="54"/>
  <c r="AI132" i="54"/>
  <c r="AL132" i="54"/>
  <c r="AG132" i="54"/>
  <c r="AJ132" i="54"/>
  <c r="AK132" i="54"/>
  <c r="AH132" i="54"/>
  <c r="AF132" i="54"/>
  <c r="AI248" i="48"/>
  <c r="BF108" i="48"/>
  <c r="AK75" i="54"/>
  <c r="AI75" i="54"/>
  <c r="AM75" i="54"/>
  <c r="AJ75" i="54"/>
  <c r="AL75" i="54"/>
  <c r="AG75" i="54"/>
  <c r="AH75" i="54"/>
  <c r="AF75" i="54"/>
  <c r="BI76" i="48"/>
  <c r="AL216" i="48"/>
  <c r="T76" i="48"/>
  <c r="T188" i="48"/>
  <c r="BJ188" i="48" s="1"/>
  <c r="BI188" i="48"/>
  <c r="AI239" i="48"/>
  <c r="BF99" i="48"/>
  <c r="T82" i="48"/>
  <c r="AL222" i="48"/>
  <c r="BI82" i="48"/>
  <c r="BI137" i="48"/>
  <c r="T137" i="48"/>
  <c r="BJ137" i="48" s="1"/>
  <c r="T159" i="48"/>
  <c r="BJ159" i="48" s="1"/>
  <c r="BI159" i="48"/>
  <c r="AI225" i="48"/>
  <c r="BF85" i="48"/>
  <c r="BI65" i="48"/>
  <c r="AL205" i="48"/>
  <c r="T65" i="48"/>
  <c r="BF88" i="48"/>
  <c r="AI228" i="48"/>
  <c r="AM109" i="54"/>
  <c r="AK109" i="54"/>
  <c r="AJ109" i="54"/>
  <c r="AH109" i="54"/>
  <c r="AG109" i="54"/>
  <c r="AI109" i="54"/>
  <c r="AF109" i="54"/>
  <c r="AL109" i="54"/>
  <c r="AM199" i="54"/>
  <c r="AJ199" i="54"/>
  <c r="AG199" i="54"/>
  <c r="AI199" i="54"/>
  <c r="AK199" i="54"/>
  <c r="AL199" i="54"/>
  <c r="AF199" i="54"/>
  <c r="AH199" i="54"/>
  <c r="T72" i="48"/>
  <c r="BI72" i="48"/>
  <c r="AL212" i="48"/>
  <c r="AI169" i="48"/>
  <c r="BF29" i="48"/>
  <c r="AH206" i="54"/>
  <c r="AJ206" i="54"/>
  <c r="AF206" i="54"/>
  <c r="AL206" i="54"/>
  <c r="AK206" i="54"/>
  <c r="AG206" i="54"/>
  <c r="AM206" i="54"/>
  <c r="AI206" i="54"/>
  <c r="AK235" i="48"/>
  <c r="BH95" i="48"/>
  <c r="AK182" i="48"/>
  <c r="BH42" i="48"/>
  <c r="AI146" i="48"/>
  <c r="BF6" i="48"/>
  <c r="BI197" i="48"/>
  <c r="T197" i="48"/>
  <c r="BJ197" i="48" s="1"/>
  <c r="BF16" i="48"/>
  <c r="AI156" i="48"/>
  <c r="AI214" i="48"/>
  <c r="BF74" i="48"/>
  <c r="T142" i="48"/>
  <c r="BJ142" i="48" s="1"/>
  <c r="BI142" i="48"/>
  <c r="BH82" i="48"/>
  <c r="AK222" i="48"/>
  <c r="BF110" i="48"/>
  <c r="AI250" i="48"/>
  <c r="BF111" i="48"/>
  <c r="AI251" i="48"/>
  <c r="AK197" i="54"/>
  <c r="AH197" i="54"/>
  <c r="AM197" i="54"/>
  <c r="AF197" i="54"/>
  <c r="AL197" i="54"/>
  <c r="AI197" i="54"/>
  <c r="AG197" i="54"/>
  <c r="AJ197" i="54"/>
  <c r="AH214" i="54"/>
  <c r="AJ214" i="54"/>
  <c r="AF214" i="54"/>
  <c r="AL214" i="54"/>
  <c r="AM214" i="54"/>
  <c r="AI214" i="54"/>
  <c r="AG214" i="54"/>
  <c r="AK214" i="54"/>
  <c r="AK200" i="48"/>
  <c r="BH60" i="48"/>
  <c r="BI171" i="48"/>
  <c r="T171" i="48"/>
  <c r="BJ171" i="48" s="1"/>
  <c r="AK230" i="48"/>
  <c r="BH90" i="48"/>
  <c r="AI204" i="48"/>
  <c r="BF64" i="48"/>
  <c r="BI60" i="48"/>
  <c r="AL200" i="48"/>
  <c r="T60" i="48"/>
  <c r="AM116" i="54"/>
  <c r="AL116" i="54"/>
  <c r="AK116" i="54"/>
  <c r="AJ116" i="54"/>
  <c r="AF116" i="54"/>
  <c r="AG116" i="54"/>
  <c r="AI116" i="54"/>
  <c r="AH116" i="54"/>
  <c r="AL210" i="54"/>
  <c r="AF210" i="54"/>
  <c r="AI210" i="54"/>
  <c r="AH210" i="54"/>
  <c r="AK210" i="54"/>
  <c r="AM210" i="54"/>
  <c r="AG210" i="54"/>
  <c r="AJ210" i="54"/>
  <c r="AH161" i="54"/>
  <c r="AF161" i="54"/>
  <c r="AM161" i="54"/>
  <c r="AI161" i="54"/>
  <c r="AL161" i="54"/>
  <c r="AK161" i="54"/>
  <c r="AG161" i="54"/>
  <c r="AJ161" i="54"/>
  <c r="BH44" i="48"/>
  <c r="AK184" i="48"/>
  <c r="BF78" i="48"/>
  <c r="AI218" i="48"/>
  <c r="AL238" i="48"/>
  <c r="T98" i="48"/>
  <c r="BI98" i="48"/>
  <c r="BI6" i="48"/>
  <c r="AL146" i="48"/>
  <c r="T6" i="48"/>
  <c r="AK172" i="48"/>
  <c r="BH32" i="48"/>
  <c r="AK48" i="54"/>
  <c r="AI48" i="54"/>
  <c r="AH48" i="54"/>
  <c r="AM48" i="54"/>
  <c r="AG48" i="54"/>
  <c r="AF48" i="54"/>
  <c r="AJ48" i="54"/>
  <c r="AL48" i="54"/>
  <c r="BF61" i="48"/>
  <c r="AI201" i="48"/>
  <c r="AL22" i="54"/>
  <c r="AH22" i="54"/>
  <c r="AF22" i="54"/>
  <c r="AM22" i="54"/>
  <c r="AI22" i="54"/>
  <c r="AK22" i="54"/>
  <c r="AG22" i="54"/>
  <c r="AJ22" i="54"/>
  <c r="AG143" i="54"/>
  <c r="AL143" i="54"/>
  <c r="AF143" i="54"/>
  <c r="AJ143" i="54"/>
  <c r="AK143" i="54"/>
  <c r="AI143" i="54"/>
  <c r="AH143" i="54"/>
  <c r="AM143" i="54"/>
  <c r="BF24" i="48"/>
  <c r="AI164" i="48"/>
  <c r="T201" i="48"/>
  <c r="BJ201" i="48" s="1"/>
  <c r="BI201" i="48"/>
  <c r="AI155" i="48"/>
  <c r="BF15" i="48"/>
  <c r="BH46" i="48"/>
  <c r="AK186" i="48"/>
  <c r="AL192" i="48"/>
  <c r="T52" i="48"/>
  <c r="BI52" i="48"/>
  <c r="T216" i="48"/>
  <c r="AJ129" i="54"/>
  <c r="AK129" i="54"/>
  <c r="AI129" i="54"/>
  <c r="AF129" i="54"/>
  <c r="AG129" i="54"/>
  <c r="AH129" i="54"/>
  <c r="AM129" i="54"/>
  <c r="AL129" i="54"/>
  <c r="AH91" i="54"/>
  <c r="AM91" i="54"/>
  <c r="AL91" i="54"/>
  <c r="AJ91" i="54"/>
  <c r="AF91" i="54"/>
  <c r="AG91" i="54"/>
  <c r="AI91" i="54"/>
  <c r="AK91" i="54"/>
  <c r="BH52" i="48"/>
  <c r="AK192" i="48"/>
  <c r="BH41" i="48"/>
  <c r="AK181" i="48"/>
  <c r="T56" i="48"/>
  <c r="BI56" i="48"/>
  <c r="AL196" i="48"/>
  <c r="AF68" i="54"/>
  <c r="AG68" i="54"/>
  <c r="AL68" i="54"/>
  <c r="AJ68" i="54"/>
  <c r="AI68" i="54"/>
  <c r="AM68" i="54"/>
  <c r="AK68" i="54"/>
  <c r="AH68" i="54"/>
  <c r="AI227" i="48"/>
  <c r="BF87" i="48"/>
  <c r="AL193" i="48"/>
  <c r="T53" i="48"/>
  <c r="BI53" i="48"/>
  <c r="T226" i="48"/>
  <c r="AK221" i="48"/>
  <c r="BH81" i="48"/>
  <c r="T122" i="48"/>
  <c r="BJ122" i="48" s="1"/>
  <c r="BI122" i="48"/>
  <c r="AK154" i="54"/>
  <c r="AH154" i="54"/>
  <c r="AJ154" i="54"/>
  <c r="AM154" i="54"/>
  <c r="AG154" i="54"/>
  <c r="AI154" i="54"/>
  <c r="AF154" i="54"/>
  <c r="AL154" i="54"/>
  <c r="T152" i="48"/>
  <c r="BJ152" i="48" s="1"/>
  <c r="BI152" i="48"/>
  <c r="AJ11" i="54"/>
  <c r="AK11" i="54"/>
  <c r="AI11" i="54"/>
  <c r="AM11" i="54"/>
  <c r="AL11" i="54"/>
  <c r="AF11" i="54"/>
  <c r="AG11" i="54"/>
  <c r="AH11" i="54"/>
  <c r="AL149" i="48"/>
  <c r="T9" i="48"/>
  <c r="BI9" i="48"/>
  <c r="BI14" i="48"/>
  <c r="T14" i="48"/>
  <c r="AL154" i="48"/>
  <c r="BA81" i="48"/>
  <c r="BA255" i="48"/>
  <c r="BA278" i="48"/>
  <c r="BA6" i="48"/>
  <c r="BA92" i="48"/>
  <c r="BA249" i="48"/>
  <c r="BA49" i="48"/>
  <c r="BA125" i="48"/>
  <c r="BA35" i="48"/>
  <c r="BA143" i="48"/>
  <c r="BA155" i="48"/>
  <c r="BA217" i="48"/>
  <c r="BA201" i="48"/>
  <c r="BA163" i="48"/>
  <c r="BA98" i="48"/>
  <c r="BA111" i="48"/>
  <c r="BA274" i="48"/>
  <c r="BA221" i="48"/>
  <c r="BA237" i="48"/>
  <c r="BA175" i="48"/>
  <c r="BA269" i="48"/>
  <c r="BA4" i="48"/>
  <c r="BA277" i="48"/>
  <c r="T26" i="48"/>
  <c r="BI26" i="48"/>
  <c r="AL166" i="48"/>
  <c r="AI209" i="54"/>
  <c r="AK209" i="54"/>
  <c r="AJ209" i="54"/>
  <c r="AH209" i="54"/>
  <c r="AG209" i="54"/>
  <c r="AL209" i="54"/>
  <c r="AM209" i="54"/>
  <c r="AF209" i="54"/>
  <c r="AI144" i="48"/>
  <c r="BF4" i="48"/>
  <c r="BF91" i="48"/>
  <c r="AI231" i="48"/>
  <c r="AK166" i="48"/>
  <c r="BH26" i="48"/>
  <c r="BF5" i="48"/>
  <c r="AI145" i="48"/>
  <c r="BF60" i="48"/>
  <c r="AI200" i="48"/>
  <c r="AL204" i="48"/>
  <c r="BI64" i="48"/>
  <c r="T64" i="48"/>
  <c r="AL195" i="54"/>
  <c r="AM195" i="54"/>
  <c r="AG195" i="54"/>
  <c r="AH195" i="54"/>
  <c r="AF195" i="54"/>
  <c r="AI195" i="54"/>
  <c r="AJ195" i="54"/>
  <c r="AK195" i="54"/>
  <c r="AK203" i="54"/>
  <c r="AG203" i="54"/>
  <c r="AJ203" i="54"/>
  <c r="AM203" i="54"/>
  <c r="AH203" i="54"/>
  <c r="AF203" i="54"/>
  <c r="AL203" i="54"/>
  <c r="AI203" i="54"/>
  <c r="BI147" i="48"/>
  <c r="T147" i="48"/>
  <c r="BJ147" i="48" s="1"/>
  <c r="T25" i="48"/>
  <c r="BI25" i="48"/>
  <c r="AL165" i="48"/>
  <c r="AF106" i="54"/>
  <c r="AI106" i="54"/>
  <c r="AM106" i="54"/>
  <c r="AL106" i="54"/>
  <c r="AJ106" i="54"/>
  <c r="AH106" i="54"/>
  <c r="AG106" i="54"/>
  <c r="AK106" i="54"/>
  <c r="AI13" i="54"/>
  <c r="AL13" i="54"/>
  <c r="AF13" i="54"/>
  <c r="AH13" i="54"/>
  <c r="AK13" i="54"/>
  <c r="AM13" i="54"/>
  <c r="AG13" i="54"/>
  <c r="AJ13" i="54"/>
  <c r="BF11" i="48"/>
  <c r="AI151" i="48"/>
  <c r="AF31" i="54"/>
  <c r="AG31" i="54"/>
  <c r="AI31" i="54"/>
  <c r="AJ31" i="54"/>
  <c r="AM31" i="54"/>
  <c r="AL31" i="54"/>
  <c r="AK31" i="54"/>
  <c r="AH31" i="54"/>
  <c r="AK143" i="48"/>
  <c r="BH3" i="48"/>
  <c r="AI194" i="48"/>
  <c r="BF54" i="48"/>
  <c r="AJ65" i="54"/>
  <c r="AM65" i="54"/>
  <c r="AK65" i="54"/>
  <c r="AH65" i="54"/>
  <c r="AF65" i="54"/>
  <c r="AG65" i="54"/>
  <c r="AL65" i="54"/>
  <c r="AI65" i="54"/>
  <c r="AL231" i="48"/>
  <c r="T91" i="48"/>
  <c r="BI91" i="48"/>
  <c r="AK161" i="48"/>
  <c r="BH21" i="48"/>
  <c r="AL235" i="48"/>
  <c r="BI95" i="48"/>
  <c r="T95" i="48"/>
  <c r="AI149" i="48"/>
  <c r="BF9" i="48"/>
  <c r="AK187" i="48"/>
  <c r="BH47" i="48"/>
  <c r="AF158" i="54"/>
  <c r="AJ158" i="54"/>
  <c r="AI158" i="54"/>
  <c r="AH158" i="54"/>
  <c r="AM158" i="54"/>
  <c r="AK158" i="54"/>
  <c r="AG158" i="54"/>
  <c r="AL158" i="54"/>
  <c r="AI36" i="54"/>
  <c r="AJ36" i="54"/>
  <c r="AK36" i="54"/>
  <c r="AM36" i="54"/>
  <c r="AF36" i="54"/>
  <c r="AG36" i="54"/>
  <c r="AL36" i="54"/>
  <c r="AH36" i="54"/>
  <c r="AK223" i="48"/>
  <c r="BH83" i="48"/>
  <c r="AK145" i="48"/>
  <c r="BH5" i="48"/>
  <c r="BH99" i="48"/>
  <c r="AK239" i="48"/>
  <c r="T43" i="48"/>
  <c r="BI43" i="48"/>
  <c r="AL183" i="48"/>
  <c r="AL157" i="54"/>
  <c r="AH157" i="54"/>
  <c r="AM157" i="54"/>
  <c r="AJ157" i="54"/>
  <c r="AK157" i="54"/>
  <c r="AI157" i="54"/>
  <c r="AF157" i="54"/>
  <c r="AG157" i="54"/>
  <c r="T103" i="48"/>
  <c r="AL243" i="48"/>
  <c r="BI103" i="48"/>
  <c r="T131" i="48"/>
  <c r="BJ131" i="48" s="1"/>
  <c r="BI131" i="48"/>
  <c r="AI47" i="54"/>
  <c r="AG47" i="54"/>
  <c r="AF47" i="54"/>
  <c r="AL47" i="54"/>
  <c r="AM47" i="54"/>
  <c r="AJ47" i="54"/>
  <c r="AK47" i="54"/>
  <c r="AH47" i="54"/>
  <c r="AI236" i="48"/>
  <c r="BF96" i="48"/>
  <c r="T130" i="48"/>
  <c r="BJ130" i="48" s="1"/>
  <c r="BI130" i="48"/>
  <c r="AG139" i="54"/>
  <c r="AI139" i="54"/>
  <c r="AM139" i="54"/>
  <c r="AL139" i="54"/>
  <c r="AF139" i="54"/>
  <c r="AH139" i="54"/>
  <c r="AJ139" i="54"/>
  <c r="AK139" i="54"/>
  <c r="AM205" i="54"/>
  <c r="AF205" i="54"/>
  <c r="AK205" i="54"/>
  <c r="AL205" i="54"/>
  <c r="AG205" i="54"/>
  <c r="AH205" i="54"/>
  <c r="AJ205" i="54"/>
  <c r="AI205" i="54"/>
  <c r="BH77" i="48"/>
  <c r="AK217" i="48"/>
  <c r="BF59" i="48"/>
  <c r="AI199" i="48"/>
  <c r="BF38" i="48"/>
  <c r="AI178" i="48"/>
  <c r="AK153" i="48"/>
  <c r="BH13" i="48"/>
  <c r="AF182" i="54"/>
  <c r="AJ182" i="54"/>
  <c r="AL182" i="54"/>
  <c r="AG182" i="54"/>
  <c r="AK182" i="54"/>
  <c r="AM182" i="54"/>
  <c r="AI182" i="54"/>
  <c r="AH182" i="54"/>
  <c r="AL105" i="54"/>
  <c r="AJ105" i="54"/>
  <c r="AF105" i="54"/>
  <c r="AI105" i="54"/>
  <c r="AH105" i="54"/>
  <c r="AG105" i="54"/>
  <c r="AK105" i="54"/>
  <c r="AM105" i="54"/>
  <c r="T37" i="48"/>
  <c r="BI37" i="48"/>
  <c r="AL177" i="48"/>
  <c r="AH216" i="54"/>
  <c r="AI216" i="54"/>
  <c r="AF216" i="54"/>
  <c r="AM216" i="54"/>
  <c r="AG216" i="54"/>
  <c r="AL216" i="54"/>
  <c r="AK216" i="54"/>
  <c r="AJ216" i="54"/>
  <c r="AF100" i="54"/>
  <c r="AH100" i="54"/>
  <c r="AL100" i="54"/>
  <c r="AI100" i="54"/>
  <c r="AM100" i="54"/>
  <c r="AK100" i="54"/>
  <c r="AG100" i="54"/>
  <c r="AJ100" i="54"/>
  <c r="AI159" i="48"/>
  <c r="BF19" i="48"/>
  <c r="BI45" i="48"/>
  <c r="AL185" i="48"/>
  <c r="T45" i="48"/>
  <c r="AL221" i="48"/>
  <c r="T81" i="48"/>
  <c r="BI81" i="48"/>
  <c r="BF89" i="48"/>
  <c r="AI229" i="48"/>
  <c r="AM175" i="54"/>
  <c r="AK175" i="54"/>
  <c r="AJ175" i="54"/>
  <c r="AI175" i="54"/>
  <c r="AL175" i="54"/>
  <c r="AF175" i="54"/>
  <c r="AG175" i="54"/>
  <c r="AH175" i="54"/>
  <c r="BH80" i="48"/>
  <c r="AK220" i="48"/>
  <c r="AH121" i="54"/>
  <c r="AI121" i="54"/>
  <c r="AG121" i="54"/>
  <c r="AF121" i="54"/>
  <c r="AK121" i="54"/>
  <c r="AJ121" i="54"/>
  <c r="AM121" i="54"/>
  <c r="AL121" i="54"/>
  <c r="AL187" i="48"/>
  <c r="T47" i="48"/>
  <c r="BI47" i="48"/>
  <c r="AI182" i="48"/>
  <c r="BF42" i="48"/>
  <c r="AI160" i="48"/>
  <c r="BF20" i="48"/>
  <c r="AH200" i="54"/>
  <c r="AI200" i="54"/>
  <c r="AG200" i="54"/>
  <c r="AM200" i="54"/>
  <c r="AK200" i="54"/>
  <c r="AL200" i="54"/>
  <c r="AJ200" i="54"/>
  <c r="AF200" i="54"/>
  <c r="AJ41" i="54"/>
  <c r="AM41" i="54"/>
  <c r="AG41" i="54"/>
  <c r="AI41" i="54"/>
  <c r="AF41" i="54"/>
  <c r="AL41" i="54"/>
  <c r="AH41" i="54"/>
  <c r="AK41" i="54"/>
  <c r="AM174" i="54"/>
  <c r="AF174" i="54"/>
  <c r="AH174" i="54"/>
  <c r="AG174" i="54"/>
  <c r="AK174" i="54"/>
  <c r="AI174" i="54"/>
  <c r="AJ174" i="54"/>
  <c r="AL174" i="54"/>
  <c r="BI108" i="48"/>
  <c r="T108" i="48"/>
  <c r="AL248" i="48"/>
  <c r="BH20" i="48"/>
  <c r="AK160" i="48"/>
  <c r="T154" i="48"/>
  <c r="BJ154" i="48" s="1"/>
  <c r="BI154" i="48"/>
  <c r="BI105" i="48"/>
  <c r="AL245" i="48"/>
  <c r="T105" i="48"/>
  <c r="AK218" i="48"/>
  <c r="BH78" i="48"/>
  <c r="BI36" i="48"/>
  <c r="T36" i="48"/>
  <c r="AL176" i="48"/>
  <c r="AK189" i="48"/>
  <c r="BH49" i="48"/>
  <c r="AJ170" i="54"/>
  <c r="AI170" i="54"/>
  <c r="AG170" i="54"/>
  <c r="AM170" i="54"/>
  <c r="AK170" i="54"/>
  <c r="AL170" i="54"/>
  <c r="AF170" i="54"/>
  <c r="AH170" i="54"/>
  <c r="T168" i="48"/>
  <c r="BJ168" i="48" s="1"/>
  <c r="BI168" i="48"/>
  <c r="BI94" i="48"/>
  <c r="AL234" i="48"/>
  <c r="T94" i="48"/>
  <c r="AK219" i="48"/>
  <c r="BH79" i="48"/>
  <c r="AF107" i="54"/>
  <c r="AG107" i="54"/>
  <c r="AI107" i="54"/>
  <c r="AH107" i="54"/>
  <c r="AK107" i="54"/>
  <c r="AJ107" i="54"/>
  <c r="AL107" i="54"/>
  <c r="AM107" i="54"/>
  <c r="AI216" i="48"/>
  <c r="BF76" i="48"/>
  <c r="AH79" i="54"/>
  <c r="AL79" i="54"/>
  <c r="AK79" i="54"/>
  <c r="AJ79" i="54"/>
  <c r="AI79" i="54"/>
  <c r="AM79" i="54"/>
  <c r="AF79" i="54"/>
  <c r="AG79" i="54"/>
  <c r="AH95" i="54"/>
  <c r="AI95" i="54"/>
  <c r="AL95" i="54"/>
  <c r="AJ95" i="54"/>
  <c r="AM95" i="54"/>
  <c r="AG95" i="54"/>
  <c r="AF95" i="54"/>
  <c r="AK95" i="54"/>
  <c r="BI158" i="48"/>
  <c r="T158" i="48"/>
  <c r="BJ158" i="48" s="1"/>
  <c r="T203" i="48"/>
  <c r="AK147" i="48"/>
  <c r="BH7" i="48"/>
  <c r="AG61" i="54"/>
  <c r="AL61" i="54"/>
  <c r="AK61" i="54"/>
  <c r="AM61" i="54"/>
  <c r="AJ61" i="54"/>
  <c r="AI61" i="54"/>
  <c r="AH61" i="54"/>
  <c r="AF61" i="54"/>
  <c r="T186" i="48"/>
  <c r="BJ186" i="48" s="1"/>
  <c r="BI186" i="48"/>
  <c r="AG211" i="54"/>
  <c r="AI211" i="54"/>
  <c r="AF211" i="54"/>
  <c r="AM211" i="54"/>
  <c r="AH211" i="54"/>
  <c r="AJ211" i="54"/>
  <c r="AK211" i="54"/>
  <c r="AL211" i="54"/>
  <c r="AG67" i="54"/>
  <c r="AL67" i="54"/>
  <c r="AF67" i="54"/>
  <c r="AH67" i="54"/>
  <c r="AK67" i="54"/>
  <c r="AI67" i="54"/>
  <c r="AJ67" i="54"/>
  <c r="AM67" i="54"/>
  <c r="AK145" i="54"/>
  <c r="AG145" i="54"/>
  <c r="AL145" i="54"/>
  <c r="AF145" i="54"/>
  <c r="AJ145" i="54"/>
  <c r="AH145" i="54"/>
  <c r="AI145" i="54"/>
  <c r="AM145" i="54"/>
  <c r="BF72" i="48"/>
  <c r="AI212" i="48"/>
  <c r="T99" i="48"/>
  <c r="AL239" i="48"/>
  <c r="BI99" i="48"/>
  <c r="T78" i="48"/>
  <c r="AL218" i="48"/>
  <c r="BI78" i="48"/>
  <c r="BA104" i="48"/>
  <c r="BA21" i="48"/>
  <c r="BA245" i="48"/>
  <c r="BA260" i="48"/>
  <c r="BA210" i="48"/>
  <c r="BA11" i="48"/>
  <c r="BA86" i="48"/>
  <c r="BA188" i="48"/>
  <c r="BA32" i="48"/>
  <c r="BA227" i="48"/>
  <c r="BA73" i="48"/>
  <c r="BA102" i="48"/>
  <c r="BA43" i="48"/>
  <c r="BA88" i="48"/>
  <c r="BA105" i="48"/>
  <c r="BA106" i="48"/>
  <c r="BA186" i="48"/>
  <c r="BA263" i="48"/>
  <c r="BA180" i="48"/>
  <c r="BA232" i="48"/>
  <c r="BA7" i="48"/>
  <c r="BA85" i="48"/>
  <c r="BA62" i="48"/>
  <c r="BA197" i="48"/>
  <c r="BA129" i="48"/>
  <c r="BA228" i="48"/>
  <c r="BA89" i="48"/>
  <c r="BA154" i="48"/>
  <c r="BA238" i="48"/>
  <c r="AI171" i="48"/>
  <c r="BF31" i="48"/>
  <c r="AG196" i="54"/>
  <c r="AF196" i="54"/>
  <c r="AH196" i="54"/>
  <c r="AM196" i="54"/>
  <c r="AJ196" i="54"/>
  <c r="AI196" i="54"/>
  <c r="AK196" i="54"/>
  <c r="AL196" i="54"/>
  <c r="T179" i="48"/>
  <c r="BJ179" i="48" s="1"/>
  <c r="BI179" i="48"/>
  <c r="AJ183" i="54"/>
  <c r="AG183" i="54"/>
  <c r="AK183" i="54"/>
  <c r="AM183" i="54"/>
  <c r="AI183" i="54"/>
  <c r="AH183" i="54"/>
  <c r="AL183" i="54"/>
  <c r="AF183" i="54"/>
  <c r="AJ123" i="54"/>
  <c r="AI123" i="54"/>
  <c r="AH123" i="54"/>
  <c r="AF123" i="54"/>
  <c r="AM123" i="54"/>
  <c r="AG123" i="54"/>
  <c r="AK123" i="54"/>
  <c r="AL123" i="54"/>
  <c r="AJ172" i="54"/>
  <c r="AH172" i="54"/>
  <c r="AI172" i="54"/>
  <c r="AK172" i="54"/>
  <c r="AL172" i="54"/>
  <c r="AG172" i="54"/>
  <c r="AF172" i="54"/>
  <c r="AM172" i="54"/>
  <c r="BF8" i="48"/>
  <c r="AI148" i="48"/>
  <c r="T92" i="48"/>
  <c r="AL232" i="48"/>
  <c r="BI92" i="48"/>
  <c r="BH62" i="48"/>
  <c r="AK202" i="48"/>
  <c r="T199" i="48"/>
  <c r="BJ199" i="48" s="1"/>
  <c r="BI199" i="48"/>
  <c r="T68" i="48"/>
  <c r="AL208" i="48"/>
  <c r="BI68" i="48"/>
  <c r="T80" i="48"/>
  <c r="AL220" i="48"/>
  <c r="BI80" i="48"/>
  <c r="BI115" i="48"/>
  <c r="T115" i="48"/>
  <c r="BJ115" i="48" s="1"/>
  <c r="AI181" i="48"/>
  <c r="BF41" i="48"/>
  <c r="T145" i="48"/>
  <c r="BJ145" i="48" s="1"/>
  <c r="BI145" i="48"/>
  <c r="BF28" i="48"/>
  <c r="AI168" i="48"/>
  <c r="AK171" i="48"/>
  <c r="BH31" i="48"/>
  <c r="BH86" i="48"/>
  <c r="AK226" i="48"/>
  <c r="BF97" i="48"/>
  <c r="AI237" i="48"/>
  <c r="AI29" i="54"/>
  <c r="AL29" i="54"/>
  <c r="AF29" i="54"/>
  <c r="AM29" i="54"/>
  <c r="AJ29" i="54"/>
  <c r="AK29" i="54"/>
  <c r="AH29" i="54"/>
  <c r="AG29" i="54"/>
  <c r="AH119" i="54"/>
  <c r="AG119" i="54"/>
  <c r="AK119" i="54"/>
  <c r="AM119" i="54"/>
  <c r="AF119" i="54"/>
  <c r="AI119" i="54"/>
  <c r="AL119" i="54"/>
  <c r="AJ119" i="54"/>
  <c r="AL161" i="48"/>
  <c r="BI21" i="48"/>
  <c r="T21" i="48"/>
  <c r="AG110" i="54"/>
  <c r="AH110" i="54"/>
  <c r="AL110" i="54"/>
  <c r="AM110" i="54"/>
  <c r="AK110" i="54"/>
  <c r="AJ110" i="54"/>
  <c r="AI110" i="54"/>
  <c r="AF110" i="54"/>
  <c r="BI29" i="48"/>
  <c r="T29" i="48"/>
  <c r="AL169" i="48"/>
  <c r="T170" i="48"/>
  <c r="BJ170" i="48" s="1"/>
  <c r="BI170" i="48"/>
  <c r="AI245" i="48"/>
  <c r="BF105" i="48"/>
  <c r="BI30" i="48"/>
  <c r="T30" i="48"/>
  <c r="AL170" i="48"/>
  <c r="AG165" i="54"/>
  <c r="AL165" i="54"/>
  <c r="AK165" i="54"/>
  <c r="AI165" i="54"/>
  <c r="AJ165" i="54"/>
  <c r="AH165" i="54"/>
  <c r="AF165" i="54"/>
  <c r="AM165" i="54"/>
  <c r="AG19" i="54"/>
  <c r="AH19" i="54"/>
  <c r="AK19" i="54"/>
  <c r="AL19" i="54"/>
  <c r="AJ19" i="54"/>
  <c r="AF19" i="54"/>
  <c r="AI19" i="54"/>
  <c r="AM19" i="54"/>
  <c r="T149" i="48"/>
  <c r="BJ149" i="48" s="1"/>
  <c r="BI149" i="48"/>
  <c r="AK208" i="48"/>
  <c r="BH68" i="48"/>
  <c r="AF122" i="54"/>
  <c r="AL122" i="54"/>
  <c r="AK122" i="54"/>
  <c r="AH122" i="54"/>
  <c r="AG122" i="54"/>
  <c r="AJ122" i="54"/>
  <c r="AI122" i="54"/>
  <c r="AM122" i="54"/>
  <c r="BF69" i="48"/>
  <c r="AI209" i="48"/>
  <c r="BF45" i="48"/>
  <c r="AI185" i="48"/>
  <c r="AK201" i="48"/>
  <c r="BH61" i="48"/>
  <c r="AL147" i="48"/>
  <c r="T7" i="48"/>
  <c r="BI7" i="48"/>
  <c r="T138" i="48"/>
  <c r="BJ138" i="48" s="1"/>
  <c r="BI138" i="48"/>
  <c r="AK247" i="48"/>
  <c r="BH107" i="48"/>
  <c r="AL194" i="54"/>
  <c r="AK194" i="54"/>
  <c r="AJ194" i="54"/>
  <c r="AH194" i="54"/>
  <c r="AF194" i="54"/>
  <c r="AM194" i="54"/>
  <c r="AG194" i="54"/>
  <c r="AI194" i="54"/>
  <c r="BI59" i="48"/>
  <c r="T59" i="48"/>
  <c r="AL199" i="48"/>
  <c r="AH140" i="54"/>
  <c r="AF140" i="54"/>
  <c r="AG140" i="54"/>
  <c r="AM140" i="54"/>
  <c r="AI140" i="54"/>
  <c r="AL140" i="54"/>
  <c r="AJ140" i="54"/>
  <c r="AK140" i="54"/>
  <c r="AH153" i="54"/>
  <c r="AJ153" i="54"/>
  <c r="AL153" i="54"/>
  <c r="AM153" i="54"/>
  <c r="AK153" i="54"/>
  <c r="AG153" i="54"/>
  <c r="AF153" i="54"/>
  <c r="AI153" i="54"/>
  <c r="AL201" i="48"/>
  <c r="T61" i="48"/>
  <c r="BI61" i="48"/>
  <c r="BF43" i="48"/>
  <c r="AI183" i="48"/>
  <c r="T193" i="48"/>
  <c r="BJ193" i="48" s="1"/>
  <c r="BI193" i="48"/>
  <c r="BI176" i="48"/>
  <c r="T176" i="48"/>
  <c r="BJ176" i="48" s="1"/>
  <c r="AM58" i="54"/>
  <c r="AK58" i="54"/>
  <c r="AJ58" i="54"/>
  <c r="AI58" i="54"/>
  <c r="AL58" i="54"/>
  <c r="AG58" i="54"/>
  <c r="AF58" i="54"/>
  <c r="AH58" i="54"/>
  <c r="AH117" i="54"/>
  <c r="AL117" i="54"/>
  <c r="AF117" i="54"/>
  <c r="AJ117" i="54"/>
  <c r="AK117" i="54"/>
  <c r="AI117" i="54"/>
  <c r="AM117" i="54"/>
  <c r="AG117" i="54"/>
  <c r="BF90" i="48"/>
  <c r="AI230" i="48"/>
  <c r="BF35" i="48"/>
  <c r="AI175" i="48"/>
  <c r="AK173" i="54"/>
  <c r="AI173" i="54"/>
  <c r="AG173" i="54"/>
  <c r="AL173" i="54"/>
  <c r="AF173" i="54"/>
  <c r="AJ173" i="54"/>
  <c r="AH173" i="54"/>
  <c r="AM173" i="54"/>
  <c r="AK151" i="48"/>
  <c r="BH11" i="48"/>
  <c r="BI151" i="48"/>
  <c r="T151" i="48"/>
  <c r="BJ151" i="48" s="1"/>
  <c r="AJ198" i="54"/>
  <c r="AG198" i="54"/>
  <c r="AI198" i="54"/>
  <c r="AF198" i="54"/>
  <c r="AK198" i="54"/>
  <c r="AM198" i="54"/>
  <c r="AL198" i="54"/>
  <c r="AH198" i="54"/>
  <c r="AI167" i="48"/>
  <c r="BF27" i="48"/>
  <c r="AM185" i="54"/>
  <c r="AG185" i="54"/>
  <c r="AF185" i="54"/>
  <c r="AK185" i="54"/>
  <c r="AI185" i="54"/>
  <c r="AJ185" i="54"/>
  <c r="AL185" i="54"/>
  <c r="AH185" i="54"/>
  <c r="AF166" i="54"/>
  <c r="AL166" i="54"/>
  <c r="AG166" i="54"/>
  <c r="AK166" i="54"/>
  <c r="AH166" i="54"/>
  <c r="AI166" i="54"/>
  <c r="AJ166" i="54"/>
  <c r="AM166" i="54"/>
  <c r="BH76" i="48"/>
  <c r="AK216" i="48"/>
  <c r="AK159" i="48"/>
  <c r="BH19" i="48"/>
  <c r="AK229" i="48"/>
  <c r="BH89" i="48"/>
  <c r="BI121" i="48"/>
  <c r="T121" i="48"/>
  <c r="BJ121" i="48" s="1"/>
  <c r="BH51" i="48"/>
  <c r="AK191" i="48"/>
  <c r="AK234" i="48"/>
  <c r="BH94" i="48"/>
  <c r="AK236" i="48"/>
  <c r="BH96" i="48"/>
  <c r="AL188" i="54"/>
  <c r="AH188" i="54"/>
  <c r="AM188" i="54"/>
  <c r="AF188" i="54"/>
  <c r="AI188" i="54"/>
  <c r="AK188" i="54"/>
  <c r="AJ188" i="54"/>
  <c r="AG188" i="54"/>
  <c r="AG52" i="54"/>
  <c r="AH52" i="54"/>
  <c r="AI52" i="54"/>
  <c r="AL52" i="54"/>
  <c r="AK52" i="54"/>
  <c r="AF52" i="54"/>
  <c r="AJ52" i="54"/>
  <c r="AM52" i="54"/>
  <c r="AH208" i="54"/>
  <c r="AF208" i="54"/>
  <c r="AI208" i="54"/>
  <c r="AL208" i="54"/>
  <c r="AK208" i="54"/>
  <c r="AM208" i="54"/>
  <c r="AJ208" i="54"/>
  <c r="AG208" i="54"/>
  <c r="AL155" i="48"/>
  <c r="BI15" i="48"/>
  <c r="T15" i="48"/>
  <c r="AI205" i="48"/>
  <c r="BF65" i="48"/>
  <c r="BI114" i="48"/>
  <c r="T114" i="48"/>
  <c r="BJ114" i="48" s="1"/>
  <c r="AK88" i="54"/>
  <c r="AF88" i="54"/>
  <c r="AL88" i="54"/>
  <c r="AI88" i="54"/>
  <c r="AM88" i="54"/>
  <c r="AH88" i="54"/>
  <c r="AJ88" i="54"/>
  <c r="AG88" i="54"/>
  <c r="AG189" i="54"/>
  <c r="AF189" i="54"/>
  <c r="AJ189" i="54"/>
  <c r="AL189" i="54"/>
  <c r="AI189" i="54"/>
  <c r="AM189" i="54"/>
  <c r="AK189" i="54"/>
  <c r="AH189" i="54"/>
  <c r="AF59" i="54"/>
  <c r="AL59" i="54"/>
  <c r="AG59" i="54"/>
  <c r="AI59" i="54"/>
  <c r="AK59" i="54"/>
  <c r="AJ59" i="54"/>
  <c r="AH59" i="54"/>
  <c r="AM59" i="54"/>
  <c r="T223" i="48"/>
  <c r="AK168" i="48"/>
  <c r="BH28" i="48"/>
  <c r="BI189" i="48"/>
  <c r="T189" i="48"/>
  <c r="BJ189" i="48" s="1"/>
  <c r="AK144" i="48"/>
  <c r="BH4" i="48"/>
  <c r="AL175" i="48"/>
  <c r="T35" i="48"/>
  <c r="BI35" i="48"/>
  <c r="T195" i="48"/>
  <c r="BJ195" i="48" s="1"/>
  <c r="BI195" i="48"/>
  <c r="AG10" i="54"/>
  <c r="AK10" i="54"/>
  <c r="AL10" i="54"/>
  <c r="AM10" i="54"/>
  <c r="AI10" i="54"/>
  <c r="AF10" i="54"/>
  <c r="AJ10" i="54"/>
  <c r="AH10" i="54"/>
  <c r="AL189" i="48"/>
  <c r="T49" i="48"/>
  <c r="BI49" i="48"/>
  <c r="BF94" i="48"/>
  <c r="AI234" i="48"/>
  <c r="BA95" i="48"/>
  <c r="BA122" i="48"/>
  <c r="BA160" i="48"/>
  <c r="BA207" i="48"/>
  <c r="BA115" i="48"/>
  <c r="BA53" i="48"/>
  <c r="BA144" i="48"/>
  <c r="BA25" i="48"/>
  <c r="BA214" i="48"/>
  <c r="BA204" i="48"/>
  <c r="BA257" i="48"/>
  <c r="BA39" i="48"/>
  <c r="BA87" i="48"/>
  <c r="BA251" i="48"/>
  <c r="BA187" i="48"/>
  <c r="BA137" i="48"/>
  <c r="BA48" i="48"/>
  <c r="BA147" i="48"/>
  <c r="BA103" i="48"/>
  <c r="BA259" i="48"/>
  <c r="BA157" i="48"/>
  <c r="BA45" i="48"/>
  <c r="BA107" i="48"/>
  <c r="BA138" i="48"/>
  <c r="AG83" i="54"/>
  <c r="AJ83" i="54"/>
  <c r="AH83" i="54"/>
  <c r="AI83" i="54"/>
  <c r="AL83" i="54"/>
  <c r="AF83" i="54"/>
  <c r="AK83" i="54"/>
  <c r="AM83" i="54"/>
  <c r="AI192" i="48"/>
  <c r="BF52" i="48"/>
  <c r="AL203" i="48"/>
  <c r="T63" i="48"/>
  <c r="BI63" i="48"/>
  <c r="BF62" i="48"/>
  <c r="AI202" i="48"/>
  <c r="AL157" i="48"/>
  <c r="BI17" i="48"/>
  <c r="T17" i="48"/>
  <c r="AI43" i="54"/>
  <c r="AM43" i="54"/>
  <c r="AF43" i="54"/>
  <c r="AJ43" i="54"/>
  <c r="AL43" i="54"/>
  <c r="AH43" i="54"/>
  <c r="AG43" i="54"/>
  <c r="AK43" i="54"/>
  <c r="BH104" i="48"/>
  <c r="AK244" i="48"/>
  <c r="AH103" i="54"/>
  <c r="AK103" i="54"/>
  <c r="AL103" i="54"/>
  <c r="AF103" i="54"/>
  <c r="AG103" i="54"/>
  <c r="AI103" i="54"/>
  <c r="AM103" i="54"/>
  <c r="AJ103" i="54"/>
  <c r="AF111" i="54"/>
  <c r="AJ111" i="54"/>
  <c r="AI111" i="54"/>
  <c r="AM111" i="54"/>
  <c r="AL111" i="54"/>
  <c r="AH111" i="54"/>
  <c r="AG111" i="54"/>
  <c r="AK111" i="54"/>
  <c r="BI167" i="48"/>
  <c r="T167" i="48"/>
  <c r="BJ167" i="48" s="1"/>
  <c r="AI40" i="54"/>
  <c r="AH40" i="54"/>
  <c r="AM40" i="54"/>
  <c r="AG40" i="54"/>
  <c r="AK40" i="54"/>
  <c r="AL40" i="54"/>
  <c r="AJ40" i="54"/>
  <c r="AF40" i="54"/>
  <c r="AK196" i="48"/>
  <c r="BH56" i="48"/>
  <c r="AF53" i="54"/>
  <c r="AM53" i="54"/>
  <c r="AJ53" i="54"/>
  <c r="AI53" i="54"/>
  <c r="AH53" i="54"/>
  <c r="AG53" i="54"/>
  <c r="AL53" i="54"/>
  <c r="AK53" i="54"/>
  <c r="BF57" i="48"/>
  <c r="AI197" i="48"/>
  <c r="BI166" i="48"/>
  <c r="T166" i="48"/>
  <c r="BJ166" i="48" s="1"/>
  <c r="AL247" i="48"/>
  <c r="T107" i="48"/>
  <c r="BI107" i="48"/>
  <c r="AG136" i="54"/>
  <c r="AL136" i="54"/>
  <c r="AH136" i="54"/>
  <c r="AI136" i="54"/>
  <c r="AK136" i="54"/>
  <c r="AM136" i="54"/>
  <c r="AJ136" i="54"/>
  <c r="AF136" i="54"/>
  <c r="AL152" i="48"/>
  <c r="T12" i="48"/>
  <c r="BI12" i="48"/>
  <c r="AF168" i="54"/>
  <c r="AH168" i="54"/>
  <c r="AL168" i="54"/>
  <c r="AI168" i="54"/>
  <c r="AJ168" i="54"/>
  <c r="AG168" i="54"/>
  <c r="AM168" i="54"/>
  <c r="AK168" i="54"/>
  <c r="AL230" i="48"/>
  <c r="T90" i="48"/>
  <c r="BI90" i="48"/>
  <c r="AK177" i="54"/>
  <c r="AH177" i="54"/>
  <c r="AM177" i="54"/>
  <c r="AF177" i="54"/>
  <c r="AI177" i="54"/>
  <c r="AJ177" i="54"/>
  <c r="AG177" i="54"/>
  <c r="AL177" i="54"/>
  <c r="BI196" i="48"/>
  <c r="T196" i="48"/>
  <c r="BJ196" i="48" s="1"/>
  <c r="AF25" i="54"/>
  <c r="AG25" i="54"/>
  <c r="AL25" i="54"/>
  <c r="AI25" i="54"/>
  <c r="AM25" i="54"/>
  <c r="AJ25" i="54"/>
  <c r="AK25" i="54"/>
  <c r="AH25" i="54"/>
  <c r="AH56" i="54"/>
  <c r="AL56" i="54"/>
  <c r="AJ56" i="54"/>
  <c r="AF56" i="54"/>
  <c r="AK56" i="54"/>
  <c r="AM56" i="54"/>
  <c r="AI56" i="54"/>
  <c r="AG56" i="54"/>
  <c r="AI101" i="54"/>
  <c r="AG101" i="54"/>
  <c r="AK101" i="54"/>
  <c r="AJ101" i="54"/>
  <c r="AF101" i="54"/>
  <c r="AL101" i="54"/>
  <c r="AH101" i="54"/>
  <c r="AM101" i="54"/>
  <c r="BI16" i="48"/>
  <c r="T16" i="48"/>
  <c r="AL156" i="48"/>
  <c r="T46" i="48"/>
  <c r="BI46" i="48"/>
  <c r="AL186" i="48"/>
  <c r="T66" i="48"/>
  <c r="BI66" i="48"/>
  <c r="AL206" i="48"/>
  <c r="BI148" i="48"/>
  <c r="T148" i="48"/>
  <c r="BJ148" i="48" s="1"/>
  <c r="AL167" i="48"/>
  <c r="BI27" i="48"/>
  <c r="T27" i="48"/>
  <c r="AK27" i="54"/>
  <c r="AM27" i="54"/>
  <c r="AL27" i="54"/>
  <c r="AF27" i="54"/>
  <c r="AI27" i="54"/>
  <c r="AG27" i="54"/>
  <c r="AJ27" i="54"/>
  <c r="AH27" i="54"/>
  <c r="BF53" i="48"/>
  <c r="AI193" i="48"/>
  <c r="AL172" i="48"/>
  <c r="T32" i="48"/>
  <c r="BI32" i="48"/>
  <c r="BI194" i="48"/>
  <c r="T194" i="48"/>
  <c r="BJ194" i="48" s="1"/>
  <c r="BH108" i="48"/>
  <c r="AK248" i="48"/>
  <c r="BF81" i="48"/>
  <c r="AI221" i="48"/>
  <c r="BI126" i="48"/>
  <c r="T126" i="48"/>
  <c r="BJ126" i="48" s="1"/>
  <c r="AI135" i="54"/>
  <c r="AH135" i="54"/>
  <c r="AJ135" i="54"/>
  <c r="AK135" i="54"/>
  <c r="AG135" i="54"/>
  <c r="AF135" i="54"/>
  <c r="AL135" i="54"/>
  <c r="AM135" i="54"/>
  <c r="AL210" i="48"/>
  <c r="BI70" i="48"/>
  <c r="T70" i="48"/>
  <c r="AI157" i="48"/>
  <c r="BF17" i="48"/>
  <c r="AK243" i="48"/>
  <c r="BH103" i="48"/>
  <c r="AG90" i="54"/>
  <c r="AH90" i="54"/>
  <c r="AI90" i="54"/>
  <c r="AM90" i="54"/>
  <c r="AJ90" i="54"/>
  <c r="AF90" i="54"/>
  <c r="AK90" i="54"/>
  <c r="AL90" i="54"/>
  <c r="AF96" i="54"/>
  <c r="AJ96" i="54"/>
  <c r="AK96" i="54"/>
  <c r="AM96" i="54"/>
  <c r="AH96" i="54"/>
  <c r="AI96" i="54"/>
  <c r="AG96" i="54"/>
  <c r="AL96" i="54"/>
  <c r="AI158" i="48"/>
  <c r="BF18" i="48"/>
  <c r="T192" i="48"/>
  <c r="BJ192" i="48" s="1"/>
  <c r="BI192" i="48"/>
  <c r="AL213" i="54"/>
  <c r="AF213" i="54"/>
  <c r="AI213" i="54"/>
  <c r="AG213" i="54"/>
  <c r="AH213" i="54"/>
  <c r="AM213" i="54"/>
  <c r="AK213" i="54"/>
  <c r="AJ213" i="54"/>
  <c r="AI246" i="48"/>
  <c r="BF106" i="48"/>
  <c r="AI78" i="54"/>
  <c r="AL78" i="54"/>
  <c r="AF78" i="54"/>
  <c r="AG78" i="54"/>
  <c r="AK78" i="54"/>
  <c r="AM78" i="54"/>
  <c r="AJ78" i="54"/>
  <c r="AH78" i="54"/>
  <c r="AL236" i="48"/>
  <c r="BI96" i="48"/>
  <c r="T96" i="48"/>
  <c r="BF33" i="48"/>
  <c r="AI173" i="48"/>
  <c r="BI132" i="48"/>
  <c r="T132" i="48"/>
  <c r="BJ132" i="48" s="1"/>
  <c r="AK192" i="54"/>
  <c r="AL192" i="54"/>
  <c r="AH192" i="54"/>
  <c r="AF192" i="54"/>
  <c r="AJ192" i="54"/>
  <c r="AM192" i="54"/>
  <c r="AG192" i="54"/>
  <c r="AI192" i="54"/>
  <c r="T150" i="48"/>
  <c r="BJ150" i="48" s="1"/>
  <c r="BI150" i="48"/>
  <c r="AK198" i="48"/>
  <c r="BH58" i="48"/>
  <c r="AI215" i="48"/>
  <c r="BF75" i="48"/>
  <c r="T93" i="48"/>
  <c r="BI93" i="48"/>
  <c r="AL233" i="48"/>
  <c r="BI200" i="48"/>
  <c r="T200" i="48"/>
  <c r="BJ200" i="48" s="1"/>
  <c r="BI39" i="48"/>
  <c r="AL179" i="48"/>
  <c r="T39" i="48"/>
  <c r="AK206" i="48"/>
  <c r="BH66" i="48"/>
  <c r="T117" i="48"/>
  <c r="BJ117" i="48" s="1"/>
  <c r="BI117" i="48"/>
  <c r="AH115" i="54"/>
  <c r="AK115" i="54"/>
  <c r="AI115" i="54"/>
  <c r="AF115" i="54"/>
  <c r="AM115" i="54"/>
  <c r="AG115" i="54"/>
  <c r="AL115" i="54"/>
  <c r="AJ115" i="54"/>
  <c r="AL198" i="48"/>
  <c r="T58" i="48"/>
  <c r="BI58" i="48"/>
  <c r="AK158" i="48"/>
  <c r="BH18" i="48"/>
  <c r="BI109" i="48"/>
  <c r="T109" i="48"/>
  <c r="AL249" i="48"/>
  <c r="BH106" i="48"/>
  <c r="AK246" i="48"/>
  <c r="AJ89" i="54"/>
  <c r="AG89" i="54"/>
  <c r="AI89" i="54"/>
  <c r="AK89" i="54"/>
  <c r="AH89" i="54"/>
  <c r="AM89" i="54"/>
  <c r="AL89" i="54"/>
  <c r="AF89" i="54"/>
  <c r="AI217" i="48"/>
  <c r="BF77" i="48"/>
  <c r="BF82" i="48"/>
  <c r="AI222" i="48"/>
  <c r="AI233" i="48"/>
  <c r="BF93" i="48"/>
  <c r="AM120" i="54"/>
  <c r="AL120" i="54"/>
  <c r="AF120" i="54"/>
  <c r="AG120" i="54"/>
  <c r="AK120" i="54"/>
  <c r="AJ120" i="54"/>
  <c r="AH120" i="54"/>
  <c r="AI120" i="54"/>
  <c r="T213" i="48"/>
  <c r="T183" i="48"/>
  <c r="BJ183" i="48" s="1"/>
  <c r="BI183" i="48"/>
  <c r="AI198" i="48"/>
  <c r="BF58" i="48"/>
  <c r="AM45" i="54"/>
  <c r="AH45" i="54"/>
  <c r="AG45" i="54"/>
  <c r="AF45" i="54"/>
  <c r="AK45" i="54"/>
  <c r="AJ45" i="54"/>
  <c r="AL45" i="54"/>
  <c r="AI45" i="54"/>
  <c r="AJ87" i="54"/>
  <c r="AM87" i="54"/>
  <c r="AL87" i="54"/>
  <c r="AH87" i="54"/>
  <c r="AG87" i="54"/>
  <c r="AF87" i="54"/>
  <c r="AI87" i="54"/>
  <c r="AK87" i="54"/>
  <c r="AK251" i="48"/>
  <c r="BH111" i="48"/>
  <c r="AM114" i="54"/>
  <c r="AG114" i="54"/>
  <c r="AL114" i="54"/>
  <c r="AJ114" i="54"/>
  <c r="AI114" i="54"/>
  <c r="AF114" i="54"/>
  <c r="AH114" i="54"/>
  <c r="AK114" i="54"/>
  <c r="BF51" i="48"/>
  <c r="AI191" i="48"/>
  <c r="AI187" i="48"/>
  <c r="BF47" i="48"/>
  <c r="AM146" i="54"/>
  <c r="AH146" i="54"/>
  <c r="AJ146" i="54"/>
  <c r="AK146" i="54"/>
  <c r="AG146" i="54"/>
  <c r="AI146" i="54"/>
  <c r="AF146" i="54"/>
  <c r="AL146" i="54"/>
  <c r="AL212" i="54"/>
  <c r="AG212" i="54"/>
  <c r="AI212" i="54"/>
  <c r="AH212" i="54"/>
  <c r="AM212" i="54"/>
  <c r="AJ212" i="54"/>
  <c r="AF212" i="54"/>
  <c r="AK212" i="54"/>
  <c r="AG64" i="54"/>
  <c r="AK64" i="54"/>
  <c r="AI64" i="54"/>
  <c r="AF64" i="54"/>
  <c r="AH64" i="54"/>
  <c r="AJ64" i="54"/>
  <c r="AL64" i="54"/>
  <c r="AM64" i="54"/>
  <c r="AI42" i="54"/>
  <c r="AL42" i="54"/>
  <c r="AH42" i="54"/>
  <c r="AJ42" i="54"/>
  <c r="AM42" i="54"/>
  <c r="AF42" i="54"/>
  <c r="AK42" i="54"/>
  <c r="AG42" i="54"/>
  <c r="AH80" i="54"/>
  <c r="AK80" i="54"/>
  <c r="AJ80" i="54"/>
  <c r="AF80" i="54"/>
  <c r="AM80" i="54"/>
  <c r="AI80" i="54"/>
  <c r="AL80" i="54"/>
  <c r="AG80" i="54"/>
  <c r="BA112" i="48"/>
  <c r="BA194" i="48"/>
  <c r="BA250" i="48"/>
  <c r="BA66" i="48"/>
  <c r="BA240" i="48"/>
  <c r="BA139" i="48"/>
  <c r="BA268" i="48"/>
  <c r="BA243" i="48"/>
  <c r="BA54" i="48"/>
  <c r="BA224" i="48"/>
  <c r="BA140" i="48"/>
  <c r="BA101" i="48"/>
  <c r="BA77" i="48"/>
  <c r="BA145" i="48"/>
  <c r="BA216" i="48"/>
  <c r="BA76" i="48"/>
  <c r="BA110" i="48"/>
  <c r="AM18" i="54"/>
  <c r="AI18" i="54"/>
  <c r="AH18" i="54"/>
  <c r="AL18" i="54"/>
  <c r="AF18" i="54"/>
  <c r="AG18" i="54"/>
  <c r="AK18" i="54"/>
  <c r="AJ18" i="54"/>
  <c r="AM74" i="54"/>
  <c r="AJ74" i="54"/>
  <c r="AI74" i="54"/>
  <c r="AH74" i="54"/>
  <c r="AK74" i="54"/>
  <c r="AL74" i="54"/>
  <c r="AG74" i="54"/>
  <c r="AF74" i="54"/>
  <c r="AI128" i="54"/>
  <c r="AL128" i="54"/>
  <c r="AH128" i="54"/>
  <c r="AJ128" i="54"/>
  <c r="AM128" i="54"/>
  <c r="AG128" i="54"/>
  <c r="AF128" i="54"/>
  <c r="AK128" i="54"/>
  <c r="T8" i="48"/>
  <c r="AL148" i="48"/>
  <c r="BI8" i="48"/>
  <c r="BF21" i="48"/>
  <c r="AI161" i="48"/>
  <c r="AG207" i="54"/>
  <c r="AM207" i="54"/>
  <c r="AF207" i="54"/>
  <c r="AH207" i="54"/>
  <c r="AK207" i="54"/>
  <c r="AJ207" i="54"/>
  <c r="AL207" i="54"/>
  <c r="AI207" i="54"/>
  <c r="BI180" i="48"/>
  <c r="T180" i="48"/>
  <c r="BJ180" i="48" s="1"/>
  <c r="AI207" i="48"/>
  <c r="BF67" i="48"/>
  <c r="AI165" i="48"/>
  <c r="BF25" i="48"/>
  <c r="BH36" i="48"/>
  <c r="AK176" i="48"/>
  <c r="AL191" i="54"/>
  <c r="AJ191" i="54"/>
  <c r="AI191" i="54"/>
  <c r="AM191" i="54"/>
  <c r="AH191" i="54"/>
  <c r="AG191" i="54"/>
  <c r="AF191" i="54"/>
  <c r="AK191" i="54"/>
  <c r="BI143" i="48"/>
  <c r="T143" i="48"/>
  <c r="BJ143" i="48" s="1"/>
  <c r="BF2" i="48"/>
  <c r="AI142" i="48"/>
  <c r="BI44" i="48"/>
  <c r="AL184" i="48"/>
  <c r="T44" i="48"/>
  <c r="AK154" i="48"/>
  <c r="BH14" i="48"/>
  <c r="AH92" i="54"/>
  <c r="AF92" i="54"/>
  <c r="AM92" i="54"/>
  <c r="AK92" i="54"/>
  <c r="AG92" i="54"/>
  <c r="AJ92" i="54"/>
  <c r="AL92" i="54"/>
  <c r="AI92" i="54"/>
  <c r="AH8" i="54"/>
  <c r="AG8" i="54"/>
  <c r="AI8" i="54"/>
  <c r="AJ8" i="54"/>
  <c r="AM8" i="54"/>
  <c r="AK8" i="54"/>
  <c r="AL8" i="54"/>
  <c r="AF8" i="54"/>
  <c r="T3" i="48"/>
  <c r="BI3" i="48"/>
  <c r="AL143" i="48"/>
  <c r="BH40" i="48"/>
  <c r="AK180" i="48"/>
  <c r="AI144" i="54"/>
  <c r="AL144" i="54"/>
  <c r="AG144" i="54"/>
  <c r="AK144" i="54"/>
  <c r="AF144" i="54"/>
  <c r="AJ144" i="54"/>
  <c r="AM144" i="54"/>
  <c r="AH144" i="54"/>
  <c r="T125" i="48"/>
  <c r="BJ125" i="48" s="1"/>
  <c r="BI125" i="48"/>
  <c r="BI19" i="48"/>
  <c r="AL159" i="48"/>
  <c r="T19" i="48"/>
  <c r="AI62" i="54"/>
  <c r="AG62" i="54"/>
  <c r="AF62" i="54"/>
  <c r="AJ62" i="54"/>
  <c r="AL62" i="54"/>
  <c r="AH62" i="54"/>
  <c r="AK62" i="54"/>
  <c r="AM62" i="54"/>
  <c r="AF160" i="54"/>
  <c r="AK160" i="54"/>
  <c r="AG160" i="54"/>
  <c r="AI160" i="54"/>
  <c r="AJ160" i="54"/>
  <c r="AM160" i="54"/>
  <c r="AH160" i="54"/>
  <c r="AL160" i="54"/>
  <c r="T4" i="48"/>
  <c r="BI4" i="48"/>
  <c r="AL144" i="48"/>
  <c r="AM142" i="54"/>
  <c r="AJ142" i="54"/>
  <c r="AL142" i="54"/>
  <c r="AI142" i="54"/>
  <c r="AH142" i="54"/>
  <c r="AK142" i="54"/>
  <c r="AF142" i="54"/>
  <c r="AG142" i="54"/>
  <c r="AL202" i="48"/>
  <c r="BI62" i="48"/>
  <c r="T62" i="48"/>
  <c r="BI28" i="48"/>
  <c r="T28" i="48"/>
  <c r="AL168" i="48"/>
  <c r="AM171" i="54"/>
  <c r="AG171" i="54"/>
  <c r="AL171" i="54"/>
  <c r="AF171" i="54"/>
  <c r="AH171" i="54"/>
  <c r="AJ171" i="54"/>
  <c r="AK171" i="54"/>
  <c r="AI171" i="54"/>
  <c r="AL171" i="48"/>
  <c r="T31" i="48"/>
  <c r="BI31" i="48"/>
  <c r="AK224" i="48"/>
  <c r="BH84" i="48"/>
  <c r="AK167" i="48"/>
  <c r="BH27" i="48"/>
  <c r="BI156" i="48"/>
  <c r="T156" i="48"/>
  <c r="BJ156" i="48" s="1"/>
  <c r="T169" i="48"/>
  <c r="BJ169" i="48" s="1"/>
  <c r="BI169" i="48"/>
  <c r="AK163" i="48"/>
  <c r="BH23" i="48"/>
  <c r="BH101" i="48"/>
  <c r="AK241" i="48"/>
  <c r="BF98" i="48"/>
  <c r="AI238" i="48"/>
  <c r="BI185" i="48"/>
  <c r="T185" i="48"/>
  <c r="BJ185" i="48" s="1"/>
  <c r="BF32" i="48"/>
  <c r="AI172" i="48"/>
  <c r="AK215" i="54"/>
  <c r="AH215" i="54"/>
  <c r="AG215" i="54"/>
  <c r="AL215" i="54"/>
  <c r="AM215" i="54"/>
  <c r="AI215" i="54"/>
  <c r="AJ215" i="54"/>
  <c r="AF215" i="54"/>
  <c r="AI179" i="48"/>
  <c r="BF39" i="48"/>
  <c r="AK170" i="48"/>
  <c r="BH30" i="48"/>
  <c r="BH87" i="48"/>
  <c r="AK227" i="48"/>
  <c r="BI178" i="48"/>
  <c r="T178" i="48"/>
  <c r="BJ178" i="48" s="1"/>
  <c r="AI244" i="48"/>
  <c r="BF104" i="48"/>
  <c r="BH2" i="48"/>
  <c r="AK142" i="48"/>
  <c r="AH32" i="54"/>
  <c r="AK32" i="54"/>
  <c r="AM32" i="54"/>
  <c r="AI32" i="54"/>
  <c r="AF32" i="54"/>
  <c r="AJ32" i="54"/>
  <c r="AL32" i="54"/>
  <c r="AG32" i="54"/>
  <c r="BF40" i="48"/>
  <c r="AI180" i="48"/>
  <c r="AL214" i="48"/>
  <c r="BI74" i="48"/>
  <c r="T74" i="48"/>
  <c r="AI226" i="48"/>
  <c r="BF86" i="48"/>
  <c r="AG77" i="54"/>
  <c r="AL77" i="54"/>
  <c r="AI77" i="54"/>
  <c r="AK77" i="54"/>
  <c r="AJ77" i="54"/>
  <c r="AF77" i="54"/>
  <c r="AH77" i="54"/>
  <c r="AM77" i="54"/>
  <c r="AG44" i="54"/>
  <c r="AH44" i="54"/>
  <c r="AM44" i="54"/>
  <c r="AL44" i="54"/>
  <c r="AI44" i="54"/>
  <c r="AK44" i="54"/>
  <c r="AF44" i="54"/>
  <c r="AJ44" i="54"/>
  <c r="T155" i="48"/>
  <c r="BJ155" i="48" s="1"/>
  <c r="BI155" i="48"/>
  <c r="AI220" i="48"/>
  <c r="BF80" i="48"/>
  <c r="AH184" i="54"/>
  <c r="AL184" i="54"/>
  <c r="AJ184" i="54"/>
  <c r="AI184" i="54"/>
  <c r="AM184" i="54"/>
  <c r="AG184" i="54"/>
  <c r="AK184" i="54"/>
  <c r="AF184" i="54"/>
  <c r="BF68" i="48"/>
  <c r="AI208" i="48"/>
  <c r="BI184" i="48"/>
  <c r="T184" i="48"/>
  <c r="BJ184" i="48" s="1"/>
  <c r="AI242" i="48"/>
  <c r="BF102" i="48"/>
  <c r="AK156" i="48"/>
  <c r="BH16" i="48"/>
  <c r="BI89" i="48"/>
  <c r="AL229" i="48"/>
  <c r="T89" i="48"/>
  <c r="BI67" i="48"/>
  <c r="AL207" i="48"/>
  <c r="T67" i="48"/>
  <c r="BI75" i="48"/>
  <c r="T75" i="48"/>
  <c r="AL215" i="48"/>
  <c r="BI120" i="48"/>
  <c r="T120" i="48"/>
  <c r="BJ120" i="48" s="1"/>
  <c r="T86" i="48"/>
  <c r="BI86" i="48"/>
  <c r="AL226" i="48"/>
  <c r="BI136" i="48"/>
  <c r="T136" i="48"/>
  <c r="BJ136" i="48" s="1"/>
  <c r="BA109" i="48"/>
  <c r="BA256" i="48"/>
  <c r="BA165" i="48"/>
  <c r="BA68" i="48"/>
  <c r="BA166" i="48"/>
  <c r="BA44" i="48"/>
  <c r="BA18" i="48"/>
  <c r="BA151" i="48"/>
  <c r="BA248" i="48"/>
  <c r="BA16" i="48"/>
  <c r="BA219" i="48"/>
  <c r="BA58" i="48"/>
  <c r="BA190" i="48"/>
  <c r="BA233" i="48"/>
  <c r="BA90" i="48"/>
  <c r="BA130" i="48"/>
  <c r="BA174" i="48"/>
  <c r="BA231" i="48"/>
  <c r="BA28" i="48"/>
  <c r="BA270" i="48"/>
  <c r="BA262" i="48"/>
  <c r="BA183" i="48"/>
  <c r="BA67" i="48"/>
  <c r="BA148" i="48"/>
  <c r="BA22" i="48"/>
  <c r="BA2" i="48"/>
  <c r="BA121" i="48"/>
  <c r="BA94" i="48"/>
  <c r="BA159" i="48"/>
  <c r="BA264" i="48"/>
  <c r="AI153" i="48"/>
  <c r="BF13" i="48"/>
  <c r="BI177" i="48"/>
  <c r="T177" i="48"/>
  <c r="BJ177" i="48" s="1"/>
  <c r="BI163" i="48"/>
  <c r="T163" i="48"/>
  <c r="BJ163" i="48" s="1"/>
  <c r="AM119" i="47"/>
  <c r="AX32" i="48" s="1"/>
  <c r="AM155" i="47"/>
  <c r="AM109" i="47"/>
  <c r="AX126" i="48" s="1"/>
  <c r="AM149" i="47"/>
  <c r="AX46" i="48" s="1"/>
  <c r="AM148" i="47"/>
  <c r="AM133" i="47"/>
  <c r="AX196" i="48" s="1"/>
  <c r="AM110" i="47"/>
  <c r="AX177" i="48" s="1"/>
  <c r="AM147" i="47"/>
  <c r="AX179" i="48" s="1"/>
  <c r="AM169" i="47"/>
  <c r="AM138" i="47"/>
  <c r="AX224" i="48" s="1"/>
  <c r="AM123" i="47"/>
  <c r="AX216" i="48" s="1"/>
  <c r="AM134" i="47"/>
  <c r="AX6" i="48" s="1"/>
  <c r="AM154" i="47"/>
  <c r="AX7" i="48" s="1"/>
  <c r="AM167" i="47"/>
  <c r="AM113" i="47"/>
  <c r="AM125" i="47"/>
  <c r="AM137" i="47"/>
  <c r="AM170" i="47"/>
  <c r="AM156" i="47"/>
  <c r="AM105" i="47"/>
  <c r="AX172" i="48" s="1"/>
  <c r="AM126" i="47"/>
  <c r="AX58" i="48" s="1"/>
  <c r="AM116" i="47"/>
  <c r="AX189" i="48" s="1"/>
  <c r="AM143" i="47"/>
  <c r="AX222" i="48" s="1"/>
  <c r="AM153" i="47"/>
  <c r="AX194" i="48" s="1"/>
  <c r="AM131" i="47"/>
  <c r="AM139" i="47"/>
  <c r="AM171" i="47"/>
  <c r="AM175" i="47"/>
  <c r="AM111" i="47"/>
  <c r="AM163" i="47"/>
  <c r="AX87" i="48" s="1"/>
  <c r="AM145" i="47"/>
  <c r="AM103" i="47"/>
  <c r="AM146" i="47"/>
  <c r="AM130" i="47"/>
  <c r="AX98" i="48" s="1"/>
  <c r="AM118" i="47"/>
  <c r="AX8" i="48" s="1"/>
  <c r="AM114" i="47"/>
  <c r="AM172" i="47"/>
  <c r="AM152" i="47"/>
  <c r="AM136" i="47"/>
  <c r="AX62" i="48" s="1"/>
  <c r="AM142" i="47"/>
  <c r="AX171" i="48" s="1"/>
  <c r="AM127" i="47"/>
  <c r="AM117" i="47"/>
  <c r="AX256" i="48" s="1"/>
  <c r="AM150" i="47"/>
  <c r="AM151" i="47"/>
  <c r="AM141" i="47"/>
  <c r="AX63" i="48" s="1"/>
  <c r="AM173" i="47"/>
  <c r="AM106" i="47"/>
  <c r="AM161" i="47"/>
  <c r="AX188" i="48" s="1"/>
  <c r="AM124" i="47"/>
  <c r="AX217" i="48" s="1"/>
  <c r="AM112" i="47"/>
  <c r="AM115" i="47"/>
  <c r="AX60" i="48" s="1"/>
  <c r="AM162" i="47"/>
  <c r="AM166" i="47"/>
  <c r="AM144" i="47"/>
  <c r="AX10" i="48" s="1"/>
  <c r="AM165" i="47"/>
  <c r="AM104" i="47"/>
  <c r="AX94" i="48" s="1"/>
  <c r="AM120" i="47"/>
  <c r="AM108" i="47"/>
  <c r="AM164" i="47"/>
  <c r="AM157" i="47"/>
  <c r="AM122" i="47"/>
  <c r="AM140" i="47"/>
  <c r="AM135" i="47"/>
  <c r="AM121" i="47"/>
  <c r="AM160" i="47"/>
  <c r="AM129" i="47"/>
  <c r="AM132" i="47"/>
  <c r="AX231" i="48" s="1"/>
  <c r="AM159" i="47"/>
  <c r="AX67" i="48" s="1"/>
  <c r="AM107" i="47"/>
  <c r="AX182" i="48" s="1"/>
  <c r="AM168" i="47"/>
  <c r="AX244" i="48" s="1"/>
  <c r="AM158" i="47"/>
  <c r="AX9" i="48" s="1"/>
  <c r="AM128" i="47"/>
  <c r="AM174" i="47"/>
  <c r="AX15" i="48" s="1"/>
  <c r="AM176" i="47"/>
  <c r="AX173" i="48" s="1"/>
  <c r="AM177" i="47"/>
  <c r="AX252" i="48" s="1"/>
  <c r="AM178" i="47"/>
  <c r="AM179" i="47"/>
  <c r="AX86" i="48" s="1"/>
  <c r="AM180" i="47"/>
  <c r="AM287" i="47"/>
  <c r="AM293" i="47"/>
  <c r="AM259" i="47"/>
  <c r="AM211" i="47"/>
  <c r="AX83" i="48" s="1"/>
  <c r="AM240" i="47"/>
  <c r="AM278" i="47"/>
  <c r="AM295" i="47"/>
  <c r="AM198" i="47"/>
  <c r="AX219" i="48" s="1"/>
  <c r="AM207" i="47"/>
  <c r="AM238" i="47"/>
  <c r="AX209" i="48" s="1"/>
  <c r="AM196" i="47"/>
  <c r="AM301" i="47"/>
  <c r="AM209" i="47"/>
  <c r="AM217" i="47"/>
  <c r="AM282" i="47"/>
  <c r="AM268" i="47"/>
  <c r="AM230" i="47"/>
  <c r="AM186" i="47"/>
  <c r="AX89" i="48" s="1"/>
  <c r="AM260" i="47"/>
  <c r="AM203" i="47"/>
  <c r="AM277" i="47"/>
  <c r="AM252" i="47"/>
  <c r="AM200" i="47"/>
  <c r="AM322" i="47"/>
  <c r="AM304" i="47"/>
  <c r="AM214" i="47"/>
  <c r="AM307" i="47"/>
  <c r="AM193" i="47"/>
  <c r="AM279" i="47"/>
  <c r="AM261" i="47"/>
  <c r="AM290" i="47"/>
  <c r="AM221" i="47"/>
  <c r="AM210" i="47"/>
  <c r="AX64" i="48" s="1"/>
  <c r="AM284" i="47"/>
  <c r="AM272" i="47"/>
  <c r="AM288" i="47"/>
  <c r="AM183" i="47"/>
  <c r="AM275" i="47"/>
  <c r="AM311" i="47"/>
  <c r="AM208" i="47"/>
  <c r="AX235" i="48" s="1"/>
  <c r="AM226" i="47"/>
  <c r="AX13" i="48" s="1"/>
  <c r="AM276" i="47"/>
  <c r="AM246" i="47"/>
  <c r="AM227" i="47"/>
  <c r="AX41" i="48" s="1"/>
  <c r="AM202" i="47"/>
  <c r="AX154" i="48" s="1"/>
  <c r="AM191" i="47"/>
  <c r="AM254" i="47"/>
  <c r="AM296" i="47"/>
  <c r="AM258" i="47"/>
  <c r="AM222" i="47"/>
  <c r="AM239" i="47"/>
  <c r="AM182" i="47"/>
  <c r="AX88" i="48" s="1"/>
  <c r="AM192" i="47"/>
  <c r="AM205" i="47"/>
  <c r="AM229" i="47"/>
  <c r="AM188" i="47"/>
  <c r="AM315" i="47"/>
  <c r="AM204" i="47"/>
  <c r="AM326" i="47"/>
  <c r="AM308" i="47"/>
  <c r="AM195" i="47"/>
  <c r="AX5" i="48" s="1"/>
  <c r="AM271" i="47"/>
  <c r="AM245" i="47"/>
  <c r="AM215" i="47"/>
  <c r="AM265" i="47"/>
  <c r="AX190" i="48" s="1"/>
  <c r="AM321" i="47"/>
  <c r="AM216" i="47"/>
  <c r="AM313" i="47"/>
  <c r="AM189" i="47"/>
  <c r="AX227" i="48" s="1"/>
  <c r="AM257" i="47"/>
  <c r="AM187" i="47"/>
  <c r="AM244" i="47"/>
  <c r="AM256" i="47"/>
  <c r="AM281" i="47"/>
  <c r="AM225" i="47"/>
  <c r="AM185" i="47"/>
  <c r="AM319" i="47"/>
  <c r="AM206" i="47"/>
  <c r="AM325" i="47"/>
  <c r="AM181" i="47"/>
  <c r="AM294" i="47"/>
  <c r="AM262" i="47"/>
  <c r="AM184" i="47"/>
  <c r="AM199" i="47"/>
  <c r="AM314" i="47"/>
  <c r="AM273" i="47"/>
  <c r="AM299" i="47"/>
  <c r="AM242" i="47"/>
  <c r="AX212" i="48" s="1"/>
  <c r="AM310" i="47"/>
  <c r="AM306" i="47"/>
  <c r="AM249" i="47"/>
  <c r="AX254" i="48" s="1"/>
  <c r="AM283" i="47"/>
  <c r="AM237" i="47"/>
  <c r="AX241" i="48" s="1"/>
  <c r="AM318" i="47"/>
  <c r="AM201" i="47"/>
  <c r="AM263" i="47"/>
  <c r="AM223" i="47"/>
  <c r="AM266" i="47"/>
  <c r="AM291" i="47"/>
  <c r="AM300" i="47"/>
  <c r="AM243" i="47"/>
  <c r="AX208" i="48" s="1"/>
  <c r="AM241" i="47"/>
  <c r="AX30" i="48" s="1"/>
  <c r="AM218" i="47"/>
  <c r="AX199" i="48" s="1"/>
  <c r="AM231" i="47"/>
  <c r="AM317" i="47"/>
  <c r="AM312" i="47"/>
  <c r="AM233" i="47"/>
  <c r="AX153" i="48" s="1"/>
  <c r="AM224" i="47"/>
  <c r="AM235" i="47"/>
  <c r="AM302" i="47"/>
  <c r="AM280" i="47"/>
  <c r="AM292" i="47"/>
  <c r="AM274" i="47"/>
  <c r="AM267" i="47"/>
  <c r="AM219" i="47"/>
  <c r="AX207" i="48" s="1"/>
  <c r="AM324" i="47"/>
  <c r="AM250" i="47"/>
  <c r="AM264" i="47"/>
  <c r="AM248" i="47"/>
  <c r="AM270" i="47"/>
  <c r="AM236" i="47"/>
  <c r="AM212" i="47"/>
  <c r="AM289" i="47"/>
  <c r="AM234" i="47"/>
  <c r="AX164" i="48" s="1"/>
  <c r="AM232" i="47"/>
  <c r="AM286" i="47"/>
  <c r="AM309" i="47"/>
  <c r="AM285" i="47"/>
  <c r="AM190" i="47"/>
  <c r="AM251" i="47"/>
  <c r="AM298" i="47"/>
  <c r="AM228" i="47"/>
  <c r="AX92" i="48" s="1"/>
  <c r="AM197" i="47"/>
  <c r="AX119" i="48" s="1"/>
  <c r="AM255" i="47"/>
  <c r="AM327" i="47"/>
  <c r="AM269" i="47"/>
  <c r="AM194" i="47"/>
  <c r="AM323" i="47"/>
  <c r="AM220" i="47"/>
  <c r="AX159" i="48" s="1"/>
  <c r="AM253" i="47"/>
  <c r="AM303" i="47"/>
  <c r="AM213" i="47"/>
  <c r="AM316" i="47"/>
  <c r="AM305" i="47"/>
  <c r="AM297" i="47"/>
  <c r="AM247" i="47"/>
  <c r="AX156" i="48" s="1"/>
  <c r="AM320" i="47"/>
  <c r="BF73" i="48"/>
  <c r="AI213" i="48"/>
  <c r="T175" i="48"/>
  <c r="BJ175" i="48" s="1"/>
  <c r="BI175" i="48"/>
  <c r="BH53" i="48"/>
  <c r="AK193" i="48"/>
  <c r="AL193" i="54"/>
  <c r="AH193" i="54"/>
  <c r="AF193" i="54"/>
  <c r="AI193" i="54"/>
  <c r="AK193" i="54"/>
  <c r="AJ193" i="54"/>
  <c r="AG193" i="54"/>
  <c r="AM193" i="54"/>
  <c r="AK15" i="54"/>
  <c r="AI15" i="54"/>
  <c r="AM15" i="54"/>
  <c r="AF15" i="54"/>
  <c r="AG15" i="54"/>
  <c r="AL15" i="54"/>
  <c r="AH15" i="54"/>
  <c r="AJ15" i="54"/>
  <c r="AI203" i="48"/>
  <c r="BF63" i="48"/>
  <c r="AM37" i="54"/>
  <c r="AL37" i="54"/>
  <c r="AF37" i="54"/>
  <c r="AK37" i="54"/>
  <c r="AH37" i="54"/>
  <c r="AG37" i="54"/>
  <c r="AI37" i="54"/>
  <c r="AJ37" i="54"/>
  <c r="BI128" i="48"/>
  <c r="T128" i="48"/>
  <c r="BJ128" i="48" s="1"/>
  <c r="T144" i="48"/>
  <c r="BJ144" i="48" s="1"/>
  <c r="BI144" i="48"/>
  <c r="AJ176" i="54"/>
  <c r="AL176" i="54"/>
  <c r="AH176" i="54"/>
  <c r="AG176" i="54"/>
  <c r="AI176" i="54"/>
  <c r="AF176" i="54"/>
  <c r="AM176" i="54"/>
  <c r="AK176" i="54"/>
  <c r="T85" i="48"/>
  <c r="BI85" i="48"/>
  <c r="AL225" i="48"/>
  <c r="AK195" i="48"/>
  <c r="BH55" i="48"/>
  <c r="AM20" i="54"/>
  <c r="AL20" i="54"/>
  <c r="AJ20" i="54"/>
  <c r="AF20" i="54"/>
  <c r="AG20" i="54"/>
  <c r="AK20" i="54"/>
  <c r="AI20" i="54"/>
  <c r="AH20" i="54"/>
  <c r="AK214" i="48"/>
  <c r="BH74" i="48"/>
  <c r="AI249" i="48"/>
  <c r="BF109" i="48"/>
  <c r="AK157" i="48"/>
  <c r="BH17" i="48"/>
  <c r="BI84" i="48"/>
  <c r="T84" i="48"/>
  <c r="AL224" i="48"/>
  <c r="BI119" i="48"/>
  <c r="T119" i="48"/>
  <c r="BJ119" i="48" s="1"/>
  <c r="AF39" i="54"/>
  <c r="AL39" i="54"/>
  <c r="AH39" i="54"/>
  <c r="AM39" i="54"/>
  <c r="AJ39" i="54"/>
  <c r="AI39" i="54"/>
  <c r="AK39" i="54"/>
  <c r="AG39" i="54"/>
  <c r="AI84" i="54"/>
  <c r="AF84" i="54"/>
  <c r="AM84" i="54"/>
  <c r="AJ84" i="54"/>
  <c r="AL84" i="54"/>
  <c r="AK84" i="54"/>
  <c r="AG84" i="54"/>
  <c r="AH84" i="54"/>
  <c r="BI69" i="48"/>
  <c r="T69" i="48"/>
  <c r="AL209" i="48"/>
  <c r="AH204" i="54"/>
  <c r="AL204" i="54"/>
  <c r="AJ204" i="54"/>
  <c r="AG204" i="54"/>
  <c r="AK204" i="54"/>
  <c r="AI204" i="54"/>
  <c r="AM204" i="54"/>
  <c r="AF204" i="54"/>
  <c r="BF79" i="48"/>
  <c r="AI219" i="48"/>
  <c r="AK23" i="54"/>
  <c r="AI23" i="54"/>
  <c r="AJ23" i="54"/>
  <c r="AG23" i="54"/>
  <c r="AF23" i="54"/>
  <c r="AH23" i="54"/>
  <c r="AL23" i="54"/>
  <c r="AM23" i="54"/>
  <c r="AK149" i="48"/>
  <c r="BH9" i="48"/>
  <c r="AL126" i="54"/>
  <c r="AH126" i="54"/>
  <c r="AF126" i="54"/>
  <c r="AK126" i="54"/>
  <c r="AJ126" i="54"/>
  <c r="AI126" i="54"/>
  <c r="AG126" i="54"/>
  <c r="AM126" i="54"/>
  <c r="BH64" i="48"/>
  <c r="AK204" i="48"/>
  <c r="AI163" i="48"/>
  <c r="BF23" i="48"/>
  <c r="AH76" i="54"/>
  <c r="AG76" i="54"/>
  <c r="AJ76" i="54"/>
  <c r="AL76" i="54"/>
  <c r="AI76" i="54"/>
  <c r="AF76" i="54"/>
  <c r="AM76" i="54"/>
  <c r="AK76" i="54"/>
  <c r="AI55" i="54"/>
  <c r="AM55" i="54"/>
  <c r="AK55" i="54"/>
  <c r="AH55" i="54"/>
  <c r="AF55" i="54"/>
  <c r="AG55" i="54"/>
  <c r="AJ55" i="54"/>
  <c r="AL55" i="54"/>
  <c r="BI160" i="48"/>
  <c r="T160" i="48"/>
  <c r="BJ160" i="48" s="1"/>
  <c r="BH25" i="48"/>
  <c r="AK165" i="48"/>
  <c r="AK210" i="48"/>
  <c r="BH70" i="48"/>
  <c r="BF56" i="48"/>
  <c r="AI196" i="48"/>
  <c r="T172" i="48"/>
  <c r="BJ172" i="48" s="1"/>
  <c r="BI172" i="48"/>
  <c r="AK85" i="54"/>
  <c r="AL85" i="54"/>
  <c r="AH85" i="54"/>
  <c r="AF85" i="54"/>
  <c r="AM85" i="54"/>
  <c r="AJ85" i="54"/>
  <c r="AI85" i="54"/>
  <c r="AG85" i="54"/>
  <c r="BH38" i="48"/>
  <c r="AK178" i="48"/>
  <c r="T57" i="48"/>
  <c r="AL197" i="48"/>
  <c r="BI57" i="48"/>
  <c r="AK250" i="48"/>
  <c r="BH110" i="48"/>
  <c r="AI113" i="54"/>
  <c r="AM113" i="54"/>
  <c r="AH113" i="54"/>
  <c r="AJ113" i="54"/>
  <c r="AK113" i="54"/>
  <c r="AF113" i="54"/>
  <c r="AL113" i="54"/>
  <c r="AG113" i="54"/>
  <c r="AK245" i="48"/>
  <c r="BH105" i="48"/>
  <c r="T5" i="48"/>
  <c r="AL145" i="48"/>
  <c r="BI5" i="48"/>
  <c r="BF14" i="48"/>
  <c r="AI154" i="48"/>
  <c r="BH91" i="48"/>
  <c r="AK231" i="48"/>
  <c r="AH73" i="54"/>
  <c r="AL73" i="54"/>
  <c r="AK73" i="54"/>
  <c r="AM73" i="54"/>
  <c r="AG73" i="54"/>
  <c r="AF73" i="54"/>
  <c r="AJ73" i="54"/>
  <c r="AI73" i="54"/>
  <c r="AF134" i="54"/>
  <c r="AL134" i="54"/>
  <c r="AG134" i="54"/>
  <c r="AK134" i="54"/>
  <c r="AH134" i="54"/>
  <c r="AI134" i="54"/>
  <c r="AM134" i="54"/>
  <c r="AJ134" i="54"/>
  <c r="AJ14" i="54"/>
  <c r="AM14" i="54"/>
  <c r="AI14" i="54"/>
  <c r="AL14" i="54"/>
  <c r="AK14" i="54"/>
  <c r="AH14" i="54"/>
  <c r="AG14" i="54"/>
  <c r="AF14" i="54"/>
  <c r="BH12" i="48"/>
  <c r="AK152" i="48"/>
  <c r="BI110" i="48"/>
  <c r="AL250" i="48"/>
  <c r="T110" i="48"/>
  <c r="T20" i="48"/>
  <c r="AL160" i="48"/>
  <c r="BI20" i="48"/>
  <c r="T141" i="48"/>
  <c r="BJ141" i="48" s="1"/>
  <c r="BI141" i="48"/>
  <c r="AG28" i="54"/>
  <c r="AM28" i="54"/>
  <c r="AF28" i="54"/>
  <c r="AK28" i="54"/>
  <c r="AJ28" i="54"/>
  <c r="AL28" i="54"/>
  <c r="AH28" i="54"/>
  <c r="AI28" i="54"/>
  <c r="AK203" i="48"/>
  <c r="BH63" i="48"/>
  <c r="T215" i="48"/>
  <c r="AL173" i="48"/>
  <c r="BI33" i="48"/>
  <c r="T33" i="48"/>
  <c r="AK57" i="54"/>
  <c r="AF57" i="54"/>
  <c r="AJ57" i="54"/>
  <c r="AL57" i="54"/>
  <c r="AI57" i="54"/>
  <c r="AM57" i="54"/>
  <c r="AH57" i="54"/>
  <c r="AG57" i="54"/>
  <c r="AI174" i="48"/>
  <c r="BF34" i="48"/>
  <c r="BI161" i="48"/>
  <c r="T161" i="48"/>
  <c r="BJ161" i="48" s="1"/>
  <c r="AM49" i="54"/>
  <c r="AH49" i="54"/>
  <c r="AG49" i="54"/>
  <c r="AI49" i="54"/>
  <c r="AK49" i="54"/>
  <c r="AJ49" i="54"/>
  <c r="AF49" i="54"/>
  <c r="AL49" i="54"/>
  <c r="AK179" i="48"/>
  <c r="BH39" i="48"/>
  <c r="AI195" i="48"/>
  <c r="BF55" i="48"/>
  <c r="AL124" i="54"/>
  <c r="AH124" i="54"/>
  <c r="AJ124" i="54"/>
  <c r="AI124" i="54"/>
  <c r="AG124" i="54"/>
  <c r="AM124" i="54"/>
  <c r="AF124" i="54"/>
  <c r="AK124" i="54"/>
  <c r="AJ5" i="54"/>
  <c r="AM5" i="54"/>
  <c r="AH5" i="54"/>
  <c r="AF5" i="54"/>
  <c r="AK5" i="54"/>
  <c r="AG5" i="54"/>
  <c r="AL5" i="54"/>
  <c r="AI5" i="54"/>
  <c r="AK215" i="48"/>
  <c r="BH75" i="48"/>
  <c r="AL213" i="48"/>
  <c r="BI73" i="48"/>
  <c r="T73" i="48"/>
  <c r="AM167" i="54"/>
  <c r="AK167" i="54"/>
  <c r="AH167" i="54"/>
  <c r="AJ167" i="54"/>
  <c r="AL167" i="54"/>
  <c r="AF167" i="54"/>
  <c r="AI167" i="54"/>
  <c r="AG167" i="54"/>
  <c r="AM155" i="54"/>
  <c r="AG155" i="54"/>
  <c r="AK155" i="54"/>
  <c r="AL155" i="54"/>
  <c r="AJ155" i="54"/>
  <c r="AI155" i="54"/>
  <c r="AF155" i="54"/>
  <c r="AH155" i="54"/>
  <c r="AI223" i="48"/>
  <c r="BF83" i="48"/>
  <c r="AM217" i="54"/>
  <c r="AF217" i="54"/>
  <c r="AI217" i="54"/>
  <c r="AK217" i="54"/>
  <c r="AJ217" i="54"/>
  <c r="AL217" i="54"/>
  <c r="AH217" i="54"/>
  <c r="AG217" i="54"/>
  <c r="AH30" i="54"/>
  <c r="AK30" i="54"/>
  <c r="AF30" i="54"/>
  <c r="AL30" i="54"/>
  <c r="AJ30" i="54"/>
  <c r="AG30" i="54"/>
  <c r="AI30" i="54"/>
  <c r="AM30" i="54"/>
  <c r="BI40" i="48"/>
  <c r="T40" i="48"/>
  <c r="AL180" i="48"/>
  <c r="AK211" i="48"/>
  <c r="BH71" i="48"/>
  <c r="AM138" i="54"/>
  <c r="AL138" i="54"/>
  <c r="AI138" i="54"/>
  <c r="AK138" i="54"/>
  <c r="AG138" i="54"/>
  <c r="AJ138" i="54"/>
  <c r="AF138" i="54"/>
  <c r="AH138" i="54"/>
  <c r="AK237" i="48"/>
  <c r="BH97" i="48"/>
  <c r="BH22" i="48"/>
  <c r="AK162" i="48"/>
  <c r="AX12" i="48" l="1"/>
  <c r="AX170" i="48"/>
  <c r="AX115" i="48"/>
  <c r="AX38" i="48"/>
  <c r="AX112" i="48"/>
  <c r="AX44" i="48"/>
  <c r="AX191" i="48"/>
  <c r="AX128" i="48"/>
  <c r="AX192" i="48"/>
  <c r="AX99" i="48"/>
  <c r="AX197" i="48"/>
  <c r="AX198" i="48"/>
  <c r="AX230" i="48"/>
  <c r="AX116" i="48"/>
  <c r="AX69" i="48"/>
  <c r="AX68" i="48"/>
  <c r="AX3" i="48"/>
  <c r="AX2" i="48"/>
  <c r="AX4" i="48"/>
  <c r="AX160" i="48"/>
  <c r="AX43" i="48"/>
  <c r="AX123" i="48"/>
  <c r="AX120" i="48"/>
  <c r="AX149" i="48"/>
  <c r="AX47" i="48"/>
  <c r="AX40" i="48"/>
  <c r="AX25" i="48"/>
  <c r="AX124" i="48"/>
  <c r="AX55" i="48"/>
  <c r="AX53" i="48"/>
  <c r="AX125" i="48"/>
  <c r="AX27" i="48"/>
  <c r="AX24" i="48"/>
  <c r="AX85" i="48"/>
  <c r="AX21" i="48"/>
  <c r="AX23" i="48"/>
  <c r="AX195" i="48"/>
  <c r="AX151" i="48"/>
  <c r="AX71" i="48"/>
  <c r="AX75" i="48"/>
  <c r="AX211" i="48"/>
  <c r="AX28" i="48"/>
  <c r="AX163" i="48"/>
  <c r="AX203" i="48"/>
  <c r="AX162" i="48"/>
  <c r="AX19" i="48"/>
  <c r="AX152" i="48"/>
  <c r="AX18" i="48"/>
  <c r="AX54" i="48"/>
  <c r="AX127" i="48"/>
  <c r="AX17" i="48"/>
  <c r="AX56" i="48"/>
  <c r="AX150" i="48"/>
  <c r="AX210" i="48"/>
  <c r="AX161" i="48"/>
  <c r="AX76" i="48"/>
  <c r="AX129" i="48"/>
  <c r="AX145" i="48"/>
  <c r="AX132" i="48"/>
  <c r="AX73" i="48"/>
  <c r="AX57" i="48"/>
  <c r="AX72" i="48"/>
  <c r="AX77" i="48"/>
  <c r="AX74" i="48"/>
  <c r="AX147" i="48"/>
  <c r="AX118" i="48"/>
  <c r="AX117" i="48"/>
  <c r="AX59" i="48"/>
  <c r="AX200" i="48"/>
  <c r="AX201" i="48"/>
  <c r="AX202" i="48"/>
  <c r="AX204" i="48"/>
  <c r="AX205" i="48"/>
  <c r="AX206" i="48"/>
  <c r="AX137" i="48"/>
  <c r="AX131" i="48"/>
  <c r="AX42" i="48"/>
  <c r="AX136" i="48"/>
  <c r="AX141" i="48"/>
  <c r="AX103" i="48"/>
  <c r="AX184" i="48"/>
  <c r="AX140" i="48"/>
  <c r="AX39" i="48"/>
  <c r="AX142" i="48"/>
  <c r="AX133" i="48"/>
  <c r="AX104" i="48"/>
  <c r="AX79" i="48"/>
  <c r="AX78" i="48"/>
  <c r="AX37" i="48"/>
  <c r="AX49" i="48"/>
  <c r="AX229" i="48"/>
  <c r="AX35" i="48"/>
  <c r="AX221" i="48"/>
  <c r="AX110" i="48"/>
  <c r="AX101" i="48"/>
  <c r="AX102" i="48"/>
  <c r="AX223" i="48"/>
  <c r="AX84" i="48"/>
  <c r="AX253" i="48"/>
  <c r="AX36" i="48"/>
  <c r="AX243" i="48"/>
  <c r="AX214" i="48"/>
  <c r="AX251" i="48"/>
  <c r="AX239" i="48"/>
  <c r="AX220" i="48"/>
  <c r="AX240" i="48"/>
  <c r="AX234" i="48"/>
  <c r="AX233" i="48"/>
  <c r="AX218" i="48"/>
  <c r="AX225" i="48"/>
  <c r="AX228" i="48"/>
  <c r="AX82" i="48"/>
  <c r="AX107" i="48"/>
  <c r="AX168" i="48"/>
  <c r="AX167" i="48"/>
  <c r="AX97" i="48"/>
  <c r="AX166" i="48"/>
  <c r="AX106" i="48"/>
  <c r="AX96" i="48"/>
  <c r="AX114" i="48"/>
  <c r="AX135" i="48"/>
  <c r="AX130" i="48"/>
  <c r="AX81" i="48"/>
  <c r="AX165" i="48"/>
  <c r="AX105" i="48"/>
  <c r="AX93" i="48"/>
  <c r="AX108" i="48"/>
  <c r="AX52" i="48"/>
  <c r="AX100" i="48"/>
  <c r="AX26" i="48"/>
  <c r="AX232" i="48"/>
  <c r="AX146" i="48"/>
  <c r="AX31" i="48"/>
  <c r="AX11" i="48"/>
  <c r="AX158" i="48"/>
  <c r="AX51" i="48"/>
  <c r="AX144" i="48"/>
  <c r="AM210" i="48"/>
  <c r="BJ70" i="48"/>
  <c r="BJ63" i="48"/>
  <c r="AM203" i="48"/>
  <c r="AM145" i="48"/>
  <c r="BJ5" i="48"/>
  <c r="AM225" i="48"/>
  <c r="BJ85" i="48"/>
  <c r="AM243" i="48"/>
  <c r="BJ103" i="48"/>
  <c r="BJ9" i="48"/>
  <c r="AM149" i="48"/>
  <c r="AM182" i="48"/>
  <c r="BJ42" i="48"/>
  <c r="BJ110" i="48"/>
  <c r="AM250" i="48"/>
  <c r="AX169" i="48"/>
  <c r="AX113" i="48"/>
  <c r="BJ16" i="48"/>
  <c r="AM156" i="48"/>
  <c r="BJ17" i="48"/>
  <c r="AM157" i="48"/>
  <c r="BJ61" i="48"/>
  <c r="AM201" i="48"/>
  <c r="AM208" i="48"/>
  <c r="BJ68" i="48"/>
  <c r="BJ91" i="48"/>
  <c r="AM231" i="48"/>
  <c r="AM212" i="48"/>
  <c r="BJ72" i="48"/>
  <c r="AM237" i="48"/>
  <c r="BJ97" i="48"/>
  <c r="BJ51" i="48"/>
  <c r="AM191" i="48"/>
  <c r="AX22" i="48"/>
  <c r="AM246" i="48"/>
  <c r="BJ106" i="48"/>
  <c r="AX134" i="48"/>
  <c r="BJ18" i="48"/>
  <c r="AM158" i="48"/>
  <c r="AX80" i="48"/>
  <c r="BJ28" i="48"/>
  <c r="AM168" i="48"/>
  <c r="AM249" i="48"/>
  <c r="BJ109" i="48"/>
  <c r="AM236" i="48"/>
  <c r="BJ96" i="48"/>
  <c r="BJ90" i="48"/>
  <c r="AM230" i="48"/>
  <c r="AX109" i="48"/>
  <c r="AM189" i="48"/>
  <c r="BJ49" i="48"/>
  <c r="BJ15" i="48"/>
  <c r="AM155" i="48"/>
  <c r="AX226" i="48"/>
  <c r="AM234" i="48"/>
  <c r="BJ94" i="48"/>
  <c r="AM187" i="48"/>
  <c r="BJ47" i="48"/>
  <c r="BJ64" i="48"/>
  <c r="AM204" i="48"/>
  <c r="AX148" i="48"/>
  <c r="AM217" i="48"/>
  <c r="BJ77" i="48"/>
  <c r="BJ34" i="48"/>
  <c r="AM174" i="48"/>
  <c r="BJ54" i="48"/>
  <c r="AM194" i="48"/>
  <c r="BJ102" i="48"/>
  <c r="AM242" i="48"/>
  <c r="AM188" i="48"/>
  <c r="BJ48" i="48"/>
  <c r="BJ84" i="48"/>
  <c r="AM224" i="48"/>
  <c r="BJ32" i="48"/>
  <c r="AM172" i="48"/>
  <c r="BJ65" i="48"/>
  <c r="AM205" i="48"/>
  <c r="AM244" i="48"/>
  <c r="BJ104" i="48"/>
  <c r="AM228" i="48"/>
  <c r="BJ88" i="48"/>
  <c r="AM229" i="48"/>
  <c r="BJ89" i="48"/>
  <c r="AM175" i="48"/>
  <c r="BJ35" i="48"/>
  <c r="BJ40" i="48"/>
  <c r="AM180" i="48"/>
  <c r="BJ73" i="48"/>
  <c r="AM213" i="48"/>
  <c r="AM197" i="48"/>
  <c r="BJ57" i="48"/>
  <c r="AM215" i="48"/>
  <c r="BJ75" i="48"/>
  <c r="AX14" i="48"/>
  <c r="AX178" i="48"/>
  <c r="AM206" i="48"/>
  <c r="BJ66" i="48"/>
  <c r="BJ107" i="48"/>
  <c r="AM247" i="48"/>
  <c r="BJ29" i="48"/>
  <c r="AM169" i="48"/>
  <c r="AM239" i="48"/>
  <c r="BJ99" i="48"/>
  <c r="AM176" i="48"/>
  <c r="BJ36" i="48"/>
  <c r="BJ81" i="48"/>
  <c r="AM221" i="48"/>
  <c r="AM235" i="48"/>
  <c r="BJ95" i="48"/>
  <c r="AM238" i="48"/>
  <c r="BJ98" i="48"/>
  <c r="AM222" i="48"/>
  <c r="BJ82" i="48"/>
  <c r="AX50" i="48"/>
  <c r="AX121" i="48"/>
  <c r="AX34" i="48"/>
  <c r="AM163" i="48"/>
  <c r="BJ23" i="48"/>
  <c r="BJ10" i="48"/>
  <c r="AM150" i="48"/>
  <c r="AM209" i="48"/>
  <c r="BJ69" i="48"/>
  <c r="AM186" i="48"/>
  <c r="BJ46" i="48"/>
  <c r="BJ21" i="48"/>
  <c r="AM161" i="48"/>
  <c r="BJ105" i="48"/>
  <c r="AM245" i="48"/>
  <c r="BJ6" i="48"/>
  <c r="AM146" i="48"/>
  <c r="BJ20" i="48"/>
  <c r="AM160" i="48"/>
  <c r="AM218" i="48"/>
  <c r="BJ78" i="48"/>
  <c r="AX157" i="48"/>
  <c r="AX45" i="48"/>
  <c r="BJ44" i="48"/>
  <c r="AM184" i="48"/>
  <c r="BJ27" i="48"/>
  <c r="AM167" i="48"/>
  <c r="BJ30" i="48"/>
  <c r="AM170" i="48"/>
  <c r="BJ80" i="48"/>
  <c r="AM220" i="48"/>
  <c r="AM183" i="48"/>
  <c r="BJ43" i="48"/>
  <c r="AM165" i="48"/>
  <c r="BJ25" i="48"/>
  <c r="AX95" i="48"/>
  <c r="BJ53" i="48"/>
  <c r="AM193" i="48"/>
  <c r="AM196" i="48"/>
  <c r="BJ56" i="48"/>
  <c r="AX70" i="48"/>
  <c r="AM219" i="48"/>
  <c r="BJ79" i="48"/>
  <c r="BJ38" i="48"/>
  <c r="AM178" i="48"/>
  <c r="AM181" i="48"/>
  <c r="BJ41" i="48"/>
  <c r="BJ2" i="48"/>
  <c r="BM4" i="48"/>
  <c r="BM6" i="48" s="1"/>
  <c r="AO50" i="54" s="1"/>
  <c r="AO50" i="55" s="1"/>
  <c r="AM142" i="48"/>
  <c r="AM223" i="48"/>
  <c r="BJ83" i="48"/>
  <c r="AX187" i="48"/>
  <c r="AM198" i="48"/>
  <c r="BJ58" i="48"/>
  <c r="BJ12" i="48"/>
  <c r="AM152" i="48"/>
  <c r="BJ111" i="48"/>
  <c r="AM251" i="48"/>
  <c r="BJ76" i="48"/>
  <c r="AM216" i="48"/>
  <c r="AM153" i="48"/>
  <c r="BJ13" i="48"/>
  <c r="BJ33" i="48"/>
  <c r="AM173" i="48"/>
  <c r="AX186" i="48"/>
  <c r="AX48" i="48"/>
  <c r="BJ67" i="48"/>
  <c r="AM207" i="48"/>
  <c r="AM214" i="48"/>
  <c r="BJ74" i="48"/>
  <c r="AM144" i="48"/>
  <c r="BJ4" i="48"/>
  <c r="AM148" i="48"/>
  <c r="BJ8" i="48"/>
  <c r="AX139" i="48"/>
  <c r="AX183" i="48"/>
  <c r="BJ45" i="48"/>
  <c r="AM185" i="48"/>
  <c r="AM154" i="48"/>
  <c r="BJ14" i="48"/>
  <c r="AM192" i="48"/>
  <c r="BJ52" i="48"/>
  <c r="AX215" i="48"/>
  <c r="AM195" i="48"/>
  <c r="BJ55" i="48"/>
  <c r="AM162" i="48"/>
  <c r="BJ22" i="48"/>
  <c r="AM151" i="48"/>
  <c r="BJ11" i="48"/>
  <c r="AM241" i="48"/>
  <c r="BJ101" i="48"/>
  <c r="AM240" i="48"/>
  <c r="BJ100" i="48"/>
  <c r="AM164" i="48"/>
  <c r="BJ24" i="48"/>
  <c r="AM147" i="48"/>
  <c r="BJ7" i="48"/>
  <c r="BJ19" i="48"/>
  <c r="AM159" i="48"/>
  <c r="AM232" i="48"/>
  <c r="BJ92" i="48"/>
  <c r="BJ108" i="48"/>
  <c r="AM248" i="48"/>
  <c r="AX138" i="48"/>
  <c r="AM190" i="48"/>
  <c r="BJ50" i="48"/>
  <c r="AX185" i="48"/>
  <c r="AX20" i="48"/>
  <c r="BJ86" i="48"/>
  <c r="AM226" i="48"/>
  <c r="BJ31" i="48"/>
  <c r="AM171" i="48"/>
  <c r="AM202" i="48"/>
  <c r="BJ62" i="48"/>
  <c r="AM143" i="48"/>
  <c r="BJ3" i="48"/>
  <c r="AM179" i="48"/>
  <c r="BJ39" i="48"/>
  <c r="BJ93" i="48"/>
  <c r="AM233" i="48"/>
  <c r="AX61" i="48"/>
  <c r="AM199" i="48"/>
  <c r="BJ59" i="48"/>
  <c r="AX16" i="48"/>
  <c r="AM177" i="48"/>
  <c r="BJ37" i="48"/>
  <c r="AM166" i="48"/>
  <c r="BJ26" i="48"/>
  <c r="BJ60" i="48"/>
  <c r="AM200" i="48"/>
  <c r="AM211" i="48"/>
  <c r="BJ71" i="48"/>
  <c r="BJ87" i="48"/>
  <c r="AM227" i="48"/>
  <c r="AX111" i="48"/>
  <c r="AX143" i="48"/>
  <c r="T151" i="44" l="1"/>
  <c r="T121" i="44"/>
  <c r="AO35" i="54"/>
  <c r="AO35" i="55" s="1"/>
  <c r="AO150" i="54"/>
  <c r="AO150" i="55" s="1"/>
  <c r="AO85" i="54"/>
  <c r="AO85" i="55" s="1"/>
  <c r="T105" i="44"/>
  <c r="AO147" i="54"/>
  <c r="AO147" i="55" s="1"/>
  <c r="T162" i="44"/>
  <c r="AO149" i="54"/>
  <c r="AO149" i="55" s="1"/>
  <c r="T173" i="44"/>
  <c r="AO162" i="54"/>
  <c r="AO162" i="55" s="1"/>
  <c r="T18" i="44"/>
  <c r="T84" i="44"/>
  <c r="BE167" i="48"/>
  <c r="T75" i="44"/>
  <c r="T13" i="44"/>
  <c r="AO94" i="54"/>
  <c r="AO94" i="55" s="1"/>
  <c r="T115" i="44"/>
  <c r="T88" i="44"/>
  <c r="AO78" i="54"/>
  <c r="AO78" i="55" s="1"/>
  <c r="AO69" i="54"/>
  <c r="AO69" i="55" s="1"/>
  <c r="T12" i="44"/>
  <c r="T63" i="44"/>
  <c r="T141" i="44"/>
  <c r="T199" i="44"/>
  <c r="AO36" i="54"/>
  <c r="AO36" i="55" s="1"/>
  <c r="AO120" i="54"/>
  <c r="AO120" i="55" s="1"/>
  <c r="AO219" i="54"/>
  <c r="AO219" i="55" s="1"/>
  <c r="T9" i="44"/>
  <c r="AO66" i="54"/>
  <c r="AO66" i="55" s="1"/>
  <c r="T149" i="44"/>
  <c r="AO220" i="54"/>
  <c r="AO220" i="55" s="1"/>
  <c r="AO132" i="54"/>
  <c r="AO132" i="55" s="1"/>
  <c r="AO145" i="54"/>
  <c r="AO145" i="55" s="1"/>
  <c r="AO76" i="54"/>
  <c r="AO76" i="55" s="1"/>
  <c r="AO130" i="54"/>
  <c r="AO130" i="55" s="1"/>
  <c r="T98" i="44"/>
  <c r="BE191" i="48"/>
  <c r="BE196" i="48"/>
  <c r="T86" i="44"/>
  <c r="T130" i="44"/>
  <c r="T95" i="44"/>
  <c r="AO110" i="54"/>
  <c r="AO110" i="55" s="1"/>
  <c r="T58" i="44"/>
  <c r="T8" i="44"/>
  <c r="AO61" i="54"/>
  <c r="AO61" i="55" s="1"/>
  <c r="AO125" i="54"/>
  <c r="AO125" i="55" s="1"/>
  <c r="AO6" i="54"/>
  <c r="AO6" i="55" s="1"/>
  <c r="AO158" i="54"/>
  <c r="AO158" i="55" s="1"/>
  <c r="BE62" i="48"/>
  <c r="T119" i="44"/>
  <c r="AO154" i="54"/>
  <c r="AO154" i="55" s="1"/>
  <c r="T140" i="44"/>
  <c r="AO18" i="54"/>
  <c r="AO18" i="55" s="1"/>
  <c r="T191" i="44"/>
  <c r="T189" i="44"/>
  <c r="T137" i="44"/>
  <c r="BE170" i="48"/>
  <c r="AO70" i="54"/>
  <c r="AO70" i="55" s="1"/>
  <c r="T91" i="44"/>
  <c r="AO109" i="54"/>
  <c r="AO109" i="55" s="1"/>
  <c r="T32" i="44"/>
  <c r="T120" i="44"/>
  <c r="AO88" i="54"/>
  <c r="AO88" i="55" s="1"/>
  <c r="AO169" i="54"/>
  <c r="AO169" i="55" s="1"/>
  <c r="BE159" i="48"/>
  <c r="T220" i="44"/>
  <c r="T148" i="44"/>
  <c r="AO104" i="54"/>
  <c r="AO104" i="55" s="1"/>
  <c r="BE141" i="48"/>
  <c r="BE171" i="48"/>
  <c r="AO151" i="54"/>
  <c r="AO151" i="55" s="1"/>
  <c r="T206" i="44"/>
  <c r="AO137" i="54"/>
  <c r="AO137" i="55" s="1"/>
  <c r="AH166" i="48"/>
  <c r="T111" i="44"/>
  <c r="AO187" i="54"/>
  <c r="AO187" i="55" s="1"/>
  <c r="T61" i="44"/>
  <c r="T59" i="44"/>
  <c r="AO9" i="54"/>
  <c r="AO9" i="55" s="1"/>
  <c r="T46" i="44"/>
  <c r="AH177" i="48"/>
  <c r="BE45" i="48"/>
  <c r="AH211" i="48"/>
  <c r="BE39" i="48"/>
  <c r="BE164" i="48"/>
  <c r="BE60" i="48"/>
  <c r="BE195" i="48"/>
  <c r="AH179" i="48"/>
  <c r="BE86" i="48"/>
  <c r="BE19" i="48"/>
  <c r="BE146" i="48"/>
  <c r="BE26" i="48"/>
  <c r="AO89" i="54"/>
  <c r="AO89" i="55" s="1"/>
  <c r="AO160" i="54"/>
  <c r="AO160" i="55" s="1"/>
  <c r="BE184" i="48"/>
  <c r="T158" i="44"/>
  <c r="AO34" i="54"/>
  <c r="AO34" i="55" s="1"/>
  <c r="AH151" i="48"/>
  <c r="T30" i="44"/>
  <c r="BE147" i="48"/>
  <c r="T73" i="44"/>
  <c r="T35" i="44"/>
  <c r="T69" i="44"/>
  <c r="BE67" i="48"/>
  <c r="BE187" i="48"/>
  <c r="BE122" i="48"/>
  <c r="AO202" i="54"/>
  <c r="AO202" i="55" s="1"/>
  <c r="AH223" i="48"/>
  <c r="AO159" i="54"/>
  <c r="AO159" i="55" s="1"/>
  <c r="T90" i="44"/>
  <c r="BE53" i="48"/>
  <c r="AO121" i="54"/>
  <c r="AO121" i="55" s="1"/>
  <c r="AH170" i="48"/>
  <c r="BE194" i="48"/>
  <c r="AH160" i="48"/>
  <c r="BE21" i="48"/>
  <c r="BE10" i="48"/>
  <c r="BE198" i="48"/>
  <c r="AO163" i="54"/>
  <c r="AO163" i="55" s="1"/>
  <c r="AO75" i="54"/>
  <c r="AO75" i="55" s="1"/>
  <c r="BE95" i="48"/>
  <c r="BE99" i="48"/>
  <c r="T122" i="44"/>
  <c r="BE117" i="48"/>
  <c r="AH215" i="48"/>
  <c r="BE40" i="48"/>
  <c r="AH228" i="48"/>
  <c r="AH172" i="48"/>
  <c r="T118" i="44"/>
  <c r="BE129" i="48"/>
  <c r="AH217" i="48"/>
  <c r="AH187" i="48"/>
  <c r="AH189" i="48"/>
  <c r="BE109" i="48"/>
  <c r="BE177" i="48"/>
  <c r="BE140" i="48"/>
  <c r="BE139" i="48"/>
  <c r="AH191" i="48"/>
  <c r="BE72" i="48"/>
  <c r="BE158" i="48"/>
  <c r="BE176" i="48"/>
  <c r="AO144" i="54"/>
  <c r="AO144" i="55" s="1"/>
  <c r="AO63" i="54"/>
  <c r="AO63" i="55" s="1"/>
  <c r="BE85" i="48"/>
  <c r="AH210" i="48"/>
  <c r="AO105" i="54"/>
  <c r="AO105" i="55" s="1"/>
  <c r="T44" i="44"/>
  <c r="AO7" i="54"/>
  <c r="AO7" i="55" s="1"/>
  <c r="T21" i="44"/>
  <c r="AH248" i="48"/>
  <c r="BE172" i="48"/>
  <c r="BE22" i="48"/>
  <c r="BE125" i="48"/>
  <c r="BE13" i="48"/>
  <c r="AH152" i="48"/>
  <c r="BE113" i="48"/>
  <c r="BE116" i="48"/>
  <c r="BE41" i="48"/>
  <c r="BE152" i="48"/>
  <c r="BE30" i="48"/>
  <c r="BE126" i="48"/>
  <c r="BE144" i="48"/>
  <c r="BE20" i="48"/>
  <c r="BE46" i="48"/>
  <c r="BE112" i="48"/>
  <c r="BE82" i="48"/>
  <c r="AH235" i="48"/>
  <c r="AH239" i="48"/>
  <c r="T65" i="44"/>
  <c r="BE183" i="48"/>
  <c r="T70" i="44"/>
  <c r="BE35" i="48"/>
  <c r="BE162" i="48"/>
  <c r="BE32" i="48"/>
  <c r="AO221" i="54"/>
  <c r="AO221" i="55" s="1"/>
  <c r="AH194" i="48"/>
  <c r="T85" i="44"/>
  <c r="BE94" i="48"/>
  <c r="AH249" i="48"/>
  <c r="BE188" i="48"/>
  <c r="T127" i="44"/>
  <c r="BE51" i="48"/>
  <c r="AH212" i="48"/>
  <c r="BE68" i="48"/>
  <c r="AH157" i="48"/>
  <c r="BE42" i="48"/>
  <c r="AH225" i="48"/>
  <c r="AO12" i="54"/>
  <c r="AO12" i="55" s="1"/>
  <c r="T92" i="44"/>
  <c r="AO71" i="54"/>
  <c r="AO71" i="55" s="1"/>
  <c r="AO93" i="54"/>
  <c r="AO93" i="55" s="1"/>
  <c r="T19" i="44"/>
  <c r="AH202" i="48"/>
  <c r="BE108" i="48"/>
  <c r="BE165" i="48"/>
  <c r="BE24" i="48"/>
  <c r="BE100" i="48"/>
  <c r="AH162" i="48"/>
  <c r="BE138" i="48"/>
  <c r="BE4" i="48"/>
  <c r="AH153" i="48"/>
  <c r="BE12" i="48"/>
  <c r="AH105" i="48"/>
  <c r="AH17" i="48"/>
  <c r="AH45" i="48"/>
  <c r="AH82" i="48"/>
  <c r="AH125" i="48"/>
  <c r="AH73" i="48"/>
  <c r="AH116" i="48"/>
  <c r="AH10" i="48"/>
  <c r="AH90" i="48"/>
  <c r="AH112" i="48"/>
  <c r="AH100" i="48"/>
  <c r="AH31" i="48"/>
  <c r="AH281" i="48"/>
  <c r="AH87" i="48"/>
  <c r="AH28" i="48"/>
  <c r="AH64" i="48"/>
  <c r="AH35" i="48"/>
  <c r="AH284" i="48"/>
  <c r="AH267" i="48"/>
  <c r="AH268" i="48"/>
  <c r="AH34" i="48"/>
  <c r="AH97" i="48"/>
  <c r="AH287" i="48"/>
  <c r="AH57" i="48"/>
  <c r="AH113" i="48"/>
  <c r="AH22" i="48"/>
  <c r="AH68" i="48"/>
  <c r="AH19" i="48"/>
  <c r="AH44" i="48"/>
  <c r="AH79" i="48"/>
  <c r="AH115" i="48"/>
  <c r="AH118" i="48"/>
  <c r="AH67" i="48"/>
  <c r="AH109" i="48"/>
  <c r="AH94" i="48"/>
  <c r="AH123" i="48"/>
  <c r="AH271" i="48"/>
  <c r="AH30" i="48"/>
  <c r="AH119" i="48"/>
  <c r="AH14" i="48"/>
  <c r="AH274" i="48"/>
  <c r="AH52" i="48"/>
  <c r="AH84" i="48"/>
  <c r="AH282" i="48"/>
  <c r="AH3" i="48"/>
  <c r="AH8" i="48"/>
  <c r="AH254" i="48"/>
  <c r="AH259" i="48"/>
  <c r="AH103" i="48"/>
  <c r="AH140" i="48"/>
  <c r="AH13" i="48"/>
  <c r="AH18" i="48"/>
  <c r="AH75" i="48"/>
  <c r="AH99" i="48"/>
  <c r="AH7" i="48"/>
  <c r="AH80" i="48"/>
  <c r="AH40" i="48"/>
  <c r="AH294" i="48"/>
  <c r="AH74" i="48"/>
  <c r="AH297" i="48"/>
  <c r="AH298" i="48"/>
  <c r="AH32" i="48"/>
  <c r="AH12" i="48"/>
  <c r="AH55" i="48"/>
  <c r="AH72" i="48"/>
  <c r="AH51" i="48"/>
  <c r="AH70" i="48"/>
  <c r="AH296" i="48"/>
  <c r="AH142" i="48"/>
  <c r="AH37" i="48"/>
  <c r="AH134" i="48"/>
  <c r="AH299" i="48"/>
  <c r="AH62" i="48"/>
  <c r="AH107" i="48"/>
  <c r="AH86" i="48"/>
  <c r="AH110" i="48"/>
  <c r="AH111" i="48"/>
  <c r="AH138" i="48"/>
  <c r="AH21" i="48"/>
  <c r="AH6" i="48"/>
  <c r="AH5" i="48"/>
  <c r="AH252" i="48"/>
  <c r="AH132" i="48"/>
  <c r="AH275" i="48"/>
  <c r="AH262" i="48"/>
  <c r="AH265" i="48"/>
  <c r="AH27" i="48"/>
  <c r="AH272" i="48"/>
  <c r="AH36" i="48"/>
  <c r="AH264" i="48"/>
  <c r="AH16" i="48"/>
  <c r="AH266" i="48"/>
  <c r="AH120" i="48"/>
  <c r="AH124" i="48"/>
  <c r="AH20" i="48"/>
  <c r="AH63" i="48"/>
  <c r="AH29" i="48"/>
  <c r="AH101" i="48"/>
  <c r="AH39" i="48"/>
  <c r="AH92" i="48"/>
  <c r="AH137" i="48"/>
  <c r="AH43" i="48"/>
  <c r="AH83" i="48"/>
  <c r="AH38" i="48"/>
  <c r="AH11" i="48"/>
  <c r="AH300" i="48"/>
  <c r="AH50" i="48"/>
  <c r="AH65" i="48"/>
  <c r="AH260" i="48"/>
  <c r="AH289" i="48"/>
  <c r="AH117" i="48"/>
  <c r="AH280" i="48"/>
  <c r="AH9" i="48"/>
  <c r="AH295" i="48"/>
  <c r="AH108" i="48"/>
  <c r="AH301" i="48"/>
  <c r="AH95" i="48"/>
  <c r="AH273" i="48"/>
  <c r="AH71" i="48"/>
  <c r="AH69" i="48"/>
  <c r="AH59" i="48"/>
  <c r="AH61" i="48"/>
  <c r="AH136" i="48"/>
  <c r="AH46" i="48"/>
  <c r="AH141" i="48"/>
  <c r="AH42" i="48"/>
  <c r="AH129" i="48"/>
  <c r="AH24" i="48"/>
  <c r="AH131" i="48"/>
  <c r="AH257" i="48"/>
  <c r="AH261" i="48"/>
  <c r="AH89" i="48"/>
  <c r="AH60" i="48"/>
  <c r="AH270" i="48"/>
  <c r="AH130" i="48"/>
  <c r="AH293" i="48"/>
  <c r="AH2" i="48"/>
  <c r="AH277" i="48"/>
  <c r="AH48" i="48"/>
  <c r="AH263" i="48"/>
  <c r="AH114" i="48"/>
  <c r="AH291" i="48"/>
  <c r="AH66" i="48"/>
  <c r="AH139" i="48"/>
  <c r="AH47" i="48"/>
  <c r="AH77" i="48"/>
  <c r="AH88" i="48"/>
  <c r="AH76" i="48"/>
  <c r="AH122" i="48"/>
  <c r="AH104" i="48"/>
  <c r="AH81" i="48"/>
  <c r="AH58" i="48"/>
  <c r="AH98" i="48"/>
  <c r="AH292" i="48"/>
  <c r="AH290" i="48"/>
  <c r="AH256" i="48"/>
  <c r="AH135" i="48"/>
  <c r="AH53" i="48"/>
  <c r="AH258" i="48"/>
  <c r="AH283" i="48"/>
  <c r="AH285" i="48"/>
  <c r="AH276" i="48"/>
  <c r="AH41" i="48"/>
  <c r="AH102" i="48"/>
  <c r="AH128" i="48"/>
  <c r="AH278" i="48"/>
  <c r="AH54" i="48"/>
  <c r="AH85" i="48"/>
  <c r="AH33" i="48"/>
  <c r="AH269" i="48"/>
  <c r="AH93" i="48"/>
  <c r="AH15" i="48"/>
  <c r="AH133" i="48"/>
  <c r="AH96" i="48"/>
  <c r="AH91" i="48"/>
  <c r="AH286" i="48"/>
  <c r="AH78" i="48"/>
  <c r="AH127" i="48"/>
  <c r="AH25" i="48"/>
  <c r="AH49" i="48"/>
  <c r="AH279" i="48"/>
  <c r="AH288" i="48"/>
  <c r="AH4" i="48"/>
  <c r="AH121" i="48"/>
  <c r="AH106" i="48"/>
  <c r="AH23" i="48"/>
  <c r="AH255" i="48"/>
  <c r="AH26" i="48"/>
  <c r="AH56" i="48"/>
  <c r="AH126" i="48"/>
  <c r="AH253" i="48"/>
  <c r="AH181" i="48"/>
  <c r="BE186" i="48"/>
  <c r="BE192" i="48"/>
  <c r="BE119" i="48"/>
  <c r="BE137" i="48"/>
  <c r="AH186" i="48"/>
  <c r="AO178" i="54"/>
  <c r="AO178" i="55" s="1"/>
  <c r="AO131" i="54"/>
  <c r="AO131" i="55" s="1"/>
  <c r="AH222" i="48"/>
  <c r="BE131" i="48"/>
  <c r="T161" i="44"/>
  <c r="AO103" i="54"/>
  <c r="AO103" i="55" s="1"/>
  <c r="AO42" i="54"/>
  <c r="AO42" i="55" s="1"/>
  <c r="T5" i="44"/>
  <c r="AH175" i="48"/>
  <c r="BE104" i="48"/>
  <c r="AH224" i="48"/>
  <c r="T155" i="44"/>
  <c r="BE54" i="48"/>
  <c r="BE182" i="48"/>
  <c r="AH234" i="48"/>
  <c r="AO40" i="54"/>
  <c r="AO40" i="55" s="1"/>
  <c r="T156" i="44"/>
  <c r="T50" i="44"/>
  <c r="BE120" i="48"/>
  <c r="T145" i="44"/>
  <c r="BE135" i="48"/>
  <c r="AO161" i="54"/>
  <c r="AO161" i="55" s="1"/>
  <c r="AH208" i="48"/>
  <c r="BE17" i="48"/>
  <c r="AH182" i="48"/>
  <c r="BE5" i="48"/>
  <c r="AO32" i="54"/>
  <c r="AO32" i="55" s="1"/>
  <c r="AO58" i="54"/>
  <c r="AO58" i="55" s="1"/>
  <c r="T76" i="44"/>
  <c r="T62" i="44"/>
  <c r="BE132" i="48"/>
  <c r="AH171" i="48"/>
  <c r="BE128" i="48"/>
  <c r="BE92" i="48"/>
  <c r="AH164" i="48"/>
  <c r="AH240" i="48"/>
  <c r="BE55" i="48"/>
  <c r="BE52" i="48"/>
  <c r="BE130" i="48"/>
  <c r="BE193" i="48"/>
  <c r="AH144" i="48"/>
  <c r="AH216" i="48"/>
  <c r="BE148" i="48"/>
  <c r="F10" i="44"/>
  <c r="F54" i="44"/>
  <c r="N35" i="54"/>
  <c r="N35" i="55" s="1"/>
  <c r="N60" i="54"/>
  <c r="N60" i="55" s="1"/>
  <c r="N10" i="54"/>
  <c r="N10" i="55" s="1"/>
  <c r="F6" i="44"/>
  <c r="N17" i="54"/>
  <c r="N17" i="55" s="1"/>
  <c r="N24" i="54"/>
  <c r="N24" i="55" s="1"/>
  <c r="AZ61" i="54"/>
  <c r="AZ61" i="55" s="1"/>
  <c r="AZ49" i="54"/>
  <c r="AZ49" i="55" s="1"/>
  <c r="AZ25" i="54"/>
  <c r="AZ25" i="55" s="1"/>
  <c r="F13" i="44"/>
  <c r="AZ14" i="54"/>
  <c r="AZ14" i="55" s="1"/>
  <c r="AA69" i="44"/>
  <c r="AZ71" i="54"/>
  <c r="AZ71" i="55" s="1"/>
  <c r="AA24" i="44"/>
  <c r="AZ21" i="54"/>
  <c r="AZ21" i="55" s="1"/>
  <c r="AB149" i="54"/>
  <c r="AB149" i="55" s="1"/>
  <c r="AB74" i="54"/>
  <c r="AB74" i="55" s="1"/>
  <c r="M4" i="44"/>
  <c r="F46" i="44"/>
  <c r="F38" i="44"/>
  <c r="N61" i="54"/>
  <c r="N61" i="55" s="1"/>
  <c r="N14" i="54"/>
  <c r="N14" i="55" s="1"/>
  <c r="F50" i="44"/>
  <c r="N43" i="54"/>
  <c r="N43" i="55" s="1"/>
  <c r="F53" i="44"/>
  <c r="N22" i="54"/>
  <c r="N22" i="55" s="1"/>
  <c r="N40" i="54"/>
  <c r="N40" i="55" s="1"/>
  <c r="F55" i="44"/>
  <c r="N29" i="54"/>
  <c r="N29" i="55" s="1"/>
  <c r="N50" i="54"/>
  <c r="N50" i="55" s="1"/>
  <c r="AZ84" i="54"/>
  <c r="AZ84" i="55" s="1"/>
  <c r="AZ7" i="54"/>
  <c r="AZ7" i="55" s="1"/>
  <c r="AA8" i="44"/>
  <c r="AA65" i="44"/>
  <c r="AB66" i="54"/>
  <c r="AB66" i="55" s="1"/>
  <c r="AB35" i="54"/>
  <c r="AB35" i="55" s="1"/>
  <c r="M108" i="44"/>
  <c r="N63" i="54"/>
  <c r="N63" i="55" s="1"/>
  <c r="F27" i="44"/>
  <c r="N54" i="54"/>
  <c r="N54" i="55" s="1"/>
  <c r="F5" i="44"/>
  <c r="N67" i="54"/>
  <c r="N67" i="55" s="1"/>
  <c r="N12" i="54"/>
  <c r="N12" i="55" s="1"/>
  <c r="N44" i="54"/>
  <c r="N44" i="55" s="1"/>
  <c r="F19" i="44"/>
  <c r="N21" i="54"/>
  <c r="N21" i="55" s="1"/>
  <c r="F60" i="44"/>
  <c r="N32" i="54"/>
  <c r="N32" i="55" s="1"/>
  <c r="AA33" i="44"/>
  <c r="AZ80" i="54"/>
  <c r="AZ80" i="55" s="1"/>
  <c r="AA73" i="44"/>
  <c r="AA80" i="44"/>
  <c r="M161" i="44"/>
  <c r="M51" i="44"/>
  <c r="M124" i="44"/>
  <c r="N34" i="54"/>
  <c r="N34" i="55" s="1"/>
  <c r="N7" i="54"/>
  <c r="N7" i="55" s="1"/>
  <c r="N5" i="54"/>
  <c r="N5" i="55" s="1"/>
  <c r="F39" i="44"/>
  <c r="N33" i="54"/>
  <c r="N33" i="55" s="1"/>
  <c r="F18" i="44"/>
  <c r="N71" i="54"/>
  <c r="N71" i="55" s="1"/>
  <c r="N53" i="54"/>
  <c r="N53" i="55" s="1"/>
  <c r="N75" i="54"/>
  <c r="N75" i="55" s="1"/>
  <c r="F34" i="44"/>
  <c r="F51" i="44"/>
  <c r="F20" i="44"/>
  <c r="F26" i="44"/>
  <c r="AZ83" i="54"/>
  <c r="AZ83" i="55" s="1"/>
  <c r="AA36" i="44"/>
  <c r="AA61" i="44"/>
  <c r="AA3" i="44"/>
  <c r="M122" i="44"/>
  <c r="M157" i="44"/>
  <c r="M107" i="44"/>
  <c r="F59" i="44"/>
  <c r="F28" i="44"/>
  <c r="N79" i="54"/>
  <c r="N79" i="55" s="1"/>
  <c r="F63" i="44"/>
  <c r="F41" i="44"/>
  <c r="N41" i="54"/>
  <c r="N41" i="55" s="1"/>
  <c r="F11" i="44"/>
  <c r="F2" i="44"/>
  <c r="N19" i="54"/>
  <c r="N19" i="55" s="1"/>
  <c r="F75" i="44"/>
  <c r="AA27" i="44"/>
  <c r="AZ22" i="54"/>
  <c r="AZ22" i="55" s="1"/>
  <c r="N47" i="54"/>
  <c r="N47" i="55" s="1"/>
  <c r="N37" i="54"/>
  <c r="N37" i="55" s="1"/>
  <c r="AZ39" i="54"/>
  <c r="AZ39" i="55" s="1"/>
  <c r="AA9" i="44"/>
  <c r="M69" i="44"/>
  <c r="M82" i="44"/>
  <c r="AB133" i="54"/>
  <c r="AB133" i="55" s="1"/>
  <c r="F29" i="44"/>
  <c r="F43" i="44"/>
  <c r="F58" i="44"/>
  <c r="F44" i="44"/>
  <c r="AZ87" i="54"/>
  <c r="AZ87" i="55" s="1"/>
  <c r="F40" i="44"/>
  <c r="N30" i="54"/>
  <c r="N30" i="55" s="1"/>
  <c r="N3" i="54"/>
  <c r="N3" i="55" s="1"/>
  <c r="F12" i="44"/>
  <c r="N72" i="54"/>
  <c r="N72" i="55" s="1"/>
  <c r="AZ42" i="54"/>
  <c r="AZ42" i="55" s="1"/>
  <c r="N45" i="54"/>
  <c r="N45" i="55" s="1"/>
  <c r="N28" i="54"/>
  <c r="N28" i="55" s="1"/>
  <c r="AA59" i="44"/>
  <c r="AZ2" i="54"/>
  <c r="AZ2" i="55" s="1"/>
  <c r="AZ31" i="54"/>
  <c r="AZ31" i="55" s="1"/>
  <c r="AZ35" i="54"/>
  <c r="AZ35" i="55" s="1"/>
  <c r="N46" i="54"/>
  <c r="N46" i="55" s="1"/>
  <c r="N38" i="54"/>
  <c r="N38" i="55" s="1"/>
  <c r="AZ44" i="54"/>
  <c r="AZ44" i="55" s="1"/>
  <c r="AA88" i="44"/>
  <c r="AB119" i="54"/>
  <c r="AB119" i="55" s="1"/>
  <c r="N31" i="54"/>
  <c r="N31" i="55" s="1"/>
  <c r="N59" i="54"/>
  <c r="N59" i="55" s="1"/>
  <c r="N2" i="54"/>
  <c r="N2" i="55" s="1"/>
  <c r="AZ47" i="54"/>
  <c r="AZ47" i="55" s="1"/>
  <c r="AZ70" i="54"/>
  <c r="AZ70" i="55" s="1"/>
  <c r="F61" i="44"/>
  <c r="N48" i="54"/>
  <c r="N48" i="55" s="1"/>
  <c r="F23" i="44"/>
  <c r="N6" i="54"/>
  <c r="N6" i="55" s="1"/>
  <c r="AA68" i="44"/>
  <c r="N39" i="54"/>
  <c r="N39" i="55" s="1"/>
  <c r="F24" i="44"/>
  <c r="AA72" i="44"/>
  <c r="AZ69" i="54"/>
  <c r="AZ69" i="55" s="1"/>
  <c r="AA34" i="44"/>
  <c r="AZ58" i="54"/>
  <c r="AZ58" i="55" s="1"/>
  <c r="N65" i="54"/>
  <c r="N65" i="55" s="1"/>
  <c r="M48" i="44"/>
  <c r="F49" i="44"/>
  <c r="AZ51" i="54"/>
  <c r="AZ51" i="55" s="1"/>
  <c r="AZ18" i="54"/>
  <c r="AZ18" i="55" s="1"/>
  <c r="AA10" i="44"/>
  <c r="F62" i="44"/>
  <c r="N4" i="54"/>
  <c r="N4" i="55" s="1"/>
  <c r="AZ89" i="54"/>
  <c r="AZ89" i="55" s="1"/>
  <c r="AA13" i="44"/>
  <c r="AZ93" i="54"/>
  <c r="AZ93" i="55" s="1"/>
  <c r="AZ79" i="54"/>
  <c r="AZ79" i="55" s="1"/>
  <c r="AB82" i="54"/>
  <c r="AB82" i="55" s="1"/>
  <c r="M7" i="44"/>
  <c r="AB125" i="54"/>
  <c r="AB125" i="55" s="1"/>
  <c r="AB60" i="54"/>
  <c r="AB60" i="55" s="1"/>
  <c r="N49" i="54"/>
  <c r="N49" i="55" s="1"/>
  <c r="N56" i="54"/>
  <c r="N56" i="55" s="1"/>
  <c r="AZ24" i="54"/>
  <c r="AZ24" i="55" s="1"/>
  <c r="AA5" i="44"/>
  <c r="AA25" i="44"/>
  <c r="AA57" i="44"/>
  <c r="M6" i="44"/>
  <c r="AZ52" i="54"/>
  <c r="AZ52" i="55" s="1"/>
  <c r="AZ56" i="54"/>
  <c r="AZ56" i="55" s="1"/>
  <c r="M138" i="44"/>
  <c r="M88" i="44"/>
  <c r="AB57" i="54"/>
  <c r="AB57" i="55" s="1"/>
  <c r="AB135" i="54"/>
  <c r="AB135" i="55" s="1"/>
  <c r="F69" i="44"/>
  <c r="AB86" i="54"/>
  <c r="AB86" i="55" s="1"/>
  <c r="AB78" i="54"/>
  <c r="AB78" i="55" s="1"/>
  <c r="AB54" i="54"/>
  <c r="AB54" i="55" s="1"/>
  <c r="AB88" i="54"/>
  <c r="AB88" i="55" s="1"/>
  <c r="AZ82" i="54"/>
  <c r="AZ82" i="55" s="1"/>
  <c r="AA87" i="44"/>
  <c r="AB52" i="54"/>
  <c r="AB52" i="55" s="1"/>
  <c r="AB145" i="54"/>
  <c r="AB145" i="55" s="1"/>
  <c r="M126" i="44"/>
  <c r="AB101" i="54"/>
  <c r="AB101" i="55" s="1"/>
  <c r="N74" i="54"/>
  <c r="N74" i="55" s="1"/>
  <c r="AA77" i="44"/>
  <c r="AA16" i="44"/>
  <c r="AB27" i="54"/>
  <c r="AB27" i="55" s="1"/>
  <c r="M44" i="44"/>
  <c r="AB15" i="54"/>
  <c r="AB15" i="55" s="1"/>
  <c r="AB107" i="54"/>
  <c r="AB107" i="55" s="1"/>
  <c r="F66" i="44"/>
  <c r="M41" i="44"/>
  <c r="AA79" i="44"/>
  <c r="M17" i="44"/>
  <c r="M120" i="44"/>
  <c r="M103" i="44"/>
  <c r="AB100" i="54"/>
  <c r="AB100" i="55" s="1"/>
  <c r="AB83" i="54"/>
  <c r="AB83" i="55" s="1"/>
  <c r="AA47" i="44"/>
  <c r="AZ53" i="54"/>
  <c r="AZ53" i="55" s="1"/>
  <c r="AB49" i="54"/>
  <c r="AB49" i="55" s="1"/>
  <c r="M146" i="44"/>
  <c r="M85" i="44"/>
  <c r="AB159" i="54"/>
  <c r="AB159" i="55" s="1"/>
  <c r="AB31" i="54"/>
  <c r="AB31" i="55" s="1"/>
  <c r="AZ55" i="54"/>
  <c r="AZ55" i="55" s="1"/>
  <c r="AB153" i="54"/>
  <c r="AB153" i="55" s="1"/>
  <c r="AB67" i="54"/>
  <c r="AB67" i="55" s="1"/>
  <c r="AA63" i="44"/>
  <c r="AA18" i="44"/>
  <c r="M164" i="44"/>
  <c r="M67" i="44"/>
  <c r="M54" i="44"/>
  <c r="M14" i="44"/>
  <c r="M140" i="44"/>
  <c r="AA48" i="44"/>
  <c r="F15" i="44"/>
  <c r="AA86" i="44"/>
  <c r="F45" i="44"/>
  <c r="M61" i="44"/>
  <c r="F7" i="44"/>
  <c r="AA84" i="44"/>
  <c r="AA55" i="44"/>
  <c r="AZ34" i="54"/>
  <c r="AZ34" i="55" s="1"/>
  <c r="AA62" i="44"/>
  <c r="F3" i="44"/>
  <c r="N8" i="54"/>
  <c r="N8" i="55" s="1"/>
  <c r="AA74" i="44"/>
  <c r="AZ94" i="54"/>
  <c r="AZ94" i="55" s="1"/>
  <c r="AZ92" i="54"/>
  <c r="AZ92" i="55" s="1"/>
  <c r="AZ10" i="54"/>
  <c r="AZ10" i="55" s="1"/>
  <c r="M20" i="44"/>
  <c r="AB129" i="54"/>
  <c r="AB129" i="55" s="1"/>
  <c r="M152" i="44"/>
  <c r="AB34" i="54"/>
  <c r="AB34" i="55" s="1"/>
  <c r="F35" i="44"/>
  <c r="N52" i="54"/>
  <c r="N52" i="55" s="1"/>
  <c r="AA97" i="44"/>
  <c r="AZ81" i="54"/>
  <c r="AZ81" i="55" s="1"/>
  <c r="AZ68" i="54"/>
  <c r="AZ68" i="55" s="1"/>
  <c r="AB16" i="54"/>
  <c r="AB16" i="55" s="1"/>
  <c r="AA85" i="44"/>
  <c r="AZ20" i="54"/>
  <c r="AZ20" i="55" s="1"/>
  <c r="M71" i="44"/>
  <c r="M98" i="44"/>
  <c r="AB80" i="54"/>
  <c r="AB80" i="55" s="1"/>
  <c r="M79" i="44"/>
  <c r="F73" i="44"/>
  <c r="AZ29" i="54"/>
  <c r="AZ29" i="55" s="1"/>
  <c r="M49" i="44"/>
  <c r="AB132" i="54"/>
  <c r="AB132" i="55" s="1"/>
  <c r="AB140" i="54"/>
  <c r="AB140" i="55" s="1"/>
  <c r="M5" i="44"/>
  <c r="AB94" i="54"/>
  <c r="AB94" i="55" s="1"/>
  <c r="AB168" i="54"/>
  <c r="AB168" i="55" s="1"/>
  <c r="M121" i="44"/>
  <c r="M153" i="44"/>
  <c r="N66" i="54"/>
  <c r="N66" i="55" s="1"/>
  <c r="AA31" i="44"/>
  <c r="AB114" i="54"/>
  <c r="AB114" i="55" s="1"/>
  <c r="AB89" i="54"/>
  <c r="AB89" i="55" s="1"/>
  <c r="M127" i="44"/>
  <c r="AB30" i="54"/>
  <c r="AB30" i="55" s="1"/>
  <c r="N62" i="54"/>
  <c r="N62" i="55" s="1"/>
  <c r="AB124" i="54"/>
  <c r="AB124" i="55" s="1"/>
  <c r="AA101" i="44"/>
  <c r="M73" i="44"/>
  <c r="AB93" i="54"/>
  <c r="AB93" i="55" s="1"/>
  <c r="M94" i="44"/>
  <c r="M42" i="44"/>
  <c r="M141" i="44"/>
  <c r="AZ50" i="54"/>
  <c r="AZ50" i="55" s="1"/>
  <c r="AB46" i="54"/>
  <c r="AB46" i="55" s="1"/>
  <c r="AB7" i="54"/>
  <c r="AB7" i="55" s="1"/>
  <c r="M13" i="44"/>
  <c r="AB50" i="54"/>
  <c r="AB50" i="55" s="1"/>
  <c r="M123" i="44"/>
  <c r="AZ86" i="54"/>
  <c r="AZ86" i="55" s="1"/>
  <c r="AB48" i="54"/>
  <c r="AB48" i="55" s="1"/>
  <c r="AB18" i="54"/>
  <c r="AB18" i="55" s="1"/>
  <c r="AZ75" i="54"/>
  <c r="AZ75" i="55" s="1"/>
  <c r="AZ66" i="54"/>
  <c r="AZ66" i="55" s="1"/>
  <c r="AZ78" i="54"/>
  <c r="AZ78" i="55" s="1"/>
  <c r="M81" i="44"/>
  <c r="AB169" i="54"/>
  <c r="AB169" i="55" s="1"/>
  <c r="AB32" i="54"/>
  <c r="AB32" i="55" s="1"/>
  <c r="AB14" i="54"/>
  <c r="AB14" i="55" s="1"/>
  <c r="AZ90" i="54"/>
  <c r="AZ90" i="55" s="1"/>
  <c r="N13" i="54"/>
  <c r="N13" i="55" s="1"/>
  <c r="F37" i="44"/>
  <c r="AB111" i="54"/>
  <c r="AB111" i="55" s="1"/>
  <c r="F8" i="44"/>
  <c r="AA71" i="44"/>
  <c r="AZ32" i="54"/>
  <c r="AZ32" i="55" s="1"/>
  <c r="F47" i="44"/>
  <c r="F4" i="44"/>
  <c r="AA46" i="44"/>
  <c r="AA75" i="44"/>
  <c r="AB161" i="54"/>
  <c r="AB161" i="55" s="1"/>
  <c r="M171" i="44"/>
  <c r="M70" i="44"/>
  <c r="AB120" i="54"/>
  <c r="AB120" i="55" s="1"/>
  <c r="N36" i="54"/>
  <c r="N36" i="55" s="1"/>
  <c r="F56" i="44"/>
  <c r="AA28" i="44"/>
  <c r="AZ8" i="54"/>
  <c r="AZ8" i="55" s="1"/>
  <c r="M15" i="44"/>
  <c r="AA35" i="44"/>
  <c r="AZ64" i="54"/>
  <c r="AZ64" i="55" s="1"/>
  <c r="AA29" i="44"/>
  <c r="M116" i="44"/>
  <c r="AB81" i="54"/>
  <c r="AB81" i="55" s="1"/>
  <c r="AB171" i="54"/>
  <c r="AB171" i="55" s="1"/>
  <c r="M149" i="44"/>
  <c r="AZ73" i="54"/>
  <c r="AZ73" i="55" s="1"/>
  <c r="AZ30" i="54"/>
  <c r="AZ30" i="55" s="1"/>
  <c r="M117" i="44"/>
  <c r="M118" i="44"/>
  <c r="AB139" i="54"/>
  <c r="AB139" i="55" s="1"/>
  <c r="M125" i="44"/>
  <c r="AZ37" i="54"/>
  <c r="AZ37" i="55" s="1"/>
  <c r="AZ38" i="54"/>
  <c r="AZ38" i="55" s="1"/>
  <c r="M129" i="44"/>
  <c r="AB99" i="54"/>
  <c r="AB99" i="55" s="1"/>
  <c r="M25" i="44"/>
  <c r="AB24" i="54"/>
  <c r="AB24" i="55" s="1"/>
  <c r="N70" i="54"/>
  <c r="N70" i="55" s="1"/>
  <c r="AZ65" i="54"/>
  <c r="AZ65" i="55" s="1"/>
  <c r="AA76" i="44"/>
  <c r="AB123" i="54"/>
  <c r="AB123" i="55" s="1"/>
  <c r="M74" i="44"/>
  <c r="M166" i="44"/>
  <c r="M38" i="44"/>
  <c r="AB130" i="54"/>
  <c r="AB130" i="55" s="1"/>
  <c r="F78" i="44"/>
  <c r="AA81" i="44"/>
  <c r="M136" i="44"/>
  <c r="AB11" i="54"/>
  <c r="AB11" i="55" s="1"/>
  <c r="M19" i="44"/>
  <c r="AB138" i="54"/>
  <c r="AB138" i="55" s="1"/>
  <c r="M22" i="44"/>
  <c r="AA4" i="44"/>
  <c r="M16" i="44"/>
  <c r="M90" i="44"/>
  <c r="M160" i="44"/>
  <c r="M83" i="44"/>
  <c r="AB131" i="54"/>
  <c r="AB131" i="55" s="1"/>
  <c r="AZ63" i="54"/>
  <c r="AZ63" i="55" s="1"/>
  <c r="AB134" i="54"/>
  <c r="AB134" i="55" s="1"/>
  <c r="AB103" i="54"/>
  <c r="AB103" i="55" s="1"/>
  <c r="AA82" i="44"/>
  <c r="AB17" i="54"/>
  <c r="AB17" i="55" s="1"/>
  <c r="AB84" i="54"/>
  <c r="AB84" i="55" s="1"/>
  <c r="AB97" i="54"/>
  <c r="AB97" i="55" s="1"/>
  <c r="AB3" i="54"/>
  <c r="AB3" i="55" s="1"/>
  <c r="AB156" i="54"/>
  <c r="AB156" i="55" s="1"/>
  <c r="F65" i="44"/>
  <c r="AA41" i="44"/>
  <c r="F68" i="44"/>
  <c r="AB128" i="54"/>
  <c r="AB128" i="55" s="1"/>
  <c r="F32" i="44"/>
  <c r="AZ27" i="54"/>
  <c r="AZ27" i="55" s="1"/>
  <c r="N18" i="54"/>
  <c r="N18" i="55" s="1"/>
  <c r="N15" i="54"/>
  <c r="N15" i="55" s="1"/>
  <c r="AB160" i="54"/>
  <c r="AB160" i="55" s="1"/>
  <c r="M11" i="44"/>
  <c r="M27" i="44"/>
  <c r="AB118" i="54"/>
  <c r="AB118" i="55" s="1"/>
  <c r="N11" i="54"/>
  <c r="N11" i="55" s="1"/>
  <c r="N20" i="54"/>
  <c r="N20" i="55" s="1"/>
  <c r="M26" i="44"/>
  <c r="AA70" i="44"/>
  <c r="M53" i="44"/>
  <c r="AB41" i="54"/>
  <c r="AB41" i="55" s="1"/>
  <c r="AB85" i="54"/>
  <c r="AB85" i="55" s="1"/>
  <c r="AB47" i="54"/>
  <c r="AB47" i="55" s="1"/>
  <c r="M40" i="44"/>
  <c r="M2" i="44"/>
  <c r="AB116" i="54"/>
  <c r="AB116" i="55" s="1"/>
  <c r="AB29" i="54"/>
  <c r="AB29" i="55" s="1"/>
  <c r="AZ15" i="54"/>
  <c r="AZ15" i="55" s="1"/>
  <c r="AB77" i="54"/>
  <c r="AB77" i="55" s="1"/>
  <c r="AB117" i="54"/>
  <c r="AB117" i="55" s="1"/>
  <c r="AB38" i="54"/>
  <c r="AB38" i="55" s="1"/>
  <c r="M37" i="44"/>
  <c r="AB75" i="54"/>
  <c r="AB75" i="55" s="1"/>
  <c r="AB163" i="54"/>
  <c r="AB163" i="55" s="1"/>
  <c r="AZ41" i="54"/>
  <c r="AZ41" i="55" s="1"/>
  <c r="AB87" i="54"/>
  <c r="AB87" i="55" s="1"/>
  <c r="AB112" i="54"/>
  <c r="AB112" i="55" s="1"/>
  <c r="AB62" i="54"/>
  <c r="AB62" i="55" s="1"/>
  <c r="M96" i="44"/>
  <c r="AB8" i="54"/>
  <c r="AB8" i="55" s="1"/>
  <c r="M131" i="44"/>
  <c r="F16" i="44"/>
  <c r="AA67" i="44"/>
  <c r="AA21" i="44"/>
  <c r="M10" i="44"/>
  <c r="M89" i="44"/>
  <c r="M112" i="44"/>
  <c r="M170" i="44"/>
  <c r="F67" i="44"/>
  <c r="AZ36" i="54"/>
  <c r="AZ36" i="55" s="1"/>
  <c r="AZ62" i="54"/>
  <c r="AZ62" i="55" s="1"/>
  <c r="AB110" i="54"/>
  <c r="AB110" i="55" s="1"/>
  <c r="AB147" i="54"/>
  <c r="AB147" i="55" s="1"/>
  <c r="M169" i="44"/>
  <c r="M142" i="44"/>
  <c r="M119" i="44"/>
  <c r="AA6" i="44"/>
  <c r="AA37" i="44"/>
  <c r="M45" i="44"/>
  <c r="M144" i="44"/>
  <c r="M72" i="44"/>
  <c r="AB39" i="54"/>
  <c r="AB39" i="55" s="1"/>
  <c r="AB146" i="54"/>
  <c r="AB146" i="55" s="1"/>
  <c r="M43" i="44"/>
  <c r="AB68" i="54"/>
  <c r="AB68" i="55" s="1"/>
  <c r="M115" i="44"/>
  <c r="AZ48" i="54"/>
  <c r="AZ48" i="55" s="1"/>
  <c r="AB71" i="54"/>
  <c r="AB71" i="55" s="1"/>
  <c r="AB64" i="54"/>
  <c r="AB64" i="55" s="1"/>
  <c r="M28" i="44"/>
  <c r="N69" i="54"/>
  <c r="N69" i="55" s="1"/>
  <c r="F30" i="44"/>
  <c r="AA17" i="44"/>
  <c r="M128" i="44"/>
  <c r="N23" i="54"/>
  <c r="N23" i="55" s="1"/>
  <c r="AZ99" i="54"/>
  <c r="AZ99" i="55" s="1"/>
  <c r="AA53" i="44"/>
  <c r="F33" i="44"/>
  <c r="N51" i="54"/>
  <c r="N51" i="55" s="1"/>
  <c r="AA89" i="44"/>
  <c r="AZ95" i="54"/>
  <c r="AZ95" i="55" s="1"/>
  <c r="AA44" i="44"/>
  <c r="AB44" i="54"/>
  <c r="AB44" i="55" s="1"/>
  <c r="M23" i="44"/>
  <c r="M21" i="44"/>
  <c r="M50" i="44"/>
  <c r="F36" i="44"/>
  <c r="N76" i="54"/>
  <c r="N76" i="55" s="1"/>
  <c r="AZ74" i="54"/>
  <c r="AZ74" i="55" s="1"/>
  <c r="AA96" i="44"/>
  <c r="AZ9" i="54"/>
  <c r="AZ9" i="55" s="1"/>
  <c r="M151" i="44"/>
  <c r="M80" i="44"/>
  <c r="AB10" i="54"/>
  <c r="AB10" i="55" s="1"/>
  <c r="AB79" i="54"/>
  <c r="AB79" i="55" s="1"/>
  <c r="M105" i="44"/>
  <c r="M29" i="44"/>
  <c r="AZ17" i="54"/>
  <c r="AZ17" i="55" s="1"/>
  <c r="AA91" i="44"/>
  <c r="AA99" i="44"/>
  <c r="AB53" i="54"/>
  <c r="AB53" i="55" s="1"/>
  <c r="AB136" i="54"/>
  <c r="AB136" i="55" s="1"/>
  <c r="M75" i="44"/>
  <c r="AB122" i="54"/>
  <c r="AB122" i="55" s="1"/>
  <c r="AB73" i="54"/>
  <c r="AB73" i="55" s="1"/>
  <c r="AB45" i="54"/>
  <c r="AB45" i="55" s="1"/>
  <c r="M137" i="44"/>
  <c r="M64" i="44"/>
  <c r="AB13" i="54"/>
  <c r="AB13" i="55" s="1"/>
  <c r="M155" i="44"/>
  <c r="AB63" i="54"/>
  <c r="AB63" i="55" s="1"/>
  <c r="AB143" i="54"/>
  <c r="AB143" i="55" s="1"/>
  <c r="M135" i="44"/>
  <c r="AB144" i="54"/>
  <c r="AB144" i="55" s="1"/>
  <c r="M33" i="44"/>
  <c r="AB157" i="54"/>
  <c r="AB157" i="55" s="1"/>
  <c r="N68" i="54"/>
  <c r="N68" i="55" s="1"/>
  <c r="AA2" i="44"/>
  <c r="M104" i="44"/>
  <c r="M133" i="44"/>
  <c r="AB55" i="54"/>
  <c r="AB55" i="55" s="1"/>
  <c r="AB127" i="54"/>
  <c r="AB127" i="55" s="1"/>
  <c r="F72" i="44"/>
  <c r="AA83" i="44"/>
  <c r="AB96" i="54"/>
  <c r="AB96" i="55" s="1"/>
  <c r="M60" i="44"/>
  <c r="M132" i="44"/>
  <c r="AB166" i="54"/>
  <c r="AB166" i="55" s="1"/>
  <c r="N80" i="54"/>
  <c r="N80" i="55" s="1"/>
  <c r="AA32" i="44"/>
  <c r="M91" i="44"/>
  <c r="AZ97" i="54"/>
  <c r="AZ97" i="55" s="1"/>
  <c r="M167" i="44"/>
  <c r="M84" i="44"/>
  <c r="AB167" i="54"/>
  <c r="AB167" i="55" s="1"/>
  <c r="F25" i="44"/>
  <c r="AZ40" i="54"/>
  <c r="AZ40" i="55" s="1"/>
  <c r="AZ4" i="54"/>
  <c r="AZ4" i="55" s="1"/>
  <c r="M150" i="44"/>
  <c r="N78" i="54"/>
  <c r="N78" i="55" s="1"/>
  <c r="AA45" i="44"/>
  <c r="AA52" i="44"/>
  <c r="N55" i="54"/>
  <c r="N55" i="55" s="1"/>
  <c r="F80" i="44"/>
  <c r="AZ72" i="54"/>
  <c r="AZ72" i="55" s="1"/>
  <c r="AZ85" i="54"/>
  <c r="AZ85" i="55" s="1"/>
  <c r="AB20" i="54"/>
  <c r="AB20" i="55" s="1"/>
  <c r="M35" i="44"/>
  <c r="AB37" i="54"/>
  <c r="AB37" i="55" s="1"/>
  <c r="AB150" i="54"/>
  <c r="AB150" i="55" s="1"/>
  <c r="F64" i="44"/>
  <c r="F31" i="44"/>
  <c r="AZ101" i="54"/>
  <c r="AZ101" i="55" s="1"/>
  <c r="AA39" i="44"/>
  <c r="AA90" i="44"/>
  <c r="AA54" i="44"/>
  <c r="AZ98" i="54"/>
  <c r="AZ98" i="55" s="1"/>
  <c r="AB113" i="54"/>
  <c r="AB113" i="55" s="1"/>
  <c r="AZ76" i="54"/>
  <c r="AZ76" i="55" s="1"/>
  <c r="AZ45" i="54"/>
  <c r="AZ45" i="55" s="1"/>
  <c r="AB115" i="54"/>
  <c r="AB115" i="55" s="1"/>
  <c r="AB36" i="54"/>
  <c r="AB36" i="55" s="1"/>
  <c r="AB92" i="54"/>
  <c r="AB92" i="55" s="1"/>
  <c r="M76" i="44"/>
  <c r="AB19" i="54"/>
  <c r="AB19" i="55" s="1"/>
  <c r="AA60" i="44"/>
  <c r="AB51" i="54"/>
  <c r="AB51" i="55" s="1"/>
  <c r="M78" i="44"/>
  <c r="AB105" i="54"/>
  <c r="AB105" i="55" s="1"/>
  <c r="AB69" i="54"/>
  <c r="AB69" i="55" s="1"/>
  <c r="AB70" i="54"/>
  <c r="AB70" i="55" s="1"/>
  <c r="AA92" i="44"/>
  <c r="AB151" i="54"/>
  <c r="AB151" i="55" s="1"/>
  <c r="M114" i="44"/>
  <c r="M134" i="44"/>
  <c r="AB33" i="54"/>
  <c r="AB33" i="55" s="1"/>
  <c r="AB95" i="54"/>
  <c r="AB95" i="55" s="1"/>
  <c r="N16" i="54"/>
  <c r="N16" i="55" s="1"/>
  <c r="AA64" i="44"/>
  <c r="M86" i="44"/>
  <c r="AB164" i="54"/>
  <c r="AB164" i="55" s="1"/>
  <c r="AB23" i="54"/>
  <c r="AB23" i="55" s="1"/>
  <c r="M143" i="44"/>
  <c r="AB65" i="54"/>
  <c r="AB65" i="55" s="1"/>
  <c r="AB12" i="54"/>
  <c r="AB12" i="55" s="1"/>
  <c r="AB90" i="54"/>
  <c r="AB90" i="55" s="1"/>
  <c r="M106" i="44"/>
  <c r="M31" i="44"/>
  <c r="M62" i="44"/>
  <c r="AB26" i="54"/>
  <c r="AB26" i="55" s="1"/>
  <c r="AZ26" i="54"/>
  <c r="AZ26" i="55" s="1"/>
  <c r="AA30" i="44"/>
  <c r="M65" i="44"/>
  <c r="AB76" i="54"/>
  <c r="AB76" i="55" s="1"/>
  <c r="M52" i="44"/>
  <c r="M148" i="44"/>
  <c r="N73" i="54"/>
  <c r="N73" i="55" s="1"/>
  <c r="M162" i="44"/>
  <c r="M9" i="44"/>
  <c r="M113" i="44"/>
  <c r="AZ100" i="54"/>
  <c r="AZ100" i="55" s="1"/>
  <c r="M3" i="44"/>
  <c r="M110" i="44"/>
  <c r="M55" i="44"/>
  <c r="AB43" i="54"/>
  <c r="AB43" i="55" s="1"/>
  <c r="N77" i="54"/>
  <c r="N77" i="55" s="1"/>
  <c r="M32" i="44"/>
  <c r="AA51" i="44"/>
  <c r="M163" i="44"/>
  <c r="F17" i="44"/>
  <c r="F42" i="44"/>
  <c r="AZ6" i="54"/>
  <c r="AZ6" i="55" s="1"/>
  <c r="N58" i="54"/>
  <c r="N58" i="55" s="1"/>
  <c r="AA26" i="44"/>
  <c r="AA7" i="44"/>
  <c r="AZ67" i="54"/>
  <c r="AZ67" i="55" s="1"/>
  <c r="AA12" i="44"/>
  <c r="AZ54" i="54"/>
  <c r="AZ54" i="55" s="1"/>
  <c r="AA38" i="44"/>
  <c r="N64" i="54"/>
  <c r="N64" i="55" s="1"/>
  <c r="F14" i="44"/>
  <c r="AZ91" i="54"/>
  <c r="AZ91" i="55" s="1"/>
  <c r="AZ11" i="54"/>
  <c r="AZ11" i="55" s="1"/>
  <c r="AA50" i="44"/>
  <c r="AZ60" i="54"/>
  <c r="AZ60" i="55" s="1"/>
  <c r="AA93" i="44"/>
  <c r="AB108" i="54"/>
  <c r="AB108" i="55" s="1"/>
  <c r="M165" i="44"/>
  <c r="M109" i="44"/>
  <c r="M92" i="44"/>
  <c r="N25" i="54"/>
  <c r="N25" i="55" s="1"/>
  <c r="F48" i="44"/>
  <c r="AA43" i="44"/>
  <c r="AZ57" i="54"/>
  <c r="AZ57" i="55" s="1"/>
  <c r="AZ16" i="54"/>
  <c r="AZ16" i="55" s="1"/>
  <c r="AA42" i="44"/>
  <c r="AA66" i="44"/>
  <c r="AB158" i="54"/>
  <c r="AB158" i="55" s="1"/>
  <c r="AB165" i="54"/>
  <c r="AB165" i="55" s="1"/>
  <c r="M139" i="44"/>
  <c r="AB5" i="54"/>
  <c r="AB5" i="55" s="1"/>
  <c r="AB126" i="54"/>
  <c r="AB126" i="55" s="1"/>
  <c r="AB106" i="54"/>
  <c r="AB106" i="55" s="1"/>
  <c r="F77" i="44"/>
  <c r="M111" i="44"/>
  <c r="AB109" i="54"/>
  <c r="AB109" i="55" s="1"/>
  <c r="M47" i="44"/>
  <c r="M12" i="44"/>
  <c r="M34" i="44"/>
  <c r="AZ59" i="54"/>
  <c r="AZ59" i="55" s="1"/>
  <c r="AZ3" i="54"/>
  <c r="AZ3" i="55" s="1"/>
  <c r="M101" i="44"/>
  <c r="M77" i="44"/>
  <c r="M100" i="44"/>
  <c r="M57" i="44"/>
  <c r="F74" i="44"/>
  <c r="F71" i="44"/>
  <c r="AA23" i="44"/>
  <c r="AZ96" i="54"/>
  <c r="AZ96" i="55" s="1"/>
  <c r="AB56" i="54"/>
  <c r="AB56" i="55" s="1"/>
  <c r="AB2" i="54"/>
  <c r="AB2" i="55" s="1"/>
  <c r="AB6" i="54"/>
  <c r="AB6" i="55" s="1"/>
  <c r="M68" i="44"/>
  <c r="N57" i="54"/>
  <c r="N57" i="55" s="1"/>
  <c r="M58" i="44"/>
  <c r="AZ13" i="54"/>
  <c r="AZ13" i="55" s="1"/>
  <c r="AA15" i="44"/>
  <c r="M30" i="44"/>
  <c r="AB154" i="54"/>
  <c r="AB154" i="55" s="1"/>
  <c r="AB4" i="54"/>
  <c r="AB4" i="55" s="1"/>
  <c r="M147" i="44"/>
  <c r="F57" i="44"/>
  <c r="AA100" i="44"/>
  <c r="AB104" i="54"/>
  <c r="AB104" i="55" s="1"/>
  <c r="AB22" i="54"/>
  <c r="AB22" i="55" s="1"/>
  <c r="AB59" i="54"/>
  <c r="AB59" i="55" s="1"/>
  <c r="AB141" i="54"/>
  <c r="AB141" i="55" s="1"/>
  <c r="AB58" i="54"/>
  <c r="AB58" i="55" s="1"/>
  <c r="AA11" i="44"/>
  <c r="AZ77" i="54"/>
  <c r="AZ77" i="55" s="1"/>
  <c r="M56" i="44"/>
  <c r="AB137" i="54"/>
  <c r="AB137" i="55" s="1"/>
  <c r="AB28" i="54"/>
  <c r="AB28" i="55" s="1"/>
  <c r="AZ33" i="54"/>
  <c r="AZ33" i="55" s="1"/>
  <c r="M156" i="44"/>
  <c r="M87" i="44"/>
  <c r="M99" i="44"/>
  <c r="AB21" i="54"/>
  <c r="AB21" i="55" s="1"/>
  <c r="F76" i="44"/>
  <c r="AB9" i="54"/>
  <c r="AB9" i="55" s="1"/>
  <c r="AB25" i="54"/>
  <c r="AB25" i="55" s="1"/>
  <c r="M18" i="44"/>
  <c r="M145" i="44"/>
  <c r="AB121" i="54"/>
  <c r="AB121" i="55" s="1"/>
  <c r="N42" i="54"/>
  <c r="N42" i="55" s="1"/>
  <c r="AZ19" i="54"/>
  <c r="AZ19" i="55" s="1"/>
  <c r="F22" i="44"/>
  <c r="AZ12" i="54"/>
  <c r="AZ12" i="55" s="1"/>
  <c r="AA94" i="44"/>
  <c r="AA95" i="44"/>
  <c r="AZ5" i="54"/>
  <c r="AZ5" i="55" s="1"/>
  <c r="AA22" i="44"/>
  <c r="F21" i="44"/>
  <c r="F52" i="44"/>
  <c r="AA58" i="44"/>
  <c r="AA20" i="44"/>
  <c r="AA78" i="44"/>
  <c r="AZ28" i="54"/>
  <c r="AZ28" i="55" s="1"/>
  <c r="AB98" i="54"/>
  <c r="AB98" i="55" s="1"/>
  <c r="AB72" i="54"/>
  <c r="AB72" i="55" s="1"/>
  <c r="M46" i="44"/>
  <c r="M97" i="44"/>
  <c r="N27" i="54"/>
  <c r="N27" i="55" s="1"/>
  <c r="N26" i="54"/>
  <c r="N26" i="55" s="1"/>
  <c r="AZ46" i="54"/>
  <c r="AZ46" i="55" s="1"/>
  <c r="AA19" i="44"/>
  <c r="AA56" i="44"/>
  <c r="AA49" i="44"/>
  <c r="AB162" i="54"/>
  <c r="AB162" i="55" s="1"/>
  <c r="AB148" i="54"/>
  <c r="AB148" i="55" s="1"/>
  <c r="M66" i="44"/>
  <c r="AB40" i="54"/>
  <c r="AB40" i="55" s="1"/>
  <c r="M102" i="44"/>
  <c r="AB170" i="54"/>
  <c r="AB170" i="55" s="1"/>
  <c r="N9" i="54"/>
  <c r="N9" i="55" s="1"/>
  <c r="AZ43" i="54"/>
  <c r="AZ43" i="55" s="1"/>
  <c r="AZ88" i="54"/>
  <c r="AZ88" i="55" s="1"/>
  <c r="M8" i="44"/>
  <c r="M130" i="44"/>
  <c r="M168" i="44"/>
  <c r="M159" i="44"/>
  <c r="M158" i="44"/>
  <c r="AA14" i="44"/>
  <c r="M154" i="44"/>
  <c r="M39" i="44"/>
  <c r="M24" i="44"/>
  <c r="M59" i="44"/>
  <c r="F79" i="44"/>
  <c r="F70" i="44"/>
  <c r="AA98" i="44"/>
  <c r="AB61" i="54"/>
  <c r="AB61" i="55" s="1"/>
  <c r="AB155" i="54"/>
  <c r="AB155" i="55" s="1"/>
  <c r="M36" i="44"/>
  <c r="M63" i="44"/>
  <c r="F9" i="44"/>
  <c r="AB102" i="54"/>
  <c r="AB102" i="55" s="1"/>
  <c r="AA40" i="44"/>
  <c r="AZ23" i="54"/>
  <c r="AZ23" i="55" s="1"/>
  <c r="AB152" i="54"/>
  <c r="AB152" i="55" s="1"/>
  <c r="M93" i="44"/>
  <c r="AB42" i="54"/>
  <c r="AB42" i="55" s="1"/>
  <c r="AB91" i="54"/>
  <c r="AB91" i="55" s="1"/>
  <c r="M95" i="44"/>
  <c r="AB142" i="54"/>
  <c r="AB142" i="55" s="1"/>
  <c r="T180" i="44"/>
  <c r="T193" i="44"/>
  <c r="AO133" i="54"/>
  <c r="AO133" i="55" s="1"/>
  <c r="T146" i="44"/>
  <c r="AO24" i="54"/>
  <c r="AO24" i="55" s="1"/>
  <c r="T187" i="44"/>
  <c r="AO196" i="54"/>
  <c r="AO196" i="55" s="1"/>
  <c r="T208" i="44"/>
  <c r="T174" i="44"/>
  <c r="AO52" i="54"/>
  <c r="AO52" i="55" s="1"/>
  <c r="AO83" i="54"/>
  <c r="AO83" i="55" s="1"/>
  <c r="T34" i="44"/>
  <c r="T164" i="44"/>
  <c r="T49" i="44"/>
  <c r="AO87" i="54"/>
  <c r="AO87" i="55" s="1"/>
  <c r="AO146" i="54"/>
  <c r="AO146" i="55" s="1"/>
  <c r="AO191" i="54"/>
  <c r="AO191" i="55" s="1"/>
  <c r="T72" i="44"/>
  <c r="T56" i="44"/>
  <c r="T67" i="44"/>
  <c r="AO14" i="54"/>
  <c r="AO14" i="55" s="1"/>
  <c r="AO217" i="54"/>
  <c r="AO217" i="55" s="1"/>
  <c r="AO31" i="54"/>
  <c r="AO31" i="55" s="1"/>
  <c r="AO182" i="54"/>
  <c r="AO182" i="55" s="1"/>
  <c r="T216" i="44"/>
  <c r="AO128" i="54"/>
  <c r="AO128" i="55" s="1"/>
  <c r="AO102" i="54"/>
  <c r="AO102" i="55" s="1"/>
  <c r="AO82" i="54"/>
  <c r="AO82" i="55" s="1"/>
  <c r="AO99" i="54"/>
  <c r="AO99" i="55" s="1"/>
  <c r="T202" i="44"/>
  <c r="AO170" i="54"/>
  <c r="AO170" i="55" s="1"/>
  <c r="T108" i="44"/>
  <c r="T134" i="44"/>
  <c r="T198" i="44"/>
  <c r="T83" i="44"/>
  <c r="T218" i="44"/>
  <c r="T204" i="44"/>
  <c r="T53" i="44"/>
  <c r="T22" i="44"/>
  <c r="AO208" i="54"/>
  <c r="AO208" i="55" s="1"/>
  <c r="T106" i="44"/>
  <c r="T81" i="44"/>
  <c r="T97" i="44"/>
  <c r="AO25" i="54"/>
  <c r="AO25" i="55" s="1"/>
  <c r="AO192" i="54"/>
  <c r="AO192" i="55" s="1"/>
  <c r="AO212" i="54"/>
  <c r="AO212" i="55" s="1"/>
  <c r="T17" i="44"/>
  <c r="T159" i="44"/>
  <c r="T152" i="44"/>
  <c r="T124" i="44"/>
  <c r="AO204" i="54"/>
  <c r="AO204" i="55" s="1"/>
  <c r="AO55" i="54"/>
  <c r="AO55" i="55" s="1"/>
  <c r="AO30" i="54"/>
  <c r="AO30" i="55" s="1"/>
  <c r="T219" i="44"/>
  <c r="AO190" i="54"/>
  <c r="AO190" i="55" s="1"/>
  <c r="AO118" i="54"/>
  <c r="AO118" i="55" s="1"/>
  <c r="T209" i="44"/>
  <c r="AO203" i="54"/>
  <c r="AO203" i="55" s="1"/>
  <c r="T113" i="44"/>
  <c r="AO123" i="54"/>
  <c r="AO123" i="55" s="1"/>
  <c r="T52" i="44"/>
  <c r="T15" i="44"/>
  <c r="T201" i="44"/>
  <c r="T195" i="44"/>
  <c r="AO92" i="54"/>
  <c r="AO92" i="55" s="1"/>
  <c r="T183" i="44"/>
  <c r="AO179" i="54"/>
  <c r="AO179" i="55" s="1"/>
  <c r="T133" i="44"/>
  <c r="AO107" i="54"/>
  <c r="AO107" i="55" s="1"/>
  <c r="AO43" i="54"/>
  <c r="AO43" i="55" s="1"/>
  <c r="AO45" i="54"/>
  <c r="AO45" i="55" s="1"/>
  <c r="AO215" i="54"/>
  <c r="AO215" i="55" s="1"/>
  <c r="T51" i="44"/>
  <c r="AO116" i="54"/>
  <c r="AO116" i="55" s="1"/>
  <c r="AO48" i="54"/>
  <c r="AO48" i="55" s="1"/>
  <c r="AO200" i="54"/>
  <c r="AO200" i="55" s="1"/>
  <c r="AO79" i="54"/>
  <c r="AO79" i="55" s="1"/>
  <c r="T169" i="44"/>
  <c r="T181" i="44"/>
  <c r="AO198" i="54"/>
  <c r="AO198" i="55" s="1"/>
  <c r="T43" i="44"/>
  <c r="AO10" i="54"/>
  <c r="AO10" i="55" s="1"/>
  <c r="T36" i="44"/>
  <c r="T60" i="44"/>
  <c r="AO168" i="54"/>
  <c r="AO168" i="55" s="1"/>
  <c r="AO56" i="54"/>
  <c r="AO56" i="55" s="1"/>
  <c r="AO64" i="54"/>
  <c r="AO64" i="55" s="1"/>
  <c r="T214" i="44"/>
  <c r="T166" i="44"/>
  <c r="AO184" i="54"/>
  <c r="AO184" i="55" s="1"/>
  <c r="AO193" i="54"/>
  <c r="AO193" i="55" s="1"/>
  <c r="T168" i="44"/>
  <c r="AO113" i="54"/>
  <c r="AO113" i="55" s="1"/>
  <c r="T197" i="44"/>
  <c r="T132" i="44"/>
  <c r="AO38" i="54"/>
  <c r="AO38" i="55" s="1"/>
  <c r="AO51" i="54"/>
  <c r="AO51" i="55" s="1"/>
  <c r="T80" i="44"/>
  <c r="T87" i="44"/>
  <c r="T25" i="44"/>
  <c r="T74" i="44"/>
  <c r="AO90" i="54"/>
  <c r="AO90" i="55" s="1"/>
  <c r="AO37" i="54"/>
  <c r="AO37" i="55" s="1"/>
  <c r="T139" i="44"/>
  <c r="AO72" i="54"/>
  <c r="AO72" i="55" s="1"/>
  <c r="AO112" i="54"/>
  <c r="AO112" i="55" s="1"/>
  <c r="T48" i="44"/>
  <c r="T188" i="44"/>
  <c r="T112" i="44"/>
  <c r="AO117" i="54"/>
  <c r="AO117" i="55" s="1"/>
  <c r="T100" i="44"/>
  <c r="AO49" i="54"/>
  <c r="AO49" i="55" s="1"/>
  <c r="AO180" i="54"/>
  <c r="AO180" i="55" s="1"/>
  <c r="AO199" i="54"/>
  <c r="AO199" i="55" s="1"/>
  <c r="AO206" i="54"/>
  <c r="AO206" i="55" s="1"/>
  <c r="T171" i="44"/>
  <c r="T64" i="44"/>
  <c r="AO216" i="54"/>
  <c r="AO216" i="55" s="1"/>
  <c r="AO41" i="54"/>
  <c r="AO41" i="55" s="1"/>
  <c r="AO95" i="54"/>
  <c r="AO95" i="55" s="1"/>
  <c r="AO153" i="54"/>
  <c r="AO153" i="55" s="1"/>
  <c r="T186" i="44"/>
  <c r="AO189" i="54"/>
  <c r="AO189" i="55" s="1"/>
  <c r="T96" i="44"/>
  <c r="AO53" i="54"/>
  <c r="AO53" i="55" s="1"/>
  <c r="AO101" i="54"/>
  <c r="AO101" i="55" s="1"/>
  <c r="AO27" i="54"/>
  <c r="AO27" i="55" s="1"/>
  <c r="AO114" i="54"/>
  <c r="AO114" i="55" s="1"/>
  <c r="T213" i="44"/>
  <c r="T116" i="44"/>
  <c r="T129" i="44"/>
  <c r="T179" i="44"/>
  <c r="AO15" i="54"/>
  <c r="AO15" i="55" s="1"/>
  <c r="AO126" i="54"/>
  <c r="AO126" i="55" s="1"/>
  <c r="AO28" i="54"/>
  <c r="AO28" i="55" s="1"/>
  <c r="T47" i="44"/>
  <c r="AO106" i="54"/>
  <c r="AO106" i="55" s="1"/>
  <c r="AO194" i="54"/>
  <c r="AO194" i="55" s="1"/>
  <c r="AO166" i="54"/>
  <c r="AO166" i="55" s="1"/>
  <c r="AO177" i="54"/>
  <c r="AO177" i="55" s="1"/>
  <c r="T196" i="44"/>
  <c r="AO23" i="54"/>
  <c r="AO23" i="55" s="1"/>
  <c r="AO73" i="54"/>
  <c r="AO73" i="55" s="1"/>
  <c r="T125" i="44"/>
  <c r="AO143" i="54"/>
  <c r="AO143" i="55" s="1"/>
  <c r="AO172" i="54"/>
  <c r="AO172" i="55" s="1"/>
  <c r="AO188" i="54"/>
  <c r="AO188" i="55" s="1"/>
  <c r="AO207" i="54"/>
  <c r="AO207" i="55" s="1"/>
  <c r="AO8" i="54"/>
  <c r="AO8" i="55" s="1"/>
  <c r="T192" i="44"/>
  <c r="AO134" i="54"/>
  <c r="AO134" i="55" s="1"/>
  <c r="T123" i="44"/>
  <c r="T172" i="44"/>
  <c r="T165" i="44"/>
  <c r="T177" i="44"/>
  <c r="AO54" i="54"/>
  <c r="AO54" i="55" s="1"/>
  <c r="T11" i="44"/>
  <c r="AO197" i="54"/>
  <c r="AO197" i="55" s="1"/>
  <c r="AO210" i="54"/>
  <c r="AO210" i="55" s="1"/>
  <c r="AO129" i="54"/>
  <c r="AO129" i="55" s="1"/>
  <c r="AO11" i="54"/>
  <c r="AO11" i="55" s="1"/>
  <c r="AO209" i="54"/>
  <c r="AO209" i="55" s="1"/>
  <c r="AO139" i="54"/>
  <c r="AO139" i="55" s="1"/>
  <c r="AO100" i="54"/>
  <c r="AO100" i="55" s="1"/>
  <c r="AO174" i="54"/>
  <c r="AO174" i="55" s="1"/>
  <c r="T135" i="44"/>
  <c r="T175" i="44"/>
  <c r="AO165" i="54"/>
  <c r="AO165" i="55" s="1"/>
  <c r="T221" i="44"/>
  <c r="AO135" i="54"/>
  <c r="AO135" i="55" s="1"/>
  <c r="T71" i="44"/>
  <c r="AO80" i="54"/>
  <c r="AO80" i="55" s="1"/>
  <c r="T184" i="44"/>
  <c r="T153" i="44"/>
  <c r="AO77" i="54"/>
  <c r="AO77" i="55" s="1"/>
  <c r="T2" i="44"/>
  <c r="AO176" i="54"/>
  <c r="AO176" i="55" s="1"/>
  <c r="AO39" i="54"/>
  <c r="AO39" i="55" s="1"/>
  <c r="T117" i="44"/>
  <c r="AO167" i="54"/>
  <c r="AO167" i="55" s="1"/>
  <c r="T150" i="44"/>
  <c r="T28" i="44"/>
  <c r="T142" i="44"/>
  <c r="AO152" i="54"/>
  <c r="AO152" i="55" s="1"/>
  <c r="T16" i="44"/>
  <c r="T160" i="44"/>
  <c r="AO47" i="54"/>
  <c r="AO47" i="55" s="1"/>
  <c r="AO5" i="54"/>
  <c r="AO5" i="55" s="1"/>
  <c r="T210" i="44"/>
  <c r="T101" i="44"/>
  <c r="T207" i="44"/>
  <c r="T167" i="44"/>
  <c r="AO96" i="54"/>
  <c r="AO96" i="55" s="1"/>
  <c r="T78" i="44"/>
  <c r="AO62" i="54"/>
  <c r="AO62" i="55" s="1"/>
  <c r="T211" i="44"/>
  <c r="AO138" i="54"/>
  <c r="AO138" i="55" s="1"/>
  <c r="T190" i="44"/>
  <c r="AO201" i="54"/>
  <c r="AO201" i="55" s="1"/>
  <c r="AO181" i="54"/>
  <c r="AO181" i="55" s="1"/>
  <c r="T203" i="44"/>
  <c r="T10" i="44"/>
  <c r="AO218" i="54"/>
  <c r="AO218" i="55" s="1"/>
  <c r="AO164" i="54"/>
  <c r="AO164" i="55" s="1"/>
  <c r="T24" i="44"/>
  <c r="T200" i="44"/>
  <c r="AO214" i="54"/>
  <c r="AO214" i="55" s="1"/>
  <c r="AO22" i="54"/>
  <c r="AO22" i="55" s="1"/>
  <c r="AO195" i="54"/>
  <c r="AO195" i="55" s="1"/>
  <c r="T215" i="44"/>
  <c r="AO157" i="54"/>
  <c r="AO157" i="55" s="1"/>
  <c r="T178" i="44"/>
  <c r="AO205" i="54"/>
  <c r="AO205" i="55" s="1"/>
  <c r="AO211" i="54"/>
  <c r="AO211" i="55" s="1"/>
  <c r="AO183" i="54"/>
  <c r="AO183" i="55" s="1"/>
  <c r="T54" i="44"/>
  <c r="T212" i="44"/>
  <c r="AO173" i="54"/>
  <c r="AO173" i="55" s="1"/>
  <c r="AO185" i="54"/>
  <c r="AO185" i="55" s="1"/>
  <c r="T147" i="44"/>
  <c r="AO213" i="54"/>
  <c r="AO213" i="55" s="1"/>
  <c r="T45" i="44"/>
  <c r="T55" i="44"/>
  <c r="T182" i="44"/>
  <c r="AO142" i="54"/>
  <c r="AO142" i="55" s="1"/>
  <c r="AO44" i="54"/>
  <c r="AO44" i="55" s="1"/>
  <c r="T217" i="44"/>
  <c r="T41" i="44"/>
  <c r="T99" i="44"/>
  <c r="T82" i="44"/>
  <c r="T38" i="44"/>
  <c r="AO124" i="54"/>
  <c r="AO124" i="55" s="1"/>
  <c r="AO3" i="54"/>
  <c r="AO3" i="55" s="1"/>
  <c r="AO2" i="54"/>
  <c r="AO2" i="55" s="1"/>
  <c r="AO67" i="54"/>
  <c r="AO67" i="55" s="1"/>
  <c r="T176" i="44"/>
  <c r="T42" i="44"/>
  <c r="T109" i="44"/>
  <c r="T23" i="44"/>
  <c r="AO171" i="54"/>
  <c r="AO171" i="55" s="1"/>
  <c r="T185" i="44"/>
  <c r="AO17" i="54"/>
  <c r="AO17" i="55" s="1"/>
  <c r="AO175" i="54"/>
  <c r="AO175" i="55" s="1"/>
  <c r="T68" i="44"/>
  <c r="T170" i="44"/>
  <c r="T33" i="44"/>
  <c r="AH178" i="48"/>
  <c r="BE142" i="48"/>
  <c r="BE25" i="48"/>
  <c r="BE179" i="48"/>
  <c r="AO140" i="54"/>
  <c r="AO140" i="55" s="1"/>
  <c r="BE150" i="48"/>
  <c r="AO57" i="54"/>
  <c r="AO57" i="55" s="1"/>
  <c r="AH146" i="48"/>
  <c r="BE69" i="48"/>
  <c r="AO26" i="54"/>
  <c r="AO26" i="55" s="1"/>
  <c r="BE127" i="48"/>
  <c r="T128" i="44"/>
  <c r="T131" i="44"/>
  <c r="AH221" i="48"/>
  <c r="BE199" i="48"/>
  <c r="AH247" i="48"/>
  <c r="BE57" i="48"/>
  <c r="BE89" i="48"/>
  <c r="AH244" i="48"/>
  <c r="BE84" i="48"/>
  <c r="BE48" i="48"/>
  <c r="AH174" i="48"/>
  <c r="BE197" i="48"/>
  <c r="AH230" i="48"/>
  <c r="BE143" i="48"/>
  <c r="BE160" i="48"/>
  <c r="AO186" i="54"/>
  <c r="AO186" i="55" s="1"/>
  <c r="BE124" i="48"/>
  <c r="AO91" i="54"/>
  <c r="AO91" i="55" s="1"/>
  <c r="T136" i="44"/>
  <c r="T110" i="44"/>
  <c r="AH149" i="48"/>
  <c r="AH145" i="48"/>
  <c r="T40" i="44"/>
  <c r="T31" i="44"/>
  <c r="T6" i="44"/>
  <c r="AO111" i="54"/>
  <c r="AO111" i="55" s="1"/>
  <c r="AO98" i="54"/>
  <c r="AO98" i="55" s="1"/>
  <c r="BE31" i="48"/>
  <c r="BE7" i="48"/>
  <c r="AH195" i="48"/>
  <c r="AH192" i="48"/>
  <c r="AH185" i="48"/>
  <c r="BE151" i="48"/>
  <c r="BE169" i="48"/>
  <c r="BE76" i="48"/>
  <c r="BE58" i="48"/>
  <c r="BE268" i="48"/>
  <c r="BE218" i="48"/>
  <c r="BE272" i="48"/>
  <c r="BE213" i="48"/>
  <c r="BE253" i="48"/>
  <c r="BE246" i="48"/>
  <c r="BE203" i="48"/>
  <c r="BE238" i="48"/>
  <c r="BE236" i="48"/>
  <c r="BE248" i="48"/>
  <c r="BE255" i="48"/>
  <c r="BE233" i="48"/>
  <c r="BE269" i="48"/>
  <c r="BE234" i="48"/>
  <c r="BE211" i="48"/>
  <c r="BE265" i="48"/>
  <c r="BE2" i="48"/>
  <c r="BE222" i="48"/>
  <c r="BE237" i="48"/>
  <c r="BE279" i="48"/>
  <c r="BE202" i="48"/>
  <c r="BE264" i="48"/>
  <c r="BE216" i="48"/>
  <c r="BE247" i="48"/>
  <c r="BE256" i="48"/>
  <c r="BE243" i="48"/>
  <c r="BE266" i="48"/>
  <c r="BE205" i="48"/>
  <c r="BE276" i="48"/>
  <c r="BE223" i="48"/>
  <c r="BE258" i="48"/>
  <c r="BE219" i="48"/>
  <c r="BE260" i="48"/>
  <c r="BE249" i="48"/>
  <c r="BE214" i="48"/>
  <c r="BE204" i="48"/>
  <c r="BE227" i="48"/>
  <c r="BE244" i="48"/>
  <c r="BE267" i="48"/>
  <c r="BE224" i="48"/>
  <c r="BE274" i="48"/>
  <c r="BE277" i="48"/>
  <c r="BE210" i="48"/>
  <c r="BE252" i="48"/>
  <c r="BE278" i="48"/>
  <c r="BE261" i="48"/>
  <c r="BE215" i="48"/>
  <c r="BE250" i="48"/>
  <c r="BE208" i="48"/>
  <c r="BE281" i="48"/>
  <c r="BE270" i="48"/>
  <c r="BE209" i="48"/>
  <c r="BE263" i="48"/>
  <c r="BE242" i="48"/>
  <c r="BE221" i="48"/>
  <c r="BE254" i="48"/>
  <c r="BE232" i="48"/>
  <c r="BE259" i="48"/>
  <c r="BE226" i="48"/>
  <c r="BE271" i="48"/>
  <c r="BE239" i="48"/>
  <c r="BE235" i="48"/>
  <c r="BE280" i="48"/>
  <c r="BE206" i="48"/>
  <c r="BE212" i="48"/>
  <c r="BE251" i="48"/>
  <c r="BE245" i="48"/>
  <c r="BE230" i="48"/>
  <c r="BE207" i="48"/>
  <c r="BE240" i="48"/>
  <c r="BE228" i="48"/>
  <c r="BE217" i="48"/>
  <c r="BE225" i="48"/>
  <c r="BE241" i="48"/>
  <c r="BE231" i="48"/>
  <c r="BE262" i="48"/>
  <c r="BE273" i="48"/>
  <c r="BE229" i="48"/>
  <c r="BE257" i="48"/>
  <c r="BE275" i="48"/>
  <c r="BE220" i="48"/>
  <c r="BE38" i="48"/>
  <c r="BE201" i="48"/>
  <c r="AH165" i="48"/>
  <c r="AH220" i="48"/>
  <c r="BE6" i="48"/>
  <c r="AH209" i="48"/>
  <c r="T104" i="44"/>
  <c r="BE98" i="48"/>
  <c r="BE81" i="48"/>
  <c r="AO29" i="54"/>
  <c r="AO29" i="55" s="1"/>
  <c r="BE107" i="48"/>
  <c r="AH197" i="48"/>
  <c r="AH229" i="48"/>
  <c r="BE181" i="48"/>
  <c r="T93" i="44"/>
  <c r="AH188" i="48"/>
  <c r="BE34" i="48"/>
  <c r="AO119" i="54"/>
  <c r="AO119" i="55" s="1"/>
  <c r="BE90" i="48"/>
  <c r="AH168" i="48"/>
  <c r="BE190" i="48"/>
  <c r="T194" i="44"/>
  <c r="BE106" i="48"/>
  <c r="AO4" i="54"/>
  <c r="AO4" i="55" s="1"/>
  <c r="AO68" i="54"/>
  <c r="AO68" i="55" s="1"/>
  <c r="AO19" i="54"/>
  <c r="AO19" i="55" s="1"/>
  <c r="AO136" i="54"/>
  <c r="AO136" i="55" s="1"/>
  <c r="T7" i="44"/>
  <c r="BE9" i="48"/>
  <c r="BE115" i="48"/>
  <c r="T79" i="44"/>
  <c r="T57" i="44"/>
  <c r="T14" i="44"/>
  <c r="T107" i="44"/>
  <c r="T4" i="44"/>
  <c r="AH233" i="48"/>
  <c r="AH199" i="48"/>
  <c r="BE74" i="48"/>
  <c r="AH251" i="48"/>
  <c r="AH198" i="48"/>
  <c r="BE79" i="48"/>
  <c r="BE56" i="48"/>
  <c r="BE43" i="48"/>
  <c r="BE80" i="48"/>
  <c r="AH184" i="48"/>
  <c r="BE78" i="48"/>
  <c r="AH245" i="48"/>
  <c r="T114" i="44"/>
  <c r="AH238" i="48"/>
  <c r="BE154" i="48"/>
  <c r="AH169" i="48"/>
  <c r="BE66" i="48"/>
  <c r="BE180" i="48"/>
  <c r="AH213" i="48"/>
  <c r="BE175" i="48"/>
  <c r="AH205" i="48"/>
  <c r="T94" i="44"/>
  <c r="T102" i="44"/>
  <c r="AO97" i="54"/>
  <c r="AO97" i="55" s="1"/>
  <c r="AH204" i="48"/>
  <c r="AH155" i="48"/>
  <c r="BE96" i="48"/>
  <c r="BE28" i="48"/>
  <c r="BE155" i="48"/>
  <c r="T157" i="44"/>
  <c r="AH246" i="48"/>
  <c r="BE97" i="48"/>
  <c r="T126" i="44"/>
  <c r="AO122" i="54"/>
  <c r="AO122" i="55" s="1"/>
  <c r="AH156" i="48"/>
  <c r="AH250" i="48"/>
  <c r="BE103" i="48"/>
  <c r="AH203" i="48"/>
  <c r="AO60" i="54"/>
  <c r="AO60" i="55" s="1"/>
  <c r="AO13" i="54"/>
  <c r="AO13" i="55" s="1"/>
  <c r="AO81" i="54"/>
  <c r="AO81" i="55" s="1"/>
  <c r="T3" i="44"/>
  <c r="AO86" i="54"/>
  <c r="AO86" i="55" s="1"/>
  <c r="BE118" i="48"/>
  <c r="BE59" i="48"/>
  <c r="AH232" i="48"/>
  <c r="BE93" i="48"/>
  <c r="BE3" i="48"/>
  <c r="BE156" i="48"/>
  <c r="BE114" i="48"/>
  <c r="AH200" i="48"/>
  <c r="BE121" i="48"/>
  <c r="AH143" i="48"/>
  <c r="AH226" i="48"/>
  <c r="BE50" i="48"/>
  <c r="AH159" i="48"/>
  <c r="BE178" i="48"/>
  <c r="AH241" i="48"/>
  <c r="BE14" i="48"/>
  <c r="BE189" i="48"/>
  <c r="AH148" i="48"/>
  <c r="AH214" i="48"/>
  <c r="AH173" i="48"/>
  <c r="BE111" i="48"/>
  <c r="BE163" i="48"/>
  <c r="AO127" i="54"/>
  <c r="AO127" i="55" s="1"/>
  <c r="AO141" i="54"/>
  <c r="AO141" i="55" s="1"/>
  <c r="AH219" i="48"/>
  <c r="AH196" i="48"/>
  <c r="AH183" i="48"/>
  <c r="T138" i="44"/>
  <c r="AH167" i="48"/>
  <c r="BE44" i="48"/>
  <c r="AH218" i="48"/>
  <c r="BE105" i="48"/>
  <c r="T205" i="44"/>
  <c r="BE23" i="48"/>
  <c r="BE133" i="48"/>
  <c r="AO16" i="54"/>
  <c r="AO16" i="55" s="1"/>
  <c r="T144" i="44"/>
  <c r="BE36" i="48"/>
  <c r="BE29" i="48"/>
  <c r="AH206" i="48"/>
  <c r="T89" i="44"/>
  <c r="BE73" i="48"/>
  <c r="BE161" i="48"/>
  <c r="BE65" i="48"/>
  <c r="T143" i="44"/>
  <c r="AH242" i="48"/>
  <c r="T103" i="44"/>
  <c r="BE64" i="48"/>
  <c r="BE15" i="48"/>
  <c r="AH236" i="48"/>
  <c r="BE185" i="48"/>
  <c r="AH158" i="48"/>
  <c r="BE134" i="48"/>
  <c r="AO148" i="54"/>
  <c r="AO148" i="55" s="1"/>
  <c r="AH237" i="48"/>
  <c r="AH231" i="48"/>
  <c r="AH201" i="48"/>
  <c r="BE16" i="48"/>
  <c r="BE110" i="48"/>
  <c r="AH243" i="48"/>
  <c r="BE63" i="48"/>
  <c r="T26" i="44"/>
  <c r="T37" i="44"/>
  <c r="AO59" i="54"/>
  <c r="AO59" i="55" s="1"/>
  <c r="AO74" i="54"/>
  <c r="AO74" i="55" s="1"/>
  <c r="AO84" i="54"/>
  <c r="AO84" i="55" s="1"/>
  <c r="BE37" i="48"/>
  <c r="AH227" i="48"/>
  <c r="BE71" i="48"/>
  <c r="BE149" i="48"/>
  <c r="AH147" i="48"/>
  <c r="BE101" i="48"/>
  <c r="BE8" i="48"/>
  <c r="BE87" i="48"/>
  <c r="BE157" i="48"/>
  <c r="BE168" i="48"/>
  <c r="BE123" i="48"/>
  <c r="AH190" i="48"/>
  <c r="BE173" i="48"/>
  <c r="BE11" i="48"/>
  <c r="AH154" i="48"/>
  <c r="AH207" i="48"/>
  <c r="BE33" i="48"/>
  <c r="BE83" i="48"/>
  <c r="T154" i="44"/>
  <c r="AH193" i="48"/>
  <c r="T27" i="44"/>
  <c r="T29" i="44"/>
  <c r="BE27" i="48"/>
  <c r="AO20" i="54"/>
  <c r="AO20" i="55" s="1"/>
  <c r="AH161" i="48"/>
  <c r="AH150" i="48"/>
  <c r="AH163" i="48"/>
  <c r="AO156" i="54"/>
  <c r="AO156" i="55" s="1"/>
  <c r="BE153" i="48"/>
  <c r="AO65" i="54"/>
  <c r="AO65" i="55" s="1"/>
  <c r="AH176" i="48"/>
  <c r="T66" i="44"/>
  <c r="T163" i="44"/>
  <c r="BE75" i="48"/>
  <c r="AH180" i="48"/>
  <c r="BE88" i="48"/>
  <c r="BE166" i="48"/>
  <c r="T77" i="44"/>
  <c r="BE102" i="48"/>
  <c r="BE77" i="48"/>
  <c r="BE47" i="48"/>
  <c r="BE49" i="48"/>
  <c r="BE200" i="48"/>
  <c r="BE136" i="48"/>
  <c r="BE18" i="48"/>
  <c r="BE174" i="48"/>
  <c r="AO21" i="54"/>
  <c r="AO21" i="55" s="1"/>
  <c r="BE91" i="48"/>
  <c r="BE61" i="48"/>
  <c r="AO115" i="54"/>
  <c r="AO115" i="55" s="1"/>
  <c r="AO155" i="54"/>
  <c r="AO155" i="55" s="1"/>
  <c r="BE145" i="48"/>
  <c r="BE70" i="48"/>
  <c r="AO108" i="54"/>
  <c r="AO108" i="55" s="1"/>
  <c r="AO46" i="54"/>
  <c r="AO46" i="55" s="1"/>
  <c r="T39" i="44"/>
  <c r="T20" i="44"/>
  <c r="AO33" i="54"/>
  <c r="AO33" i="55" s="1"/>
  <c r="AP133" i="48" l="1"/>
  <c r="AP275" i="48"/>
  <c r="AP19" i="48"/>
  <c r="AP32" i="48"/>
  <c r="AP145" i="48"/>
  <c r="AP78" i="48"/>
  <c r="AP236" i="48"/>
  <c r="AP88" i="48"/>
  <c r="AP23" i="48"/>
  <c r="AP131" i="48"/>
  <c r="AP213" i="48"/>
  <c r="AP24" i="48"/>
  <c r="AP196" i="48"/>
  <c r="AP178" i="48"/>
  <c r="AP110" i="48"/>
  <c r="AP168" i="48"/>
  <c r="AP269" i="48"/>
  <c r="AP232" i="48"/>
  <c r="AP60" i="48"/>
  <c r="AP221" i="48"/>
  <c r="AP159" i="48"/>
  <c r="AP160" i="48"/>
  <c r="AP259" i="48"/>
  <c r="AP249" i="48"/>
  <c r="AP123" i="48"/>
  <c r="AP271" i="48"/>
  <c r="AP172" i="48"/>
  <c r="AP276" i="48"/>
  <c r="AP277" i="48"/>
  <c r="AP148" i="48"/>
  <c r="AP77" i="48"/>
  <c r="AP266" i="48"/>
  <c r="AP10" i="48"/>
  <c r="AP233" i="48"/>
  <c r="AP281" i="48"/>
  <c r="AP97" i="48"/>
  <c r="AP51" i="48"/>
  <c r="AP272" i="48"/>
  <c r="AP165" i="48"/>
  <c r="AP49" i="48"/>
  <c r="AP157" i="48"/>
  <c r="AP153" i="48"/>
  <c r="AP158" i="48"/>
  <c r="AP122" i="48"/>
  <c r="AP132" i="48"/>
  <c r="AP282" i="48"/>
  <c r="AP205" i="48"/>
  <c r="AP7" i="48"/>
  <c r="AP125" i="48"/>
  <c r="AP65" i="48"/>
  <c r="AP230" i="48"/>
  <c r="AP13" i="48"/>
  <c r="AP200" i="48"/>
  <c r="AP72" i="48"/>
  <c r="AP287" i="48"/>
  <c r="AP174" i="48"/>
  <c r="AP161" i="48"/>
  <c r="AP92" i="48"/>
  <c r="AP203" i="48"/>
  <c r="AP26" i="48"/>
  <c r="AP55" i="48"/>
  <c r="AP267" i="48"/>
  <c r="AP189" i="48"/>
  <c r="AP128" i="48"/>
  <c r="AP44" i="48"/>
  <c r="AP37" i="48"/>
  <c r="AP179" i="48"/>
  <c r="AP156" i="48"/>
  <c r="AP95" i="48"/>
  <c r="AP151" i="48"/>
  <c r="AP248" i="48"/>
  <c r="AP135" i="48"/>
  <c r="AP173" i="48"/>
  <c r="AP28" i="48"/>
  <c r="AP11" i="48"/>
  <c r="AP126" i="48"/>
  <c r="AP222" i="48"/>
  <c r="AP163" i="48"/>
  <c r="AP83" i="48"/>
  <c r="AP216" i="48"/>
  <c r="AP119" i="48"/>
  <c r="AP231" i="48"/>
  <c r="AP100" i="48"/>
  <c r="AP298" i="48"/>
  <c r="AP17" i="48"/>
  <c r="AP214" i="48"/>
  <c r="AP223" i="48"/>
  <c r="AP202" i="48"/>
  <c r="AP291" i="48"/>
  <c r="AP256" i="48"/>
  <c r="AP73" i="48"/>
  <c r="AP103" i="48"/>
  <c r="AP280" i="48"/>
  <c r="AP235" i="48"/>
  <c r="AP20" i="48"/>
  <c r="AP295" i="48"/>
  <c r="AP245" i="48"/>
  <c r="AP208" i="48"/>
  <c r="AP21" i="48"/>
  <c r="AP270" i="48"/>
  <c r="AP109" i="48"/>
  <c r="AP193" i="48"/>
  <c r="AP296" i="48"/>
  <c r="AP164" i="48"/>
  <c r="AP243" i="48"/>
  <c r="AP67" i="48"/>
  <c r="AP86" i="48"/>
  <c r="AP121" i="48"/>
  <c r="AP114" i="48"/>
  <c r="AP188" i="48"/>
  <c r="AP36" i="48"/>
  <c r="AP134" i="48"/>
  <c r="AP35" i="48"/>
  <c r="AP238" i="48"/>
  <c r="AP225" i="48"/>
  <c r="AP254" i="48"/>
  <c r="AP229" i="48"/>
  <c r="AP290" i="48"/>
  <c r="AP192" i="48"/>
  <c r="AP116" i="48"/>
  <c r="AP301" i="48"/>
  <c r="AP228" i="48"/>
  <c r="AP50" i="48"/>
  <c r="AP285" i="48"/>
  <c r="AP89" i="48"/>
  <c r="AP102" i="48"/>
  <c r="AP111" i="48"/>
  <c r="AP96" i="48"/>
  <c r="AP118" i="48"/>
  <c r="AP22" i="48"/>
  <c r="AP197" i="48"/>
  <c r="AP52" i="48"/>
  <c r="AP191" i="48"/>
  <c r="AP54" i="48"/>
  <c r="AP199" i="48"/>
  <c r="AP4" i="48"/>
  <c r="AP62" i="48"/>
  <c r="AP48" i="48"/>
  <c r="AP80" i="48"/>
  <c r="AP183" i="48"/>
  <c r="AP149" i="48"/>
  <c r="AP69" i="48"/>
  <c r="AP84" i="48"/>
  <c r="AP136" i="48"/>
  <c r="AP154" i="48"/>
  <c r="AP268" i="48"/>
  <c r="AP94" i="48"/>
  <c r="AP289" i="48"/>
  <c r="AP138" i="48"/>
  <c r="AP166" i="48"/>
  <c r="AP46" i="48"/>
  <c r="AP284" i="48"/>
  <c r="AP246" i="48"/>
  <c r="AP105" i="48"/>
  <c r="AP47" i="48"/>
  <c r="AP146" i="48"/>
  <c r="AP64" i="48"/>
  <c r="AP299" i="48"/>
  <c r="AP106" i="48"/>
  <c r="AP58" i="48"/>
  <c r="AP99" i="48"/>
  <c r="AP215" i="48"/>
  <c r="AP101" i="48"/>
  <c r="AP294" i="48"/>
  <c r="AP31" i="48"/>
  <c r="AP140" i="48"/>
  <c r="AP107" i="48"/>
  <c r="AP2" i="48"/>
  <c r="AP286" i="48"/>
  <c r="AP251" i="48"/>
  <c r="AP3" i="48"/>
  <c r="AP169" i="48"/>
  <c r="AP139" i="48"/>
  <c r="AP195" i="48"/>
  <c r="AP217" i="48"/>
  <c r="AP33" i="48"/>
  <c r="AP273" i="48"/>
  <c r="AP30" i="48"/>
  <c r="AP57" i="48"/>
  <c r="AP218" i="48"/>
  <c r="AP79" i="48"/>
  <c r="AP182" i="48"/>
  <c r="AP201" i="48"/>
  <c r="AP297" i="48"/>
  <c r="AP93" i="48"/>
  <c r="AP283" i="48"/>
  <c r="AP98" i="48"/>
  <c r="AP81" i="48"/>
  <c r="AP264" i="48"/>
  <c r="AP112" i="48"/>
  <c r="AP143" i="48"/>
  <c r="AP226" i="48"/>
  <c r="AP198" i="48"/>
  <c r="AP127" i="48"/>
  <c r="AP15" i="48"/>
  <c r="AP25" i="48"/>
  <c r="AP170" i="48"/>
  <c r="AP90" i="48"/>
  <c r="AP204" i="48"/>
  <c r="AP45" i="48"/>
  <c r="AP141" i="48"/>
  <c r="AP76" i="48"/>
  <c r="AP130" i="48"/>
  <c r="AP187" i="48"/>
  <c r="AP108" i="48"/>
  <c r="AP262" i="48"/>
  <c r="AP124" i="48"/>
  <c r="AP142" i="48"/>
  <c r="AP250" i="48"/>
  <c r="AP190" i="48"/>
  <c r="AP41" i="48"/>
  <c r="AP39" i="48"/>
  <c r="AP241" i="48"/>
  <c r="AP209" i="48"/>
  <c r="AP263" i="48"/>
  <c r="AP34" i="48"/>
  <c r="AP180" i="48"/>
  <c r="AP115" i="48"/>
  <c r="AP74" i="48"/>
  <c r="AP292" i="48"/>
  <c r="AP87" i="48"/>
  <c r="AP68" i="48"/>
  <c r="AP104" i="48"/>
  <c r="AP237" i="48"/>
  <c r="AP279" i="48"/>
  <c r="AP194" i="48"/>
  <c r="AP12" i="48"/>
  <c r="AP117" i="48"/>
  <c r="AP184" i="48"/>
  <c r="AP185" i="48"/>
  <c r="AP66" i="48"/>
  <c r="AP177" i="48"/>
  <c r="AP27" i="48"/>
  <c r="AP253" i="48"/>
  <c r="AP129" i="48"/>
  <c r="AP211" i="48"/>
  <c r="AP186" i="48"/>
  <c r="AP38" i="48"/>
  <c r="AP244" i="48"/>
  <c r="AP261" i="48"/>
  <c r="AP75" i="48"/>
  <c r="AP210" i="48"/>
  <c r="AP120" i="48"/>
  <c r="AP137" i="48"/>
  <c r="AP219" i="48"/>
  <c r="AP252" i="48"/>
  <c r="AP70" i="48"/>
  <c r="AP53" i="48"/>
  <c r="AP8" i="48"/>
  <c r="AP162" i="48"/>
  <c r="AP14" i="48"/>
  <c r="AP242" i="48"/>
  <c r="AP5" i="48"/>
  <c r="AP239" i="48"/>
  <c r="AP293" i="48"/>
  <c r="AP255" i="48"/>
  <c r="AP247" i="48"/>
  <c r="AP91" i="48"/>
  <c r="AP61" i="48"/>
  <c r="AP56" i="48"/>
  <c r="AP265" i="48"/>
  <c r="AP18" i="48"/>
  <c r="AP9" i="48"/>
  <c r="AP181" i="48"/>
  <c r="AP220" i="48"/>
  <c r="AP71" i="48"/>
  <c r="AP150" i="48"/>
  <c r="AP6" i="48"/>
  <c r="AP113" i="48"/>
  <c r="AP176" i="48"/>
  <c r="AP155" i="48"/>
  <c r="AP152" i="48"/>
  <c r="AP82" i="48"/>
  <c r="AP258" i="48"/>
  <c r="AP274" i="48"/>
  <c r="AP43" i="48"/>
  <c r="AP167" i="48"/>
  <c r="AP240" i="48"/>
  <c r="AP63" i="48"/>
  <c r="AP234" i="48"/>
  <c r="AP260" i="48"/>
  <c r="AP16" i="48"/>
  <c r="AP29" i="48"/>
  <c r="AP300" i="48"/>
  <c r="AP227" i="48"/>
  <c r="AP85" i="48"/>
  <c r="AP224" i="48"/>
  <c r="AP206" i="48"/>
  <c r="AP175" i="48"/>
  <c r="AP278" i="48"/>
  <c r="AP212" i="48"/>
  <c r="AP171" i="48"/>
  <c r="AP59" i="48"/>
  <c r="AP207" i="48"/>
  <c r="AP147" i="48"/>
  <c r="AP257" i="48"/>
  <c r="AP144" i="48"/>
  <c r="AP288" i="48"/>
  <c r="AP40" i="48"/>
  <c r="AP42" i="48"/>
  <c r="AS274" i="48" l="1"/>
  <c r="AT274" i="48"/>
  <c r="AR274" i="48"/>
  <c r="AQ274" i="48"/>
  <c r="AT150" i="48"/>
  <c r="AS150" i="48"/>
  <c r="AR150" i="48"/>
  <c r="AQ150" i="48"/>
  <c r="AR288" i="48"/>
  <c r="AQ288" i="48"/>
  <c r="AS288" i="48"/>
  <c r="AT288" i="48"/>
  <c r="AR16" i="48"/>
  <c r="AQ16" i="48"/>
  <c r="AS16" i="48"/>
  <c r="AT16" i="48"/>
  <c r="AQ91" i="48"/>
  <c r="AT91" i="48"/>
  <c r="AS91" i="48"/>
  <c r="AR91" i="48"/>
  <c r="AQ194" i="48"/>
  <c r="AR194" i="48"/>
  <c r="AT194" i="48"/>
  <c r="AS194" i="48"/>
  <c r="AT144" i="48"/>
  <c r="AR144" i="48"/>
  <c r="AQ144" i="48"/>
  <c r="AS144" i="48"/>
  <c r="AQ260" i="48"/>
  <c r="AT260" i="48"/>
  <c r="AR260" i="48"/>
  <c r="AS260" i="48"/>
  <c r="AR220" i="48"/>
  <c r="AT220" i="48"/>
  <c r="AS220" i="48"/>
  <c r="AQ220" i="48"/>
  <c r="AS8" i="48"/>
  <c r="AQ8" i="48"/>
  <c r="AT8" i="48"/>
  <c r="AR8" i="48"/>
  <c r="AR27" i="48"/>
  <c r="AT27" i="48"/>
  <c r="AS27" i="48"/>
  <c r="AQ27" i="48"/>
  <c r="AS180" i="48"/>
  <c r="AR180" i="48"/>
  <c r="AT180" i="48"/>
  <c r="AQ180" i="48"/>
  <c r="AT198" i="48"/>
  <c r="AR198" i="48"/>
  <c r="AQ198" i="48"/>
  <c r="AS198" i="48"/>
  <c r="AQ273" i="48"/>
  <c r="AT273" i="48"/>
  <c r="AR273" i="48"/>
  <c r="AS273" i="48"/>
  <c r="AR286" i="48"/>
  <c r="AS286" i="48"/>
  <c r="AT286" i="48"/>
  <c r="AQ286" i="48"/>
  <c r="AT246" i="48"/>
  <c r="AS246" i="48"/>
  <c r="AQ246" i="48"/>
  <c r="AR246" i="48"/>
  <c r="AS62" i="48"/>
  <c r="AR62" i="48"/>
  <c r="AQ62" i="48"/>
  <c r="AT62" i="48"/>
  <c r="AT301" i="48"/>
  <c r="AQ301" i="48"/>
  <c r="AS301" i="48"/>
  <c r="AR301" i="48"/>
  <c r="AR35" i="48"/>
  <c r="AQ35" i="48"/>
  <c r="AS35" i="48"/>
  <c r="AT35" i="48"/>
  <c r="AQ245" i="48"/>
  <c r="AR245" i="48"/>
  <c r="AT245" i="48"/>
  <c r="AS245" i="48"/>
  <c r="AR119" i="48"/>
  <c r="AS119" i="48"/>
  <c r="AT119" i="48"/>
  <c r="AQ119" i="48"/>
  <c r="AT44" i="48"/>
  <c r="AQ44" i="48"/>
  <c r="AR44" i="48"/>
  <c r="AS44" i="48"/>
  <c r="AQ161" i="48"/>
  <c r="AS161" i="48"/>
  <c r="AR161" i="48"/>
  <c r="AT161" i="48"/>
  <c r="AR123" i="48"/>
  <c r="AQ123" i="48"/>
  <c r="AS123" i="48"/>
  <c r="AT123" i="48"/>
  <c r="AS257" i="48"/>
  <c r="AQ257" i="48"/>
  <c r="AT257" i="48"/>
  <c r="AR257" i="48"/>
  <c r="AT206" i="48"/>
  <c r="AR206" i="48"/>
  <c r="AQ206" i="48"/>
  <c r="AS206" i="48"/>
  <c r="AS234" i="48"/>
  <c r="AT234" i="48"/>
  <c r="AQ234" i="48"/>
  <c r="AR234" i="48"/>
  <c r="AR152" i="48"/>
  <c r="AS152" i="48"/>
  <c r="AT152" i="48"/>
  <c r="AQ152" i="48"/>
  <c r="AT181" i="48"/>
  <c r="AS181" i="48"/>
  <c r="AQ181" i="48"/>
  <c r="AR181" i="48"/>
  <c r="AQ255" i="48"/>
  <c r="AR255" i="48"/>
  <c r="AS255" i="48"/>
  <c r="AT255" i="48"/>
  <c r="AR53" i="48"/>
  <c r="AT53" i="48"/>
  <c r="AQ53" i="48"/>
  <c r="AS53" i="48"/>
  <c r="AS261" i="48"/>
  <c r="AR261" i="48"/>
  <c r="AT261" i="48"/>
  <c r="AQ261" i="48"/>
  <c r="AS177" i="48"/>
  <c r="AT177" i="48"/>
  <c r="AQ177" i="48"/>
  <c r="AR177" i="48"/>
  <c r="AS237" i="48"/>
  <c r="AQ237" i="48"/>
  <c r="AT237" i="48"/>
  <c r="AR237" i="48"/>
  <c r="AT34" i="48"/>
  <c r="AS34" i="48"/>
  <c r="AR34" i="48"/>
  <c r="AQ34" i="48"/>
  <c r="AS142" i="48"/>
  <c r="AT142" i="48"/>
  <c r="AQ142" i="48"/>
  <c r="AR142" i="48"/>
  <c r="AR45" i="48"/>
  <c r="AT45" i="48"/>
  <c r="AQ45" i="48"/>
  <c r="AS45" i="48"/>
  <c r="AR226" i="48"/>
  <c r="AT226" i="48"/>
  <c r="AQ226" i="48"/>
  <c r="AS226" i="48"/>
  <c r="AT297" i="48"/>
  <c r="AR297" i="48"/>
  <c r="AQ297" i="48"/>
  <c r="AS297" i="48"/>
  <c r="AS33" i="48"/>
  <c r="AT33" i="48"/>
  <c r="AQ33" i="48"/>
  <c r="AR33" i="48"/>
  <c r="AQ2" i="48"/>
  <c r="AR2" i="48"/>
  <c r="AT2" i="48"/>
  <c r="AS2" i="48"/>
  <c r="AT58" i="48"/>
  <c r="AR58" i="48"/>
  <c r="AQ58" i="48"/>
  <c r="AS58" i="48"/>
  <c r="AQ284" i="48"/>
  <c r="AT284" i="48"/>
  <c r="AR284" i="48"/>
  <c r="AS284" i="48"/>
  <c r="AT136" i="48"/>
  <c r="AQ136" i="48"/>
  <c r="AR136" i="48"/>
  <c r="AS136" i="48"/>
  <c r="AS4" i="48"/>
  <c r="AQ4" i="48"/>
  <c r="AR4" i="48"/>
  <c r="AT4" i="48"/>
  <c r="AR96" i="48"/>
  <c r="AS96" i="48"/>
  <c r="AT96" i="48"/>
  <c r="AQ96" i="48"/>
  <c r="AR116" i="48"/>
  <c r="AS116" i="48"/>
  <c r="AQ116" i="48"/>
  <c r="AT116" i="48"/>
  <c r="AT134" i="48"/>
  <c r="AQ134" i="48"/>
  <c r="AS134" i="48"/>
  <c r="AR134" i="48"/>
  <c r="AS164" i="48"/>
  <c r="AR164" i="48"/>
  <c r="AQ164" i="48"/>
  <c r="AT164" i="48"/>
  <c r="AT295" i="48"/>
  <c r="AR295" i="48"/>
  <c r="AQ295" i="48"/>
  <c r="AS295" i="48"/>
  <c r="AT202" i="48"/>
  <c r="AR202" i="48"/>
  <c r="AQ202" i="48"/>
  <c r="AS202" i="48"/>
  <c r="AT216" i="48"/>
  <c r="AQ216" i="48"/>
  <c r="AS216" i="48"/>
  <c r="AR216" i="48"/>
  <c r="AS135" i="48"/>
  <c r="AQ135" i="48"/>
  <c r="AT135" i="48"/>
  <c r="AR135" i="48"/>
  <c r="AR128" i="48"/>
  <c r="AT128" i="48"/>
  <c r="AQ128" i="48"/>
  <c r="AS128" i="48"/>
  <c r="AR174" i="48"/>
  <c r="AS174" i="48"/>
  <c r="AT174" i="48"/>
  <c r="AQ174" i="48"/>
  <c r="AT7" i="48"/>
  <c r="AR7" i="48"/>
  <c r="AS7" i="48"/>
  <c r="AQ7" i="48"/>
  <c r="AT49" i="48"/>
  <c r="AR49" i="48"/>
  <c r="AS49" i="48"/>
  <c r="AQ49" i="48"/>
  <c r="AQ266" i="48"/>
  <c r="AS266" i="48"/>
  <c r="AR266" i="48"/>
  <c r="AT266" i="48"/>
  <c r="AQ249" i="48"/>
  <c r="AT249" i="48"/>
  <c r="AR249" i="48"/>
  <c r="AS249" i="48"/>
  <c r="AR168" i="48"/>
  <c r="AS168" i="48"/>
  <c r="AT168" i="48"/>
  <c r="AQ168" i="48"/>
  <c r="AR88" i="48"/>
  <c r="AT88" i="48"/>
  <c r="AQ88" i="48"/>
  <c r="AS88" i="48"/>
  <c r="AQ42" i="48"/>
  <c r="AS42" i="48"/>
  <c r="AT42" i="48"/>
  <c r="AR42" i="48"/>
  <c r="AR224" i="48"/>
  <c r="AT224" i="48"/>
  <c r="AQ224" i="48"/>
  <c r="AS224" i="48"/>
  <c r="AT293" i="48"/>
  <c r="AS293" i="48"/>
  <c r="AQ293" i="48"/>
  <c r="AR293" i="48"/>
  <c r="AS104" i="48"/>
  <c r="AR104" i="48"/>
  <c r="AQ104" i="48"/>
  <c r="AT104" i="48"/>
  <c r="AR263" i="48"/>
  <c r="AQ263" i="48"/>
  <c r="AT263" i="48"/>
  <c r="AS263" i="48"/>
  <c r="AS124" i="48"/>
  <c r="AR124" i="48"/>
  <c r="AQ124" i="48"/>
  <c r="AT124" i="48"/>
  <c r="AT204" i="48"/>
  <c r="AR204" i="48"/>
  <c r="AS204" i="48"/>
  <c r="AQ204" i="48"/>
  <c r="AR143" i="48"/>
  <c r="AS143" i="48"/>
  <c r="AT143" i="48"/>
  <c r="AQ143" i="48"/>
  <c r="AR201" i="48"/>
  <c r="AS201" i="48"/>
  <c r="AT201" i="48"/>
  <c r="AQ201" i="48"/>
  <c r="AR217" i="48"/>
  <c r="AT217" i="48"/>
  <c r="AQ217" i="48"/>
  <c r="AS217" i="48"/>
  <c r="AR107" i="48"/>
  <c r="AT107" i="48"/>
  <c r="AS107" i="48"/>
  <c r="AQ107" i="48"/>
  <c r="AT106" i="48"/>
  <c r="AS106" i="48"/>
  <c r="AQ106" i="48"/>
  <c r="AR106" i="48"/>
  <c r="AR46" i="48"/>
  <c r="AT46" i="48"/>
  <c r="AS46" i="48"/>
  <c r="AQ46" i="48"/>
  <c r="AT84" i="48"/>
  <c r="AR84" i="48"/>
  <c r="AQ84" i="48"/>
  <c r="AS84" i="48"/>
  <c r="AS199" i="48"/>
  <c r="AT199" i="48"/>
  <c r="AR199" i="48"/>
  <c r="AQ199" i="48"/>
  <c r="AR111" i="48"/>
  <c r="AQ111" i="48"/>
  <c r="AS111" i="48"/>
  <c r="AT111" i="48"/>
  <c r="AR192" i="48"/>
  <c r="AS192" i="48"/>
  <c r="AQ192" i="48"/>
  <c r="AT192" i="48"/>
  <c r="AQ36" i="48"/>
  <c r="AS36" i="48"/>
  <c r="AR36" i="48"/>
  <c r="AT36" i="48"/>
  <c r="AQ296" i="48"/>
  <c r="AR296" i="48"/>
  <c r="AT296" i="48"/>
  <c r="AS296" i="48"/>
  <c r="AQ20" i="48"/>
  <c r="AR20" i="48"/>
  <c r="AS20" i="48"/>
  <c r="AT20" i="48"/>
  <c r="AR223" i="48"/>
  <c r="AQ223" i="48"/>
  <c r="AS223" i="48"/>
  <c r="AT223" i="48"/>
  <c r="AR83" i="48"/>
  <c r="AQ83" i="48"/>
  <c r="AS83" i="48"/>
  <c r="AT83" i="48"/>
  <c r="AR248" i="48"/>
  <c r="AS248" i="48"/>
  <c r="AQ248" i="48"/>
  <c r="AT248" i="48"/>
  <c r="AR189" i="48"/>
  <c r="AS189" i="48"/>
  <c r="AQ189" i="48"/>
  <c r="AT189" i="48"/>
  <c r="AS287" i="48"/>
  <c r="AQ287" i="48"/>
  <c r="AR287" i="48"/>
  <c r="AT287" i="48"/>
  <c r="AT205" i="48"/>
  <c r="AS205" i="48"/>
  <c r="AR205" i="48"/>
  <c r="AQ205" i="48"/>
  <c r="AT165" i="48"/>
  <c r="AS165" i="48"/>
  <c r="AR165" i="48"/>
  <c r="AQ165" i="48"/>
  <c r="AQ77" i="48"/>
  <c r="AS77" i="48"/>
  <c r="AT77" i="48"/>
  <c r="AR77" i="48"/>
  <c r="AQ259" i="48"/>
  <c r="AR259" i="48"/>
  <c r="AT259" i="48"/>
  <c r="AS259" i="48"/>
  <c r="AR110" i="48"/>
  <c r="AT110" i="48"/>
  <c r="AQ110" i="48"/>
  <c r="AS110" i="48"/>
  <c r="AS236" i="48"/>
  <c r="AR236" i="48"/>
  <c r="AT236" i="48"/>
  <c r="AQ236" i="48"/>
  <c r="AR40" i="48"/>
  <c r="AQ40" i="48"/>
  <c r="AT40" i="48"/>
  <c r="AS40" i="48"/>
  <c r="AS63" i="48"/>
  <c r="AQ63" i="48"/>
  <c r="AT63" i="48"/>
  <c r="AR63" i="48"/>
  <c r="AR9" i="48"/>
  <c r="AQ9" i="48"/>
  <c r="AT9" i="48"/>
  <c r="AS9" i="48"/>
  <c r="AS70" i="48"/>
  <c r="AQ70" i="48"/>
  <c r="AR70" i="48"/>
  <c r="AT70" i="48"/>
  <c r="AQ66" i="48"/>
  <c r="AR66" i="48"/>
  <c r="AS66" i="48"/>
  <c r="AT66" i="48"/>
  <c r="AT85" i="48"/>
  <c r="AR85" i="48"/>
  <c r="AQ85" i="48"/>
  <c r="AS85" i="48"/>
  <c r="AR176" i="48"/>
  <c r="AQ176" i="48"/>
  <c r="AS176" i="48"/>
  <c r="AT176" i="48"/>
  <c r="AS252" i="48"/>
  <c r="AQ252" i="48"/>
  <c r="AR252" i="48"/>
  <c r="AT252" i="48"/>
  <c r="AS38" i="48"/>
  <c r="AT38" i="48"/>
  <c r="AQ38" i="48"/>
  <c r="AR38" i="48"/>
  <c r="AS68" i="48"/>
  <c r="AR68" i="48"/>
  <c r="AT68" i="48"/>
  <c r="AQ68" i="48"/>
  <c r="AR262" i="48"/>
  <c r="AT262" i="48"/>
  <c r="AQ262" i="48"/>
  <c r="AS262" i="48"/>
  <c r="AS182" i="48"/>
  <c r="AR182" i="48"/>
  <c r="AT182" i="48"/>
  <c r="AQ182" i="48"/>
  <c r="AR140" i="48"/>
  <c r="AS140" i="48"/>
  <c r="AQ140" i="48"/>
  <c r="AT140" i="48"/>
  <c r="AS299" i="48"/>
  <c r="AQ299" i="48"/>
  <c r="AT299" i="48"/>
  <c r="AR299" i="48"/>
  <c r="AT69" i="48"/>
  <c r="AR69" i="48"/>
  <c r="AQ69" i="48"/>
  <c r="AS69" i="48"/>
  <c r="AQ102" i="48"/>
  <c r="AR102" i="48"/>
  <c r="AS102" i="48"/>
  <c r="AT102" i="48"/>
  <c r="AT290" i="48"/>
  <c r="AQ290" i="48"/>
  <c r="AR290" i="48"/>
  <c r="AS290" i="48"/>
  <c r="AS188" i="48"/>
  <c r="AT188" i="48"/>
  <c r="AR188" i="48"/>
  <c r="AQ188" i="48"/>
  <c r="AS193" i="48"/>
  <c r="AQ193" i="48"/>
  <c r="AR193" i="48"/>
  <c r="AT193" i="48"/>
  <c r="AQ235" i="48"/>
  <c r="AR235" i="48"/>
  <c r="AS235" i="48"/>
  <c r="AT235" i="48"/>
  <c r="AS214" i="48"/>
  <c r="AR214" i="48"/>
  <c r="AT214" i="48"/>
  <c r="AQ214" i="48"/>
  <c r="AQ163" i="48"/>
  <c r="AT163" i="48"/>
  <c r="AS163" i="48"/>
  <c r="AR163" i="48"/>
  <c r="AQ151" i="48"/>
  <c r="AS151" i="48"/>
  <c r="AR151" i="48"/>
  <c r="AT151" i="48"/>
  <c r="AS267" i="48"/>
  <c r="AT267" i="48"/>
  <c r="AQ267" i="48"/>
  <c r="AR267" i="48"/>
  <c r="AT72" i="48"/>
  <c r="AQ72" i="48"/>
  <c r="AS72" i="48"/>
  <c r="AR72" i="48"/>
  <c r="AT282" i="48"/>
  <c r="AR282" i="48"/>
  <c r="AS282" i="48"/>
  <c r="AQ282" i="48"/>
  <c r="AT272" i="48"/>
  <c r="AS272" i="48"/>
  <c r="AR272" i="48"/>
  <c r="AQ272" i="48"/>
  <c r="AQ148" i="48"/>
  <c r="AT148" i="48"/>
  <c r="AS148" i="48"/>
  <c r="AR148" i="48"/>
  <c r="AR160" i="48"/>
  <c r="AS160" i="48"/>
  <c r="AQ160" i="48"/>
  <c r="AT160" i="48"/>
  <c r="AR178" i="48"/>
  <c r="AS178" i="48"/>
  <c r="AQ178" i="48"/>
  <c r="AT178" i="48"/>
  <c r="AS78" i="48"/>
  <c r="AQ78" i="48"/>
  <c r="AR78" i="48"/>
  <c r="AT78" i="48"/>
  <c r="AT147" i="48"/>
  <c r="AS147" i="48"/>
  <c r="AQ147" i="48"/>
  <c r="AR147" i="48"/>
  <c r="AT155" i="48"/>
  <c r="AS155" i="48"/>
  <c r="AR155" i="48"/>
  <c r="AQ155" i="48"/>
  <c r="AQ244" i="48"/>
  <c r="AR244" i="48"/>
  <c r="AT244" i="48"/>
  <c r="AS244" i="48"/>
  <c r="AS207" i="48"/>
  <c r="AT207" i="48"/>
  <c r="AQ207" i="48"/>
  <c r="AR207" i="48"/>
  <c r="AT240" i="48"/>
  <c r="AQ240" i="48"/>
  <c r="AR240" i="48"/>
  <c r="AS240" i="48"/>
  <c r="AT18" i="48"/>
  <c r="AR18" i="48"/>
  <c r="AQ18" i="48"/>
  <c r="AS18" i="48"/>
  <c r="AS239" i="48"/>
  <c r="AT239" i="48"/>
  <c r="AR239" i="48"/>
  <c r="AQ239" i="48"/>
  <c r="AS185" i="48"/>
  <c r="AT185" i="48"/>
  <c r="AR185" i="48"/>
  <c r="AQ185" i="48"/>
  <c r="AS209" i="48"/>
  <c r="AQ209" i="48"/>
  <c r="AT209" i="48"/>
  <c r="AR209" i="48"/>
  <c r="AT90" i="48"/>
  <c r="AS90" i="48"/>
  <c r="AQ90" i="48"/>
  <c r="AR90" i="48"/>
  <c r="AR112" i="48"/>
  <c r="AQ112" i="48"/>
  <c r="AS112" i="48"/>
  <c r="AT112" i="48"/>
  <c r="AT195" i="48"/>
  <c r="AR195" i="48"/>
  <c r="AS195" i="48"/>
  <c r="AQ195" i="48"/>
  <c r="AR166" i="48"/>
  <c r="AS166" i="48"/>
  <c r="AQ166" i="48"/>
  <c r="AT166" i="48"/>
  <c r="AR54" i="48"/>
  <c r="AQ54" i="48"/>
  <c r="AS54" i="48"/>
  <c r="AT54" i="48"/>
  <c r="AT59" i="48"/>
  <c r="AQ59" i="48"/>
  <c r="AR59" i="48"/>
  <c r="AS59" i="48"/>
  <c r="AT227" i="48"/>
  <c r="AS227" i="48"/>
  <c r="AQ227" i="48"/>
  <c r="AR227" i="48"/>
  <c r="AR167" i="48"/>
  <c r="AQ167" i="48"/>
  <c r="AT167" i="48"/>
  <c r="AS167" i="48"/>
  <c r="AT113" i="48"/>
  <c r="AR113" i="48"/>
  <c r="AQ113" i="48"/>
  <c r="AS113" i="48"/>
  <c r="AT265" i="48"/>
  <c r="AR265" i="48"/>
  <c r="AQ265" i="48"/>
  <c r="AS265" i="48"/>
  <c r="AQ5" i="48"/>
  <c r="AS5" i="48"/>
  <c r="AR5" i="48"/>
  <c r="AT5" i="48"/>
  <c r="AQ219" i="48"/>
  <c r="AS219" i="48"/>
  <c r="AT219" i="48"/>
  <c r="AR219" i="48"/>
  <c r="AS186" i="48"/>
  <c r="AT186" i="48"/>
  <c r="AR186" i="48"/>
  <c r="AQ186" i="48"/>
  <c r="AT184" i="48"/>
  <c r="AQ184" i="48"/>
  <c r="AR184" i="48"/>
  <c r="AS184" i="48"/>
  <c r="AQ87" i="48"/>
  <c r="AR87" i="48"/>
  <c r="AS87" i="48"/>
  <c r="AT87" i="48"/>
  <c r="AQ241" i="48"/>
  <c r="AR241" i="48"/>
  <c r="AS241" i="48"/>
  <c r="AT241" i="48"/>
  <c r="AT108" i="48"/>
  <c r="AR108" i="48"/>
  <c r="AQ108" i="48"/>
  <c r="AS108" i="48"/>
  <c r="AQ170" i="48"/>
  <c r="AR170" i="48"/>
  <c r="AT170" i="48"/>
  <c r="AS170" i="48"/>
  <c r="AT264" i="48"/>
  <c r="AR264" i="48"/>
  <c r="AS264" i="48"/>
  <c r="AQ264" i="48"/>
  <c r="AS79" i="48"/>
  <c r="AQ79" i="48"/>
  <c r="AR79" i="48"/>
  <c r="AT79" i="48"/>
  <c r="AT139" i="48"/>
  <c r="AR139" i="48"/>
  <c r="AS139" i="48"/>
  <c r="AQ139" i="48"/>
  <c r="AS31" i="48"/>
  <c r="AR31" i="48"/>
  <c r="AT31" i="48"/>
  <c r="AQ31" i="48"/>
  <c r="AR64" i="48"/>
  <c r="AQ64" i="48"/>
  <c r="AS64" i="48"/>
  <c r="AT64" i="48"/>
  <c r="AT138" i="48"/>
  <c r="AR138" i="48"/>
  <c r="AQ138" i="48"/>
  <c r="AS138" i="48"/>
  <c r="AT149" i="48"/>
  <c r="AS149" i="48"/>
  <c r="AQ149" i="48"/>
  <c r="AR149" i="48"/>
  <c r="AT191" i="48"/>
  <c r="AS191" i="48"/>
  <c r="AR191" i="48"/>
  <c r="AQ191" i="48"/>
  <c r="AR89" i="48"/>
  <c r="AQ89" i="48"/>
  <c r="AT89" i="48"/>
  <c r="AS89" i="48"/>
  <c r="AS229" i="48"/>
  <c r="AT229" i="48"/>
  <c r="AR229" i="48"/>
  <c r="AQ229" i="48"/>
  <c r="AS114" i="48"/>
  <c r="AQ114" i="48"/>
  <c r="AR114" i="48"/>
  <c r="AT114" i="48"/>
  <c r="AR109" i="48"/>
  <c r="AS109" i="48"/>
  <c r="AQ109" i="48"/>
  <c r="AT109" i="48"/>
  <c r="AQ280" i="48"/>
  <c r="AT280" i="48"/>
  <c r="AR280" i="48"/>
  <c r="AS280" i="48"/>
  <c r="AS17" i="48"/>
  <c r="AR17" i="48"/>
  <c r="AQ17" i="48"/>
  <c r="AT17" i="48"/>
  <c r="AR222" i="48"/>
  <c r="AQ222" i="48"/>
  <c r="AT222" i="48"/>
  <c r="AS222" i="48"/>
  <c r="AT95" i="48"/>
  <c r="AQ95" i="48"/>
  <c r="AR95" i="48"/>
  <c r="AS95" i="48"/>
  <c r="AQ55" i="48"/>
  <c r="AR55" i="48"/>
  <c r="AS55" i="48"/>
  <c r="AT55" i="48"/>
  <c r="AR200" i="48"/>
  <c r="AS200" i="48"/>
  <c r="AT200" i="48"/>
  <c r="AQ200" i="48"/>
  <c r="AQ132" i="48"/>
  <c r="AS132" i="48"/>
  <c r="AT132" i="48"/>
  <c r="AR132" i="48"/>
  <c r="AR51" i="48"/>
  <c r="AQ51" i="48"/>
  <c r="AT51" i="48"/>
  <c r="AS51" i="48"/>
  <c r="AR277" i="48"/>
  <c r="AS277" i="48"/>
  <c r="AT277" i="48"/>
  <c r="AQ277" i="48"/>
  <c r="AT159" i="48"/>
  <c r="AR159" i="48"/>
  <c r="AS159" i="48"/>
  <c r="AQ159" i="48"/>
  <c r="AS196" i="48"/>
  <c r="AT196" i="48"/>
  <c r="AQ196" i="48"/>
  <c r="AR196" i="48"/>
  <c r="AQ145" i="48"/>
  <c r="AT145" i="48"/>
  <c r="AR145" i="48"/>
  <c r="AS145" i="48"/>
  <c r="AR43" i="48"/>
  <c r="AT43" i="48"/>
  <c r="AQ43" i="48"/>
  <c r="AS43" i="48"/>
  <c r="AT6" i="48"/>
  <c r="AS6" i="48"/>
  <c r="AR6" i="48"/>
  <c r="AQ6" i="48"/>
  <c r="AT56" i="48"/>
  <c r="AR56" i="48"/>
  <c r="AS56" i="48"/>
  <c r="AQ56" i="48"/>
  <c r="AS242" i="48"/>
  <c r="AR242" i="48"/>
  <c r="AT242" i="48"/>
  <c r="AQ242" i="48"/>
  <c r="AQ137" i="48"/>
  <c r="AT137" i="48"/>
  <c r="AS137" i="48"/>
  <c r="AR137" i="48"/>
  <c r="AS211" i="48"/>
  <c r="AT211" i="48"/>
  <c r="AR211" i="48"/>
  <c r="AQ211" i="48"/>
  <c r="AS117" i="48"/>
  <c r="AT117" i="48"/>
  <c r="AR117" i="48"/>
  <c r="AQ117" i="48"/>
  <c r="AT292" i="48"/>
  <c r="AQ292" i="48"/>
  <c r="AR292" i="48"/>
  <c r="AS292" i="48"/>
  <c r="AR39" i="48"/>
  <c r="AS39" i="48"/>
  <c r="AT39" i="48"/>
  <c r="AQ39" i="48"/>
  <c r="AR187" i="48"/>
  <c r="AT187" i="48"/>
  <c r="AS187" i="48"/>
  <c r="AQ187" i="48"/>
  <c r="AT25" i="48"/>
  <c r="AS25" i="48"/>
  <c r="AQ25" i="48"/>
  <c r="AR25" i="48"/>
  <c r="AT81" i="48"/>
  <c r="AQ81" i="48"/>
  <c r="AS81" i="48"/>
  <c r="AR81" i="48"/>
  <c r="AQ218" i="48"/>
  <c r="AR218" i="48"/>
  <c r="AS218" i="48"/>
  <c r="AT218" i="48"/>
  <c r="AR169" i="48"/>
  <c r="AS169" i="48"/>
  <c r="AT169" i="48"/>
  <c r="AQ169" i="48"/>
  <c r="AR294" i="48"/>
  <c r="AT294" i="48"/>
  <c r="AS294" i="48"/>
  <c r="AQ294" i="48"/>
  <c r="AQ146" i="48"/>
  <c r="AS146" i="48"/>
  <c r="AT146" i="48"/>
  <c r="AR146" i="48"/>
  <c r="AS289" i="48"/>
  <c r="AR289" i="48"/>
  <c r="AQ289" i="48"/>
  <c r="AT289" i="48"/>
  <c r="AS183" i="48"/>
  <c r="AQ183" i="48"/>
  <c r="AT183" i="48"/>
  <c r="AR183" i="48"/>
  <c r="AT52" i="48"/>
  <c r="AS52" i="48"/>
  <c r="AR52" i="48"/>
  <c r="AQ52" i="48"/>
  <c r="AQ285" i="48"/>
  <c r="AT285" i="48"/>
  <c r="AS285" i="48"/>
  <c r="AR285" i="48"/>
  <c r="AR254" i="48"/>
  <c r="AS254" i="48"/>
  <c r="AQ254" i="48"/>
  <c r="AT254" i="48"/>
  <c r="AQ121" i="48"/>
  <c r="AT121" i="48"/>
  <c r="AS121" i="48"/>
  <c r="AR121" i="48"/>
  <c r="AS270" i="48"/>
  <c r="AR270" i="48"/>
  <c r="AQ270" i="48"/>
  <c r="AT270" i="48"/>
  <c r="AS103" i="48"/>
  <c r="AT103" i="48"/>
  <c r="AQ103" i="48"/>
  <c r="AR103" i="48"/>
  <c r="AQ298" i="48"/>
  <c r="AR298" i="48"/>
  <c r="AT298" i="48"/>
  <c r="AS298" i="48"/>
  <c r="AT126" i="48"/>
  <c r="AR126" i="48"/>
  <c r="AQ126" i="48"/>
  <c r="AS126" i="48"/>
  <c r="AS156" i="48"/>
  <c r="AT156" i="48"/>
  <c r="AR156" i="48"/>
  <c r="AQ156" i="48"/>
  <c r="AQ26" i="48"/>
  <c r="AR26" i="48"/>
  <c r="AT26" i="48"/>
  <c r="AS26" i="48"/>
  <c r="AT13" i="48"/>
  <c r="AS13" i="48"/>
  <c r="AQ13" i="48"/>
  <c r="AR13" i="48"/>
  <c r="AT122" i="48"/>
  <c r="AQ122" i="48"/>
  <c r="AS122" i="48"/>
  <c r="AR122" i="48"/>
  <c r="AS97" i="48"/>
  <c r="AQ97" i="48"/>
  <c r="AR97" i="48"/>
  <c r="AT97" i="48"/>
  <c r="AT276" i="48"/>
  <c r="AQ276" i="48"/>
  <c r="AR276" i="48"/>
  <c r="AS276" i="48"/>
  <c r="AT221" i="48"/>
  <c r="AR221" i="48"/>
  <c r="AS221" i="48"/>
  <c r="AQ221" i="48"/>
  <c r="AR24" i="48"/>
  <c r="AS24" i="48"/>
  <c r="AQ24" i="48"/>
  <c r="AT24" i="48"/>
  <c r="AS32" i="48"/>
  <c r="AQ32" i="48"/>
  <c r="AR32" i="48"/>
  <c r="AT32" i="48"/>
  <c r="AQ212" i="48"/>
  <c r="AT212" i="48"/>
  <c r="AS212" i="48"/>
  <c r="AR212" i="48"/>
  <c r="AS61" i="48"/>
  <c r="AR61" i="48"/>
  <c r="AQ61" i="48"/>
  <c r="AT61" i="48"/>
  <c r="AQ129" i="48"/>
  <c r="AR129" i="48"/>
  <c r="AS129" i="48"/>
  <c r="AT129" i="48"/>
  <c r="AS12" i="48"/>
  <c r="AR12" i="48"/>
  <c r="AT12" i="48"/>
  <c r="AQ12" i="48"/>
  <c r="AR74" i="48"/>
  <c r="AQ74" i="48"/>
  <c r="AS74" i="48"/>
  <c r="AT74" i="48"/>
  <c r="AS41" i="48"/>
  <c r="AQ41" i="48"/>
  <c r="AR41" i="48"/>
  <c r="AT41" i="48"/>
  <c r="AQ130" i="48"/>
  <c r="AS130" i="48"/>
  <c r="AR130" i="48"/>
  <c r="AT130" i="48"/>
  <c r="AR15" i="48"/>
  <c r="AQ15" i="48"/>
  <c r="AS15" i="48"/>
  <c r="AT15" i="48"/>
  <c r="AQ98" i="48"/>
  <c r="AS98" i="48"/>
  <c r="AR98" i="48"/>
  <c r="AT98" i="48"/>
  <c r="AS57" i="48"/>
  <c r="AQ57" i="48"/>
  <c r="AT57" i="48"/>
  <c r="AR57" i="48"/>
  <c r="AS3" i="48"/>
  <c r="AR3" i="48"/>
  <c r="AT3" i="48"/>
  <c r="AQ3" i="48"/>
  <c r="AR101" i="48"/>
  <c r="AQ101" i="48"/>
  <c r="AT101" i="48"/>
  <c r="AS101" i="48"/>
  <c r="AR47" i="48"/>
  <c r="AS47" i="48"/>
  <c r="AT47" i="48"/>
  <c r="AQ47" i="48"/>
  <c r="AQ94" i="48"/>
  <c r="AR94" i="48"/>
  <c r="AS94" i="48"/>
  <c r="AT94" i="48"/>
  <c r="AQ80" i="48"/>
  <c r="AR80" i="48"/>
  <c r="AT80" i="48"/>
  <c r="AS80" i="48"/>
  <c r="AT197" i="48"/>
  <c r="AQ197" i="48"/>
  <c r="AR197" i="48"/>
  <c r="AS197" i="48"/>
  <c r="AS50" i="48"/>
  <c r="AQ50" i="48"/>
  <c r="AR50" i="48"/>
  <c r="AT50" i="48"/>
  <c r="AS225" i="48"/>
  <c r="AQ225" i="48"/>
  <c r="AR225" i="48"/>
  <c r="AT225" i="48"/>
  <c r="AT86" i="48"/>
  <c r="AR86" i="48"/>
  <c r="AS86" i="48"/>
  <c r="AQ86" i="48"/>
  <c r="AR21" i="48"/>
  <c r="AQ21" i="48"/>
  <c r="AT21" i="48"/>
  <c r="AS21" i="48"/>
  <c r="AR73" i="48"/>
  <c r="AT73" i="48"/>
  <c r="AQ73" i="48"/>
  <c r="AS73" i="48"/>
  <c r="AR100" i="48"/>
  <c r="AQ100" i="48"/>
  <c r="AS100" i="48"/>
  <c r="AT100" i="48"/>
  <c r="AQ11" i="48"/>
  <c r="AS11" i="48"/>
  <c r="AR11" i="48"/>
  <c r="AT11" i="48"/>
  <c r="AQ179" i="48"/>
  <c r="AS179" i="48"/>
  <c r="AR179" i="48"/>
  <c r="AT179" i="48"/>
  <c r="AS203" i="48"/>
  <c r="AR203" i="48"/>
  <c r="AQ203" i="48"/>
  <c r="AT203" i="48"/>
  <c r="AT230" i="48"/>
  <c r="AR230" i="48"/>
  <c r="AS230" i="48"/>
  <c r="AQ230" i="48"/>
  <c r="AS158" i="48"/>
  <c r="AQ158" i="48"/>
  <c r="AT158" i="48"/>
  <c r="AR158" i="48"/>
  <c r="AT281" i="48"/>
  <c r="AS281" i="48"/>
  <c r="AQ281" i="48"/>
  <c r="AR281" i="48"/>
  <c r="AR172" i="48"/>
  <c r="AQ172" i="48"/>
  <c r="AT172" i="48"/>
  <c r="AS172" i="48"/>
  <c r="AS60" i="48"/>
  <c r="AQ60" i="48"/>
  <c r="AR60" i="48"/>
  <c r="AT60" i="48"/>
  <c r="AT213" i="48"/>
  <c r="AQ213" i="48"/>
  <c r="AR213" i="48"/>
  <c r="AS213" i="48"/>
  <c r="AQ19" i="48"/>
  <c r="AR19" i="48"/>
  <c r="AT19" i="48"/>
  <c r="AS19" i="48"/>
  <c r="AS300" i="48"/>
  <c r="AQ300" i="48"/>
  <c r="AT300" i="48"/>
  <c r="AR300" i="48"/>
  <c r="AR14" i="48"/>
  <c r="AT14" i="48"/>
  <c r="AS14" i="48"/>
  <c r="AQ14" i="48"/>
  <c r="AR258" i="48"/>
  <c r="AQ258" i="48"/>
  <c r="AS258" i="48"/>
  <c r="AT258" i="48"/>
  <c r="AQ71" i="48"/>
  <c r="AR71" i="48"/>
  <c r="AT71" i="48"/>
  <c r="AS71" i="48"/>
  <c r="AT210" i="48"/>
  <c r="AS210" i="48"/>
  <c r="AQ210" i="48"/>
  <c r="AR210" i="48"/>
  <c r="AQ190" i="48"/>
  <c r="AS190" i="48"/>
  <c r="AR190" i="48"/>
  <c r="AT190" i="48"/>
  <c r="AT76" i="48"/>
  <c r="AR76" i="48"/>
  <c r="AQ76" i="48"/>
  <c r="AS76" i="48"/>
  <c r="AQ127" i="48"/>
  <c r="AR127" i="48"/>
  <c r="AT127" i="48"/>
  <c r="AS127" i="48"/>
  <c r="AS283" i="48"/>
  <c r="AQ283" i="48"/>
  <c r="AT283" i="48"/>
  <c r="AR283" i="48"/>
  <c r="AR30" i="48"/>
  <c r="AQ30" i="48"/>
  <c r="AT30" i="48"/>
  <c r="AS30" i="48"/>
  <c r="AT251" i="48"/>
  <c r="AR251" i="48"/>
  <c r="AS251" i="48"/>
  <c r="AQ251" i="48"/>
  <c r="AS215" i="48"/>
  <c r="AT215" i="48"/>
  <c r="AR215" i="48"/>
  <c r="AQ215" i="48"/>
  <c r="AT105" i="48"/>
  <c r="AQ105" i="48"/>
  <c r="AS105" i="48"/>
  <c r="AR105" i="48"/>
  <c r="AR268" i="48"/>
  <c r="AQ268" i="48"/>
  <c r="AT268" i="48"/>
  <c r="AS268" i="48"/>
  <c r="AQ48" i="48"/>
  <c r="AT48" i="48"/>
  <c r="AS48" i="48"/>
  <c r="AR48" i="48"/>
  <c r="AQ22" i="48"/>
  <c r="AT22" i="48"/>
  <c r="AR22" i="48"/>
  <c r="AS22" i="48"/>
  <c r="AQ228" i="48"/>
  <c r="AR228" i="48"/>
  <c r="AS228" i="48"/>
  <c r="AT228" i="48"/>
  <c r="AR238" i="48"/>
  <c r="AT238" i="48"/>
  <c r="AS238" i="48"/>
  <c r="AQ238" i="48"/>
  <c r="AS67" i="48"/>
  <c r="AQ67" i="48"/>
  <c r="AT67" i="48"/>
  <c r="AR67" i="48"/>
  <c r="AQ208" i="48"/>
  <c r="AT208" i="48"/>
  <c r="AR208" i="48"/>
  <c r="AS208" i="48"/>
  <c r="AQ256" i="48"/>
  <c r="AS256" i="48"/>
  <c r="AR256" i="48"/>
  <c r="AT256" i="48"/>
  <c r="AT231" i="48"/>
  <c r="AR231" i="48"/>
  <c r="AS231" i="48"/>
  <c r="AQ231" i="48"/>
  <c r="AR28" i="48"/>
  <c r="AS28" i="48"/>
  <c r="AT28" i="48"/>
  <c r="AQ28" i="48"/>
  <c r="AS37" i="48"/>
  <c r="AR37" i="48"/>
  <c r="AQ37" i="48"/>
  <c r="AT37" i="48"/>
  <c r="AR92" i="48"/>
  <c r="AT92" i="48"/>
  <c r="AQ92" i="48"/>
  <c r="AS92" i="48"/>
  <c r="AT65" i="48"/>
  <c r="AS65" i="48"/>
  <c r="AQ65" i="48"/>
  <c r="AR65" i="48"/>
  <c r="AR153" i="48"/>
  <c r="AS153" i="48"/>
  <c r="AQ153" i="48"/>
  <c r="AT153" i="48"/>
  <c r="AT233" i="48"/>
  <c r="AR233" i="48"/>
  <c r="AQ233" i="48"/>
  <c r="AS233" i="48"/>
  <c r="AS271" i="48"/>
  <c r="AR271" i="48"/>
  <c r="AQ271" i="48"/>
  <c r="AT271" i="48"/>
  <c r="AR232" i="48"/>
  <c r="AQ232" i="48"/>
  <c r="AT232" i="48"/>
  <c r="AS232" i="48"/>
  <c r="AS131" i="48"/>
  <c r="AR131" i="48"/>
  <c r="AT131" i="48"/>
  <c r="AQ131" i="48"/>
  <c r="AT275" i="48"/>
  <c r="AS275" i="48"/>
  <c r="AQ275" i="48"/>
  <c r="AR275" i="48"/>
  <c r="AQ171" i="48"/>
  <c r="AR171" i="48"/>
  <c r="AT171" i="48"/>
  <c r="AS171" i="48"/>
  <c r="AT29" i="48"/>
  <c r="AR29" i="48"/>
  <c r="AS29" i="48"/>
  <c r="AQ29" i="48"/>
  <c r="AR120" i="48"/>
  <c r="AQ120" i="48"/>
  <c r="AS120" i="48"/>
  <c r="AT120" i="48"/>
  <c r="AT278" i="48"/>
  <c r="AQ278" i="48"/>
  <c r="AS278" i="48"/>
  <c r="AR278" i="48"/>
  <c r="AT162" i="48"/>
  <c r="AQ162" i="48"/>
  <c r="AS162" i="48"/>
  <c r="AR162" i="48"/>
  <c r="AR253" i="48"/>
  <c r="AT253" i="48"/>
  <c r="AQ253" i="48"/>
  <c r="AS253" i="48"/>
  <c r="AQ115" i="48"/>
  <c r="AT115" i="48"/>
  <c r="AS115" i="48"/>
  <c r="AR115" i="48"/>
  <c r="AQ175" i="48"/>
  <c r="AR175" i="48"/>
  <c r="AS175" i="48"/>
  <c r="AT175" i="48"/>
  <c r="AT82" i="48"/>
  <c r="AQ82" i="48"/>
  <c r="AS82" i="48"/>
  <c r="AR82" i="48"/>
  <c r="AR247" i="48"/>
  <c r="AQ247" i="48"/>
  <c r="AT247" i="48"/>
  <c r="AS247" i="48"/>
  <c r="AS75" i="48"/>
  <c r="AT75" i="48"/>
  <c r="AR75" i="48"/>
  <c r="AQ75" i="48"/>
  <c r="AS279" i="48"/>
  <c r="AQ279" i="48"/>
  <c r="AR279" i="48"/>
  <c r="AT279" i="48"/>
  <c r="AR250" i="48"/>
  <c r="AT250" i="48"/>
  <c r="AS250" i="48"/>
  <c r="AQ250" i="48"/>
  <c r="AS141" i="48"/>
  <c r="AT141" i="48"/>
  <c r="AR141" i="48"/>
  <c r="AQ141" i="48"/>
  <c r="AR93" i="48"/>
  <c r="AQ93" i="48"/>
  <c r="AT93" i="48"/>
  <c r="AS93" i="48"/>
  <c r="AS99" i="48"/>
  <c r="AR99" i="48"/>
  <c r="AT99" i="48"/>
  <c r="AQ99" i="48"/>
  <c r="AQ154" i="48"/>
  <c r="AT154" i="48"/>
  <c r="AR154" i="48"/>
  <c r="AS154" i="48"/>
  <c r="AR118" i="48"/>
  <c r="AQ118" i="48"/>
  <c r="AT118" i="48"/>
  <c r="AS118" i="48"/>
  <c r="AR243" i="48"/>
  <c r="AT243" i="48"/>
  <c r="AQ243" i="48"/>
  <c r="AS243" i="48"/>
  <c r="AR291" i="48"/>
  <c r="AS291" i="48"/>
  <c r="AT291" i="48"/>
  <c r="AQ291" i="48"/>
  <c r="AT173" i="48"/>
  <c r="AS173" i="48"/>
  <c r="AR173" i="48"/>
  <c r="AQ173" i="48"/>
  <c r="AQ125" i="48"/>
  <c r="AT125" i="48"/>
  <c r="AR125" i="48"/>
  <c r="AS125" i="48"/>
  <c r="AT157" i="48"/>
  <c r="AQ157" i="48"/>
  <c r="AR157" i="48"/>
  <c r="AS157" i="48"/>
  <c r="AQ10" i="48"/>
  <c r="AT10" i="48"/>
  <c r="AS10" i="48"/>
  <c r="AR10" i="48"/>
  <c r="AT269" i="48"/>
  <c r="AQ269" i="48"/>
  <c r="AR269" i="48"/>
  <c r="AS269" i="48"/>
  <c r="AS23" i="48"/>
  <c r="AT23" i="48"/>
  <c r="AQ23" i="48"/>
  <c r="AR23" i="48"/>
  <c r="AQ133" i="48"/>
  <c r="AR133" i="48"/>
  <c r="AT133" i="48"/>
  <c r="AS133" i="4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<sst xmlns="http://schemas.openxmlformats.org/spreadsheetml/2006/main" count="7194" uniqueCount="734">
  <si>
    <t>PLAYER</t>
  </si>
  <si>
    <t>COMP</t>
  </si>
  <si>
    <t>INT</t>
  </si>
  <si>
    <t>TGT</t>
  </si>
  <si>
    <t>REC</t>
  </si>
  <si>
    <t>Christian McCaffrey</t>
  </si>
  <si>
    <t>Curtis Samuel</t>
  </si>
  <si>
    <t>Ian Thomas</t>
  </si>
  <si>
    <t>POS</t>
  </si>
  <si>
    <t>QB</t>
  </si>
  <si>
    <t>TE</t>
  </si>
  <si>
    <t>Jimmy Garoppolo</t>
  </si>
  <si>
    <t>Matt Breida</t>
  </si>
  <si>
    <t>Deebo Samuel</t>
  </si>
  <si>
    <t>George Kittle</t>
  </si>
  <si>
    <t>Austin Ekeler</t>
  </si>
  <si>
    <t>Keenan Allen</t>
  </si>
  <si>
    <t>Mike Williams</t>
  </si>
  <si>
    <t>Hunter Henry</t>
  </si>
  <si>
    <t>Austin Hooper</t>
  </si>
  <si>
    <t>Lamar Jackson</t>
  </si>
  <si>
    <t>Gus Edwards</t>
  </si>
  <si>
    <t>Marquise Brown</t>
  </si>
  <si>
    <t>Mark Andrews</t>
  </si>
  <si>
    <t>Hayden Hurst</t>
  </si>
  <si>
    <t>Dawson Knox</t>
  </si>
  <si>
    <t>Devin Singletary</t>
  </si>
  <si>
    <t>Josh Allen</t>
  </si>
  <si>
    <t>David Montgomery</t>
  </si>
  <si>
    <t>Cordarrelle Patterson</t>
  </si>
  <si>
    <t>C.J. Uzomah</t>
  </si>
  <si>
    <t>Drew Sample</t>
  </si>
  <si>
    <t>Tyler Boyd</t>
  </si>
  <si>
    <t>Joe Mixon</t>
  </si>
  <si>
    <t>Andy Dalton</t>
  </si>
  <si>
    <t>Nick Chubb</t>
  </si>
  <si>
    <t>David Njoku</t>
  </si>
  <si>
    <t>Amari Cooper</t>
  </si>
  <si>
    <t>Michael Gallup</t>
  </si>
  <si>
    <t>Randall Cobb</t>
  </si>
  <si>
    <t>Ezekiel Elliott</t>
  </si>
  <si>
    <t>Tony Pollard</t>
  </si>
  <si>
    <t>Dak Prescott</t>
  </si>
  <si>
    <t>Courtland Sutton</t>
  </si>
  <si>
    <t>Noah Fant</t>
  </si>
  <si>
    <t>T.J. Hockenson</t>
  </si>
  <si>
    <t>Matthew Stafford</t>
  </si>
  <si>
    <t>Aaron Rodgers</t>
  </si>
  <si>
    <t>Aaron Jones</t>
  </si>
  <si>
    <t>Davante Adams</t>
  </si>
  <si>
    <t>Marquez Valdes-Scantling</t>
  </si>
  <si>
    <t>Deshaun Watson</t>
  </si>
  <si>
    <t>Parris Campbell</t>
  </si>
  <si>
    <t>Patrick Mahomes</t>
  </si>
  <si>
    <t>Tyreek Hill</t>
  </si>
  <si>
    <t>Mecole Hardman</t>
  </si>
  <si>
    <t>Travis Kelce</t>
  </si>
  <si>
    <t>Gerald Everett</t>
  </si>
  <si>
    <t>Tyler Higbee</t>
  </si>
  <si>
    <t>Brandin Cooks</t>
  </si>
  <si>
    <t>Robert Woods</t>
  </si>
  <si>
    <t>Cooper Kupp</t>
  </si>
  <si>
    <t>Josh Reynolds</t>
  </si>
  <si>
    <t>Jared Goff</t>
  </si>
  <si>
    <t>DeVante Parker</t>
  </si>
  <si>
    <t>Mike Gesicki</t>
  </si>
  <si>
    <t>Terry McLaurin</t>
  </si>
  <si>
    <t>Derrick Henry</t>
  </si>
  <si>
    <t>A.J. Brown</t>
  </si>
  <si>
    <t>Jonnu Smith</t>
  </si>
  <si>
    <t>O.J. Howard</t>
  </si>
  <si>
    <t>Mike Evans</t>
  </si>
  <si>
    <t>Chris Godwin</t>
  </si>
  <si>
    <t>Russell Wilson</t>
  </si>
  <si>
    <t>Rashaad Penny</t>
  </si>
  <si>
    <t>Tyler Lockett</t>
  </si>
  <si>
    <t>Will Dissly</t>
  </si>
  <si>
    <t>JuJu Smith-Schuster</t>
  </si>
  <si>
    <t>James Conner</t>
  </si>
  <si>
    <t>Miles Sanders</t>
  </si>
  <si>
    <t>Nelson Agholor</t>
  </si>
  <si>
    <t>Zach Ertz</t>
  </si>
  <si>
    <t>Dallas Goedert</t>
  </si>
  <si>
    <t>Derek Carr</t>
  </si>
  <si>
    <t>Darren Waller</t>
  </si>
  <si>
    <t>Foster Moreau</t>
  </si>
  <si>
    <t>Josh Jacobs</t>
  </si>
  <si>
    <t>Sam Darnold</t>
  </si>
  <si>
    <t>Evan Engram</t>
  </si>
  <si>
    <t>Sterling Shepard</t>
  </si>
  <si>
    <t>Darius Slayton</t>
  </si>
  <si>
    <t>Saquon Barkley</t>
  </si>
  <si>
    <t>Daniel Jones</t>
  </si>
  <si>
    <t>Taysom Hill</t>
  </si>
  <si>
    <t>Alvin Kamara</t>
  </si>
  <si>
    <t>Michael Thomas</t>
  </si>
  <si>
    <t>Tre'Quan Smith</t>
  </si>
  <si>
    <t>Damien Harris</t>
  </si>
  <si>
    <t>Kirk Cousins</t>
  </si>
  <si>
    <t>Dalvin Cook</t>
  </si>
  <si>
    <t>Alexander Mattison</t>
  </si>
  <si>
    <t>Adam Thielen</t>
  </si>
  <si>
    <t>Stefon Diggs</t>
  </si>
  <si>
    <t>Christian Kirk</t>
  </si>
  <si>
    <t>Chase Edmonds</t>
  </si>
  <si>
    <t>Kyler Murray</t>
  </si>
  <si>
    <t>TM</t>
  </si>
  <si>
    <t>ARI</t>
  </si>
  <si>
    <t>ATL</t>
  </si>
  <si>
    <t>BAL</t>
  </si>
  <si>
    <t>BUF</t>
  </si>
  <si>
    <t>CAR</t>
  </si>
  <si>
    <t>CHI</t>
  </si>
  <si>
    <t>CIN</t>
  </si>
  <si>
    <t>CLE</t>
  </si>
  <si>
    <t>DAL</t>
  </si>
  <si>
    <t>DEN</t>
  </si>
  <si>
    <t>DET</t>
  </si>
  <si>
    <t>GB</t>
  </si>
  <si>
    <t>HOU</t>
  </si>
  <si>
    <t>IND</t>
  </si>
  <si>
    <t>Mo Alie-Cox</t>
  </si>
  <si>
    <t>KC</t>
  </si>
  <si>
    <t>LAC</t>
  </si>
  <si>
    <t>LAR</t>
  </si>
  <si>
    <t>MIA</t>
  </si>
  <si>
    <t>MIN</t>
  </si>
  <si>
    <t>NE</t>
  </si>
  <si>
    <t>NO</t>
  </si>
  <si>
    <t>NYG</t>
  </si>
  <si>
    <t>NYJ</t>
  </si>
  <si>
    <t>Hunter Renfrow</t>
  </si>
  <si>
    <t>PHI</t>
  </si>
  <si>
    <t>PIT</t>
  </si>
  <si>
    <t>SEA</t>
  </si>
  <si>
    <t>SF</t>
  </si>
  <si>
    <t>TB</t>
  </si>
  <si>
    <t>TEN</t>
  </si>
  <si>
    <t>FPS</t>
  </si>
  <si>
    <t>JAX</t>
  </si>
  <si>
    <t>WSH</t>
  </si>
  <si>
    <t>HALF</t>
  </si>
  <si>
    <t>PPR</t>
  </si>
  <si>
    <t>BYE</t>
  </si>
  <si>
    <t>Jacoby Brissett</t>
  </si>
  <si>
    <t>Ryan Tannehill</t>
  </si>
  <si>
    <t>PATT</t>
  </si>
  <si>
    <t>CMP</t>
  </si>
  <si>
    <t>PAYD</t>
  </si>
  <si>
    <t>PATD</t>
  </si>
  <si>
    <t>RUAT</t>
  </si>
  <si>
    <t>RUYD</t>
  </si>
  <si>
    <t>RUTD</t>
  </si>
  <si>
    <t>Raheem Mostert</t>
  </si>
  <si>
    <t>Jakobi Meyers</t>
  </si>
  <si>
    <t>Diontae Johnson</t>
  </si>
  <si>
    <t>Kendrick Bourne</t>
  </si>
  <si>
    <t>Dalton Schultz</t>
  </si>
  <si>
    <t>RK</t>
  </si>
  <si>
    <t>TD</t>
  </si>
  <si>
    <t>RCYD</t>
  </si>
  <si>
    <t>RCTD</t>
  </si>
  <si>
    <t>Mike Boone</t>
  </si>
  <si>
    <t>Devin Duvernay</t>
  </si>
  <si>
    <t>Cole Kmet</t>
  </si>
  <si>
    <t>Joe Burrow</t>
  </si>
  <si>
    <t>Tee Higgins</t>
  </si>
  <si>
    <t>CeeDee Lamb</t>
  </si>
  <si>
    <t>Drew Lock</t>
  </si>
  <si>
    <t>Jerry Jeudy</t>
  </si>
  <si>
    <t>Allen Lazard</t>
  </si>
  <si>
    <t>Jordan Love</t>
  </si>
  <si>
    <t>Jordan Akins</t>
  </si>
  <si>
    <t>Jonathan Taylor</t>
  </si>
  <si>
    <t>Clyde Edwards-Helaire</t>
  </si>
  <si>
    <t>Justin Herbert</t>
  </si>
  <si>
    <t>Van Jefferson</t>
  </si>
  <si>
    <t>Tua Tagovailoa</t>
  </si>
  <si>
    <t>Durham Smythe</t>
  </si>
  <si>
    <t>Justin Jefferson</t>
  </si>
  <si>
    <t>Adam Trautman</t>
  </si>
  <si>
    <t>Jalen Hurts</t>
  </si>
  <si>
    <t>Boston Scott</t>
  </si>
  <si>
    <t>Chase Claypool</t>
  </si>
  <si>
    <t>Brandon Aiyuk</t>
  </si>
  <si>
    <t>Ke'Shawn Vaughn</t>
  </si>
  <si>
    <t>Antonio Gibson</t>
  </si>
  <si>
    <t>Logan Thomas</t>
  </si>
  <si>
    <t>Brycen Hopkins</t>
  </si>
  <si>
    <t>Donovan Peoples-Jones</t>
  </si>
  <si>
    <t>Joshua Kelley</t>
  </si>
  <si>
    <t>DeeJay Dallas</t>
  </si>
  <si>
    <t>LV</t>
  </si>
  <si>
    <t>D'Ernest Johnson</t>
  </si>
  <si>
    <t>D'Andre Swift</t>
  </si>
  <si>
    <t>Jamaal Williams</t>
  </si>
  <si>
    <t>DeAndre Hopkins</t>
  </si>
  <si>
    <t>Olamide Zaccheaus</t>
  </si>
  <si>
    <t>Isaiah McKenzie</t>
  </si>
  <si>
    <t>Harrison Bryant</t>
  </si>
  <si>
    <t>Albert Okwuegbunam</t>
  </si>
  <si>
    <t>DK Metcalf</t>
  </si>
  <si>
    <t>TEAM</t>
  </si>
  <si>
    <t>Zay Jones</t>
  </si>
  <si>
    <t>Robert Tonyan</t>
  </si>
  <si>
    <t>Braxton Berrios</t>
  </si>
  <si>
    <t>Justin Fields</t>
  </si>
  <si>
    <t>Davis Mills</t>
  </si>
  <si>
    <t>Trevor Lawrence</t>
  </si>
  <si>
    <t>Marcus Mariota</t>
  </si>
  <si>
    <t>Mac Jones</t>
  </si>
  <si>
    <t>Jameis Winston</t>
  </si>
  <si>
    <t>Zach Wilson</t>
  </si>
  <si>
    <t>Geno Smith</t>
  </si>
  <si>
    <t>Taylor Heinicke</t>
  </si>
  <si>
    <t>Kyle Pitts</t>
  </si>
  <si>
    <t>Tommy Tremble</t>
  </si>
  <si>
    <t>Brevin Jordan</t>
  </si>
  <si>
    <t>Kylen Granson</t>
  </si>
  <si>
    <t>Noah Gray</t>
  </si>
  <si>
    <t>Tre' McKitty</t>
  </si>
  <si>
    <t>Hunter Long</t>
  </si>
  <si>
    <t>Pat Freiermuth</t>
  </si>
  <si>
    <t>Colby Parkinson</t>
  </si>
  <si>
    <t>Charlie Woerner</t>
  </si>
  <si>
    <t>John Bates</t>
  </si>
  <si>
    <t>Chuba Hubbard</t>
  </si>
  <si>
    <t>Khalil Herbert</t>
  </si>
  <si>
    <t>Samaje Perine</t>
  </si>
  <si>
    <t>Chris Evans</t>
  </si>
  <si>
    <t>Javonte Williams</t>
  </si>
  <si>
    <t>Rhamondre Stevenson</t>
  </si>
  <si>
    <t>Michael Carter</t>
  </si>
  <si>
    <t>Najee Harris</t>
  </si>
  <si>
    <t>Travis Homer</t>
  </si>
  <si>
    <t>Elijah Mitchell</t>
  </si>
  <si>
    <t>Rondale Moore</t>
  </si>
  <si>
    <t>Rashod Bateman</t>
  </si>
  <si>
    <t>DJ Moore</t>
  </si>
  <si>
    <t>Darnell Mooney</t>
  </si>
  <si>
    <t>Ja'Marr Chase</t>
  </si>
  <si>
    <t>Cedrick Wilson</t>
  </si>
  <si>
    <t>Amon-Ra St. Brown</t>
  </si>
  <si>
    <t>Nico Collins</t>
  </si>
  <si>
    <t>Jamal Agnew</t>
  </si>
  <si>
    <t>Tutu Atwell</t>
  </si>
  <si>
    <t>Ben Skowronek</t>
  </si>
  <si>
    <t>Jaylen Waddle</t>
  </si>
  <si>
    <t>Kadarius Toney</t>
  </si>
  <si>
    <t>Elijah Moore</t>
  </si>
  <si>
    <t>DeVonta Smith</t>
  </si>
  <si>
    <t>Quez Watkins</t>
  </si>
  <si>
    <t>Nick Westbrook-Ikhine</t>
  </si>
  <si>
    <t>Dyami Brown</t>
  </si>
  <si>
    <t>TD%</t>
  </si>
  <si>
    <t>Trent Sherfield</t>
  </si>
  <si>
    <t>RB</t>
  </si>
  <si>
    <t>WR</t>
  </si>
  <si>
    <t>INT%</t>
  </si>
  <si>
    <t>PASS ATT</t>
  </si>
  <si>
    <t>COMPLETIONS</t>
  </si>
  <si>
    <t>PASS ATTEMPTS</t>
  </si>
  <si>
    <t>PASS YARDS</t>
  </si>
  <si>
    <t>PASS TDS</t>
  </si>
  <si>
    <t>INTERCEPTIONS</t>
  </si>
  <si>
    <t>RUSH ATTEMPTS</t>
  </si>
  <si>
    <t>RUSH YARDS</t>
  </si>
  <si>
    <t>RUSH TDS</t>
  </si>
  <si>
    <t>TARGETS</t>
  </si>
  <si>
    <t>RECEPTIONS (RB)</t>
  </si>
  <si>
    <t>RECEPTIONS (WR)</t>
  </si>
  <si>
    <t>RECEPTIONS (TE)</t>
  </si>
  <si>
    <t>RECV YARDS</t>
  </si>
  <si>
    <t>RECV TDS</t>
  </si>
  <si>
    <t>SACKS</t>
  </si>
  <si>
    <t>SAFETIES</t>
  </si>
  <si>
    <t>DEF TD</t>
  </si>
  <si>
    <t>Arizona Cardinals</t>
  </si>
  <si>
    <t>Atlanta Falcons</t>
  </si>
  <si>
    <t>Baltimore Ravens</t>
  </si>
  <si>
    <t>Buffalo Bills</t>
  </si>
  <si>
    <t>Carolina Panthers</t>
  </si>
  <si>
    <t>Chicago Bears</t>
  </si>
  <si>
    <t>Cincinnati Bengals</t>
  </si>
  <si>
    <t>Cleveland Browns</t>
  </si>
  <si>
    <t>Dallas Cowboys</t>
  </si>
  <si>
    <t>Denver Broncos</t>
  </si>
  <si>
    <t>Detroit Lions</t>
  </si>
  <si>
    <t>Green Bay Packers</t>
  </si>
  <si>
    <t>Houston Texans</t>
  </si>
  <si>
    <t>Indianapolis Colts</t>
  </si>
  <si>
    <t>Jacksonville Jaguars</t>
  </si>
  <si>
    <t>Kansas City Chiefs</t>
  </si>
  <si>
    <t>Las Vegas Raiders</t>
  </si>
  <si>
    <t>Los Angeles Chargers</t>
  </si>
  <si>
    <t>Los Angeles Rams</t>
  </si>
  <si>
    <t>Miami Dolphins</t>
  </si>
  <si>
    <t>Minnesota Vikings</t>
  </si>
  <si>
    <t>New England Patriots</t>
  </si>
  <si>
    <t>New Orleans Saints</t>
  </si>
  <si>
    <t>New York Giants</t>
  </si>
  <si>
    <t>New York Jets</t>
  </si>
  <si>
    <t>Philadelphia Eagles</t>
  </si>
  <si>
    <t>Pittsburgh Steelers</t>
  </si>
  <si>
    <t>San Francisco 49ers</t>
  </si>
  <si>
    <t>Seattle Seahawks</t>
  </si>
  <si>
    <t>Tampa Bay Buccaneers</t>
  </si>
  <si>
    <t>Tennessee Titans</t>
  </si>
  <si>
    <t>PASS TD</t>
  </si>
  <si>
    <t>RUSH ATT</t>
  </si>
  <si>
    <t>RUSH TD</t>
  </si>
  <si>
    <t>RECV TD</t>
  </si>
  <si>
    <t>COMP%</t>
  </si>
  <si>
    <t>TD PER CAR%</t>
  </si>
  <si>
    <t>RECP%</t>
  </si>
  <si>
    <t>YD PER RECP</t>
  </si>
  <si>
    <t>TGT SHARE</t>
  </si>
  <si>
    <t>MKT SHARE</t>
  </si>
  <si>
    <t>PTS PER GAME</t>
  </si>
  <si>
    <t>YD PER GAME</t>
  </si>
  <si>
    <t>RECOV'D FUMBLE</t>
  </si>
  <si>
    <t>FORCED FUMBLE</t>
  </si>
  <si>
    <t>DEF SACKS</t>
  </si>
  <si>
    <t>DEF INT</t>
  </si>
  <si>
    <t>DEF SAFETIES</t>
  </si>
  <si>
    <t>DEF TOUCHDOWN</t>
  </si>
  <si>
    <t>DEF 0 PTS ALLOW</t>
  </si>
  <si>
    <t>DEF 1-6 PTS ALLOW</t>
  </si>
  <si>
    <t>DEF 7-13 PTS ALLOW</t>
  </si>
  <si>
    <t>DEF 14-21 PTS ALLOW</t>
  </si>
  <si>
    <t>DEF 22-27 PTS ALLOW</t>
  </si>
  <si>
    <t>DEF 28-35 PTS ALLOW</t>
  </si>
  <si>
    <t>DEF RECOVER FUMBLE</t>
  </si>
  <si>
    <t>DEF FORCE FUMBLE</t>
  </si>
  <si>
    <t>DEF 35+ PTS ALLOW</t>
  </si>
  <si>
    <t>0 PT GAMES</t>
  </si>
  <si>
    <t>1-6 PT GAMES</t>
  </si>
  <si>
    <t>7-13 PT GAMES</t>
  </si>
  <si>
    <t>14-21 PT GAMES</t>
  </si>
  <si>
    <t>35+ PT GAMES</t>
  </si>
  <si>
    <t>22-26 PT GAMES</t>
  </si>
  <si>
    <t>27-34 PT GAMES</t>
  </si>
  <si>
    <t>TD SHARE</t>
  </si>
  <si>
    <t>YDS</t>
  </si>
  <si>
    <t>TOT SHR</t>
  </si>
  <si>
    <t>TEAM NUMBERS</t>
  </si>
  <si>
    <t>PASS%</t>
  </si>
  <si>
    <t>RUSH%</t>
  </si>
  <si>
    <t>RUTD%</t>
  </si>
  <si>
    <t>PLAYS</t>
  </si>
  <si>
    <t>TM RUSH</t>
  </si>
  <si>
    <t>TM TGT</t>
  </si>
  <si>
    <t>TM REC</t>
  </si>
  <si>
    <t>TM RUSH ATT</t>
  </si>
  <si>
    <t>TM RUSH YD</t>
  </si>
  <si>
    <t>TM RUSH TD</t>
  </si>
  <si>
    <t>TM REC YD</t>
  </si>
  <si>
    <t>TM REC TD</t>
  </si>
  <si>
    <t>TM PASS</t>
  </si>
  <si>
    <t>TEAM TOTAL DIFFERENCES</t>
  </si>
  <si>
    <t>YD PER CARRY</t>
  </si>
  <si>
    <t>PASS SHARE</t>
  </si>
  <si>
    <t>RUSH SHARE</t>
  </si>
  <si>
    <t>EDIT PASS SHARE</t>
  </si>
  <si>
    <t>EDIT RUSH SHARE</t>
  </si>
  <si>
    <t>EDIT TGT SHARE</t>
  </si>
  <si>
    <t>RU YPC</t>
  </si>
  <si>
    <t>TEAMS</t>
  </si>
  <si>
    <t>STARTING QB</t>
  </si>
  <si>
    <t>STARTING RB</t>
  </si>
  <si>
    <t>STARTING WR</t>
  </si>
  <si>
    <t>STARTING TE</t>
  </si>
  <si>
    <t>STARTING DST</t>
  </si>
  <si>
    <t>STARTING FLEX</t>
  </si>
  <si>
    <t>STARTING SUPERFLEX</t>
  </si>
  <si>
    <t>AUC$</t>
  </si>
  <si>
    <t>STATS TO EDIT</t>
  </si>
  <si>
    <t>STAT TOTALS</t>
  </si>
  <si>
    <t>Columns AE-AH should total 100% or less (recommend 98-99% or less, as there are always a few random players) - the calcuations will still adjust to 98% (Columns W, AA, AC), but it's forcing the numbers if you're over 100% and/or inflating them if way low</t>
  </si>
  <si>
    <t>CELLS</t>
  </si>
  <si>
    <t>POSITION DIFFERENCES</t>
  </si>
  <si>
    <t>QB attempt total can't be manipulated manually - you must change TEAM PLAYS, TEAM PASS% and/or QB PASS SHARE</t>
  </si>
  <si>
    <t>League average for TD% per COMP is around 7.1-7.2 with Aaron Rodgers at 12.9% last year and Matthew Stafford at 7.7%</t>
  </si>
  <si>
    <t>BENCHMARKS QB</t>
  </si>
  <si>
    <t>BENCHMARKS RB</t>
  </si>
  <si>
    <t>League average for TD% per RUSH ATT is around 3.8 with Alvin Kamara blowing away everyone at 8.6%, Derrick Henry at 4.5% and Nyheim Hines at 3.4%</t>
  </si>
  <si>
    <t>BENCHMARKS WR</t>
  </si>
  <si>
    <t>League average for TGT% is around 9.0 with Davante Adams leading at 29.7% last year, Tee Higgins at 19.1% (30th overall) and Henry Ruggs at 8.2 (98th) - this is based on FULL SEASON total targets</t>
  </si>
  <si>
    <t>BENCHMARKS TE</t>
  </si>
  <si>
    <t>League average for TGT% is around 5.5 with Darren Waller tops at 27.7% last year, Dallas Goedert 20th with 11.6% and Durham Smythe 5.3 (49th)</t>
  </si>
  <si>
    <t>BENCHMARKS RECV TD SHARE</t>
  </si>
  <si>
    <t>Chris Carson's 4 recv TDs accounted for 10% of SEA passing TD, DK Metcalf and Tyler Lockett's 10 TDs each accounted for 25%, T.J. Hockenson's 7 accounted for 22.2% of the Lions 27 passing TDs</t>
  </si>
  <si>
    <t>MORE TEAM STATS/TOTALS</t>
  </si>
  <si>
    <t>There are cells all the way to the right, up to Column AH - make sure you see/use all of them if changing numbers</t>
  </si>
  <si>
    <t>Only change stats in YELLOW - the rest will auto-calculate after you make changes</t>
  </si>
  <si>
    <t>You can only edit PASS% (RUSH% auto adjusts to equal 100). Also, TEAM YPC and TD% affect "available" rushing yards and TDs - QB YPA and PASS TD% affect "available" targets, receptions (yards and TDs)</t>
  </si>
  <si>
    <t>Jeff Wilson</t>
  </si>
  <si>
    <t>LINK TO THE SITE WITH STEP-BY-STEP DEEPER INSTRUCTIONS AND PICTURES</t>
  </si>
  <si>
    <t>OPEN IN EXCEL</t>
  </si>
  <si>
    <t>If you don't have Excel, you can access Office 365 online (just have to create an account if you don't have one), so…</t>
  </si>
  <si>
    <t>GO HERE to access Excel online and open the file</t>
  </si>
  <si>
    <t>Custom</t>
  </si>
  <si>
    <t>Catergoy</t>
  </si>
  <si>
    <t>Points</t>
  </si>
  <si>
    <t>Category</t>
  </si>
  <si>
    <t>Player</t>
  </si>
  <si>
    <t>Ref</t>
  </si>
  <si>
    <t>DST1</t>
  </si>
  <si>
    <t>DST6</t>
  </si>
  <si>
    <t>DST8</t>
  </si>
  <si>
    <t>DST7</t>
  </si>
  <si>
    <t>DST9</t>
  </si>
  <si>
    <t>DST2</t>
  </si>
  <si>
    <t>DST3</t>
  </si>
  <si>
    <t>DST4</t>
  </si>
  <si>
    <t>DST5</t>
  </si>
  <si>
    <t>DST10</t>
  </si>
  <si>
    <t>DST11</t>
  </si>
  <si>
    <t>DST12</t>
  </si>
  <si>
    <t>DST13</t>
  </si>
  <si>
    <t>DST14</t>
  </si>
  <si>
    <t>DST15</t>
  </si>
  <si>
    <t>DST16</t>
  </si>
  <si>
    <t>DST17</t>
  </si>
  <si>
    <t>DST18</t>
  </si>
  <si>
    <t>DST19</t>
  </si>
  <si>
    <t>DST20</t>
  </si>
  <si>
    <t>DST21</t>
  </si>
  <si>
    <t>DST22</t>
  </si>
  <si>
    <t>DST23</t>
  </si>
  <si>
    <t>DST24</t>
  </si>
  <si>
    <t>DST25</t>
  </si>
  <si>
    <t>DST26</t>
  </si>
  <si>
    <t>DST27</t>
  </si>
  <si>
    <t>DST28</t>
  </si>
  <si>
    <t>DST29</t>
  </si>
  <si>
    <t>DST30</t>
  </si>
  <si>
    <t>DST31</t>
  </si>
  <si>
    <t>DST32</t>
  </si>
  <si>
    <t>AUCTION BUDGET</t>
  </si>
  <si>
    <t>QBRef</t>
  </si>
  <si>
    <t>RBRef</t>
  </si>
  <si>
    <t>WRRef</t>
  </si>
  <si>
    <t>TERef</t>
  </si>
  <si>
    <t>DSTRef</t>
  </si>
  <si>
    <t>Value</t>
  </si>
  <si>
    <t>SFLEX</t>
  </si>
  <si>
    <t>FLEX</t>
  </si>
  <si>
    <t>VORP</t>
  </si>
  <si>
    <t>WR and TE COMBINED</t>
  </si>
  <si>
    <t>OVERALL PLAYER</t>
  </si>
  <si>
    <t>TIGHT END</t>
  </si>
  <si>
    <t>WIDE RECEIVER</t>
  </si>
  <si>
    <t>RUNNING BACK</t>
  </si>
  <si>
    <t>QUARTERBACK</t>
  </si>
  <si>
    <t>Pos</t>
  </si>
  <si>
    <t>Calc</t>
  </si>
  <si>
    <t>OVR RK</t>
  </si>
  <si>
    <t>DO NOT EDIT THIS SHEET</t>
  </si>
  <si>
    <t>POS RK</t>
  </si>
  <si>
    <t>POSRef</t>
  </si>
  <si>
    <t>WRTE</t>
  </si>
  <si>
    <t>Gardner Minshew</t>
  </si>
  <si>
    <t>Josiah Deguara</t>
  </si>
  <si>
    <t>C.J. Beathard</t>
  </si>
  <si>
    <t>DeAndre Carter</t>
  </si>
  <si>
    <t>Jauan Jennings</t>
  </si>
  <si>
    <t>Mike White</t>
  </si>
  <si>
    <t>Juwan Johnson</t>
  </si>
  <si>
    <t>K.J. Osborn</t>
  </si>
  <si>
    <t>Mack Hollins</t>
  </si>
  <si>
    <t>Drake London</t>
  </si>
  <si>
    <t>KhaDarel Hodge</t>
  </si>
  <si>
    <t>Tyler Huntley</t>
  </si>
  <si>
    <t>J.K. Dobbins</t>
  </si>
  <si>
    <t>D'Onta Foreman</t>
  </si>
  <si>
    <t>Noah Brown</t>
  </si>
  <si>
    <t>Jameson Williams</t>
  </si>
  <si>
    <t>Brock Wright</t>
  </si>
  <si>
    <t>Kyle Allen</t>
  </si>
  <si>
    <t>Deon Jackson</t>
  </si>
  <si>
    <t>Travis Etienne</t>
  </si>
  <si>
    <t>Donald Parham</t>
  </si>
  <si>
    <t>Cam Akers</t>
  </si>
  <si>
    <t>Allen Robinson</t>
  </si>
  <si>
    <t>Nick Mullens</t>
  </si>
  <si>
    <t>Brandon Bolden</t>
  </si>
  <si>
    <t>Irv Smith</t>
  </si>
  <si>
    <t>Johnny Mundt</t>
  </si>
  <si>
    <t>Jahan Dotson</t>
  </si>
  <si>
    <t>Treylon Burks</t>
  </si>
  <si>
    <t>Kenny Pickett</t>
  </si>
  <si>
    <t>Garrett Wilson</t>
  </si>
  <si>
    <t>Chris Olave</t>
  </si>
  <si>
    <t>Deonte Harty</t>
  </si>
  <si>
    <t>Brian Hoyer</t>
  </si>
  <si>
    <t>Tyler Allgeier</t>
  </si>
  <si>
    <t>Charlie Kolar</t>
  </si>
  <si>
    <t>Isaiah Likely</t>
  </si>
  <si>
    <t>Khalil Shakir</t>
  </si>
  <si>
    <t>Jerome Ford</t>
  </si>
  <si>
    <t>Jake Ferguson</t>
  </si>
  <si>
    <t>Romeo Doubs</t>
  </si>
  <si>
    <t>Dameon Pierce</t>
  </si>
  <si>
    <t>Isaiah Spiller</t>
  </si>
  <si>
    <t>Zamir White</t>
  </si>
  <si>
    <t>Pierre Strong</t>
  </si>
  <si>
    <t>Breece Hall</t>
  </si>
  <si>
    <t>Jeremy Ruckert</t>
  </si>
  <si>
    <t>George Pickens</t>
  </si>
  <si>
    <t>Calvin Austin</t>
  </si>
  <si>
    <t>Sam Howell</t>
  </si>
  <si>
    <t>Brian Robinson</t>
  </si>
  <si>
    <t>Kyle Philips</t>
  </si>
  <si>
    <t>Malik Willis</t>
  </si>
  <si>
    <t>Cade Otton</t>
  </si>
  <si>
    <t>Rachaad White</t>
  </si>
  <si>
    <t>Danny Gray</t>
  </si>
  <si>
    <t>Tyrion Davis-Price</t>
  </si>
  <si>
    <t>Kyren Williams</t>
  </si>
  <si>
    <t>Skyy Moore</t>
  </si>
  <si>
    <t>Alec Pierce</t>
  </si>
  <si>
    <t>Jelani Woods</t>
  </si>
  <si>
    <t>John Metchie</t>
  </si>
  <si>
    <t>Christian Watson</t>
  </si>
  <si>
    <t>Greg Dulcich</t>
  </si>
  <si>
    <t>Jalen Tolbert</t>
  </si>
  <si>
    <t>David Bell</t>
  </si>
  <si>
    <t>Velus Jones</t>
  </si>
  <si>
    <t>James Cook</t>
  </si>
  <si>
    <t>Desmond Ridder</t>
  </si>
  <si>
    <t>Daniel Bellinger</t>
  </si>
  <si>
    <t>Wan'Dale Robinson</t>
  </si>
  <si>
    <t>WAS</t>
  </si>
  <si>
    <t>Kyle Trask</t>
  </si>
  <si>
    <t>Tyrod Taylor</t>
  </si>
  <si>
    <t>Jarrett Stidham</t>
  </si>
  <si>
    <t>JAC</t>
  </si>
  <si>
    <t>Joshua Dobbs</t>
  </si>
  <si>
    <t>Team</t>
  </si>
  <si>
    <t>Anthony McFarland</t>
  </si>
  <si>
    <t>Kenneth Gainwell</t>
  </si>
  <si>
    <t>Ty Chandler</t>
  </si>
  <si>
    <t>Ameer Abdullah</t>
  </si>
  <si>
    <t>Keaontay Ingram</t>
  </si>
  <si>
    <t>Dax Milne</t>
  </si>
  <si>
    <t>Zach Pascal</t>
  </si>
  <si>
    <t>Jalen Nailor</t>
  </si>
  <si>
    <t>Laviska Shenault</t>
  </si>
  <si>
    <t>Marvin Jones</t>
  </si>
  <si>
    <t>Michael Pittman</t>
  </si>
  <si>
    <t>Terrace Marshall</t>
  </si>
  <si>
    <t>Chigoziem Okonkwo</t>
  </si>
  <si>
    <t>Ko Kieft</t>
  </si>
  <si>
    <t>Connor Heyward</t>
  </si>
  <si>
    <t>Grant Calcaterra</t>
  </si>
  <si>
    <t>Tyler Conklin</t>
  </si>
  <si>
    <t>Luke Farrell</t>
  </si>
  <si>
    <t>Teagan Quitoriano</t>
  </si>
  <si>
    <t>Trey McBride</t>
  </si>
  <si>
    <t>James Mitchell</t>
  </si>
  <si>
    <t>Justyn Ross</t>
  </si>
  <si>
    <t>Richie James</t>
  </si>
  <si>
    <t>EDIT TD PER REC</t>
  </si>
  <si>
    <t>YDS PER COMP</t>
  </si>
  <si>
    <t>Washington Commanders</t>
  </si>
  <si>
    <t>ABBREV</t>
  </si>
  <si>
    <t>TGTS</t>
  </si>
  <si>
    <t>Name</t>
  </si>
  <si>
    <t>Position</t>
  </si>
  <si>
    <t>AJ Dillon</t>
  </si>
  <si>
    <t>DJ Chark</t>
  </si>
  <si>
    <t>Baker Mayfield</t>
  </si>
  <si>
    <t>Isiah Pacheco</t>
  </si>
  <si>
    <t>Jerick McKinnon</t>
  </si>
  <si>
    <t>Jaylen Warren</t>
  </si>
  <si>
    <t>Dareke Young</t>
  </si>
  <si>
    <t>Tim Jones</t>
  </si>
  <si>
    <t>Salvon Ahmed</t>
  </si>
  <si>
    <t>Quintin Morris</t>
  </si>
  <si>
    <t>Peyton Hendershot</t>
  </si>
  <si>
    <t>Gunner Olszewski</t>
  </si>
  <si>
    <t>Jordan Mason</t>
  </si>
  <si>
    <t>Greg Dortch</t>
  </si>
  <si>
    <t>Raheem Blackshear</t>
  </si>
  <si>
    <t>Samori Toure</t>
  </si>
  <si>
    <t>Calvin Ridley</t>
  </si>
  <si>
    <t>Easton Stick</t>
  </si>
  <si>
    <t>Brock Purdy</t>
  </si>
  <si>
    <t>Isaiah Hodgins</t>
  </si>
  <si>
    <t>Rashid Shaheed</t>
  </si>
  <si>
    <t>Josh Oliver</t>
  </si>
  <si>
    <t>Odell Beckham</t>
  </si>
  <si>
    <t>KaVontae Turpin</t>
  </si>
  <si>
    <t>River Cracraft</t>
  </si>
  <si>
    <t>Trevon Wesco</t>
  </si>
  <si>
    <t>Clayton Tune</t>
  </si>
  <si>
    <t>Michael Wilson</t>
  </si>
  <si>
    <t>Bijan Robinson</t>
  </si>
  <si>
    <t>Zay Flowers</t>
  </si>
  <si>
    <t>Latavius Murray</t>
  </si>
  <si>
    <t>Gabe Davis</t>
  </si>
  <si>
    <t>Justin Shorter</t>
  </si>
  <si>
    <t>Dalton Kincaid</t>
  </si>
  <si>
    <t>Bryce Young</t>
  </si>
  <si>
    <t>Jonathan Mingo</t>
  </si>
  <si>
    <t>Tyler Scott</t>
  </si>
  <si>
    <t>Chase Brown</t>
  </si>
  <si>
    <t>Charlie Jones</t>
  </si>
  <si>
    <t>Cedric Tillman</t>
  </si>
  <si>
    <t>Deuce Vaughn</t>
  </si>
  <si>
    <t>Luke Schoonmaker</t>
  </si>
  <si>
    <t>Marvin Mims</t>
  </si>
  <si>
    <t>Jahmyr Gibbs</t>
  </si>
  <si>
    <t>Antoine Green</t>
  </si>
  <si>
    <t>Sam LaPorta</t>
  </si>
  <si>
    <t>Sean Clifford</t>
  </si>
  <si>
    <t>Jayden Reed</t>
  </si>
  <si>
    <t>Luke Musgrave</t>
  </si>
  <si>
    <t>Tucker Kraft</t>
  </si>
  <si>
    <t>C.J. Stroud</t>
  </si>
  <si>
    <t>Xavier Hutchinson</t>
  </si>
  <si>
    <t>Anthony Richardson</t>
  </si>
  <si>
    <t>Evan Hull</t>
  </si>
  <si>
    <t>Josh Downs</t>
  </si>
  <si>
    <t>Will Mallory</t>
  </si>
  <si>
    <t>Tank Bigsby</t>
  </si>
  <si>
    <t>Parker Washington</t>
  </si>
  <si>
    <t>Brenton Strange</t>
  </si>
  <si>
    <t>Blaine Gabbert</t>
  </si>
  <si>
    <t>Rashee Rice</t>
  </si>
  <si>
    <t>Tre Tucker</t>
  </si>
  <si>
    <t>Michael Mayer</t>
  </si>
  <si>
    <t>Quentin Johnston</t>
  </si>
  <si>
    <t>Derius Davis</t>
  </si>
  <si>
    <t>Stetson Bennett</t>
  </si>
  <si>
    <t>Puka Nacua</t>
  </si>
  <si>
    <t>Jaren Hall</t>
  </si>
  <si>
    <t>Jordan Addison</t>
  </si>
  <si>
    <t>Kendre Miller</t>
  </si>
  <si>
    <t>A.T. Perry</t>
  </si>
  <si>
    <t>Eric Gray</t>
  </si>
  <si>
    <t>Jalin Hyatt</t>
  </si>
  <si>
    <t>Israel Abanikanda</t>
  </si>
  <si>
    <t>Darnell Washington</t>
  </si>
  <si>
    <t>Zach Charbonnet</t>
  </si>
  <si>
    <t>Jaxon Smith-Njigba</t>
  </si>
  <si>
    <t>Sean Tucker</t>
  </si>
  <si>
    <t>Trey Palmer</t>
  </si>
  <si>
    <t>Payne Durham</t>
  </si>
  <si>
    <t>Will Levis</t>
  </si>
  <si>
    <t>Tyjae Spears</t>
  </si>
  <si>
    <t>Chris Rodriguez</t>
  </si>
  <si>
    <t>Josh Whyle</t>
  </si>
  <si>
    <t>Roschon Johnson</t>
  </si>
  <si>
    <t>Kenneth Walker</t>
  </si>
  <si>
    <t>Ty Montgomery</t>
  </si>
  <si>
    <t>Tank Dell</t>
  </si>
  <si>
    <t>Jimmy Graham</t>
  </si>
  <si>
    <t>De'Von Achane</t>
  </si>
  <si>
    <t>Demario Douglas</t>
  </si>
  <si>
    <t xml:space="preserve"> </t>
  </si>
  <si>
    <t>Kenny McIntosh</t>
  </si>
  <si>
    <t>Joshua Palmer</t>
  </si>
  <si>
    <t>Trayveon Williams</t>
  </si>
  <si>
    <t>Dare Ogunbowale</t>
  </si>
  <si>
    <t>Keaton Mitchell</t>
  </si>
  <si>
    <t>Deven Thompkins</t>
  </si>
  <si>
    <t>Rico Dowdle</t>
  </si>
  <si>
    <t>Cole Turner</t>
  </si>
  <si>
    <t>Dorian Thompson-Robinson</t>
  </si>
  <si>
    <t>Kayshon Boutte</t>
  </si>
  <si>
    <t>Jason Brownlee</t>
  </si>
  <si>
    <t>Tiers</t>
  </si>
  <si>
    <t>Mitch Trubisky</t>
  </si>
  <si>
    <t>Jaleel McLaughlin</t>
  </si>
  <si>
    <t>Malik Heath</t>
  </si>
  <si>
    <t>Ronnie Rivers</t>
  </si>
  <si>
    <t>Jack Stoll</t>
  </si>
  <si>
    <t>Chris Moore</t>
  </si>
  <si>
    <t>Kene Nwangwu</t>
  </si>
  <si>
    <t>Scott Miller</t>
  </si>
  <si>
    <t>Julius Chestnut</t>
  </si>
  <si>
    <t>Ross Dwelley</t>
  </si>
  <si>
    <t>Josh Ali</t>
  </si>
  <si>
    <t>MyCole Pruitt</t>
  </si>
  <si>
    <t>Zack Moss</t>
  </si>
  <si>
    <t>Emari Demercado</t>
  </si>
  <si>
    <t>Tyson Bagent</t>
  </si>
  <si>
    <t>Andrei Iosivas</t>
  </si>
  <si>
    <t>Mitchell Wilcox</t>
  </si>
  <si>
    <t>Trey Lance</t>
  </si>
  <si>
    <t>Chris Manhertz</t>
  </si>
  <si>
    <t>Teddy Bridgewater</t>
  </si>
  <si>
    <t>Emanuel Wilson</t>
  </si>
  <si>
    <t>J.J. Taylor</t>
  </si>
  <si>
    <t>Ronnie Bell</t>
  </si>
  <si>
    <t>Rakim Jarrett</t>
  </si>
  <si>
    <t>Brandon Johnson</t>
  </si>
  <si>
    <t>Myles Gaskin</t>
  </si>
  <si>
    <t>Brandon Powell</t>
  </si>
  <si>
    <t>Justice Hill</t>
  </si>
  <si>
    <t>Jake Browning</t>
  </si>
  <si>
    <t>Julian Hill</t>
  </si>
  <si>
    <t>Jake Bobo</t>
  </si>
  <si>
    <t>Craig Reynolds</t>
  </si>
  <si>
    <t>GP</t>
  </si>
  <si>
    <t>P Yds</t>
  </si>
  <si>
    <t>P Comp</t>
  </si>
  <si>
    <t>Ru Yds</t>
  </si>
  <si>
    <t>Ru TD</t>
  </si>
  <si>
    <t>LA</t>
  </si>
  <si>
    <t>Rec Yds</t>
  </si>
  <si>
    <t>Rec TD</t>
  </si>
  <si>
    <t>Actual FFP</t>
  </si>
  <si>
    <t>Projected FFP</t>
  </si>
  <si>
    <t>DeMario Douglas</t>
  </si>
  <si>
    <t>Rec</t>
  </si>
  <si>
    <t>P TD</t>
  </si>
  <si>
    <t>Diff Perc</t>
  </si>
  <si>
    <t>Top Prospect</t>
  </si>
  <si>
    <t>Pos Prospect Mean Diff</t>
  </si>
  <si>
    <t>Pos Prospect SD</t>
  </si>
  <si>
    <t>Pos Prospect</t>
  </si>
  <si>
    <t>Bottom Prospect</t>
  </si>
  <si>
    <t>RB2</t>
  </si>
  <si>
    <t>WR1</t>
  </si>
  <si>
    <t>TE1</t>
  </si>
  <si>
    <t>TE2</t>
  </si>
  <si>
    <t>QB2</t>
  </si>
  <si>
    <t>WR2</t>
  </si>
  <si>
    <t>RB1</t>
  </si>
  <si>
    <t>QB1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</si>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</sst>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"/>
    <numFmt numFmtId="165" formatCode="0.0%"/>
    <numFmt numFmtId="166" formatCode="0.0000"/>
    <numFmt numFmtId="167" formatCode="&quot;$&quot;#,##0.0"/>
    <numFmt numFmtId="168" formatCode="&quot;$&quot;#,##0"/>
  </numFmts>
  <fonts count="28" x14ac:knownFonts="1"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</font>
    <font>
      <i/>
      <sz val="10"/>
      <color indexed="8"/>
      <name val="Calibri"/>
      <family val="2"/>
    </font>
    <font>
      <sz val="10"/>
      <color indexed="8"/>
      <name val="Calibri"/>
      <family val="2"/>
    </font>
    <font>
      <b/>
      <i/>
      <sz val="10"/>
      <color theme="1"/>
      <name val="Calibri"/>
      <family val="2"/>
    </font>
    <font>
      <b/>
      <i/>
      <sz val="10"/>
      <color indexed="8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0"/>
      <color theme="10"/>
      <name val="Calibri"/>
      <family val="2"/>
    </font>
    <font>
      <b/>
      <u/>
      <sz val="14"/>
      <color theme="10"/>
      <name val="Calibri"/>
      <family val="2"/>
    </font>
    <font>
      <sz val="8"/>
      <name val="Calibri"/>
      <family val="2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indexed="8"/>
      <name val="Calibri"/>
      <family val="2"/>
    </font>
    <font>
      <b/>
      <sz val="11"/>
      <color theme="9"/>
      <name val="Calibri"/>
      <family val="2"/>
    </font>
    <font>
      <sz val="11"/>
      <color theme="1"/>
      <name val="Calibri"/>
      <family val="2"/>
    </font>
    <font>
      <b/>
      <sz val="1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111111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FFF5DC"/>
        <bgColor indexed="64"/>
      </patternFill>
    </fill>
    <fill>
      <patternFill patternType="solid">
        <fgColor rgb="FFFFC8C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5D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AF3FA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EBD7"/>
        <bgColor indexed="64"/>
      </patternFill>
    </fill>
    <fill>
      <patternFill patternType="solid">
        <fgColor rgb="FFFFD5D5"/>
        <bgColor indexed="64"/>
      </patternFill>
    </fill>
    <fill>
      <patternFill patternType="solid">
        <fgColor rgb="FFFFD69F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9" fontId="6" fillId="0" borderId="0" applyFont="0" applyFill="0" applyBorder="0" applyAlignment="0" applyProtection="0"/>
    <xf numFmtId="0" fontId="18" fillId="0" borderId="0" applyNumberFormat="0" applyFill="0" applyBorder="0" applyAlignment="0" applyProtection="0"/>
    <xf numFmtId="44" fontId="6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</cellStyleXfs>
  <cellXfs count="198">
    <xf numFmtId="0" fontId="0" fillId="0" borderId="0" xfId="0"/>
    <xf numFmtId="165" fontId="0" fillId="2" borderId="1" xfId="1" applyNumberFormat="1" applyFont="1" applyFill="1" applyBorder="1" applyAlignment="1" applyProtection="1">
      <alignment horizontal="center"/>
    </xf>
    <xf numFmtId="165" fontId="12" fillId="0" borderId="1" xfId="1" applyNumberFormat="1" applyFont="1" applyBorder="1" applyAlignment="1" applyProtection="1">
      <alignment horizontal="center"/>
    </xf>
    <xf numFmtId="165" fontId="0" fillId="0" borderId="0" xfId="1" applyNumberFormat="1" applyFont="1" applyAlignment="1" applyProtection="1">
      <alignment horizontal="center"/>
    </xf>
    <xf numFmtId="165" fontId="6" fillId="0" borderId="0" xfId="1" applyNumberFormat="1" applyFont="1" applyAlignment="1" applyProtection="1">
      <alignment horizontal="center"/>
    </xf>
    <xf numFmtId="164" fontId="6" fillId="0" borderId="0" xfId="1" applyNumberFormat="1" applyFont="1" applyAlignment="1" applyProtection="1">
      <alignment horizontal="center"/>
    </xf>
    <xf numFmtId="164" fontId="12" fillId="0" borderId="1" xfId="1" applyNumberFormat="1" applyFont="1" applyBorder="1" applyAlignment="1" applyProtection="1">
      <alignment horizontal="center"/>
    </xf>
    <xf numFmtId="0" fontId="0" fillId="0" borderId="0" xfId="0" applyAlignment="1">
      <alignment horizontal="center"/>
    </xf>
    <xf numFmtId="165" fontId="0" fillId="0" borderId="1" xfId="1" applyNumberFormat="1" applyFont="1" applyBorder="1" applyAlignment="1" applyProtection="1">
      <alignment horizontal="center"/>
    </xf>
    <xf numFmtId="165" fontId="7" fillId="0" borderId="1" xfId="1" applyNumberFormat="1" applyFont="1" applyBorder="1" applyAlignment="1" applyProtection="1">
      <alignment horizontal="center"/>
    </xf>
    <xf numFmtId="165" fontId="8" fillId="0" borderId="1" xfId="1" applyNumberFormat="1" applyFont="1" applyBorder="1" applyAlignment="1" applyProtection="1">
      <alignment horizontal="center"/>
    </xf>
    <xf numFmtId="165" fontId="8" fillId="0" borderId="1" xfId="1" applyNumberFormat="1" applyFont="1" applyBorder="1" applyAlignment="1" applyProtection="1">
      <alignment horizontal="center" vertical="center" wrapText="1"/>
    </xf>
    <xf numFmtId="165" fontId="0" fillId="0" borderId="0" xfId="1" applyNumberFormat="1" applyFont="1" applyFill="1" applyBorder="1" applyAlignment="1" applyProtection="1">
      <alignment horizontal="center"/>
    </xf>
    <xf numFmtId="165" fontId="15" fillId="0" borderId="1" xfId="1" applyNumberFormat="1" applyFont="1" applyBorder="1" applyAlignment="1" applyProtection="1">
      <alignment horizontal="center"/>
    </xf>
    <xf numFmtId="165" fontId="0" fillId="3" borderId="1" xfId="1" applyNumberFormat="1" applyFont="1" applyFill="1" applyBorder="1" applyAlignment="1" applyProtection="1">
      <alignment horizontal="center"/>
    </xf>
    <xf numFmtId="165" fontId="7" fillId="0" borderId="1" xfId="1" applyNumberFormat="1" applyFont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165" fontId="0" fillId="4" borderId="1" xfId="1" applyNumberFormat="1" applyFont="1" applyFill="1" applyBorder="1" applyAlignment="1" applyProtection="1">
      <alignment horizontal="center"/>
      <protection locked="0"/>
    </xf>
    <xf numFmtId="2" fontId="0" fillId="4" borderId="1" xfId="0" applyNumberFormat="1" applyFill="1" applyBorder="1" applyAlignment="1" applyProtection="1">
      <alignment horizontal="center"/>
      <protection locked="0"/>
    </xf>
    <xf numFmtId="165" fontId="0" fillId="2" borderId="1" xfId="1" applyNumberFormat="1" applyFont="1" applyFill="1" applyBorder="1" applyAlignment="1" applyProtection="1">
      <alignment horizontal="center"/>
      <protection locked="0"/>
    </xf>
    <xf numFmtId="2" fontId="0" fillId="2" borderId="1" xfId="0" applyNumberFormat="1" applyFill="1" applyBorder="1" applyAlignment="1" applyProtection="1">
      <alignment horizontal="center"/>
      <protection locked="0"/>
    </xf>
    <xf numFmtId="164" fontId="0" fillId="0" borderId="0" xfId="0" applyNumberFormat="1" applyAlignment="1" applyProtection="1">
      <alignment horizontal="center"/>
      <protection locked="0"/>
    </xf>
    <xf numFmtId="165" fontId="6" fillId="0" borderId="0" xfId="1" applyNumberFormat="1" applyFont="1" applyAlignment="1" applyProtection="1">
      <alignment horizontal="center"/>
      <protection locked="0"/>
    </xf>
    <xf numFmtId="2" fontId="0" fillId="0" borderId="0" xfId="0" applyNumberFormat="1" applyAlignment="1" applyProtection="1">
      <alignment horizontal="center"/>
      <protection locked="0"/>
    </xf>
    <xf numFmtId="165" fontId="0" fillId="0" borderId="0" xfId="1" applyNumberFormat="1" applyFont="1" applyAlignment="1" applyProtection="1">
      <alignment horizontal="center"/>
      <protection locked="0"/>
    </xf>
    <xf numFmtId="0" fontId="11" fillId="0" borderId="0" xfId="0" applyFont="1" applyProtection="1">
      <protection locked="0"/>
    </xf>
    <xf numFmtId="0" fontId="11" fillId="0" borderId="0" xfId="0" applyFont="1" applyAlignment="1" applyProtection="1">
      <alignment horizontal="center"/>
      <protection locked="0"/>
    </xf>
    <xf numFmtId="164" fontId="11" fillId="0" borderId="0" xfId="0" applyNumberFormat="1" applyFont="1" applyAlignment="1" applyProtection="1">
      <alignment horizontal="center"/>
      <protection locked="0"/>
    </xf>
    <xf numFmtId="165" fontId="11" fillId="0" borderId="0" xfId="1" applyNumberFormat="1" applyFont="1" applyAlignment="1" applyProtection="1">
      <alignment horizontal="center"/>
      <protection locked="0"/>
    </xf>
    <xf numFmtId="2" fontId="11" fillId="0" borderId="0" xfId="0" applyNumberFormat="1" applyFont="1" applyAlignment="1" applyProtection="1">
      <alignment horizontal="center"/>
      <protection locked="0"/>
    </xf>
    <xf numFmtId="165" fontId="7" fillId="0" borderId="5" xfId="1" applyNumberFormat="1" applyFont="1" applyBorder="1" applyAlignment="1" applyProtection="1">
      <alignment horizontal="center"/>
      <protection locked="0"/>
    </xf>
    <xf numFmtId="0" fontId="14" fillId="0" borderId="0" xfId="0" applyFont="1" applyProtection="1">
      <protection locked="0"/>
    </xf>
    <xf numFmtId="164" fontId="14" fillId="4" borderId="1" xfId="0" applyNumberFormat="1" applyFont="1" applyFill="1" applyBorder="1" applyAlignment="1" applyProtection="1">
      <alignment horizontal="center"/>
      <protection locked="0"/>
    </xf>
    <xf numFmtId="165" fontId="0" fillId="0" borderId="5" xfId="0" applyNumberFormat="1" applyBorder="1" applyAlignment="1" applyProtection="1">
      <alignment horizontal="center"/>
      <protection locked="0"/>
    </xf>
    <xf numFmtId="0" fontId="14" fillId="0" borderId="0" xfId="0" applyFont="1" applyAlignment="1" applyProtection="1">
      <alignment vertical="center" wrapText="1"/>
      <protection locked="0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165" fontId="0" fillId="0" borderId="0" xfId="1" applyNumberFormat="1" applyFont="1" applyAlignment="1" applyProtection="1">
      <alignment horizontal="center" vertical="center" wrapText="1"/>
      <protection locked="0"/>
    </xf>
    <xf numFmtId="164" fontId="0" fillId="0" borderId="0" xfId="0" applyNumberFormat="1" applyAlignment="1" applyProtection="1">
      <alignment horizontal="center" vertical="center" wrapText="1"/>
      <protection locked="0"/>
    </xf>
    <xf numFmtId="2" fontId="0" fillId="0" borderId="0" xfId="0" applyNumberFormat="1" applyAlignment="1" applyProtection="1">
      <alignment horizontal="center" vertical="center" wrapText="1"/>
      <protection locked="0"/>
    </xf>
    <xf numFmtId="0" fontId="13" fillId="0" borderId="0" xfId="0" applyFont="1" applyProtection="1">
      <protection locked="0"/>
    </xf>
    <xf numFmtId="0" fontId="12" fillId="0" borderId="0" xfId="0" applyFont="1" applyProtection="1">
      <protection locked="0"/>
    </xf>
    <xf numFmtId="165" fontId="8" fillId="0" borderId="5" xfId="1" applyNumberFormat="1" applyFont="1" applyBorder="1" applyAlignment="1" applyProtection="1">
      <alignment horizontal="center"/>
      <protection locked="0"/>
    </xf>
    <xf numFmtId="0" fontId="15" fillId="0" borderId="0" xfId="0" applyFont="1" applyProtection="1">
      <protection locked="0"/>
    </xf>
    <xf numFmtId="1" fontId="12" fillId="4" borderId="1" xfId="0" applyNumberFormat="1" applyFont="1" applyFill="1" applyBorder="1" applyAlignment="1" applyProtection="1">
      <alignment horizontal="center"/>
      <protection locked="0"/>
    </xf>
    <xf numFmtId="165" fontId="12" fillId="4" borderId="1" xfId="1" applyNumberFormat="1" applyFont="1" applyFill="1" applyBorder="1" applyAlignment="1" applyProtection="1">
      <alignment horizontal="center"/>
      <protection locked="0"/>
    </xf>
    <xf numFmtId="0" fontId="15" fillId="0" borderId="0" xfId="0" applyFont="1" applyAlignment="1" applyProtection="1">
      <alignment vertical="center" wrapText="1"/>
      <protection locked="0"/>
    </xf>
    <xf numFmtId="165" fontId="0" fillId="0" borderId="0" xfId="1" applyNumberFormat="1" applyFont="1" applyFill="1" applyBorder="1" applyProtection="1">
      <protection locked="0"/>
    </xf>
    <xf numFmtId="165" fontId="0" fillId="0" borderId="0" xfId="1" applyNumberFormat="1" applyFont="1" applyProtection="1">
      <protection locked="0"/>
    </xf>
    <xf numFmtId="165" fontId="0" fillId="0" borderId="0" xfId="1" applyNumberFormat="1" applyFont="1" applyFill="1" applyBorder="1" applyAlignment="1" applyProtection="1">
      <alignment horizontal="center"/>
      <protection locked="0"/>
    </xf>
    <xf numFmtId="164" fontId="0" fillId="0" borderId="0" xfId="0" applyNumberFormat="1" applyProtection="1">
      <protection locked="0"/>
    </xf>
    <xf numFmtId="1" fontId="0" fillId="0" borderId="0" xfId="0" applyNumberFormat="1" applyAlignment="1" applyProtection="1">
      <alignment horizontal="center"/>
      <protection locked="0"/>
    </xf>
    <xf numFmtId="164" fontId="15" fillId="0" borderId="0" xfId="0" applyNumberFormat="1" applyFont="1" applyAlignment="1" applyProtection="1">
      <alignment vertical="center" wrapText="1"/>
      <protection locked="0"/>
    </xf>
    <xf numFmtId="0" fontId="7" fillId="0" borderId="0" xfId="0" applyFont="1"/>
    <xf numFmtId="0" fontId="18" fillId="0" borderId="0" xfId="2" applyAlignment="1">
      <alignment horizontal="left"/>
    </xf>
    <xf numFmtId="164" fontId="0" fillId="0" borderId="0" xfId="0" applyNumberFormat="1"/>
    <xf numFmtId="0" fontId="16" fillId="0" borderId="0" xfId="0" applyFont="1"/>
    <xf numFmtId="0" fontId="17" fillId="0" borderId="0" xfId="0" applyFont="1"/>
    <xf numFmtId="164" fontId="17" fillId="0" borderId="0" xfId="0" applyNumberFormat="1" applyFont="1"/>
    <xf numFmtId="1" fontId="17" fillId="0" borderId="0" xfId="0" applyNumberFormat="1" applyFont="1"/>
    <xf numFmtId="0" fontId="16" fillId="0" borderId="8" xfId="0" applyFont="1" applyBorder="1"/>
    <xf numFmtId="2" fontId="16" fillId="0" borderId="9" xfId="0" applyNumberFormat="1" applyFont="1" applyBorder="1" applyProtection="1">
      <protection locked="0"/>
    </xf>
    <xf numFmtId="0" fontId="16" fillId="0" borderId="0" xfId="0" applyFont="1" applyProtection="1">
      <protection locked="0"/>
    </xf>
    <xf numFmtId="0" fontId="16" fillId="0" borderId="8" xfId="0" applyFont="1" applyBorder="1" applyProtection="1">
      <protection locked="0"/>
    </xf>
    <xf numFmtId="0" fontId="17" fillId="5" borderId="6" xfId="0" applyFont="1" applyFill="1" applyBorder="1" applyProtection="1">
      <protection locked="0"/>
    </xf>
    <xf numFmtId="2" fontId="17" fillId="5" borderId="7" xfId="0" applyNumberFormat="1" applyFont="1" applyFill="1" applyBorder="1" applyProtection="1">
      <protection locked="0"/>
    </xf>
    <xf numFmtId="0" fontId="17" fillId="0" borderId="0" xfId="0" applyFont="1" applyProtection="1">
      <protection locked="0"/>
    </xf>
    <xf numFmtId="0" fontId="17" fillId="8" borderId="6" xfId="0" applyFont="1" applyFill="1" applyBorder="1" applyProtection="1">
      <protection locked="0"/>
    </xf>
    <xf numFmtId="1" fontId="17" fillId="8" borderId="7" xfId="0" applyNumberFormat="1" applyFont="1" applyFill="1" applyBorder="1" applyProtection="1">
      <protection locked="0"/>
    </xf>
    <xf numFmtId="0" fontId="17" fillId="4" borderId="6" xfId="0" applyFont="1" applyFill="1" applyBorder="1" applyProtection="1">
      <protection locked="0"/>
    </xf>
    <xf numFmtId="2" fontId="17" fillId="4" borderId="7" xfId="0" applyNumberFormat="1" applyFont="1" applyFill="1" applyBorder="1" applyProtection="1">
      <protection locked="0"/>
    </xf>
    <xf numFmtId="0" fontId="17" fillId="8" borderId="10" xfId="0" applyFont="1" applyFill="1" applyBorder="1" applyProtection="1">
      <protection locked="0"/>
    </xf>
    <xf numFmtId="1" fontId="17" fillId="8" borderId="11" xfId="0" applyNumberFormat="1" applyFont="1" applyFill="1" applyBorder="1" applyProtection="1">
      <protection locked="0"/>
    </xf>
    <xf numFmtId="0" fontId="17" fillId="6" borderId="6" xfId="0" applyFont="1" applyFill="1" applyBorder="1" applyProtection="1">
      <protection locked="0"/>
    </xf>
    <xf numFmtId="2" fontId="17" fillId="6" borderId="7" xfId="0" applyNumberFormat="1" applyFont="1" applyFill="1" applyBorder="1" applyProtection="1">
      <protection locked="0"/>
    </xf>
    <xf numFmtId="2" fontId="17" fillId="0" borderId="0" xfId="0" applyNumberFormat="1" applyFont="1" applyProtection="1">
      <protection locked="0"/>
    </xf>
    <xf numFmtId="0" fontId="17" fillId="7" borderId="6" xfId="0" applyFont="1" applyFill="1" applyBorder="1" applyProtection="1">
      <protection locked="0"/>
    </xf>
    <xf numFmtId="2" fontId="17" fillId="7" borderId="7" xfId="0" applyNumberFormat="1" applyFont="1" applyFill="1" applyBorder="1" applyProtection="1">
      <protection locked="0"/>
    </xf>
    <xf numFmtId="1" fontId="9" fillId="0" borderId="0" xfId="0" applyNumberFormat="1" applyFont="1"/>
    <xf numFmtId="164" fontId="9" fillId="0" borderId="0" xfId="0" applyNumberFormat="1" applyFont="1"/>
    <xf numFmtId="165" fontId="0" fillId="0" borderId="0" xfId="1" applyNumberFormat="1" applyFont="1" applyAlignment="1"/>
    <xf numFmtId="166" fontId="0" fillId="0" borderId="0" xfId="0" applyNumberFormat="1"/>
    <xf numFmtId="2" fontId="0" fillId="0" borderId="0" xfId="0" applyNumberFormat="1"/>
    <xf numFmtId="1" fontId="0" fillId="0" borderId="0" xfId="0" applyNumberFormat="1"/>
    <xf numFmtId="164" fontId="7" fillId="0" borderId="0" xfId="0" applyNumberFormat="1" applyFont="1" applyAlignment="1">
      <alignment wrapText="1"/>
    </xf>
    <xf numFmtId="0" fontId="7" fillId="0" borderId="0" xfId="0" applyFont="1" applyAlignment="1">
      <alignment wrapText="1"/>
    </xf>
    <xf numFmtId="1" fontId="7" fillId="0" borderId="0" xfId="0" applyNumberFormat="1" applyFont="1" applyAlignment="1">
      <alignment wrapText="1"/>
    </xf>
    <xf numFmtId="164" fontId="10" fillId="0" borderId="0" xfId="0" applyNumberFormat="1" applyFont="1" applyAlignment="1">
      <alignment wrapText="1"/>
    </xf>
    <xf numFmtId="168" fontId="17" fillId="8" borderId="11" xfId="0" applyNumberFormat="1" applyFont="1" applyFill="1" applyBorder="1" applyProtection="1">
      <protection locked="0"/>
    </xf>
    <xf numFmtId="164" fontId="21" fillId="0" borderId="0" xfId="0" applyNumberFormat="1" applyFont="1"/>
    <xf numFmtId="0" fontId="21" fillId="0" borderId="0" xfId="0" applyFont="1"/>
    <xf numFmtId="0" fontId="22" fillId="0" borderId="0" xfId="0" applyFont="1"/>
    <xf numFmtId="1" fontId="23" fillId="0" borderId="0" xfId="0" applyNumberFormat="1" applyFont="1"/>
    <xf numFmtId="0" fontId="23" fillId="0" borderId="0" xfId="0" applyFont="1"/>
    <xf numFmtId="164" fontId="23" fillId="0" borderId="0" xfId="0" applyNumberFormat="1" applyFont="1"/>
    <xf numFmtId="164" fontId="23" fillId="9" borderId="0" xfId="0" applyNumberFormat="1" applyFont="1" applyFill="1"/>
    <xf numFmtId="168" fontId="23" fillId="0" borderId="0" xfId="0" applyNumberFormat="1" applyFont="1"/>
    <xf numFmtId="164" fontId="17" fillId="9" borderId="0" xfId="0" applyNumberFormat="1" applyFont="1" applyFill="1"/>
    <xf numFmtId="168" fontId="17" fillId="0" borderId="0" xfId="0" applyNumberFormat="1" applyFont="1"/>
    <xf numFmtId="0" fontId="24" fillId="0" borderId="0" xfId="0" applyFont="1" applyAlignment="1">
      <alignment horizontal="center"/>
    </xf>
    <xf numFmtId="167" fontId="17" fillId="0" borderId="0" xfId="0" applyNumberFormat="1" applyFont="1"/>
    <xf numFmtId="165" fontId="6" fillId="0" borderId="12" xfId="1" applyNumberFormat="1" applyFont="1" applyFill="1" applyBorder="1" applyAlignment="1" applyProtection="1">
      <alignment horizontal="center"/>
    </xf>
    <xf numFmtId="2" fontId="0" fillId="0" borderId="12" xfId="0" applyNumberFormat="1" applyBorder="1" applyAlignment="1" applyProtection="1">
      <alignment horizontal="center"/>
      <protection locked="0"/>
    </xf>
    <xf numFmtId="165" fontId="6" fillId="0" borderId="12" xfId="1" applyNumberFormat="1" applyFont="1" applyFill="1" applyBorder="1" applyAlignment="1" applyProtection="1">
      <alignment horizontal="center"/>
      <protection locked="0"/>
    </xf>
    <xf numFmtId="165" fontId="0" fillId="0" borderId="2" xfId="1" applyNumberFormat="1" applyFont="1" applyFill="1" applyBorder="1" applyAlignment="1" applyProtection="1">
      <alignment horizontal="center"/>
    </xf>
    <xf numFmtId="2" fontId="0" fillId="0" borderId="2" xfId="0" applyNumberFormat="1" applyBorder="1" applyAlignment="1" applyProtection="1">
      <alignment horizontal="center"/>
      <protection locked="0"/>
    </xf>
    <xf numFmtId="165" fontId="0" fillId="0" borderId="2" xfId="1" applyNumberFormat="1" applyFont="1" applyFill="1" applyBorder="1" applyAlignment="1" applyProtection="1">
      <alignment horizontal="center"/>
      <protection locked="0"/>
    </xf>
    <xf numFmtId="0" fontId="25" fillId="0" borderId="0" xfId="0" applyFont="1"/>
    <xf numFmtId="164" fontId="26" fillId="0" borderId="0" xfId="0" applyNumberFormat="1" applyFont="1"/>
    <xf numFmtId="164" fontId="26" fillId="9" borderId="0" xfId="0" applyNumberFormat="1" applyFont="1" applyFill="1"/>
    <xf numFmtId="0" fontId="26" fillId="0" borderId="0" xfId="0" applyFont="1"/>
    <xf numFmtId="2" fontId="12" fillId="4" borderId="1" xfId="1" applyNumberFormat="1" applyFont="1" applyFill="1" applyBorder="1" applyAlignment="1" applyProtection="1">
      <alignment horizontal="center"/>
      <protection locked="0"/>
    </xf>
    <xf numFmtId="2" fontId="0" fillId="4" borderId="1" xfId="1" applyNumberFormat="1" applyFont="1" applyFill="1" applyBorder="1" applyAlignment="1" applyProtection="1">
      <alignment horizontal="center"/>
      <protection locked="0"/>
    </xf>
    <xf numFmtId="10" fontId="0" fillId="4" borderId="1" xfId="1" applyNumberFormat="1" applyFont="1" applyFill="1" applyBorder="1" applyAlignment="1" applyProtection="1">
      <alignment horizontal="center"/>
      <protection locked="0"/>
    </xf>
    <xf numFmtId="0" fontId="7" fillId="0" borderId="0" xfId="0" applyFont="1" applyAlignment="1" applyProtection="1">
      <alignment horizontal="center"/>
      <protection locked="0"/>
    </xf>
    <xf numFmtId="164" fontId="7" fillId="0" borderId="0" xfId="0" applyNumberFormat="1" applyFont="1" applyAlignment="1" applyProtection="1">
      <alignment horizontal="center"/>
      <protection locked="0"/>
    </xf>
    <xf numFmtId="165" fontId="7" fillId="0" borderId="0" xfId="0" applyNumberFormat="1" applyFont="1" applyAlignment="1" applyProtection="1">
      <alignment horizontal="center"/>
      <protection locked="0"/>
    </xf>
    <xf numFmtId="0" fontId="0" fillId="13" borderId="0" xfId="0" applyFill="1"/>
    <xf numFmtId="164" fontId="0" fillId="13" borderId="0" xfId="0" applyNumberFormat="1" applyFill="1"/>
    <xf numFmtId="165" fontId="0" fillId="0" borderId="0" xfId="1" applyNumberFormat="1" applyFont="1" applyFill="1" applyAlignment="1" applyProtection="1">
      <protection locked="0"/>
    </xf>
    <xf numFmtId="0" fontId="0" fillId="12" borderId="0" xfId="0" applyFill="1"/>
    <xf numFmtId="164" fontId="0" fillId="12" borderId="0" xfId="0" applyNumberFormat="1" applyFill="1"/>
    <xf numFmtId="165" fontId="0" fillId="12" borderId="0" xfId="1" applyNumberFormat="1" applyFont="1" applyFill="1" applyAlignment="1"/>
    <xf numFmtId="0" fontId="0" fillId="11" borderId="0" xfId="0" applyFill="1"/>
    <xf numFmtId="164" fontId="0" fillId="11" borderId="0" xfId="0" applyNumberFormat="1" applyFill="1"/>
    <xf numFmtId="1" fontId="0" fillId="11" borderId="0" xfId="0" applyNumberFormat="1" applyFill="1"/>
    <xf numFmtId="165" fontId="0" fillId="11" borderId="0" xfId="1" applyNumberFormat="1" applyFont="1" applyFill="1" applyAlignment="1"/>
    <xf numFmtId="0" fontId="0" fillId="10" borderId="0" xfId="0" applyFill="1"/>
    <xf numFmtId="164" fontId="0" fillId="10" borderId="0" xfId="0" applyNumberFormat="1" applyFill="1"/>
    <xf numFmtId="165" fontId="0" fillId="0" borderId="0" xfId="0" applyNumberFormat="1" applyProtection="1">
      <protection locked="0"/>
    </xf>
    <xf numFmtId="168" fontId="0" fillId="0" borderId="0" xfId="3" applyNumberFormat="1" applyFont="1" applyProtection="1"/>
    <xf numFmtId="10" fontId="12" fillId="4" borderId="1" xfId="1" applyNumberFormat="1" applyFont="1" applyFill="1" applyBorder="1" applyAlignment="1" applyProtection="1">
      <alignment horizontal="center"/>
      <protection locked="0"/>
    </xf>
    <xf numFmtId="0" fontId="27" fillId="1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27" fillId="14" borderId="1" xfId="0" applyNumberFormat="1" applyFont="1" applyFill="1" applyBorder="1" applyAlignment="1">
      <alignment horizontal="center" vertical="center" wrapText="1"/>
    </xf>
    <xf numFmtId="0" fontId="27" fillId="15" borderId="1" xfId="0" applyFont="1" applyFill="1" applyBorder="1" applyAlignment="1">
      <alignment horizontal="center" vertical="center" wrapText="1"/>
    </xf>
    <xf numFmtId="1" fontId="27" fillId="15" borderId="1" xfId="0" applyNumberFormat="1" applyFont="1" applyFill="1" applyBorder="1" applyAlignment="1">
      <alignment horizontal="center" vertical="center" wrapText="1"/>
    </xf>
    <xf numFmtId="164" fontId="0" fillId="0" borderId="12" xfId="0" applyNumberFormat="1" applyBorder="1" applyAlignment="1" applyProtection="1">
      <alignment horizontal="center"/>
      <protection locked="0"/>
    </xf>
    <xf numFmtId="164" fontId="0" fillId="0" borderId="2" xfId="0" applyNumberFormat="1" applyBorder="1" applyAlignment="1" applyProtection="1">
      <alignment horizontal="center"/>
      <protection locked="0"/>
    </xf>
    <xf numFmtId="165" fontId="8" fillId="4" borderId="1" xfId="1" applyNumberFormat="1" applyFont="1" applyFill="1" applyBorder="1" applyAlignment="1" applyProtection="1">
      <alignment horizontal="center" vertical="center" wrapText="1"/>
      <protection locked="0"/>
    </xf>
    <xf numFmtId="164" fontId="8" fillId="4" borderId="1" xfId="0" applyNumberFormat="1" applyFont="1" applyFill="1" applyBorder="1" applyAlignment="1" applyProtection="1">
      <alignment horizontal="center" vertical="center" wrapText="1"/>
      <protection locked="0"/>
    </xf>
    <xf numFmtId="2" fontId="8" fillId="4" borderId="1" xfId="0" applyNumberFormat="1" applyFont="1" applyFill="1" applyBorder="1" applyAlignment="1" applyProtection="1">
      <alignment horizontal="center" vertical="center" wrapText="1"/>
      <protection locked="0"/>
    </xf>
    <xf numFmtId="165" fontId="8" fillId="0" borderId="1" xfId="1" applyNumberFormat="1" applyFont="1" applyBorder="1" applyAlignment="1" applyProtection="1">
      <alignment horizontal="center" vertical="center" wrapText="1"/>
      <protection locked="0"/>
    </xf>
    <xf numFmtId="0" fontId="7" fillId="4" borderId="1" xfId="0" applyFont="1" applyFill="1" applyBorder="1" applyAlignment="1" applyProtection="1">
      <alignment horizontal="center" vertical="center" wrapText="1"/>
      <protection locked="0"/>
    </xf>
    <xf numFmtId="2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0" fillId="3" borderId="1" xfId="0" applyNumberFormat="1" applyFill="1" applyBorder="1" applyAlignment="1" applyProtection="1">
      <alignment horizontal="center"/>
      <protection locked="0"/>
    </xf>
    <xf numFmtId="165" fontId="0" fillId="3" borderId="1" xfId="1" applyNumberFormat="1" applyFont="1" applyFill="1" applyBorder="1" applyAlignment="1" applyProtection="1">
      <alignment horizontal="center"/>
      <protection locked="0"/>
    </xf>
    <xf numFmtId="2" fontId="0" fillId="3" borderId="1" xfId="0" applyNumberFormat="1" applyFill="1" applyBorder="1" applyAlignment="1" applyProtection="1">
      <alignment horizontal="center"/>
      <protection locked="0"/>
    </xf>
    <xf numFmtId="164" fontId="12" fillId="0" borderId="0" xfId="0" applyNumberFormat="1" applyFont="1" applyAlignment="1" applyProtection="1">
      <alignment horizontal="center"/>
      <protection locked="0"/>
    </xf>
    <xf numFmtId="164" fontId="12" fillId="0" borderId="0" xfId="1" applyNumberFormat="1" applyFont="1" applyBorder="1" applyAlignment="1" applyProtection="1">
      <alignment horizontal="center"/>
      <protection locked="0"/>
    </xf>
    <xf numFmtId="165" fontId="7" fillId="4" borderId="1" xfId="1" applyNumberFormat="1" applyFont="1" applyFill="1" applyBorder="1" applyAlignment="1" applyProtection="1">
      <alignment horizontal="center" vertical="center" wrapText="1"/>
      <protection locked="0"/>
    </xf>
    <xf numFmtId="164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165" fontId="7" fillId="0" borderId="1" xfId="1" applyNumberFormat="1" applyFont="1" applyBorder="1" applyAlignment="1" applyProtection="1">
      <alignment horizontal="center" vertical="center" wrapText="1"/>
      <protection locked="0"/>
    </xf>
    <xf numFmtId="164" fontId="7" fillId="0" borderId="1" xfId="0" applyNumberFormat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/>
    </xf>
    <xf numFmtId="2" fontId="7" fillId="0" borderId="1" xfId="0" applyNumberFormat="1" applyFont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3" borderId="1" xfId="0" applyNumberFormat="1" applyFill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8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2" fontId="8" fillId="0" borderId="1" xfId="0" applyNumberFormat="1" applyFont="1" applyBorder="1" applyAlignment="1">
      <alignment horizontal="center" vertical="center" wrapText="1"/>
    </xf>
    <xf numFmtId="164" fontId="15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center" vertical="center" wrapText="1"/>
    </xf>
    <xf numFmtId="164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3" borderId="1" xfId="0" applyNumberFormat="1" applyFill="1" applyBorder="1" applyProtection="1">
      <protection locked="0"/>
    </xf>
    <xf numFmtId="165" fontId="0" fillId="0" borderId="0" xfId="0" applyNumberFormat="1" applyAlignment="1" applyProtection="1">
      <alignment horizontal="center"/>
      <protection locked="0"/>
    </xf>
    <xf numFmtId="165" fontId="0" fillId="3" borderId="1" xfId="0" applyNumberFormat="1" applyFill="1" applyBorder="1" applyAlignment="1" applyProtection="1">
      <alignment horizontal="center"/>
      <protection locked="0"/>
    </xf>
    <xf numFmtId="2" fontId="6" fillId="0" borderId="0" xfId="1" applyNumberFormat="1" applyFont="1" applyAlignment="1" applyProtection="1">
      <alignment horizontal="center"/>
      <protection locked="0"/>
    </xf>
    <xf numFmtId="2" fontId="0" fillId="0" borderId="0" xfId="1" applyNumberFormat="1" applyFont="1" applyAlignment="1" applyProtection="1">
      <alignment horizontal="center"/>
      <protection locked="0"/>
    </xf>
    <xf numFmtId="0" fontId="4" fillId="0" borderId="0" xfId="0" applyFont="1" applyProtection="1">
      <protection locked="0"/>
    </xf>
    <xf numFmtId="0" fontId="4" fillId="0" borderId="0" xfId="4" applyFont="1" applyProtection="1">
      <protection locked="0"/>
    </xf>
    <xf numFmtId="165" fontId="0" fillId="10" borderId="0" xfId="1" applyNumberFormat="1" applyFont="1" applyFill="1" applyAlignment="1" applyProtection="1">
      <protection locked="0"/>
    </xf>
    <xf numFmtId="0" fontId="3" fillId="0" borderId="0" xfId="0" applyFont="1" applyProtection="1">
      <protection locked="0"/>
    </xf>
    <xf numFmtId="0" fontId="2" fillId="0" borderId="0" xfId="0" applyFont="1" applyProtection="1">
      <protection locked="0"/>
    </xf>
    <xf numFmtId="0" fontId="1" fillId="0" borderId="0" xfId="0" applyFont="1" applyProtection="1">
      <protection locked="0"/>
    </xf>
    <xf numFmtId="0" fontId="19" fillId="0" borderId="0" xfId="2" applyFont="1" applyAlignment="1">
      <alignment horizontal="left"/>
    </xf>
    <xf numFmtId="0" fontId="1" fillId="0" borderId="0" xfId="0" applyFont="1"/>
    <xf numFmtId="0" fontId="10" fillId="0" borderId="0" xfId="0" applyFont="1"/>
    <xf numFmtId="0" fontId="1" fillId="0" borderId="0" xfId="2" applyFont="1"/>
    <xf numFmtId="1" fontId="1" fillId="0" borderId="0" xfId="0" applyNumberFormat="1" applyFont="1"/>
    <xf numFmtId="9" fontId="1" fillId="0" borderId="0" xfId="1" applyFont="1"/>
  </cellXfs>
  <cellStyles count="6">
    <cellStyle name="Currency" xfId="3" builtinId="4"/>
    <cellStyle name="Hyperlink" xfId="2" builtinId="8"/>
    <cellStyle name="Normal" xfId="0" builtinId="0"/>
    <cellStyle name="Normal 2" xfId="4" xr:uid="{00000000-0005-0000-0000-000003000000}"/>
    <cellStyle name="Percent" xfId="1" builtinId="5"/>
    <cellStyle name="Percent 2" xfId="5" xr:uid="{00000000-0005-0000-0000-000005000000}"/>
  </cellStyles>
  <dxfs count="487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167" formatCode="&quot;$&quot;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8" formatCode="&quot;$&quot;#,##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fill>
        <patternFill patternType="solid">
          <fgColor indexed="64"/>
          <bgColor rgb="FF92D050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8" formatCode="&quot;$&quot;#,##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fill>
        <patternFill patternType="solid">
          <fgColor indexed="64"/>
          <bgColor rgb="FF92D050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8" formatCode="&quot;$&quot;#,##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fill>
        <patternFill patternType="solid">
          <fgColor indexed="64"/>
          <bgColor rgb="FF92D050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164" formatCode="0.0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8" formatCode="&quot;$&quot;#,##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solid">
          <fgColor indexed="64"/>
          <bgColor rgb="FF92D050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" formatCode="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numFmt numFmtId="164" formatCode="0.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69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69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69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69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5D5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5D5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5D5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rgb="FF000000"/>
        <name val="Calibri"/>
        <scheme val="none"/>
      </font>
      <protection locked="1" hidden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rgb="FFFFD5D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EAF3FA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0.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rgb="FFFFEBD7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8" formatCode="&quot;$&quot;#,##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164" formatCode="0.0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indexed="64"/>
          <bgColor rgb="FFF5DCFF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5DCFF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0" wrapText="0" indent="0" justifyLastLine="0" shrinkToFit="0" readingOrder="0"/>
    </dxf>
  </dxfs>
  <tableStyles count="0" defaultTableStyle="TableStyleLight8" defaultPivotStyle="PivotStyleLight16"/>
  <colors>
    <mruColors>
      <color rgb="FFFFD69F"/>
      <color rgb="FFFFD5D5"/>
      <color rgb="FFFFC87D"/>
      <color rgb="FFEAF3FA"/>
      <color rgb="FFF1F7ED"/>
      <color rgb="FFFFEBD7"/>
      <color rgb="FFFFE6B9"/>
      <color rgb="FFF5DCFF"/>
      <color rgb="FFC8E6FA"/>
      <color rgb="FFE6B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vin/Desktop/FF2021%20Custom%20Cheatsheet%20Update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AC"/>
      <sheetName val="LAR"/>
      <sheetName val="LV"/>
      <sheetName val="MIA"/>
      <sheetName val="MIN"/>
      <sheetName val="NE"/>
      <sheetName val="NO"/>
      <sheetName val="NYG"/>
      <sheetName val="NYJ"/>
      <sheetName val="PHI"/>
      <sheetName val="PIT"/>
      <sheetName val="SEA"/>
      <sheetName val="SF"/>
      <sheetName val="TB"/>
      <sheetName val="TEN"/>
      <sheetName val="WFT"/>
      <sheetName val="DST"/>
      <sheetName val="QB"/>
      <sheetName val="RB"/>
      <sheetName val="WR"/>
      <sheetName val="TE"/>
      <sheetName val="DST1"/>
    </sheetNames>
    <sheetDataSet>
      <sheetData sheetId="0" refreshError="1"/>
      <sheetData sheetId="1">
        <row r="2">
          <cell r="B2">
            <v>0</v>
          </cell>
        </row>
        <row r="3">
          <cell r="B3">
            <v>0</v>
          </cell>
        </row>
        <row r="4">
          <cell r="B4">
            <v>0.04</v>
          </cell>
        </row>
        <row r="5">
          <cell r="B5">
            <v>4</v>
          </cell>
        </row>
        <row r="6">
          <cell r="B6">
            <v>-2</v>
          </cell>
        </row>
        <row r="7">
          <cell r="B7">
            <v>0</v>
          </cell>
        </row>
        <row r="8">
          <cell r="B8">
            <v>0.1</v>
          </cell>
        </row>
        <row r="9">
          <cell r="B9">
            <v>6</v>
          </cell>
        </row>
        <row r="10">
          <cell r="B10">
            <v>0</v>
          </cell>
        </row>
        <row r="11">
          <cell r="B11">
            <v>0.5</v>
          </cell>
        </row>
        <row r="12">
          <cell r="B12">
            <v>0.5</v>
          </cell>
        </row>
        <row r="13">
          <cell r="B13">
            <v>0.5</v>
          </cell>
        </row>
        <row r="14">
          <cell r="B14">
            <v>0.1</v>
          </cell>
        </row>
        <row r="15">
          <cell r="B15">
            <v>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LeagueSettings" displayName="TableLeagueSettings" ref="A1:B28" totalsRowShown="0" headerRowDxfId="486" dataDxfId="484" headerRowBorderDxfId="485" tableBorderDxfId="483" totalsRowBorderDxfId="482">
  <tableColumns count="2">
    <tableColumn id="1" xr3:uid="{00000000-0010-0000-0000-000001000000}" name="Catergoy" dataDxfId="481"/>
    <tableColumn id="2" xr3:uid="{00000000-0010-0000-0000-000002000000}" name="Points" dataDxfId="48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Roster" displayName="TableRoster" ref="D1:E10" totalsRowShown="0" headerRowDxfId="479" dataDxfId="477" headerRowBorderDxfId="478" tableBorderDxfId="476" totalsRowBorderDxfId="475">
  <tableColumns count="2">
    <tableColumn id="1" xr3:uid="{00000000-0010-0000-0100-000001000000}" name="Category" dataDxfId="474"/>
    <tableColumn id="2" xr3:uid="{00000000-0010-0000-0100-000002000000}" name="Value" dataDxfId="47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2000000}" name="TableQBRanks" displayName="TableQBRanks" ref="A1:F80" totalsRowShown="0" headerRowDxfId="472" dataDxfId="471">
  <sortState xmlns:xlrd2="http://schemas.microsoft.com/office/spreadsheetml/2017/richdata2" ref="A2:F68">
    <sortCondition ref="A1:A68"/>
  </sortState>
  <tableColumns count="6">
    <tableColumn id="1" xr3:uid="{00000000-0010-0000-0200-000001000000}" name="RK" dataDxfId="470">
      <calculatedColumnFormula>RANK(TableQBRanks[[#This Row],[FPS]],TableQBRanks[FPS],0)</calculatedColumnFormula>
    </tableColumn>
    <tableColumn id="2" xr3:uid="{00000000-0010-0000-0200-000002000000}" name="Player" dataDxfId="469">
      <calculatedColumnFormula>IFERROR(INDEX(TableQBCalcPts[PLAYER],MATCH(TableQBRanks[[#This Row],[RK]],TableQBCalcPts[RK],0)),"")</calculatedColumnFormula>
    </tableColumn>
    <tableColumn id="3" xr3:uid="{00000000-0010-0000-0200-000003000000}" name="TM" dataDxfId="468">
      <calculatedColumnFormula>IFERROR(INDEX(TableQBCalcPts[TM],MATCH(TableQBRanks[[#This Row],[RK]],TableQBCalcPts[RK],0)),"")</calculatedColumnFormula>
    </tableColumn>
    <tableColumn id="4" xr3:uid="{00000000-0010-0000-0200-000004000000}" name="BYE" dataDxfId="467">
      <calculatedColumnFormula>IFERROR(INDEX(TableQBCalcPts[BYE],MATCH(TableQBRanks[[#This Row],[RK]],TableQBCalcPts[RK],0)),"")</calculatedColumnFormula>
    </tableColumn>
    <tableColumn id="5" xr3:uid="{00000000-0010-0000-0200-000005000000}" name="FPS" dataDxfId="466">
      <calculatedColumnFormula>IFERROR(INDEX(TableQBCalcPts[Custom],MATCH(TableQBRanks[[#This Row],[RK]],TableQBCalcPts[RK],0)),"")</calculatedColumnFormula>
    </tableColumn>
    <tableColumn id="6" xr3:uid="{00000000-0010-0000-0200-000006000000}" name="AUC$" dataDxfId="465" dataCellStyle="Currency">
      <calculatedColumnFormula>(((VLOOKUP(TableQBRanks[[#This Row],[Player]],'OVR &amp; VORP Ranks'!$B:$F,5,FALSE)))/('OVR &amp; VORP Ranks'!$BM$6))*(Settings!$E$10*TEAMS)</calculatedColumnFormula>
    </tableColumn>
  </tableColumns>
  <tableStyleInfo name="TableStyleLight8" showFirstColumn="0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leRBRanks" displayName="TableRBRanks" ref="H1:M171" totalsRowShown="0" headerRowDxfId="464" dataDxfId="463">
  <sortState xmlns:xlrd2="http://schemas.microsoft.com/office/spreadsheetml/2017/richdata2" ref="H2:M153">
    <sortCondition ref="H1:H153"/>
  </sortState>
  <tableColumns count="6">
    <tableColumn id="1" xr3:uid="{00000000-0010-0000-0300-000001000000}" name="RK" dataDxfId="462">
      <calculatedColumnFormula>RANK(TableRBRanks[[#This Row],[FPS]],TableRBRanks[FPS],0)</calculatedColumnFormula>
    </tableColumn>
    <tableColumn id="2" xr3:uid="{00000000-0010-0000-0300-000002000000}" name="Player" dataDxfId="461">
      <calculatedColumnFormula>IFERROR(INDEX(TableRBCalcPts[PLAYER],MATCH(TableRBRanks[[#This Row],[RK]],TableRBCalcPts[RK],0)),"")</calculatedColumnFormula>
    </tableColumn>
    <tableColumn id="3" xr3:uid="{00000000-0010-0000-0300-000003000000}" name="TM" dataDxfId="460">
      <calculatedColumnFormula>IFERROR(INDEX(TableRBCalcPts[TM],MATCH(TableRBRanks[[#This Row],[RK]],TableRBCalcPts[RK],0)),"")</calculatedColumnFormula>
    </tableColumn>
    <tableColumn id="4" xr3:uid="{00000000-0010-0000-0300-000004000000}" name="BYE" dataDxfId="459">
      <calculatedColumnFormula>IFERROR(INDEX(TableRBCalcPts[BYE],MATCH(TableRBRanks[[#This Row],[RK]],TableRBCalcPts[RK],0)),"")</calculatedColumnFormula>
    </tableColumn>
    <tableColumn id="5" xr3:uid="{00000000-0010-0000-0300-000005000000}" name="FPS" dataDxfId="458">
      <calculatedColumnFormula>IFERROR(INDEX(TableRBCalcPts[Custom],MATCH(TableRBRanks[[#This Row],[RK]],TableRBCalcPts[RK],0)),"")</calculatedColumnFormula>
    </tableColumn>
    <tableColumn id="6" xr3:uid="{00000000-0010-0000-0300-000006000000}" name="AUC$" dataDxfId="457" dataCellStyle="Currency">
      <calculatedColumnFormula>(((VLOOKUP(TableRBRanks[[#This Row],[Player]],'OVR &amp; VORP Ranks'!$I:$M,5,FALSE)))/('OVR &amp; VORP Ranks'!$BM$6))*(Settings!$E$10*TEAMS)</calculatedColumnFormula>
    </tableColumn>
  </tableColumns>
  <tableStyleInfo name="TableStyleLight8" showFirstColumn="0" showLastColumn="0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4000000}" name="TableWRRanks" displayName="TableWRRanks" ref="O1:T221" totalsRowShown="0" headerRowDxfId="456" dataDxfId="455">
  <sortState xmlns:xlrd2="http://schemas.microsoft.com/office/spreadsheetml/2017/richdata2" ref="O2:T221">
    <sortCondition ref="O1:O203"/>
  </sortState>
  <tableColumns count="6">
    <tableColumn id="1" xr3:uid="{00000000-0010-0000-0400-000001000000}" name="RK" dataDxfId="454">
      <calculatedColumnFormula>RANK(TableWRRanks[[#This Row],[FPS]],TableWRRanks[FPS],0)</calculatedColumnFormula>
    </tableColumn>
    <tableColumn id="2" xr3:uid="{00000000-0010-0000-0400-000002000000}" name="Player" dataDxfId="453">
      <calculatedColumnFormula>IFERROR(INDEX(TableWRCalcPts[PLAYER],MATCH(TableWRRanks[[#This Row],[RK]],TableWRCalcPts[RK],0)),"")</calculatedColumnFormula>
    </tableColumn>
    <tableColumn id="3" xr3:uid="{00000000-0010-0000-0400-000003000000}" name="TM" dataDxfId="452">
      <calculatedColumnFormula>IFERROR(INDEX(TableWRCalcPts[TM],MATCH(TableWRRanks[[#This Row],[RK]],TableWRCalcPts[RK],0)),"")</calculatedColumnFormula>
    </tableColumn>
    <tableColumn id="4" xr3:uid="{00000000-0010-0000-0400-000004000000}" name="BYE" dataDxfId="451">
      <calculatedColumnFormula>IFERROR(INDEX(TableWRCalcPts[BYE],MATCH(TableWRRanks[[#This Row],[RK]],TableWRCalcPts[RK],0)),"")</calculatedColumnFormula>
    </tableColumn>
    <tableColumn id="5" xr3:uid="{00000000-0010-0000-0400-000005000000}" name="FPS" dataDxfId="450">
      <calculatedColumnFormula>IFERROR(INDEX(TableWRCalcPts[Custom],MATCH(TableWRRanks[[#This Row],[RK]],TableWRCalcPts[RK],0)),"")</calculatedColumnFormula>
    </tableColumn>
    <tableColumn id="6" xr3:uid="{00000000-0010-0000-0400-000006000000}" name="AUC$" dataDxfId="449" dataCellStyle="Currency">
      <calculatedColumnFormula>(((VLOOKUP(TableWRRanks[[#This Row],[Player]],'OVR &amp; VORP Ranks'!$P:$T,5,FALSE)))/('OVR &amp; VORP Ranks'!$BM$6))*(Settings!$E$10*TEAMS)</calculatedColumnFormula>
    </tableColumn>
  </tableColumns>
  <tableStyleInfo name="TableStyleLight8" showFirstColumn="0" showLastColumn="0" showRowStripes="1" showColumnStripes="1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5000000}" name="TableTERanks" displayName="TableTERanks" ref="V1:AA101" totalsRowShown="0" headerRowDxfId="448" dataDxfId="447">
  <sortState xmlns:xlrd2="http://schemas.microsoft.com/office/spreadsheetml/2017/richdata2" ref="V2:AA97">
    <sortCondition ref="V1:V97"/>
  </sortState>
  <tableColumns count="6">
    <tableColumn id="1" xr3:uid="{00000000-0010-0000-0500-000001000000}" name="RK" dataDxfId="446">
      <calculatedColumnFormula>RANK(TableTERanks[[#This Row],[FPS]],TableTERanks[FPS],0)</calculatedColumnFormula>
    </tableColumn>
    <tableColumn id="2" xr3:uid="{00000000-0010-0000-0500-000002000000}" name="Player" dataDxfId="445">
      <calculatedColumnFormula>IFERROR(INDEX(TableTECalcPts[PLAYER],MATCH(TableTERanks[[#This Row],[RK]],TableTECalcPts[RK],0)),"")</calculatedColumnFormula>
    </tableColumn>
    <tableColumn id="3" xr3:uid="{00000000-0010-0000-0500-000003000000}" name="TM" dataDxfId="444">
      <calculatedColumnFormula>IFERROR(INDEX(TableTECalcPts[TM],MATCH(TableTERanks[[#This Row],[RK]],TableTECalcPts[RK],0)),"")</calculatedColumnFormula>
    </tableColumn>
    <tableColumn id="4" xr3:uid="{00000000-0010-0000-0500-000004000000}" name="BYE" dataDxfId="443">
      <calculatedColumnFormula>IFERROR(INDEX(TableTECalcPts[BYE],MATCH(TableTERanks[[#This Row],[RK]],TableTECalcPts[RK],0)),"")</calculatedColumnFormula>
    </tableColumn>
    <tableColumn id="5" xr3:uid="{00000000-0010-0000-0500-000005000000}" name="FPS" dataDxfId="442">
      <calculatedColumnFormula>IFERROR(INDEX(TableTECalcPts[Custom],MATCH(TableTERanks[[#This Row],[RK]],TableTECalcPts[RK],0)),"")</calculatedColumnFormula>
    </tableColumn>
    <tableColumn id="6" xr3:uid="{00000000-0010-0000-0500-000006000000}" name="AUC$" dataDxfId="441" dataCellStyle="Currency">
      <calculatedColumnFormula>(((VLOOKUP(TableTERanks[[#This Row],[Player]],'OVR &amp; VORP Ranks'!$W:$AA,5,FALSE)))/('OVR &amp; VORP Ranks'!$BM$6))*(Settings!$E$10*TEAMS)</calculatedColumnFormula>
    </tableColumn>
  </tableColumns>
  <tableStyleInfo name="TableStyleLight8" showFirstColumn="0" showLastColumn="0" showRowStripes="1" showColumnStripes="1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6000000}" name="TableDSTRanks" displayName="TableDSTRanks" ref="AC1:AG33" totalsRowShown="0" headerRowDxfId="440" dataDxfId="439">
  <sortState xmlns:xlrd2="http://schemas.microsoft.com/office/spreadsheetml/2017/richdata2" ref="AC2:AG33">
    <sortCondition ref="AC1:AC33"/>
  </sortState>
  <tableColumns count="5">
    <tableColumn id="1" xr3:uid="{00000000-0010-0000-0600-000001000000}" name="RK" dataDxfId="438">
      <calculatedColumnFormula>RANK(TableDSTRanks[[#This Row],[FPS]],TableDSTRanks[FPS],0)</calculatedColumnFormula>
    </tableColumn>
    <tableColumn id="2" xr3:uid="{00000000-0010-0000-0600-000002000000}" name="Player" dataDxfId="437">
      <calculatedColumnFormula>IFERROR(INDEX(TableDSTCalcPts[PLAYER],MATCH(TableDSTRanks[[#This Row],[RK]],TableDSTCalcPts[RK],0)),"")</calculatedColumnFormula>
    </tableColumn>
    <tableColumn id="4" xr3:uid="{00000000-0010-0000-0600-000004000000}" name="BYE" dataDxfId="436">
      <calculatedColumnFormula>IFERROR(INDEX(TableDSTCalcPts[BYE],MATCH(TableDSTRanks[[#This Row],[RK]],TableDSTCalcPts[RK],0)),"")</calculatedColumnFormula>
    </tableColumn>
    <tableColumn id="5" xr3:uid="{00000000-0010-0000-0600-000005000000}" name="FPS" dataDxfId="435">
      <calculatedColumnFormula>IFERROR(INDEX(TableDSTCalcPts[Custom],MATCH(TableDSTRanks[[#This Row],[RK]],TableDSTCalcPts[RK],0)),"")</calculatedColumnFormula>
    </tableColumn>
    <tableColumn id="6" xr3:uid="{00000000-0010-0000-0600-000006000000}" name="AUC$" dataDxfId="434" dataCellStyle="Currency">
      <calculatedColumnFormula>IFERROR(INDEX(TableDSTMaster[AUC$],MATCH(TableDSTRanks[[#This Row],[Player]],TableDSTMaster[Player],0)),"")</calculatedColumnFormula>
    </tableColumn>
  </tableColumns>
  <tableStyleInfo name="TableStyleLight8" showFirstColumn="0" showLastColumn="0" showRowStripes="1" showColumnStripes="1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7000000}" name="TableQBVORP" displayName="TableQBVORP" ref="A1:F101" totalsRowShown="0" headerRowDxfId="433" dataDxfId="432">
  <sortState xmlns:xlrd2="http://schemas.microsoft.com/office/spreadsheetml/2017/richdata2" ref="A2:F101">
    <sortCondition ref="A1:A101"/>
  </sortState>
  <tableColumns count="6">
    <tableColumn id="1" xr3:uid="{00000000-0010-0000-0700-000001000000}" name="RK" dataDxfId="431">
      <calculatedColumnFormula>IFERROR(RANK(TableQBVORP[[#This Row],[FPS]],TableQBVORP[FPS],0),"")</calculatedColumnFormula>
    </tableColumn>
    <tableColumn id="2" xr3:uid="{00000000-0010-0000-0700-000002000000}" name="QUARTERBACK" dataDxfId="430">
      <calculatedColumnFormula>IFERROR(INDEX(TableQBCalcPts[PLAYER],MATCH(TableQBVORP[[#This Row],[RK]],TableQBCalcPts[RK],0)),"")</calculatedColumnFormula>
    </tableColumn>
    <tableColumn id="3" xr3:uid="{00000000-0010-0000-0700-000003000000}" name="TM" dataDxfId="429">
      <calculatedColumnFormula>IFERROR(INDEX(TableQBCalcPts[TM],MATCH(TableQBVORP[[#This Row],[RK]],TableQBCalcPts[RK],0)),"")</calculatedColumnFormula>
    </tableColumn>
    <tableColumn id="4" xr3:uid="{00000000-0010-0000-0700-000004000000}" name="BYE" dataDxfId="428">
      <calculatedColumnFormula>IFERROR(INDEX(TableQBCalcPts[BYE],MATCH(TableQBVORP[[#This Row],[RK]],TableQBCalcPts[RK],0)),"")</calculatedColumnFormula>
    </tableColumn>
    <tableColumn id="5" xr3:uid="{00000000-0010-0000-0700-000005000000}" name="FPS" dataDxfId="427">
      <calculatedColumnFormula>IFERROR(INDEX(TableQBCalcPts[Custom],MATCH(TableQBVORP[[#This Row],[RK]],TableQBCalcPts[RK],0)),"")</calculatedColumnFormula>
    </tableColumn>
    <tableColumn id="6" xr3:uid="{00000000-0010-0000-0700-000006000000}" name="VORP" dataDxfId="426" dataCellStyle="Percent">
      <calculatedColumnFormula>(IFERROR((TableQBVORP[[#This Row],[FPS]]-INDEX(TableQBVORP[FPS],MATCH(QBVORPCalc,TableQBVORP[RK],0)))/INDEX(TableQBVORP[FPS],MATCH(QBVORPCalc,TableQBVORP[RK],0)),""))+(TableRBVORP[[#This Row],[VORP]]*0.45)</calculatedColumnFormula>
    </tableColumn>
  </tableColumns>
  <tableStyleInfo name="TableStyleLight8" showFirstColumn="0" showLastColumn="0" showRowStripes="1" showColumnStripes="1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8000000}" name="TableVORPVari" displayName="TableVORPVari" ref="AC1:AD8" totalsRowShown="0" headerRowDxfId="425" dataDxfId="424">
  <tableColumns count="2">
    <tableColumn id="1" xr3:uid="{00000000-0010-0000-0800-000001000000}" name="Pos" dataDxfId="423"/>
    <tableColumn id="2" xr3:uid="{00000000-0010-0000-0800-000002000000}" name="Calc" dataDxfId="422"/>
  </tableColumns>
  <tableStyleInfo name="TableStyleLight8" showFirstColumn="0" showLastColumn="0" showRowStripes="1" showColumnStripes="1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9000000}" name="TableRBVORP" displayName="TableRBVORP" ref="H1:M176" totalsRowShown="0" headerRowDxfId="421" dataDxfId="420">
  <sortState xmlns:xlrd2="http://schemas.microsoft.com/office/spreadsheetml/2017/richdata2" ref="H2:M176">
    <sortCondition ref="H1:H176"/>
  </sortState>
  <tableColumns count="6">
    <tableColumn id="1" xr3:uid="{00000000-0010-0000-0900-000001000000}" name="RK" dataDxfId="419">
      <calculatedColumnFormula>IFERROR(RANK(TableRBVORP[[#This Row],[FPS]],TableRBVORP[FPS],0),"")</calculatedColumnFormula>
    </tableColumn>
    <tableColumn id="2" xr3:uid="{00000000-0010-0000-0900-000002000000}" name="RUNNING BACK" dataDxfId="418">
      <calculatedColumnFormula>IFERROR(INDEX(TableRBCalcPts[PLAYER],MATCH(TableRBVORP[[#This Row],[RK]],TableRBCalcPts[RK],0)),"")</calculatedColumnFormula>
    </tableColumn>
    <tableColumn id="3" xr3:uid="{00000000-0010-0000-0900-000003000000}" name="TM" dataDxfId="417">
      <calculatedColumnFormula>IFERROR(INDEX(TableRBCalcPts[TM],MATCH(TableRBVORP[[#This Row],[RK]],TableRBCalcPts[RK],0)),"")</calculatedColumnFormula>
    </tableColumn>
    <tableColumn id="4" xr3:uid="{00000000-0010-0000-0900-000004000000}" name="BYE" dataDxfId="416">
      <calculatedColumnFormula>IFERROR(INDEX(TableRBCalcPts[BYE],MATCH(TableRBVORP[[#This Row],[RK]],TableRBCalcPts[RK],0)),"")</calculatedColumnFormula>
    </tableColumn>
    <tableColumn id="5" xr3:uid="{00000000-0010-0000-0900-000005000000}" name="FPS" dataDxfId="415">
      <calculatedColumnFormula>IFERROR(INDEX(TableRBCalcPts[Custom],MATCH(TableRBVORP[[#This Row],[RK]],TableRBCalcPts[RK],0)),"")</calculatedColumnFormula>
    </tableColumn>
    <tableColumn id="6" xr3:uid="{00000000-0010-0000-0900-000006000000}" name="VORP" dataDxfId="414" dataCellStyle="Percent">
      <calculatedColumnFormula>IFERROR((TableRBVORP[[#This Row],[FPS]]-INDEX(TableRBVORP[FPS],MATCH(RBVORPCalc,TableRBVORP[RK],0)))/INDEX(TableRBVORP[FPS],MATCH(RBVORPCalc,TableRBVORP[RK],0)),"")</calculatedColumnFormula>
    </tableColumn>
  </tableColumns>
  <tableStyleInfo name="TableStyleLight8" showFirstColumn="0" showLastColumn="0" showRowStripes="1" showColumnStripes="1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A000000}" name="TableWRVORP" displayName="TableWRVORP" ref="O1:T226" totalsRowShown="0" headerRowDxfId="413" dataDxfId="412">
  <sortState xmlns:xlrd2="http://schemas.microsoft.com/office/spreadsheetml/2017/richdata2" ref="O2:T226">
    <sortCondition ref="O1:O226"/>
  </sortState>
  <tableColumns count="6">
    <tableColumn id="1" xr3:uid="{00000000-0010-0000-0A00-000001000000}" name="RK" dataDxfId="411">
      <calculatedColumnFormula>IFERROR(RANK(TableWRVORP[[#This Row],[FPS]],TableWRVORP[FPS],0),"")</calculatedColumnFormula>
    </tableColumn>
    <tableColumn id="2" xr3:uid="{00000000-0010-0000-0A00-000002000000}" name="WIDE RECEIVER" dataDxfId="410">
      <calculatedColumnFormula>IFERROR(INDEX(TableWRCalcPts[PLAYER],MATCH(TableWRVORP[[#This Row],[RK]],TableWRCalcPts[RK],0)),"")</calculatedColumnFormula>
    </tableColumn>
    <tableColumn id="3" xr3:uid="{00000000-0010-0000-0A00-000003000000}" name="TM" dataDxfId="409">
      <calculatedColumnFormula>IFERROR(INDEX(TableWRCalcPts[TM],MATCH(TableWRVORP[[#This Row],[RK]],TableWRCalcPts[RK],0)),"")</calculatedColumnFormula>
    </tableColumn>
    <tableColumn id="4" xr3:uid="{00000000-0010-0000-0A00-000004000000}" name="BYE" dataDxfId="408">
      <calculatedColumnFormula>IFERROR(INDEX(TableWRCalcPts[BYE],MATCH(TableWRVORP[[#This Row],[RK]],TableWRCalcPts[RK],0)),"")</calculatedColumnFormula>
    </tableColumn>
    <tableColumn id="5" xr3:uid="{00000000-0010-0000-0A00-000005000000}" name="FPS" dataDxfId="407">
      <calculatedColumnFormula>IFERROR(INDEX(TableWRCalcPts[Custom],MATCH(TableWRVORP[[#This Row],[RK]],TableWRCalcPts[RK],0)),"")</calculatedColumnFormula>
    </tableColumn>
    <tableColumn id="6" xr3:uid="{00000000-0010-0000-0A00-000006000000}" name="VORP" dataDxfId="406" dataCellStyle="Percent">
      <calculatedColumnFormula>IFERROR((TableWRVORP[[#This Row],[FPS]]-INDEX(TableWRVORP[FPS],MATCH(WRVORPCalc,TableWRVORP[RK],0)))/INDEX(TableWRVORP[FPS],MATCH(WRVORPCalc,TableWRVORP[RK],0)),"")</calculatedColumnFormula>
    </tableColumn>
  </tableColumns>
  <tableStyleInfo name="TableStyleLight8" showFirstColumn="0" showLastColumn="0" showRowStripes="1" showColumnStripes="1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B000000}" name="TableTEVORP" displayName="TableTEVORP" ref="V1:AA101" totalsRowShown="0" headerRowDxfId="405" dataDxfId="404">
  <sortState xmlns:xlrd2="http://schemas.microsoft.com/office/spreadsheetml/2017/richdata2" ref="V2:AA101">
    <sortCondition ref="V1:V101"/>
  </sortState>
  <tableColumns count="6">
    <tableColumn id="1" xr3:uid="{00000000-0010-0000-0B00-000001000000}" name="RK" dataDxfId="403">
      <calculatedColumnFormula>IFERROR(RANK(TableTEVORP[[#This Row],[FPS]],TableTEVORP[FPS],0),"")</calculatedColumnFormula>
    </tableColumn>
    <tableColumn id="2" xr3:uid="{00000000-0010-0000-0B00-000002000000}" name="TIGHT END" dataDxfId="402">
      <calculatedColumnFormula>IFERROR(INDEX(TableTECalcPts[PLAYER],MATCH(TableTEVORP[[#This Row],[RK]],TableTECalcPts[RK],0)),"")</calculatedColumnFormula>
    </tableColumn>
    <tableColumn id="3" xr3:uid="{00000000-0010-0000-0B00-000003000000}" name="TM" dataDxfId="401">
      <calculatedColumnFormula>IFERROR(INDEX(TableTECalcPts[TM],MATCH(TableTEVORP[[#This Row],[RK]],TableTECalcPts[RK],0)),"")</calculatedColumnFormula>
    </tableColumn>
    <tableColumn id="4" xr3:uid="{00000000-0010-0000-0B00-000004000000}" name="BYE" dataDxfId="400">
      <calculatedColumnFormula>IFERROR(INDEX(TableTECalcPts[BYE],MATCH(TableTEVORP[[#This Row],[RK]],TableTECalcPts[RK],0)),"")</calculatedColumnFormula>
    </tableColumn>
    <tableColumn id="5" xr3:uid="{00000000-0010-0000-0B00-000005000000}" name="FPS" dataDxfId="399">
      <calculatedColumnFormula>IFERROR(INDEX(TableTECalcPts[Custom],MATCH(TableTEVORP[[#This Row],[RK]],TableTECalcPts[RK],0)),"")</calculatedColumnFormula>
    </tableColumn>
    <tableColumn id="6" xr3:uid="{00000000-0010-0000-0B00-000006000000}" name="VORP" dataDxfId="398" dataCellStyle="Percent">
      <calculatedColumnFormula>IFERROR((TableTEVORP[[#This Row],[FPS]]-INDEX(TableTEVORP[FPS],MATCH(TEVORPCalc,TableTEVORP[RK],0)))/INDEX(TableTEVORP[FPS],MATCH(TEVORPCalc,TableTEVORP[RK],0)),"")</calculatedColumnFormula>
    </tableColumn>
  </tableColumns>
  <tableStyleInfo name="TableStyleLight8" showFirstColumn="0" showLastColumn="0" showRowStripes="1" showColumnStripes="1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C000000}" name="TableOverallMaster" displayName="TableOverallMaster" ref="AF1:AM301" totalsRowShown="0" headerRowDxfId="397" dataDxfId="396">
  <tableColumns count="8">
    <tableColumn id="1" xr3:uid="{00000000-0010-0000-0C00-000001000000}" name="POS" dataDxfId="395"/>
    <tableColumn id="2" xr3:uid="{00000000-0010-0000-0C00-000002000000}" name="RK" dataDxfId="394"/>
    <tableColumn id="7" xr3:uid="{00000000-0010-0000-0C00-000007000000}" name="OVR RK" dataDxfId="393">
      <calculatedColumnFormula>RANK(TableOverallMaster[[#This Row],[VORP]],TableOverallMaster[VORP])+COUNTIF($AM$2:AM2,AM2)-1</calculatedColumnFormula>
    </tableColumn>
    <tableColumn id="3" xr3:uid="{00000000-0010-0000-0C00-000003000000}" name="OVERALL PLAYER" dataDxfId="392">
      <calculatedColumnFormula>IFERROR(INDEX(TableQBVORP[QUARTERBACK],MATCH(TableOverallMaster[[#This Row],[RK]],TableQBVORP[RK],0)),"")</calculatedColumnFormula>
    </tableColumn>
    <tableColumn id="4" xr3:uid="{00000000-0010-0000-0C00-000004000000}" name="POS RK" dataDxfId="391">
      <calculatedColumnFormula>CONCATENATE(AF2,AG2)</calculatedColumnFormula>
    </tableColumn>
    <tableColumn id="9" xr3:uid="{00000000-0010-0000-0C00-000009000000}" name="BYE" dataDxfId="390">
      <calculatedColumnFormula>IFERROR(INDEX(TableQBVORP[BYE],MATCH(TableOverallMaster[[#This Row],[RK]],TableQBVORP[RK],0)),"")</calculatedColumnFormula>
    </tableColumn>
    <tableColumn id="5" xr3:uid="{00000000-0010-0000-0C00-000005000000}" name="Custom" dataDxfId="389">
      <calculatedColumnFormula>VLOOKUP(AG2,V$1:AA$101,5,FALSE)</calculatedColumnFormula>
    </tableColumn>
    <tableColumn id="6" xr3:uid="{00000000-0010-0000-0C00-000006000000}" name="VORP" dataDxfId="388" dataCellStyle="Percent">
      <calculatedColumnFormula>IFERROR(INDEX(TableQBVORP[VORP],MATCH(TableOverallMaster[[#This Row],[RK]],TableQBVORP[RK],0)),"")</calculatedColumnFormula>
    </tableColumn>
  </tableColumns>
  <tableStyleInfo name="TableStyleLight8" showFirstColumn="0" showLastColumn="0" showRowStripes="1" showColumnStripes="1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D000000}" name="TableOverallRank" displayName="TableOverallRank" ref="AO1:AT301" totalsRowShown="0" headerRowDxfId="387" dataDxfId="386">
  <sortState xmlns:xlrd2="http://schemas.microsoft.com/office/spreadsheetml/2017/richdata2" ref="AO2:AT301">
    <sortCondition descending="1" ref="AT2:AT301"/>
  </sortState>
  <tableColumns count="6">
    <tableColumn id="1" xr3:uid="{00000000-0010-0000-0D00-000001000000}" name="RK" dataDxfId="385"/>
    <tableColumn id="2" xr3:uid="{00000000-0010-0000-0D00-000002000000}" name="OVERALL PLAYER" dataDxfId="384">
      <calculatedColumnFormula>IFERROR(INDEX(TableOverallMaster[OVERALL PLAYER],MATCH(TableOverallRank[[#This Row],[RK]],TableOverallMaster[OVR RK],0)),"")</calculatedColumnFormula>
    </tableColumn>
    <tableColumn id="3" xr3:uid="{00000000-0010-0000-0D00-000003000000}" name="POS RK" dataDxfId="383">
      <calculatedColumnFormula>IFERROR(INDEX(TableOverallMaster[POS RK],MATCH(TableOverallRank[[#This Row],[OVERALL PLAYER]],TableOverallMaster[OVERALL PLAYER],0)),"")</calculatedColumnFormula>
    </tableColumn>
    <tableColumn id="6" xr3:uid="{00000000-0010-0000-0D00-000006000000}" name="BYE" dataDxfId="382">
      <calculatedColumnFormula>IFERROR(INDEX(TableOverallMaster[BYE],MATCH(TableOverallRank[[#This Row],[OVERALL PLAYER]],TableOverallMaster[OVERALL PLAYER],0)),"")</calculatedColumnFormula>
    </tableColumn>
    <tableColumn id="4" xr3:uid="{00000000-0010-0000-0D00-000004000000}" name="FPS" dataDxfId="381">
      <calculatedColumnFormula>IFERROR(INDEX(TableOverallMaster[Custom],MATCH(TableOverallRank[[#This Row],[OVERALL PLAYER]],TableOverallMaster[OVERALL PLAYER],0)),"")</calculatedColumnFormula>
    </tableColumn>
    <tableColumn id="5" xr3:uid="{00000000-0010-0000-0D00-000005000000}" name="VORP" dataDxfId="380" dataCellStyle="Percent">
      <calculatedColumnFormula>IFERROR(INDEX(TableOverallMaster[VORP],MATCH(TableOverallRank[[#This Row],[OVERALL PLAYER]],TableOverallMaster[OVERALL PLAYER],0)),"")</calculatedColumnFormula>
    </tableColumn>
  </tableColumns>
  <tableStyleInfo name="TableStyleLight8" showFirstColumn="0" showLastColumn="0" showRowStripes="1" showColumnStripes="1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E000000}" name="TableWRTERank" displayName="TableWRTERank" ref="AV1:BA281" totalsRowShown="0" headerRowDxfId="379" dataDxfId="378">
  <tableColumns count="6">
    <tableColumn id="1" xr3:uid="{00000000-0010-0000-0E00-000001000000}" name="RK" dataDxfId="377"/>
    <tableColumn id="2" xr3:uid="{00000000-0010-0000-0E00-000002000000}" name="WR and TE COMBINED" dataDxfId="376">
      <calculatedColumnFormula>IFERROR(INDEX(TableWRTECalcPts[PLAYER],MATCH(TableWRTERank[[#This Row],[RK]],TableWRTECalcPts[RK],0)),"")</calculatedColumnFormula>
    </tableColumn>
    <tableColumn id="3" xr3:uid="{00000000-0010-0000-0E00-000003000000}" name="POS RK" dataDxfId="375">
      <calculatedColumnFormula>IFERROR(INDEX(TableWRTECalcPts[POS RK],MATCH(TableWRTERank[[#This Row],[WR and TE COMBINED]],TableWRTECalcPts[PLAYER],0)),"")</calculatedColumnFormula>
    </tableColumn>
    <tableColumn id="4" xr3:uid="{00000000-0010-0000-0E00-000004000000}" name="BYE" dataDxfId="374">
      <calculatedColumnFormula>IFERROR(INDEX(TableWRTECalcPts[BYE],MATCH(TableWRTERank[[#This Row],[RK]],TableWRTECalcPts[RK],0)),"")</calculatedColumnFormula>
    </tableColumn>
    <tableColumn id="5" xr3:uid="{00000000-0010-0000-0E00-000005000000}" name="FPS" dataDxfId="373">
      <calculatedColumnFormula>IFERROR(INDEX(TableWRTECalcPts[Custom],MATCH(TableWRTERank[[#This Row],[RK]],TableWRTECalcPts[RK],0)),"")</calculatedColumnFormula>
    </tableColumn>
    <tableColumn id="6" xr3:uid="{00000000-0010-0000-0E00-000006000000}" name="VORP" dataDxfId="372" dataCellStyle="Percent">
      <calculatedColumnFormula>IFERROR((TableWRTERank[[#This Row],[FPS]]-INDEX(TableWRTERank[FPS],MATCH(WRTEVORPCalc,TableWRTERank[RK],0)))/INDEX(TableWRTERank[FPS],MATCH(WRTEVORPCalc,TableWRTERank[RK],0)),"")</calculatedColumnFormula>
    </tableColumn>
  </tableColumns>
  <tableStyleInfo name="TableStyleLight8" showFirstColumn="0" showLastColumn="0" showRowStripes="1" showColumnStripes="1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F000000}" name="TableWRTEMaster" displayName="TableWRTEMaster" ref="BC1:BJ281" totalsRowShown="0" headerRowDxfId="371" dataDxfId="370">
  <tableColumns count="8">
    <tableColumn id="1" xr3:uid="{00000000-0010-0000-0F00-000001000000}" name="POS" dataDxfId="369"/>
    <tableColumn id="2" xr3:uid="{00000000-0010-0000-0F00-000002000000}" name="RK" dataDxfId="368"/>
    <tableColumn id="7" xr3:uid="{00000000-0010-0000-0F00-000007000000}" name="OVR RK" dataDxfId="367">
      <calculatedColumnFormula>RANK(TableWRTEMaster[[#This Row],[VORP]],TableWRTEMaster[VORP])+COUNTIF($BJ$2:BJ2,BJ2)-1</calculatedColumnFormula>
    </tableColumn>
    <tableColumn id="3" xr3:uid="{00000000-0010-0000-0F00-000003000000}" name="OVERALL PLAYER" dataDxfId="366"/>
    <tableColumn id="4" xr3:uid="{00000000-0010-0000-0F00-000004000000}" name="POS RK" dataDxfId="365">
      <calculatedColumnFormula>_xlfn.CONCAT(TableWRTEMaster[[#This Row],[POS]],TableWRTEMaster[[#This Row],[RK]])</calculatedColumnFormula>
    </tableColumn>
    <tableColumn id="8" xr3:uid="{00000000-0010-0000-0F00-000008000000}" name="BYE" dataDxfId="364"/>
    <tableColumn id="5" xr3:uid="{00000000-0010-0000-0F00-000005000000}" name="Custom" dataDxfId="363"/>
    <tableColumn id="6" xr3:uid="{00000000-0010-0000-0F00-000006000000}" name="VORP" dataDxfId="362" dataCellStyle="Percent"/>
  </tableColumns>
  <tableStyleInfo name="TableStyleLight8" showFirstColumn="0" showLastColumn="0" showRowStripes="1" showColumnStripes="1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88412A6-82F9-4959-A243-0271E6A9084C}" name="TableQBRanks30" displayName="TableQBRanks30" ref="A1:N80" totalsRowShown="0" headerRowDxfId="361" dataDxfId="359" headerRowBorderDxfId="360">
  <sortState xmlns:xlrd2="http://schemas.microsoft.com/office/spreadsheetml/2017/richdata2" ref="A2:N68">
    <sortCondition ref="A1:A68"/>
  </sortState>
  <tableColumns count="14">
    <tableColumn id="1" xr3:uid="{DD294E2D-5990-4AF8-8878-BE34A05D93D2}" name="RK" dataDxfId="358">
      <calculatedColumnFormula>RANK(TableQBRanks30[[#This Row],[FPS]],TableQBRanks30[FPS],0)</calculatedColumnFormula>
    </tableColumn>
    <tableColumn id="2" xr3:uid="{EB4C05A1-12CE-49AE-B841-2DE35B064106}" name="Player" dataDxfId="357">
      <calculatedColumnFormula>IFERROR(INDEX(TableQBCalcPts[PLAYER],MATCH(TableQBRanks30[[#This Row],[RK]],TableQBCalcPts[RK],0)),"")</calculatedColumnFormula>
    </tableColumn>
    <tableColumn id="3" xr3:uid="{904CD835-3612-42DA-BB5B-114E20C8FAE3}" name="TM" dataDxfId="356">
      <calculatedColumnFormula>IFERROR(INDEX(TableQBCalcPts[TM],MATCH(TableQBRanks30[[#This Row],[Player]],TableQBCalcPts[PLAYER],0)),"")</calculatedColumnFormula>
    </tableColumn>
    <tableColumn id="4" xr3:uid="{4A0C9585-18CB-4A5F-AA2C-71D7F53C6180}" name="BYE" dataDxfId="355">
      <calculatedColumnFormula>IFERROR(INDEX(TableQBCalcPts[BYE],MATCH(TableQBRanks30[[#This Row],[Player]],TableQBCalcPts[PLAYER],0)),"")</calculatedColumnFormula>
    </tableColumn>
    <tableColumn id="8" xr3:uid="{67E015BD-1FE5-477A-BFC1-3F737DDEE4C5}" name="PASS ATT" dataDxfId="354">
      <calculatedColumnFormula>VLOOKUP(TableQBRanks30[[#This Row],[Player]],QB!B:O,4,FALSE)</calculatedColumnFormula>
    </tableColumn>
    <tableColumn id="10" xr3:uid="{4749D8FF-DDAD-474E-B69C-C62F500B154F}" name="COMP" dataDxfId="353">
      <calculatedColumnFormula>VLOOKUP(TableQBRanks30[[#This Row],[Player]],QB!B:O,5,FALSE)</calculatedColumnFormula>
    </tableColumn>
    <tableColumn id="9" xr3:uid="{2E281FD5-CDAC-468F-8B8E-F8A9686E01E4}" name="PASS YARDS" dataDxfId="352">
      <calculatedColumnFormula>VLOOKUP(TableQBRanks30[[#This Row],[Player]],QB!B:O,6,FALSE)</calculatedColumnFormula>
    </tableColumn>
    <tableColumn id="14" xr3:uid="{999EC3A5-5EF5-43EE-A502-39A8B180D38B}" name="PASS TD" dataDxfId="351">
      <calculatedColumnFormula>VLOOKUP(TableQBRanks30[[#This Row],[Player]],QB!B:O,7,FALSE)</calculatedColumnFormula>
    </tableColumn>
    <tableColumn id="13" xr3:uid="{20DD91C2-1ACB-4E68-91C4-6404151A74FA}" name="INT" dataDxfId="350">
      <calculatedColumnFormula>VLOOKUP(TableQBRanks30[[#This Row],[Player]],QB!B:O,8,FALSE)</calculatedColumnFormula>
    </tableColumn>
    <tableColumn id="12" xr3:uid="{A3B3A3B7-B512-4584-BB8F-5A8EE269157D}" name="RUSH ATT" dataDxfId="349">
      <calculatedColumnFormula>VLOOKUP(TableQBRanks30[[#This Row],[Player]],QB!B:O,9,FALSE)</calculatedColumnFormula>
    </tableColumn>
    <tableColumn id="11" xr3:uid="{D8FF2F81-4F78-45B3-8213-6C6E15807121}" name="RUSH YARDS" dataDxfId="348">
      <calculatedColumnFormula>VLOOKUP(TableQBRanks30[[#This Row],[Player]],QB!B:O,10,FALSE)</calculatedColumnFormula>
    </tableColumn>
    <tableColumn id="7" xr3:uid="{B7BD51F5-F492-466D-AC1C-D200C03341CA}" name="RUSH TD" dataDxfId="347">
      <calculatedColumnFormula>VLOOKUP(TableQBRanks30[[#This Row],[Player]],QB!B:O,11,FALSE)</calculatedColumnFormula>
    </tableColumn>
    <tableColumn id="5" xr3:uid="{DF1DA9CD-A230-40B5-AD00-5888E844A574}" name="FPS" dataDxfId="346">
      <calculatedColumnFormula>IFERROR(INDEX(TableQBCalcPts[Custom],MATCH(TableQBRanks30[[#This Row],[RK]],TableQBCalcPts[RK],0)),"")</calculatedColumnFormula>
    </tableColumn>
    <tableColumn id="6" xr3:uid="{7568CD2B-8DE4-432F-843B-9D807E9824EF}" name="AUC$" dataDxfId="345" dataCellStyle="Currency">
      <calculatedColumnFormula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calculatedColumnFormula>
    </tableColumn>
  </tableColumns>
  <tableStyleInfo name="TableStyleLight8" showFirstColumn="0" showLastColumn="0" showRowStripes="1" showColumnStripes="1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074BF76-C86B-400B-9D4A-A1EF83A27677}" name="TableRBRanks31" displayName="TableRBRanks31" ref="P1:AB171" totalsRowShown="0" headerRowDxfId="344" dataDxfId="342" headerRowBorderDxfId="343">
  <sortState xmlns:xlrd2="http://schemas.microsoft.com/office/spreadsheetml/2017/richdata2" ref="P2:AB153">
    <sortCondition ref="P1:P153"/>
  </sortState>
  <tableColumns count="13">
    <tableColumn id="1" xr3:uid="{F8589C02-6C6A-4551-9B26-0AA53FFC4360}" name="RK" dataDxfId="341">
      <calculatedColumnFormula>RANK(TableRBRanks31[[#This Row],[FPS]],TableRBRanks31[FPS],0)</calculatedColumnFormula>
    </tableColumn>
    <tableColumn id="2" xr3:uid="{AA98FD46-655D-4881-A86F-7DC0F21E65D7}" name="Player" dataDxfId="340">
      <calculatedColumnFormula>IFERROR(INDEX(TableRBCalcPts[PLAYER],MATCH(TableRBRanks31[[#This Row],[RK]],TableRBCalcPts[RK],0)),"")</calculatedColumnFormula>
    </tableColumn>
    <tableColumn id="3" xr3:uid="{F1CE2B10-9FA7-40C6-8F57-7006F8593A6A}" name="TM" dataDxfId="339">
      <calculatedColumnFormula>IFERROR(INDEX(TableRBCalcPts[TM],MATCH(TableRBRanks31[[#This Row],[Player]],TableRBCalcPts[PLAYER],0)),"")</calculatedColumnFormula>
    </tableColumn>
    <tableColumn id="4" xr3:uid="{88D3ED97-5373-4CCF-A7B6-EC9F46DBAF12}" name="BYE" dataDxfId="338">
      <calculatedColumnFormula>IFERROR(INDEX(TableRBCalcPts[BYE],MATCH(TableRBRanks31[[#This Row],[Player]],TableRBCalcPts[PLAYER],0)),"")</calculatedColumnFormula>
    </tableColumn>
    <tableColumn id="7" xr3:uid="{CCCE3814-EAC0-47AD-9790-C63A6C9F7A84}" name="RUSH ATT" dataDxfId="337">
      <calculatedColumnFormula>VLOOKUP(TableRBRanks31[[#This Row],[Player]],RB!B:O,4,FALSE)</calculatedColumnFormula>
    </tableColumn>
    <tableColumn id="10" xr3:uid="{46F8E04E-E137-4779-A056-F32C6C79D8ED}" name="RUSH YARDS" dataDxfId="336">
      <calculatedColumnFormula>VLOOKUP(TableRBRanks31[[#This Row],[Player]],RB!B:O,5,FALSE)</calculatedColumnFormula>
    </tableColumn>
    <tableColumn id="9" xr3:uid="{69D6945E-A322-4EA8-8C9F-F64B8C207CE9}" name="RUSH TD" dataDxfId="335">
      <calculatedColumnFormula>VLOOKUP(TableRBRanks31[[#This Row],[Player]],RB!B:O,6,FALSE)</calculatedColumnFormula>
    </tableColumn>
    <tableColumn id="13" xr3:uid="{E88ADEB9-929B-4902-97DB-B92524823CD7}" name="TGTS" dataDxfId="334">
      <calculatedColumnFormula>VLOOKUP(TableRBRanks31[[#This Row],[Player]],RB!B:O,7,FALSE)</calculatedColumnFormula>
    </tableColumn>
    <tableColumn id="12" xr3:uid="{DB54F68E-08C0-4C71-9252-DE6AED1BE87A}" name="REC" dataDxfId="333">
      <calculatedColumnFormula>VLOOKUP(TableRBRanks31[[#This Row],[Player]],RB!B:O,8,FALSE)</calculatedColumnFormula>
    </tableColumn>
    <tableColumn id="11" xr3:uid="{303F7563-DF84-4B47-9C7B-C24D317CBFF2}" name="RECV YARDS" dataDxfId="332">
      <calculatedColumnFormula>VLOOKUP(TableRBRanks31[[#This Row],[Player]],RB!B:O,9,FALSE)</calculatedColumnFormula>
    </tableColumn>
    <tableColumn id="8" xr3:uid="{FA6E86C1-2B15-41FB-95FB-04444BAE609A}" name="RECV TD" dataDxfId="331">
      <calculatedColumnFormula>VLOOKUP(TableRBRanks31[[#This Row],[Player]],RB!B:O,10,FALSE)</calculatedColumnFormula>
    </tableColumn>
    <tableColumn id="5" xr3:uid="{D33B3F1A-7BDB-4CC5-B0DB-EC2951D467F6}" name="FPS" dataDxfId="330">
      <calculatedColumnFormula>IFERROR(INDEX(TableRBCalcPts[Custom],MATCH(TableRBRanks31[[#This Row],[RK]],TableRBCalcPts[RK],0)),"")</calculatedColumnFormula>
    </tableColumn>
    <tableColumn id="6" xr3:uid="{DCEA9BF2-313C-46D1-89FF-73CF9C5802EE}" name="AUC$" dataDxfId="329" dataCellStyle="Currency">
      <calculatedColumnFormula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calculatedColumnFormula>
    </tableColumn>
  </tableColumns>
  <tableStyleInfo name="TableStyleLight8" showFirstColumn="0" showLastColumn="0" showRowStripes="1" showColumnStripes="1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4A6F5E5-A022-4994-AB6A-48459B2A5A50}" name="TableWRRanks32" displayName="TableWRRanks32" ref="AD1:AO221" totalsRowShown="0" headerRowDxfId="328" dataDxfId="326" headerRowBorderDxfId="327">
  <sortState xmlns:xlrd2="http://schemas.microsoft.com/office/spreadsheetml/2017/richdata2" ref="AD2:AO221">
    <sortCondition ref="AD1:AD203"/>
  </sortState>
  <tableColumns count="12">
    <tableColumn id="1" xr3:uid="{C133D361-2632-4065-9AF7-A1B699836ED1}" name="RK" dataDxfId="325">
      <calculatedColumnFormula>RANK(TableWRRanks32[[#This Row],[FPS]],TableWRRanks32[FPS],0)</calculatedColumnFormula>
    </tableColumn>
    <tableColumn id="2" xr3:uid="{F9BD7CF4-3EB9-49FC-9B83-8BD0A485D56C}" name="Player" dataDxfId="324">
      <calculatedColumnFormula>IFERROR(INDEX(TableWRCalcPts[PLAYER],MATCH(TableWRRanks32[[#This Row],[RK]],TableWRCalcPts[RK],0)),"")</calculatedColumnFormula>
    </tableColumn>
    <tableColumn id="3" xr3:uid="{A42D73C2-AFF4-42C6-A34E-C3FAC648562F}" name="TM" dataDxfId="323">
      <calculatedColumnFormula>IFERROR(INDEX(TableWRCalcPts[TM],MATCH(TableWRRanks32[[#This Row],[Player]],TableWRCalcPts[PLAYER],0)),"")</calculatedColumnFormula>
    </tableColumn>
    <tableColumn id="4" xr3:uid="{51B6DEB7-D4AE-4BAA-AD0F-7E2FAE3B8FA9}" name="BYE" dataDxfId="322">
      <calculatedColumnFormula>IFERROR(INDEX(TableWRCalcPts[BYE],MATCH(TableWRRanks32[[#This Row],[Player]],TableWRCalcPts[PLAYER],0)),"")</calculatedColumnFormula>
    </tableColumn>
    <tableColumn id="7" xr3:uid="{00F93329-FD97-4880-940E-D5B397F75F7C}" name="RUSH YARDS" dataDxfId="321">
      <calculatedColumnFormula>VLOOKUP(TableWRRanks32[[#This Row],[Player]],WR!B:O,4,FALSE)</calculatedColumnFormula>
    </tableColumn>
    <tableColumn id="10" xr3:uid="{6F6CC6D8-08CF-48E4-B039-BA17647C357D}" name="RUSH TD" dataDxfId="320">
      <calculatedColumnFormula>VLOOKUP(TableWRRanks32[[#This Row],[Player]],WR!B:O,5,FALSE)</calculatedColumnFormula>
    </tableColumn>
    <tableColumn id="13" xr3:uid="{DA79B0A4-BFF6-4BAE-AD35-90EC96A524A1}" name="TGTS" dataDxfId="319">
      <calculatedColumnFormula>VLOOKUP(TableWRRanks32[[#This Row],[Player]],WR!B:O,6,FALSE)</calculatedColumnFormula>
    </tableColumn>
    <tableColumn id="12" xr3:uid="{7F5C25DD-85A3-4423-AF94-30286042FF9F}" name="REC" dataDxfId="318">
      <calculatedColumnFormula>VLOOKUP(TableWRRanks32[[#This Row],[Player]],WR!B:O,7,FALSE)</calculatedColumnFormula>
    </tableColumn>
    <tableColumn id="11" xr3:uid="{32B83406-21A1-4BAC-81BA-F5EF20C28DEF}" name="RECV YARDS" dataDxfId="317">
      <calculatedColumnFormula>VLOOKUP(TableWRRanks32[[#This Row],[Player]],WR!B:O,8,FALSE)</calculatedColumnFormula>
    </tableColumn>
    <tableColumn id="9" xr3:uid="{C046BF52-ED02-48F1-8A0D-A443BF83B1BA}" name="RECV TD" dataDxfId="316">
      <calculatedColumnFormula>VLOOKUP(TableWRRanks32[[#This Row],[Player]],WR!B:O,9,FALSE)</calculatedColumnFormula>
    </tableColumn>
    <tableColumn id="5" xr3:uid="{AAD449F3-E594-415F-9EA3-23F4C2701976}" name="FPS" dataDxfId="315">
      <calculatedColumnFormula>IFERROR(INDEX(TableWRCalcPts[Custom],MATCH(TableWRRanks32[[#This Row],[RK]],TableWRCalcPts[RK],0)),"")</calculatedColumnFormula>
    </tableColumn>
    <tableColumn id="6" xr3:uid="{CB725593-FF7F-435D-BF76-526C56C05BCD}" name="AUC$" dataDxfId="314" dataCellStyle="Currency">
      <calculatedColumnFormula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calculatedColumnFormula>
    </tableColumn>
  </tableColumns>
  <tableStyleInfo name="TableStyleLight8" showFirstColumn="0" showLastColumn="0" showRowStripes="1" showColumnStripes="1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8F5D489-B040-44F4-9169-40D5BE9B80CA}" name="TableTERanks33" displayName="TableTERanks33" ref="AQ1:AZ101" totalsRowShown="0" headerRowDxfId="313" dataDxfId="311" headerRowBorderDxfId="312">
  <sortState xmlns:xlrd2="http://schemas.microsoft.com/office/spreadsheetml/2017/richdata2" ref="AQ2:AZ97">
    <sortCondition ref="AQ1:AQ97"/>
  </sortState>
  <tableColumns count="10">
    <tableColumn id="1" xr3:uid="{3B2F49A9-3410-44C7-AA89-529A298B4F79}" name="RK" dataDxfId="310">
      <calculatedColumnFormula>RANK(TableTERanks33[[#This Row],[FPS]],TableTERanks33[FPS],0)</calculatedColumnFormula>
    </tableColumn>
    <tableColumn id="2" xr3:uid="{C86B85C4-F335-40B4-B3CA-FA027C842AE9}" name="Player" dataDxfId="309">
      <calculatedColumnFormula>IFERROR(INDEX(TableTECalcPts[PLAYER],MATCH(TableTERanks33[[#This Row],[RK]],TableTECalcPts[RK],0)),"")</calculatedColumnFormula>
    </tableColumn>
    <tableColumn id="3" xr3:uid="{B1AABAA8-6838-49B0-9C33-401B7367D67D}" name="TM" dataDxfId="308">
      <calculatedColumnFormula>IFERROR(INDEX(TableTECalcPts[TM],MATCH(TableTERanks33[[#This Row],[Player]],TableTECalcPts[PLAYER],0)),"")</calculatedColumnFormula>
    </tableColumn>
    <tableColumn id="4" xr3:uid="{8D0666B6-E022-419F-86F4-4E7DDBA3CFA2}" name="BYE" dataDxfId="307">
      <calculatedColumnFormula>IFERROR(INDEX(TableTECalcPts[BYE],MATCH(TableTERanks33[[#This Row],[Player]],TableTECalcPts[PLAYER],0)),"")</calculatedColumnFormula>
    </tableColumn>
    <tableColumn id="7" xr3:uid="{79C7883E-3123-452F-951D-5CD0F099C1D6}" name="TGTS" dataDxfId="306">
      <calculatedColumnFormula>VLOOKUP(TableTERanks33[[#This Row],[Player]],TE!B:O,4,FALSE)</calculatedColumnFormula>
    </tableColumn>
    <tableColumn id="10" xr3:uid="{928C04D5-7572-4757-B4DD-582E2294DCCC}" name="REC" dataDxfId="305">
      <calculatedColumnFormula>VLOOKUP(TableTERanks33[[#This Row],[Player]],TE!B:O,5,FALSE)</calculatedColumnFormula>
    </tableColumn>
    <tableColumn id="9" xr3:uid="{D6ECB8ED-6792-4CCC-80FE-59D1DCF8BF2C}" name="RECV YARDS" dataDxfId="304">
      <calculatedColumnFormula>VLOOKUP(TableTERanks33[[#This Row],[Player]],TE!B:O,6,FALSE)</calculatedColumnFormula>
    </tableColumn>
    <tableColumn id="8" xr3:uid="{2E2BBA19-5E03-4B2C-9D14-196B82B3B86B}" name="RECV TD" dataDxfId="303">
      <calculatedColumnFormula>VLOOKUP(TableTERanks33[[#This Row],[Player]],TE!B:O,7,FALSE)</calculatedColumnFormula>
    </tableColumn>
    <tableColumn id="5" xr3:uid="{E32F372B-7FFB-435A-B73C-80F3590D4E15}" name="FPS" dataDxfId="302">
      <calculatedColumnFormula>IFERROR(INDEX(TableTECalcPts[Custom],MATCH(TableTERanks33[[#This Row],[RK]],TableTECalcPts[RK],0)),"")</calculatedColumnFormula>
    </tableColumn>
    <tableColumn id="6" xr3:uid="{DE95DB89-5087-4CE2-9742-2FFA1C1C9ACC}" name="AUC$" dataDxfId="301" dataCellStyle="Currency">
      <calculatedColumnFormula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calculatedColumnFormula>
    </tableColumn>
  </tableColumns>
  <tableStyleInfo name="TableStyleLight8" showFirstColumn="0" showLastColumn="0" showRowStripes="1" showColumnStripes="1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8468F97-B760-475C-A247-A5CE31C704ED}" name="TableQBRanks3040" displayName="TableQBRanks3040" ref="A1:N80" totalsRowShown="0" headerRowDxfId="300" dataDxfId="298" headerRowBorderDxfId="299">
  <sortState xmlns:xlrd2="http://schemas.microsoft.com/office/spreadsheetml/2017/richdata2" ref="A2:N68">
    <sortCondition ref="A1:A68"/>
  </sortState>
  <tableColumns count="14">
    <tableColumn id="1" xr3:uid="{F98CCEBD-C873-4336-8E83-75AFA588B8B9}" name="RK" dataDxfId="297">
      <calculatedColumnFormula>RANK(TableQBRanks3040[[#This Row],[FPS]],TableQBRanks3040[FPS],0)</calculatedColumnFormula>
    </tableColumn>
    <tableColumn id="2" xr3:uid="{1F973880-EA9F-4C6D-8E7E-6FBB94C39DE5}" name="Player" dataDxfId="296">
      <calculatedColumnFormula>VLOOKUP(TableQBRanks3040[[#This Row],[RK]],Rankings!A:T,3,FALSE)</calculatedColumnFormula>
    </tableColumn>
    <tableColumn id="3" xr3:uid="{C45E752E-64BD-402C-B7B3-18B2269AF0AE}" name="TM" dataDxfId="295">
      <calculatedColumnFormula>IFERROR(INDEX(TableQBCalcPts[TM],MATCH(TableQBRanks3040[[#This Row],[Player]],TableQBCalcPts[PLAYER],0)),"")</calculatedColumnFormula>
    </tableColumn>
    <tableColumn id="4" xr3:uid="{DEA61075-A102-4F66-AAA4-364FACCCDEBE}" name="BYE" dataDxfId="294">
      <calculatedColumnFormula>IFERROR(INDEX(TableQBCalcPts[BYE],MATCH(TableQBRanks3040[[#This Row],[Player]],TableQBCalcPts[PLAYER],0)),"")</calculatedColumnFormula>
    </tableColumn>
    <tableColumn id="8" xr3:uid="{84F3C1A7-54AE-4763-B55D-25BA03BF7BD8}" name="PASS ATT" dataDxfId="293">
      <calculatedColumnFormula>VLOOKUP(TableQBRanks3040[[#This Row],[Player]],QB!B:O,4,FALSE)</calculatedColumnFormula>
    </tableColumn>
    <tableColumn id="10" xr3:uid="{120049A0-F76C-494D-87D5-5BF456348B29}" name="COMP" dataDxfId="292">
      <calculatedColumnFormula>VLOOKUP(TableQBRanks3040[[#This Row],[Player]],QB!B:O,5,FALSE)</calculatedColumnFormula>
    </tableColumn>
    <tableColumn id="9" xr3:uid="{394E9AB7-F047-48B5-BFF3-68A93D163BD3}" name="PASS YARDS" dataDxfId="291">
      <calculatedColumnFormula>VLOOKUP(TableQBRanks3040[[#This Row],[Player]],QB!B:O,6,FALSE)</calculatedColumnFormula>
    </tableColumn>
    <tableColumn id="14" xr3:uid="{F7615B7E-4B61-4C77-AD4B-64BE3F70B618}" name="PASS TD" dataDxfId="290">
      <calculatedColumnFormula>VLOOKUP(TableQBRanks3040[[#This Row],[Player]],QB!B:O,7,FALSE)</calculatedColumnFormula>
    </tableColumn>
    <tableColumn id="13" xr3:uid="{210B4AB8-D1D5-4ED7-83EA-D39FF8D066FD}" name="INT" dataDxfId="289">
      <calculatedColumnFormula>VLOOKUP(TableQBRanks3040[[#This Row],[Player]],QB!B:O,8,FALSE)</calculatedColumnFormula>
    </tableColumn>
    <tableColumn id="12" xr3:uid="{3CAF741E-9C82-466A-BA97-BA2C236672D3}" name="RUSH ATT" dataDxfId="288">
      <calculatedColumnFormula>VLOOKUP(TableQBRanks3040[[#This Row],[Player]],QB!B:O,9,FALSE)</calculatedColumnFormula>
    </tableColumn>
    <tableColumn id="11" xr3:uid="{2EA94DD6-0E5B-4955-9492-1C4CC236C9A5}" name="RUSH YARDS" dataDxfId="287">
      <calculatedColumnFormula>VLOOKUP(TableQBRanks3040[[#This Row],[Player]],QB!B:O,10,FALSE)</calculatedColumnFormula>
    </tableColumn>
    <tableColumn id="7" xr3:uid="{4B95F803-D4E3-4BCF-9BE9-793F197177F2}" name="RUSH TD" dataDxfId="286">
      <calculatedColumnFormula>VLOOKUP(TableQBRanks3040[[#This Row],[Player]],QB!B:O,11,FALSE)</calculatedColumnFormula>
    </tableColumn>
    <tableColumn id="5" xr3:uid="{9088CACE-41B9-425B-BA6E-3F98CE94EDF6}" name="FPS" dataDxfId="285">
      <calculatedColumnFormula>VLOOKUP(TableQBRanks3040[[#This Row],[Player]],QB!B:O,13,FALSE)</calculatedColumnFormula>
    </tableColumn>
    <tableColumn id="6" xr3:uid="{C52D43B9-18E7-4EBA-BD09-FF454090EE15}" name="AUC$" dataDxfId="284" dataCellStyle="Currency">
      <calculatedColumnFormula>IF(VLOOKUP(TableQBRanks3040[[#This Row],[RK]],'Ranks w Proj'!$A:$N,14,FALSE)&lt;0,0,VLOOKUP(TableQBRanks3040[[#This Row],[RK]],'Ranks w Proj'!$A:$N,14,FALSE))</calculatedColumnFormula>
    </tableColumn>
  </tableColumns>
  <tableStyleInfo name="TableStyleLight8" showFirstColumn="0" showLastColumn="0" showRowStripes="1" showColumnStripes="1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27CB85CA-EAC8-4F88-8732-C09763166654}" name="TableRBRanks3141" displayName="TableRBRanks3141" ref="P1:AB171" totalsRowShown="0" headerRowDxfId="283" dataDxfId="281" headerRowBorderDxfId="282">
  <sortState xmlns:xlrd2="http://schemas.microsoft.com/office/spreadsheetml/2017/richdata2" ref="P2:AB153">
    <sortCondition ref="P1:P153"/>
  </sortState>
  <tableColumns count="13">
    <tableColumn id="1" xr3:uid="{AF88C4A6-CF7E-43D5-8544-2C7F0F428205}" name="RK" dataDxfId="280">
      <calculatedColumnFormula>RANK(TableRBRanks3141[[#This Row],[FPS]],TableRBRanks3141[FPS],0)</calculatedColumnFormula>
    </tableColumn>
    <tableColumn id="2" xr3:uid="{6BDD58F0-BD6D-4F74-8C6E-F5391DE80615}" name="Player" dataDxfId="279">
      <calculatedColumnFormula>VLOOKUP(TableRBRanks3141[[#This Row],[RK]],Rankings!A:T,8,FALSE)</calculatedColumnFormula>
    </tableColumn>
    <tableColumn id="3" xr3:uid="{2AFEF5B4-6A47-4FEF-B593-7702FF90640A}" name="TM" dataDxfId="278">
      <calculatedColumnFormula>IFERROR(INDEX(TableRBCalcPts[TM],MATCH(TableRBRanks3141[[#This Row],[Player]],TableRBCalcPts[PLAYER],0)),"")</calculatedColumnFormula>
    </tableColumn>
    <tableColumn id="4" xr3:uid="{E338865D-3DE8-462E-AD54-F7DCE2A2A148}" name="BYE" dataDxfId="277">
      <calculatedColumnFormula>IFERROR(INDEX(TableRBCalcPts[BYE],MATCH(TableRBRanks3141[[#This Row],[Player]],TableRBCalcPts[PLAYER],0)),"")</calculatedColumnFormula>
    </tableColumn>
    <tableColumn id="7" xr3:uid="{AE3D60FA-1D38-4E3A-BBCE-40225D089A2B}" name="RUSH ATT" dataDxfId="276">
      <calculatedColumnFormula>VLOOKUP(TableRBRanks3141[[#This Row],[Player]],RB!B:O,4,FALSE)</calculatedColumnFormula>
    </tableColumn>
    <tableColumn id="10" xr3:uid="{90E4DB17-8074-4BAB-864A-E29B8FDFB321}" name="RUSH YARDS" dataDxfId="275">
      <calculatedColumnFormula>VLOOKUP(TableRBRanks3141[[#This Row],[Player]],RB!B:O,5,FALSE)</calculatedColumnFormula>
    </tableColumn>
    <tableColumn id="9" xr3:uid="{A0B2390F-B4B0-4263-AABA-1DBFF701AB18}" name="RUSH TD" dataDxfId="274">
      <calculatedColumnFormula>VLOOKUP(TableRBRanks3141[[#This Row],[Player]],RB!B:O,6,FALSE)</calculatedColumnFormula>
    </tableColumn>
    <tableColumn id="13" xr3:uid="{AAE21B35-7DC3-4531-980A-6E295E92F217}" name="TGTS" dataDxfId="273">
      <calculatedColumnFormula>VLOOKUP(TableRBRanks3141[[#This Row],[Player]],RB!B:O,7,FALSE)</calculatedColumnFormula>
    </tableColumn>
    <tableColumn id="12" xr3:uid="{56573855-32BB-49FA-865B-92C6F8E99EEA}" name="REC" dataDxfId="272">
      <calculatedColumnFormula>VLOOKUP(TableRBRanks3141[[#This Row],[Player]],RB!B:O,8,FALSE)</calculatedColumnFormula>
    </tableColumn>
    <tableColumn id="11" xr3:uid="{ED0B008A-989B-43C2-BFCD-9D9CF902EFEE}" name="RECV YARDS" dataDxfId="271">
      <calculatedColumnFormula>VLOOKUP(TableRBRanks3141[[#This Row],[Player]],RB!B:O,9,FALSE)</calculatedColumnFormula>
    </tableColumn>
    <tableColumn id="8" xr3:uid="{D276DC31-3125-49B8-AB42-93FC53C5B258}" name="RECV TD" dataDxfId="270">
      <calculatedColumnFormula>VLOOKUP(TableRBRanks3141[[#This Row],[Player]],RB!B:O,10,FALSE)</calculatedColumnFormula>
    </tableColumn>
    <tableColumn id="5" xr3:uid="{AC6C6385-E0F3-4E38-874E-D3FD44904935}" name="FPS" dataDxfId="269">
      <calculatedColumnFormula>VLOOKUP(TableRBRanks3141[[#This Row],[Player]],RB!B:O,14,FALSE)</calculatedColumnFormula>
    </tableColumn>
    <tableColumn id="6" xr3:uid="{76D5C035-6884-4478-9B5A-355F1692BFB6}" name="AUC$" dataDxfId="268" dataCellStyle="Currency">
      <calculatedColumnFormula>IF(VLOOKUP(TableRBRanks3141[[#This Row],[RK]],'Ranks w Proj'!$P:$AB,13,FALSE)&lt;0,0,VLOOKUP(TableRBRanks3141[[#This Row],[RK]],'Ranks w Proj'!$P:$AB,13,FALSE))</calculatedColumnFormula>
    </tableColumn>
  </tableColumns>
  <tableStyleInfo name="TableStyleLight8" showFirstColumn="0" showLastColumn="0" showRowStripes="1" showColumnStripes="1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697FDE5-3C7D-40E5-A086-E284E77778CE}" name="TableWRRanks3242" displayName="TableWRRanks3242" ref="AD1:AO221" totalsRowShown="0" headerRowDxfId="267" dataDxfId="265" headerRowBorderDxfId="266">
  <sortState xmlns:xlrd2="http://schemas.microsoft.com/office/spreadsheetml/2017/richdata2" ref="AD2:AO221">
    <sortCondition ref="AD1:AD203"/>
  </sortState>
  <tableColumns count="12">
    <tableColumn id="1" xr3:uid="{17718EBB-2698-44E8-A091-DC356478EE0C}" name="RK" dataDxfId="264">
      <calculatedColumnFormula>RANK(TableWRRanks3242[[#This Row],[FPS]],TableWRRanks3242[FPS],0)</calculatedColumnFormula>
    </tableColumn>
    <tableColumn id="2" xr3:uid="{4E2F1325-7C1A-4DBA-808A-67BE5F454653}" name="Player" dataDxfId="263">
      <calculatedColumnFormula>VLOOKUP(TableWRRanks3242[[#This Row],[RK]],Rankings!A:T,13,FALSE)</calculatedColumnFormula>
    </tableColumn>
    <tableColumn id="3" xr3:uid="{4E930866-C328-40DA-8527-AA83D74F0DD9}" name="TM" dataDxfId="262">
      <calculatedColumnFormula>IFERROR(INDEX(TableWRCalcPts[TM],MATCH(TableWRRanks3242[[#This Row],[Player]],TableWRCalcPts[PLAYER],0)),"")</calculatedColumnFormula>
    </tableColumn>
    <tableColumn id="4" xr3:uid="{4839F7E0-88B5-4D83-BE5C-13BE0DE818A7}" name="BYE" dataDxfId="261">
      <calculatedColumnFormula>IFERROR(INDEX(TableWRCalcPts[BYE],MATCH(TableWRRanks3242[[#This Row],[Player]],TableWRCalcPts[PLAYER],0)),"")</calculatedColumnFormula>
    </tableColumn>
    <tableColumn id="7" xr3:uid="{E8E8F316-8A7D-4F0D-9BE1-BB12B6A9BE92}" name="RUSH YARDS" dataDxfId="260">
      <calculatedColumnFormula>VLOOKUP(TableWRRanks3242[[#This Row],[Player]],WR!B:O,4,FALSE)</calculatedColumnFormula>
    </tableColumn>
    <tableColumn id="10" xr3:uid="{2238F9D8-3C2F-430D-BD37-853D87BA89FE}" name="RUSH TD" dataDxfId="259">
      <calculatedColumnFormula>VLOOKUP(TableWRRanks3242[[#This Row],[Player]],WR!B:O,5,FALSE)</calculatedColumnFormula>
    </tableColumn>
    <tableColumn id="13" xr3:uid="{35352F7D-0F9D-4650-838D-6BCEEDC1E5C2}" name="TGTS" dataDxfId="258">
      <calculatedColumnFormula>VLOOKUP(TableWRRanks3242[[#This Row],[Player]],WR!B:O,6,FALSE)</calculatedColumnFormula>
    </tableColumn>
    <tableColumn id="12" xr3:uid="{34758BC4-A805-4FC1-B7D9-9C09FCBF3B38}" name="REC" dataDxfId="257">
      <calculatedColumnFormula>VLOOKUP(TableWRRanks3242[[#This Row],[Player]],WR!B:O,7,FALSE)</calculatedColumnFormula>
    </tableColumn>
    <tableColumn id="11" xr3:uid="{15ECAF3E-D50B-4A09-92B1-AFF99D96A46B}" name="RECV YARDS" dataDxfId="256">
      <calculatedColumnFormula>VLOOKUP(TableWRRanks3242[[#This Row],[Player]],WR!B:O,8,FALSE)</calculatedColumnFormula>
    </tableColumn>
    <tableColumn id="9" xr3:uid="{C48C0CB4-3BC5-4FF8-8E35-89BEABAB57D2}" name="RECV TD" dataDxfId="255">
      <calculatedColumnFormula>VLOOKUP(TableWRRanks3242[[#This Row],[Player]],WR!B:O,9,FALSE)</calculatedColumnFormula>
    </tableColumn>
    <tableColumn id="5" xr3:uid="{7FE6090D-A368-4A75-9F7F-A3DF9206E1DC}" name="FPS" dataDxfId="254">
      <calculatedColumnFormula>VLOOKUP(TableWRRanks3242[[#This Row],[Player]],WR!B:O,13,FALSE)</calculatedColumnFormula>
    </tableColumn>
    <tableColumn id="6" xr3:uid="{075E308E-09F6-4CC2-9E50-D0739ABAEBFE}" name="AUC$" dataDxfId="253" dataCellStyle="Currency">
      <calculatedColumnFormula>IF(VLOOKUP(TableWRRanks3242[[#This Row],[RK]],'Ranks w Proj'!AD:AO,12,FALSE)&lt;0,0,VLOOKUP(TableWRRanks3242[[#This Row],[RK]],'Ranks w Proj'!AD:AO,12,FALSE))</calculatedColumnFormula>
    </tableColumn>
  </tableColumns>
  <tableStyleInfo name="TableStyleLight8" showFirstColumn="0" showLastColumn="0" showRowStripes="1" showColumnStripes="1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F771C98-D01E-4851-B7F7-FD8853D14161}" name="TableTERanks3343" displayName="TableTERanks3343" ref="AQ1:AZ101" totalsRowShown="0" headerRowDxfId="252" dataDxfId="250" headerRowBorderDxfId="251">
  <sortState xmlns:xlrd2="http://schemas.microsoft.com/office/spreadsheetml/2017/richdata2" ref="AQ2:AZ97">
    <sortCondition ref="AQ1:AQ97"/>
  </sortState>
  <tableColumns count="10">
    <tableColumn id="1" xr3:uid="{1DE8B555-0B01-4E23-A3B9-F1E54B658BF5}" name="RK" dataDxfId="249">
      <calculatedColumnFormula>RANK(TableTERanks3343[[#This Row],[FPS]],TableTERanks3343[FPS],0)</calculatedColumnFormula>
    </tableColumn>
    <tableColumn id="2" xr3:uid="{399EB10C-1E56-46FE-9A7E-C5D26C22D252}" name="Player" dataDxfId="248">
      <calculatedColumnFormula>VLOOKUP(TableTERanks3343[[#This Row],[RK]],Rankings!A:T,18,FALSE)</calculatedColumnFormula>
    </tableColumn>
    <tableColumn id="3" xr3:uid="{0DB04BD7-A8D8-4C87-B996-68F9C25DCBD0}" name="TM" dataDxfId="247">
      <calculatedColumnFormula>IFERROR(INDEX(TableTECalcPts[TM],MATCH(TableTERanks3343[[#This Row],[Player]],TableTECalcPts[PLAYER],0)),"")</calculatedColumnFormula>
    </tableColumn>
    <tableColumn id="4" xr3:uid="{5702DA98-7FE8-4E0B-920D-BB01FFCF4E19}" name="BYE" dataDxfId="246">
      <calculatedColumnFormula>IFERROR(INDEX(TableTECalcPts[BYE],MATCH(TableTERanks3343[[#This Row],[Player]],TableTECalcPts[PLAYER],0)),"")</calculatedColumnFormula>
    </tableColumn>
    <tableColumn id="7" xr3:uid="{6EAFB157-7942-4226-9D34-99E5270657EB}" name="TGTS" dataDxfId="245">
      <calculatedColumnFormula>VLOOKUP(TableTERanks3343[[#This Row],[Player]],TE!B:O,4,FALSE)</calculatedColumnFormula>
    </tableColumn>
    <tableColumn id="10" xr3:uid="{57A234B1-A0FB-4E71-9A3A-6569ADD0B783}" name="REC" dataDxfId="244">
      <calculatedColumnFormula>VLOOKUP(TableTERanks3343[[#This Row],[Player]],TE!B:O,5,FALSE)</calculatedColumnFormula>
    </tableColumn>
    <tableColumn id="9" xr3:uid="{14A8750E-E072-4AA9-9BAA-8A61C7574381}" name="RECV YARDS" dataDxfId="243">
      <calculatedColumnFormula>VLOOKUP(TableTERanks3343[[#This Row],[Player]],TE!B:O,6,FALSE)</calculatedColumnFormula>
    </tableColumn>
    <tableColumn id="8" xr3:uid="{2C8495D7-E2AE-4484-ABDB-85C493308728}" name="RECV TD" dataDxfId="242">
      <calculatedColumnFormula>VLOOKUP(TableTERanks3343[[#This Row],[Player]],TE!B:O,7,FALSE)</calculatedColumnFormula>
    </tableColumn>
    <tableColumn id="5" xr3:uid="{57F3B59C-E84B-4E30-9FBA-62A421D9B00A}" name="FPS" dataDxfId="241">
      <calculatedColumnFormula>VLOOKUP(TableTERanks3343[[#This Row],[Player]],TE!B:O,11,FALSE)</calculatedColumnFormula>
    </tableColumn>
    <tableColumn id="6" xr3:uid="{2EC6160C-D456-423B-A400-AE67C2D32CAB}" name="AUC$" dataDxfId="240" dataCellStyle="Currency">
      <calculatedColumnFormula>IF(VLOOKUP(TableTERanks3343[[#This Row],[RK]],'Ranks w Proj'!AQ:AZ,10,FALSE)&lt;0,0,VLOOKUP(TableTERanks3343[[#This Row],[RK]],'Ranks w Proj'!AQ:AZ,10,FALSE))</calculatedColumnFormula>
    </tableColumn>
  </tableColumns>
  <tableStyleInfo name="TableStyleLight8" showFirstColumn="0" showLastColumn="0" showRowStripes="1" showColumnStripes="1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0000000}" name="TableDSTOverall" displayName="TableDSTOverall" ref="A1:S33" totalsRowShown="0" headerRowDxfId="239" dataDxfId="238">
  <autoFilter ref="A1:S33" xr:uid="{00000000-0009-0000-0100-000018000000}"/>
  <tableColumns count="19">
    <tableColumn id="18" xr3:uid="{00000000-0010-0000-1000-000012000000}" name="Ref" dataDxfId="237"/>
    <tableColumn id="1" xr3:uid="{00000000-0010-0000-1000-000001000000}" name="TEAM" dataDxfId="236"/>
    <tableColumn id="19" xr3:uid="{E0B1E5CE-99E0-4122-BCB6-105E4C24EB2C}" name="ABBREV" dataDxfId="235"/>
    <tableColumn id="2" xr3:uid="{00000000-0010-0000-1000-000002000000}" name="BYE" dataDxfId="234"/>
    <tableColumn id="3" xr3:uid="{00000000-0010-0000-1000-000003000000}" name="SACKS" dataDxfId="233"/>
    <tableColumn id="4" xr3:uid="{00000000-0010-0000-1000-000004000000}" name="INT" dataDxfId="232"/>
    <tableColumn id="5" xr3:uid="{00000000-0010-0000-1000-000005000000}" name="FORCED FUMBLE" dataDxfId="231"/>
    <tableColumn id="6" xr3:uid="{00000000-0010-0000-1000-000006000000}" name="RECOV'D FUMBLE" dataDxfId="230"/>
    <tableColumn id="7" xr3:uid="{00000000-0010-0000-1000-000007000000}" name="SAFETIES" dataDxfId="229"/>
    <tableColumn id="8" xr3:uid="{00000000-0010-0000-1000-000008000000}" name="DEF TD" dataDxfId="228"/>
    <tableColumn id="9" xr3:uid="{00000000-0010-0000-1000-000009000000}" name="PTS PER GAME" dataDxfId="227"/>
    <tableColumn id="10" xr3:uid="{00000000-0010-0000-1000-00000A000000}" name="0 PT GAMES" dataDxfId="226"/>
    <tableColumn id="11" xr3:uid="{00000000-0010-0000-1000-00000B000000}" name="1-6 PT GAMES" dataDxfId="225"/>
    <tableColumn id="12" xr3:uid="{00000000-0010-0000-1000-00000C000000}" name="7-13 PT GAMES" dataDxfId="224"/>
    <tableColumn id="13" xr3:uid="{00000000-0010-0000-1000-00000D000000}" name="14-21 PT GAMES" dataDxfId="223"/>
    <tableColumn id="14" xr3:uid="{00000000-0010-0000-1000-00000E000000}" name="22-26 PT GAMES" dataDxfId="222"/>
    <tableColumn id="15" xr3:uid="{00000000-0010-0000-1000-00000F000000}" name="27-34 PT GAMES" dataDxfId="221"/>
    <tableColumn id="16" xr3:uid="{00000000-0010-0000-1000-000010000000}" name="35+ PT GAMES" dataDxfId="220"/>
    <tableColumn id="17" xr3:uid="{00000000-0010-0000-1000-000011000000}" name="YD PER GAME" dataDxfId="219"/>
  </tableColumns>
  <tableStyleInfo name="TableStyleLight8" showFirstColumn="0" showLastColumn="0" showRowStripes="1" showColumnStripes="1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1000000}" name="TableQBCalcPts" displayName="TableQBCalcPts" ref="A2:F102" totalsRowShown="0" headerRowDxfId="218" dataDxfId="217">
  <tableColumns count="6">
    <tableColumn id="1" xr3:uid="{00000000-0010-0000-1100-000001000000}" name="RK" dataDxfId="216">
      <calculatedColumnFormula>IFERROR(RANK(TableQBCalcPts[[#This Row],[Custom]],TableQBCalcPts[Custom])+COUNTIF($F$3:F3,F3)-1,"")</calculatedColumnFormula>
    </tableColumn>
    <tableColumn id="6" xr3:uid="{00000000-0010-0000-1100-000006000000}" name="QBRef" dataDxfId="215"/>
    <tableColumn id="2" xr3:uid="{00000000-0010-0000-1100-000002000000}" name="PLAYER" dataDxfId="214">
      <calculatedColumnFormula>IFERROR(INDEX(TableQBMaster[Player],MATCH(TableQBCalcPts[[#This Row],[QBRef]],TableQBMaster[QBRef],0)),"")</calculatedColumnFormula>
    </tableColumn>
    <tableColumn id="3" xr3:uid="{00000000-0010-0000-1100-000003000000}" name="TM" dataDxfId="213">
      <calculatedColumnFormula>IFERROR(INDEX(TableQBMaster[TM],MATCH(TableQBCalcPts[[#This Row],[QBRef]],TableQBMaster[QBRef],0)),"")</calculatedColumnFormula>
    </tableColumn>
    <tableColumn id="4" xr3:uid="{00000000-0010-0000-1100-000004000000}" name="BYE" dataDxfId="212">
      <calculatedColumnFormula>IFERROR(INDEX(TableQBMaster[BYE],MATCH(TableQBCalcPts[[#This Row],[QBRef]],TableQBMaster[QBRef],0)),"")</calculatedColumnFormula>
    </tableColumn>
    <tableColumn id="5" xr3:uid="{00000000-0010-0000-1100-000005000000}" name="Custom" dataDxfId="211">
      <calculatedColumnFormula>IFERROR(INDEX(TableQBMaster[Custom],MATCH(TableQBCalcPts[[#This Row],[QBRef]],TableQBMaster[QBRef],0)),"")</calculatedColumnFormula>
    </tableColumn>
  </tableColumns>
  <tableStyleInfo name="TableStyleLight8" showFirstColumn="0" showLastColumn="0" showRowStripes="1" showColumnStripes="1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2000000}" name="TableRBCalcPts" displayName="TableRBCalcPts" ref="H2:M177" totalsRowShown="0" headerRowDxfId="210" dataDxfId="209">
  <tableColumns count="6">
    <tableColumn id="1" xr3:uid="{00000000-0010-0000-1200-000001000000}" name="RK" dataDxfId="208">
      <calculatedColumnFormula>IFERROR(RANK(TableRBCalcPts[[#This Row],[Custom]],TableRBCalcPts[Custom])+COUNTIF($M$3:M3,M3)-1,"")</calculatedColumnFormula>
    </tableColumn>
    <tableColumn id="6" xr3:uid="{00000000-0010-0000-1200-000006000000}" name="RBRef" dataDxfId="207"/>
    <tableColumn id="2" xr3:uid="{00000000-0010-0000-1200-000002000000}" name="PLAYER" dataDxfId="206">
      <calculatedColumnFormula>IFERROR(INDEX(TableRBMaster[Player],MATCH(TableRBCalcPts[[#This Row],[RBRef]],TableRBMaster[RBRef],0)),"")</calculatedColumnFormula>
    </tableColumn>
    <tableColumn id="3" xr3:uid="{00000000-0010-0000-1200-000003000000}" name="TM" dataDxfId="205">
      <calculatedColumnFormula>IFERROR(INDEX(TableRBMaster[TM],MATCH(TableRBCalcPts[[#This Row],[RBRef]],TableRBMaster[RBRef],0)),"")</calculatedColumnFormula>
    </tableColumn>
    <tableColumn id="4" xr3:uid="{00000000-0010-0000-1200-000004000000}" name="BYE" dataDxfId="204">
      <calculatedColumnFormula>IFERROR(INDEX(TableRBMaster[BYE],MATCH(TableRBCalcPts[[#This Row],[RBRef]],TableRBMaster[RBRef],0)),"")</calculatedColumnFormula>
    </tableColumn>
    <tableColumn id="5" xr3:uid="{00000000-0010-0000-1200-000005000000}" name="Custom" dataDxfId="203">
      <calculatedColumnFormula>IFERROR(INDEX(TableRBMaster[Custom],MATCH(TableRBCalcPts[[#This Row],[RBRef]],TableRBMaster[RBRef],0)),"")</calculatedColumnFormula>
    </tableColumn>
  </tableColumns>
  <tableStyleInfo name="TableStyleLight8" showFirstColumn="0" showLastColumn="0" showRowStripes="1" showColumnStripes="1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3000000}" name="TableWRCalcPts" displayName="TableWRCalcPts" ref="O2:T227" totalsRowShown="0" headerRowDxfId="202" dataDxfId="201">
  <tableColumns count="6">
    <tableColumn id="1" xr3:uid="{00000000-0010-0000-1300-000001000000}" name="RK" dataDxfId="200">
      <calculatedColumnFormula>IFERROR(RANK(TableWRCalcPts[[#This Row],[Custom]],TableWRCalcPts[Custom])+COUNTIF($T$3:T3,T3)-1,"")</calculatedColumnFormula>
    </tableColumn>
    <tableColumn id="6" xr3:uid="{00000000-0010-0000-1300-000006000000}" name="WRRef" dataDxfId="199"/>
    <tableColumn id="2" xr3:uid="{00000000-0010-0000-1300-000002000000}" name="PLAYER" dataDxfId="198">
      <calculatedColumnFormula>IFERROR(INDEX(TableWRMaster[Player],MATCH(TableWRCalcPts[[#This Row],[WRRef]],TableWRMaster[WRRef],0)),"")</calculatedColumnFormula>
    </tableColumn>
    <tableColumn id="3" xr3:uid="{00000000-0010-0000-1300-000003000000}" name="TM" dataDxfId="197">
      <calculatedColumnFormula>IFERROR(INDEX(TableWRMaster[TM],MATCH(TableWRCalcPts[[#This Row],[WRRef]],TableWRMaster[WRRef],0)),"")</calculatedColumnFormula>
    </tableColumn>
    <tableColumn id="4" xr3:uid="{00000000-0010-0000-1300-000004000000}" name="BYE" dataDxfId="196">
      <calculatedColumnFormula>IFERROR(INDEX(TableWRMaster[BYE],MATCH(TableWRCalcPts[[#This Row],[WRRef]],TableWRMaster[WRRef],0)),"")</calculatedColumnFormula>
    </tableColumn>
    <tableColumn id="5" xr3:uid="{00000000-0010-0000-1300-000005000000}" name="Custom" dataDxfId="195">
      <calculatedColumnFormula>IFERROR(INDEX(TableWRMaster[Custom],MATCH(TableWRCalcPts[[#This Row],[WRRef]],TableWRMaster[WRRef],0)),"")</calculatedColumnFormula>
    </tableColumn>
  </tableColumns>
  <tableStyleInfo name="TableStyleLight8" showFirstColumn="0" showLastColumn="0" showRowStripes="1" showColumnStripes="1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14000000}" name="TableTECalcPts" displayName="TableTECalcPts" ref="V2:AA102" totalsRowShown="0" headerRowDxfId="194" dataDxfId="193">
  <tableColumns count="6">
    <tableColumn id="1" xr3:uid="{00000000-0010-0000-1400-000001000000}" name="RK" dataDxfId="192">
      <calculatedColumnFormula>IFERROR(RANK(TableTECalcPts[[#This Row],[Custom]],TableTECalcPts[Custom])+COUNTIF($AA$3:AA3,AA3)-1,"")</calculatedColumnFormula>
    </tableColumn>
    <tableColumn id="6" xr3:uid="{00000000-0010-0000-1400-000006000000}" name="TERef" dataDxfId="191"/>
    <tableColumn id="2" xr3:uid="{00000000-0010-0000-1400-000002000000}" name="PLAYER" dataDxfId="190">
      <calculatedColumnFormula>IFERROR(INDEX(TableTEMaster[Player],MATCH(TableTECalcPts[[#This Row],[TERef]],TableTEMaster[TERef],0)),"")</calculatedColumnFormula>
    </tableColumn>
    <tableColumn id="3" xr3:uid="{00000000-0010-0000-1400-000003000000}" name="TM" dataDxfId="189">
      <calculatedColumnFormula>IFERROR(INDEX(TableTEMaster[TM],MATCH(TableTECalcPts[[#This Row],[TERef]],TableTEMaster[TERef],0)),"")</calculatedColumnFormula>
    </tableColumn>
    <tableColumn id="4" xr3:uid="{00000000-0010-0000-1400-000004000000}" name="BYE" dataDxfId="188">
      <calculatedColumnFormula>IFERROR(INDEX(TableTEMaster[BYE],MATCH(TableTECalcPts[[#This Row],[TERef]],TableTEMaster[TERef],0)),"")</calculatedColumnFormula>
    </tableColumn>
    <tableColumn id="5" xr3:uid="{00000000-0010-0000-1400-000005000000}" name="Custom" dataDxfId="187">
      <calculatedColumnFormula>IFERROR(INDEX(TableTEMaster[Custom],MATCH(TableTECalcPts[[#This Row],[TERef]],TableTEMaster[TERef],0)),"")</calculatedColumnFormula>
    </tableColumn>
  </tableColumns>
  <tableStyleInfo name="TableStyleLight8" showFirstColumn="0" showLastColumn="0" showRowStripes="1" showColumnStripes="1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5000000}" name="TableDSTCalcPts" displayName="TableDSTCalcPts" ref="AC2:AG34" totalsRowShown="0" headerRowDxfId="186" dataDxfId="185">
  <tableColumns count="5">
    <tableColumn id="1" xr3:uid="{00000000-0010-0000-1500-000001000000}" name="RK" dataDxfId="184">
      <calculatedColumnFormula>IFERROR(RANK(TableDSTCalcPts[[#This Row],[Custom]],TableDSTCalcPts[Custom],0),"")</calculatedColumnFormula>
    </tableColumn>
    <tableColumn id="5" xr3:uid="{00000000-0010-0000-1500-000005000000}" name="DSTRef" dataDxfId="183"/>
    <tableColumn id="2" xr3:uid="{00000000-0010-0000-1500-000002000000}" name="PLAYER" dataDxfId="182">
      <calculatedColumnFormula>IFERROR(INDEX(TableDSTMaster[Player],MATCH(TableDSTCalcPts[[#This Row],[DSTRef]],TableDSTMaster[DSTRef],0)),"")</calculatedColumnFormula>
    </tableColumn>
    <tableColumn id="3" xr3:uid="{00000000-0010-0000-1500-000003000000}" name="BYE" dataDxfId="181">
      <calculatedColumnFormula>IFERROR(INDEX(TableDSTMaster[BYE],MATCH(TableDSTCalcPts[[#This Row],[DSTRef]],TableDSTMaster[DSTRef],0)),"")</calculatedColumnFormula>
    </tableColumn>
    <tableColumn id="4" xr3:uid="{00000000-0010-0000-1500-000004000000}" name="Custom" dataDxfId="180">
      <calculatedColumnFormula>IFERROR(INDEX(TableDSTMaster[Custom],MATCH(TableDSTCalcPts[[#This Row],[DSTRef]],TableDSTMaster[DSTRef],0)),"")</calculatedColumnFormula>
    </tableColumn>
  </tableColumns>
  <tableStyleInfo name="TableStyleLight8" showFirstColumn="0" showLastColumn="0" showRowStripes="1" showColumnStripes="1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6000000}" name="TableWRTECalcPts" displayName="TableWRTECalcPts" ref="AI2:AP327" totalsRowShown="0" headerRowDxfId="179" dataDxfId="178">
  <tableColumns count="8">
    <tableColumn id="8" xr3:uid="{00000000-0010-0000-1600-000008000000}" name="POS" dataDxfId="177"/>
    <tableColumn id="1" xr3:uid="{00000000-0010-0000-1600-000001000000}" name="RK" dataDxfId="176">
      <calculatedColumnFormula>IFERROR(RANK(TableWRTECalcPts[[#This Row],[Custom]],TableWRTECalcPts[Custom])+COUNTIF($AP$3:AP3,AP3)-1,"")</calculatedColumnFormula>
    </tableColumn>
    <tableColumn id="6" xr3:uid="{00000000-0010-0000-1600-000006000000}" name="POSRef" dataDxfId="175"/>
    <tableColumn id="2" xr3:uid="{00000000-0010-0000-1600-000002000000}" name="PLAYER" dataDxfId="174"/>
    <tableColumn id="9" xr3:uid="{00000000-0010-0000-1600-000009000000}" name="POS RK" dataDxfId="173">
      <calculatedColumnFormula>_xlfn.CONCAT(TableWRTECalcPts[[#This Row],[POS]],INDEX(TableTERanks[RK],MATCH(TableWRTECalcPts[[#This Row],[PLAYER]],TableTERanks[Player],0)))</calculatedColumnFormula>
    </tableColumn>
    <tableColumn id="3" xr3:uid="{00000000-0010-0000-1600-000003000000}" name="TM" dataDxfId="172"/>
    <tableColumn id="4" xr3:uid="{00000000-0010-0000-1600-000004000000}" name="BYE" dataDxfId="171"/>
    <tableColumn id="5" xr3:uid="{00000000-0010-0000-1600-000005000000}" name="Custom" dataDxfId="170"/>
  </tableColumns>
  <tableStyleInfo name="TableStyleLight9" showFirstColumn="0" showLastColumn="0" showRowStripes="1" showColumnStripes="1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17000000}" name="TableQBMaster" displayName="TableQBMaster" ref="A1:O74" totalsRowShown="0" headerRowDxfId="169" dataDxfId="168">
  <autoFilter ref="A1:O74" xr:uid="{00000000-0009-0000-0100-000004000000}"/>
  <sortState xmlns:xlrd2="http://schemas.microsoft.com/office/spreadsheetml/2017/richdata2" ref="B2:M73">
    <sortCondition ref="C1:C73"/>
  </sortState>
  <tableColumns count="15">
    <tableColumn id="14" xr3:uid="{00000000-0010-0000-1700-00000E000000}" name="QBRef" dataDxfId="167"/>
    <tableColumn id="1" xr3:uid="{00000000-0010-0000-1700-000001000000}" name="Player" dataDxfId="166"/>
    <tableColumn id="2" xr3:uid="{00000000-0010-0000-1700-000002000000}" name="TM" dataDxfId="165"/>
    <tableColumn id="3" xr3:uid="{00000000-0010-0000-1700-000003000000}" name="BYE" dataDxfId="164"/>
    <tableColumn id="4" xr3:uid="{00000000-0010-0000-1700-000004000000}" name="PATT" dataDxfId="163"/>
    <tableColumn id="5" xr3:uid="{00000000-0010-0000-1700-000005000000}" name="CMP" dataDxfId="162"/>
    <tableColumn id="6" xr3:uid="{00000000-0010-0000-1700-000006000000}" name="PAYD" dataDxfId="161"/>
    <tableColumn id="7" xr3:uid="{00000000-0010-0000-1700-000007000000}" name="PATD" dataDxfId="160"/>
    <tableColumn id="8" xr3:uid="{00000000-0010-0000-1700-000008000000}" name="INT" dataDxfId="159"/>
    <tableColumn id="9" xr3:uid="{00000000-0010-0000-1700-000009000000}" name="RUAT" dataDxfId="158"/>
    <tableColumn id="10" xr3:uid="{00000000-0010-0000-1700-00000A000000}" name="RUYD" dataDxfId="157"/>
    <tableColumn id="11" xr3:uid="{00000000-0010-0000-1700-00000B000000}" name="RUTD" dataDxfId="156"/>
    <tableColumn id="12" xr3:uid="{00000000-0010-0000-1700-00000C000000}" name="FPS" dataDxfId="155">
      <calculatedColumnFormula>(G2/25)+(H2*4)+(I2*-1.5)+(K2/10)+(L2*6)</calculatedColumnFormula>
    </tableColumn>
    <tableColumn id="13" xr3:uid="{00000000-0010-0000-1700-00000D000000}" name="Custom" dataDxfId="154">
      <calculatedColumnFormula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calculatedColumnFormula>
    </tableColumn>
    <tableColumn id="15" xr3:uid="{00000000-0010-0000-1700-00000F000000}" name="AUC$" dataDxfId="153"/>
  </tableColumns>
  <tableStyleInfo name="TableStyleLight8" showFirstColumn="0" showLastColumn="0" showRowStripes="1" showColumnStripes="1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8000000}" name="TableRBMaster" displayName="TableRBMaster" ref="A1:P161" totalsRowShown="0" headerRowDxfId="152" dataDxfId="151">
  <autoFilter ref="A1:P161" xr:uid="{00000000-0009-0000-0100-000005000000}"/>
  <sortState xmlns:xlrd2="http://schemas.microsoft.com/office/spreadsheetml/2017/richdata2" ref="B2:N152">
    <sortCondition ref="C1:C152"/>
  </sortState>
  <tableColumns count="16">
    <tableColumn id="16" xr3:uid="{00000000-0010-0000-1800-000010000000}" name="RBRef" dataDxfId="150"/>
    <tableColumn id="1" xr3:uid="{00000000-0010-0000-1800-000001000000}" name="Player" dataDxfId="149"/>
    <tableColumn id="2" xr3:uid="{00000000-0010-0000-1800-000002000000}" name="TM" dataDxfId="148"/>
    <tableColumn id="3" xr3:uid="{00000000-0010-0000-1800-000003000000}" name="BYE" dataDxfId="147"/>
    <tableColumn id="4" xr3:uid="{00000000-0010-0000-1800-000004000000}" name="RUAT" dataDxfId="146"/>
    <tableColumn id="5" xr3:uid="{00000000-0010-0000-1800-000005000000}" name="RUYD" dataDxfId="145"/>
    <tableColumn id="6" xr3:uid="{00000000-0010-0000-1800-000006000000}" name="RUTD" dataDxfId="144"/>
    <tableColumn id="7" xr3:uid="{00000000-0010-0000-1800-000007000000}" name="TGT" dataDxfId="143"/>
    <tableColumn id="8" xr3:uid="{00000000-0010-0000-1800-000008000000}" name="REC" dataDxfId="142"/>
    <tableColumn id="9" xr3:uid="{00000000-0010-0000-1800-000009000000}" name="RCYD" dataDxfId="141"/>
    <tableColumn id="10" xr3:uid="{00000000-0010-0000-1800-00000A000000}" name="RCTD" dataDxfId="140"/>
    <tableColumn id="11" xr3:uid="{00000000-0010-0000-1800-00000B000000}" name="FPS" dataDxfId="139">
      <calculatedColumnFormula>(F2/10)+(G2*6)+(J2/10)+(K2*6)</calculatedColumnFormula>
    </tableColumn>
    <tableColumn id="12" xr3:uid="{00000000-0010-0000-1800-00000C000000}" name="HALF" dataDxfId="138">
      <calculatedColumnFormula>L2+(I2*0.5)</calculatedColumnFormula>
    </tableColumn>
    <tableColumn id="13" xr3:uid="{00000000-0010-0000-1800-00000D000000}" name="PPR" dataDxfId="137">
      <calculatedColumnFormula>L2+I2</calculatedColumnFormula>
    </tableColumn>
    <tableColumn id="14" xr3:uid="{00000000-0010-0000-1800-00000E000000}" name="Custom" dataDxfId="136">
      <calculatedColumnFormula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calculatedColumnFormula>
    </tableColumn>
    <tableColumn id="15" xr3:uid="{00000000-0010-0000-1800-00000F000000}" name="AUC$" dataDxfId="135"/>
  </tableColumns>
  <tableStyleInfo name="TableStyleLight8" showFirstColumn="0" showLastColumn="0" showRowStripes="1" showColumnStripes="1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9000000}" name="TableWRMaster" displayName="TableWRMaster" ref="A1:O203" totalsRowShown="0" headerRowDxfId="134" dataDxfId="133">
  <autoFilter ref="A1:O203" xr:uid="{00000000-0009-0000-0100-000006000000}"/>
  <sortState xmlns:xlrd2="http://schemas.microsoft.com/office/spreadsheetml/2017/richdata2" ref="B2:M203">
    <sortCondition ref="C1:C203"/>
  </sortState>
  <tableColumns count="15">
    <tableColumn id="15" xr3:uid="{00000000-0010-0000-1900-00000F000000}" name="WRRef" dataDxfId="132"/>
    <tableColumn id="1" xr3:uid="{00000000-0010-0000-1900-000001000000}" name="Player" dataDxfId="131"/>
    <tableColumn id="2" xr3:uid="{00000000-0010-0000-1900-000002000000}" name="TM" dataDxfId="130"/>
    <tableColumn id="3" xr3:uid="{00000000-0010-0000-1900-000003000000}" name="BYE" dataDxfId="129"/>
    <tableColumn id="4" xr3:uid="{00000000-0010-0000-1900-000004000000}" name="RUYD" dataDxfId="128"/>
    <tableColumn id="5" xr3:uid="{00000000-0010-0000-1900-000005000000}" name="RUTD" dataDxfId="127"/>
    <tableColumn id="6" xr3:uid="{00000000-0010-0000-1900-000006000000}" name="TGT" dataDxfId="126"/>
    <tableColumn id="7" xr3:uid="{00000000-0010-0000-1900-000007000000}" name="REC" dataDxfId="125"/>
    <tableColumn id="8" xr3:uid="{00000000-0010-0000-1900-000008000000}" name="RCYD" dataDxfId="124"/>
    <tableColumn id="9" xr3:uid="{00000000-0010-0000-1900-000009000000}" name="RCTD" dataDxfId="123"/>
    <tableColumn id="10" xr3:uid="{00000000-0010-0000-1900-00000A000000}" name="FPS" dataDxfId="122">
      <calculatedColumnFormula>(E2/10)+(F2*6)+(I2/10)+(J2*6)</calculatedColumnFormula>
    </tableColumn>
    <tableColumn id="11" xr3:uid="{00000000-0010-0000-1900-00000B000000}" name="HALF" dataDxfId="121">
      <calculatedColumnFormula>K2+(H2*0.5)</calculatedColumnFormula>
    </tableColumn>
    <tableColumn id="12" xr3:uid="{00000000-0010-0000-1900-00000C000000}" name="PPR" dataDxfId="120">
      <calculatedColumnFormula>K2+H2</calculatedColumnFormula>
    </tableColumn>
    <tableColumn id="13" xr3:uid="{00000000-0010-0000-1900-00000D000000}" name="Custom" dataDxfId="119">
      <calculatedColumnFormula>(TableWRMaster[[#This Row],[RUYD]]*RUSH_YARDS)+(TableWRMaster[[#This Row],[RUTD]]*RUSH_TDS)+(TableWRMaster[[#This Row],[TGT]]*TARGETS)+(TableWRMaster[[#This Row],[REC]]*RECEPTIONS_WR)+(TableWRMaster[[#This Row],[RCYD]]*RECV_YARDS)+(TableWRMaster[[#This Row],[RCTD]]*RECV_TDS)</calculatedColumnFormula>
    </tableColumn>
    <tableColumn id="14" xr3:uid="{00000000-0010-0000-1900-00000E000000}" name="AUC$" dataDxfId="118"/>
  </tableColumns>
  <tableStyleInfo name="TableStyleLight8" showFirstColumn="0" showLastColumn="0" showRowStripes="1" showColumnStripes="1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A000000}" name="TableTEMaster" displayName="TableTEMaster" ref="A1:M97" totalsRowShown="0" headerRowDxfId="117" dataDxfId="116">
  <autoFilter ref="A1:M97" xr:uid="{00000000-0009-0000-0100-000007000000}"/>
  <tableColumns count="13">
    <tableColumn id="13" xr3:uid="{00000000-0010-0000-1A00-00000D000000}" name="TERef" dataDxfId="115"/>
    <tableColumn id="1" xr3:uid="{00000000-0010-0000-1A00-000001000000}" name="Player" dataDxfId="114"/>
    <tableColumn id="2" xr3:uid="{00000000-0010-0000-1A00-000002000000}" name="TM" dataDxfId="113"/>
    <tableColumn id="3" xr3:uid="{00000000-0010-0000-1A00-000003000000}" name="BYE" dataDxfId="112"/>
    <tableColumn id="4" xr3:uid="{00000000-0010-0000-1A00-000004000000}" name="TGT" dataDxfId="111"/>
    <tableColumn id="5" xr3:uid="{00000000-0010-0000-1A00-000005000000}" name="REC" dataDxfId="110"/>
    <tableColumn id="6" xr3:uid="{00000000-0010-0000-1A00-000006000000}" name="RCYD" dataDxfId="109"/>
    <tableColumn id="7" xr3:uid="{00000000-0010-0000-1A00-000007000000}" name="RCTD" dataDxfId="108"/>
    <tableColumn id="8" xr3:uid="{00000000-0010-0000-1A00-000008000000}" name="FPS" dataDxfId="107">
      <calculatedColumnFormula>(G2/10)+(H2*6)</calculatedColumnFormula>
    </tableColumn>
    <tableColumn id="9" xr3:uid="{00000000-0010-0000-1A00-000009000000}" name="HALF" dataDxfId="106">
      <calculatedColumnFormula>I2+(F2*0.5)</calculatedColumnFormula>
    </tableColumn>
    <tableColumn id="10" xr3:uid="{00000000-0010-0000-1A00-00000A000000}" name="PPR" dataDxfId="105">
      <calculatedColumnFormula>I2+F2</calculatedColumnFormula>
    </tableColumn>
    <tableColumn id="11" xr3:uid="{00000000-0010-0000-1A00-00000B000000}" name="Custom" dataDxfId="104">
      <calculatedColumnFormula>(TableTEMaster[[#This Row],[TGT]]*TARGETS)+(TableTEMaster[[#This Row],[REC]]*RECEPTIONS_TE)+(TableTEMaster[[#This Row],[RCYD]]*RECV_YARDS)+(TableTEMaster[[#This Row],[RCTD]]*RECV_TDS)</calculatedColumnFormula>
    </tableColumn>
    <tableColumn id="12" xr3:uid="{00000000-0010-0000-1A00-00000C000000}" name="AUC$" dataDxfId="103"/>
  </tableColumns>
  <tableStyleInfo name="TableStyleLight8" showFirstColumn="0" showLastColumn="0" showRowStripes="1" showColumnStripes="1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B000000}" name="TableDSTMaster" displayName="TableDSTMaster" ref="A1:E33" totalsRowShown="0" headerRowDxfId="102" dataDxfId="101">
  <autoFilter ref="A1:E33" xr:uid="{00000000-0009-0000-0100-00000C000000}"/>
  <tableColumns count="5">
    <tableColumn id="1" xr3:uid="{00000000-0010-0000-1B00-000001000000}" name="DSTRef" dataDxfId="100"/>
    <tableColumn id="2" xr3:uid="{00000000-0010-0000-1B00-000002000000}" name="Player" dataDxfId="99">
      <calculatedColumnFormula>DST!B2</calculatedColumnFormula>
    </tableColumn>
    <tableColumn id="3" xr3:uid="{00000000-0010-0000-1B00-000003000000}" name="BYE" dataDxfId="98">
      <calculatedColumnFormula>DST!D2</calculatedColumnFormula>
    </tableColumn>
    <tableColumn id="4" xr3:uid="{00000000-0010-0000-1B00-000004000000}" name="Custom" dataDxfId="97">
      <calculatedColumnFormula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calculatedColumnFormula>
    </tableColumn>
    <tableColumn id="5" xr3:uid="{00000000-0010-0000-1B00-000005000000}" name="AUC$" dataDxfId="96"/>
  </tableColumns>
  <tableStyleInfo name="TableStyleLight8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heathletic.com/3383510/2022/07/13/fantasy-football-cheatsheet-customizable-rankings/" TargetMode="External"/><Relationship Id="rId2" Type="http://schemas.openxmlformats.org/officeDocument/2006/relationships/hyperlink" Target="https://www.office.com/launch/excel" TargetMode="External"/><Relationship Id="rId1" Type="http://schemas.openxmlformats.org/officeDocument/2006/relationships/hyperlink" Target="https://theathletic.com/2705029/2021/07/14/fantasy-football-cheat-sheet-a-fully-customizable-rankings-and-projection-tool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fantasydata.com/nfl/los-angeles-rams-depth-chart" TargetMode="External"/><Relationship Id="rId117" Type="http://schemas.openxmlformats.org/officeDocument/2006/relationships/hyperlink" Target="https://fantasydata.com/nfl/philadelphia-eagles-depth-chart" TargetMode="External"/><Relationship Id="rId21" Type="http://schemas.openxmlformats.org/officeDocument/2006/relationships/hyperlink" Target="https://fantasydata.com/nfl/new-york-jets-depth-chart" TargetMode="External"/><Relationship Id="rId42" Type="http://schemas.openxmlformats.org/officeDocument/2006/relationships/hyperlink" Target="https://fantasydata.com/nfl/seattle-seahawks-depth-chart" TargetMode="External"/><Relationship Id="rId47" Type="http://schemas.openxmlformats.org/officeDocument/2006/relationships/hyperlink" Target="https://fantasydata.com/nfl/dallas-cowboys-depth-chart" TargetMode="External"/><Relationship Id="rId63" Type="http://schemas.openxmlformats.org/officeDocument/2006/relationships/hyperlink" Target="https://fantasydata.com/nfl/russell-wilson-fantasy/14536" TargetMode="External"/><Relationship Id="rId68" Type="http://schemas.openxmlformats.org/officeDocument/2006/relationships/hyperlink" Target="https://fantasydata.com/nfl/justin-herbert-fantasy/21681" TargetMode="External"/><Relationship Id="rId84" Type="http://schemas.openxmlformats.org/officeDocument/2006/relationships/hyperlink" Target="https://fantasydata.com/nfl/khalil-mack-fantasy/16323" TargetMode="External"/><Relationship Id="rId89" Type="http://schemas.openxmlformats.org/officeDocument/2006/relationships/hyperlink" Target="https://fantasydata.com/nfl/nico-collins-fantasy/21756" TargetMode="External"/><Relationship Id="rId112" Type="http://schemas.openxmlformats.org/officeDocument/2006/relationships/hyperlink" Target="https://fantasydata.com/nfl/josh-allen-fantasy/19801" TargetMode="External"/><Relationship Id="rId16" Type="http://schemas.openxmlformats.org/officeDocument/2006/relationships/hyperlink" Target="https://fantasydata.com/nfl/chicago-bears-depth-chart" TargetMode="External"/><Relationship Id="rId107" Type="http://schemas.openxmlformats.org/officeDocument/2006/relationships/hyperlink" Target="https://fantasydata.com/nfl/jordan-love-fantasy/21841" TargetMode="External"/><Relationship Id="rId11" Type="http://schemas.openxmlformats.org/officeDocument/2006/relationships/hyperlink" Target="https://fantasydata.com/nfl/washington-commanders-depth-chart" TargetMode="External"/><Relationship Id="rId32" Type="http://schemas.openxmlformats.org/officeDocument/2006/relationships/hyperlink" Target="https://fantasydata.com/nfl/san-francisco-49ers-depth-chart" TargetMode="External"/><Relationship Id="rId37" Type="http://schemas.openxmlformats.org/officeDocument/2006/relationships/hyperlink" Target="https://fantasydata.com/nfl/atlanta-falcons-depth-chart" TargetMode="External"/><Relationship Id="rId53" Type="http://schemas.openxmlformats.org/officeDocument/2006/relationships/hyperlink" Target="https://fantasydata.com/nfl/jacksonville-jaguars-depth-chart" TargetMode="External"/><Relationship Id="rId58" Type="http://schemas.openxmlformats.org/officeDocument/2006/relationships/hyperlink" Target="https://fantasydata.com/nfl/baker-mayfield-fantasy/19790" TargetMode="External"/><Relationship Id="rId74" Type="http://schemas.openxmlformats.org/officeDocument/2006/relationships/hyperlink" Target="https://fantasydata.com/nfl/breece-hall-fantasy/22526" TargetMode="External"/><Relationship Id="rId79" Type="http://schemas.openxmlformats.org/officeDocument/2006/relationships/hyperlink" Target="https://fantasydata.com/nfl/puka-nacua-fantasy/24172" TargetMode="External"/><Relationship Id="rId102" Type="http://schemas.openxmlformats.org/officeDocument/2006/relationships/hyperlink" Target="https://fantasydata.com/nfl/najee-harris-fantasy/21768" TargetMode="External"/><Relationship Id="rId5" Type="http://schemas.openxmlformats.org/officeDocument/2006/relationships/hyperlink" Target="https://fantasydata.com/nfl/tampa-bay-buccaneers-depth-chart" TargetMode="External"/><Relationship Id="rId90" Type="http://schemas.openxmlformats.org/officeDocument/2006/relationships/hyperlink" Target="https://fantasydata.com/nfl/desmond-ridder-fantasy/22502" TargetMode="External"/><Relationship Id="rId95" Type="http://schemas.openxmlformats.org/officeDocument/2006/relationships/hyperlink" Target="https://fantasydata.com/nfl/bobby-wagner-fantasy/14534" TargetMode="External"/><Relationship Id="rId22" Type="http://schemas.openxmlformats.org/officeDocument/2006/relationships/hyperlink" Target="https://fantasydata.com/nfl/detroit-lions-depth-chart" TargetMode="External"/><Relationship Id="rId27" Type="http://schemas.openxmlformats.org/officeDocument/2006/relationships/hyperlink" Target="https://fantasydata.com/nfl/detroit-lions-depth-chart" TargetMode="External"/><Relationship Id="rId43" Type="http://schemas.openxmlformats.org/officeDocument/2006/relationships/hyperlink" Target="https://fantasydata.com/nfl/buffalo-bills-depth-chart" TargetMode="External"/><Relationship Id="rId48" Type="http://schemas.openxmlformats.org/officeDocument/2006/relationships/hyperlink" Target="https://fantasydata.com/nfl/buffalo-bills-depth-chart" TargetMode="External"/><Relationship Id="rId64" Type="http://schemas.openxmlformats.org/officeDocument/2006/relationships/hyperlink" Target="https://fantasydata.com/nfl/sam-howell-fantasy/23185" TargetMode="External"/><Relationship Id="rId69" Type="http://schemas.openxmlformats.org/officeDocument/2006/relationships/hyperlink" Target="https://fantasydata.com/nfl/justin-fields-fantasy/22492" TargetMode="External"/><Relationship Id="rId113" Type="http://schemas.openxmlformats.org/officeDocument/2006/relationships/hyperlink" Target="https://fantasydata.com/nfl/green-bay-packers-depth-chart" TargetMode="External"/><Relationship Id="rId118" Type="http://schemas.openxmlformats.org/officeDocument/2006/relationships/hyperlink" Target="https://fantasydata.com/nfl/buffalo-bills-depth-chart" TargetMode="External"/><Relationship Id="rId80" Type="http://schemas.openxmlformats.org/officeDocument/2006/relationships/hyperlink" Target="https://fantasydata.com/nfl/david-montgomery-fantasy/20882" TargetMode="External"/><Relationship Id="rId85" Type="http://schemas.openxmlformats.org/officeDocument/2006/relationships/hyperlink" Target="https://fantasydata.com/nfl/deebo-samuel-sr-fantasy/20932" TargetMode="External"/><Relationship Id="rId12" Type="http://schemas.openxmlformats.org/officeDocument/2006/relationships/hyperlink" Target="https://fantasydata.com/nfl/los-angeles-rams-depth-chart" TargetMode="External"/><Relationship Id="rId17" Type="http://schemas.openxmlformats.org/officeDocument/2006/relationships/hyperlink" Target="https://fantasydata.com/nfl/seattle-seahawks-depth-chart" TargetMode="External"/><Relationship Id="rId33" Type="http://schemas.openxmlformats.org/officeDocument/2006/relationships/hyperlink" Target="https://fantasydata.com/nfl/philadelphia-eagles-depth-chart" TargetMode="External"/><Relationship Id="rId38" Type="http://schemas.openxmlformats.org/officeDocument/2006/relationships/hyperlink" Target="https://fantasydata.com/nfl/arizona-cardinals-depth-chart" TargetMode="External"/><Relationship Id="rId59" Type="http://schemas.openxmlformats.org/officeDocument/2006/relationships/hyperlink" Target="https://fantasydata.com/nfl/tua-tagovailoa-fantasy/21677" TargetMode="External"/><Relationship Id="rId103" Type="http://schemas.openxmlformats.org/officeDocument/2006/relationships/hyperlink" Target="https://fantasydata.com/nfl/zaire-franklin-fantasy/20024" TargetMode="External"/><Relationship Id="rId108" Type="http://schemas.openxmlformats.org/officeDocument/2006/relationships/hyperlink" Target="https://fantasydata.com/nfl/christian-mccaffrey-fantasy/18877" TargetMode="External"/><Relationship Id="rId54" Type="http://schemas.openxmlformats.org/officeDocument/2006/relationships/hyperlink" Target="https://fantasydata.com/nfl/brock-purdy-fantasy/23241" TargetMode="External"/><Relationship Id="rId70" Type="http://schemas.openxmlformats.org/officeDocument/2006/relationships/hyperlink" Target="https://fantasydata.com/nfl/geno-smith-fantasy/14895" TargetMode="External"/><Relationship Id="rId75" Type="http://schemas.openxmlformats.org/officeDocument/2006/relationships/hyperlink" Target="https://fantasydata.com/nfl/amon-ra-st-brown-fantasy/22587" TargetMode="External"/><Relationship Id="rId91" Type="http://schemas.openxmlformats.org/officeDocument/2006/relationships/hyperlink" Target="https://fantasydata.com/nfl/james-conner-fantasy/18983" TargetMode="External"/><Relationship Id="rId96" Type="http://schemas.openxmlformats.org/officeDocument/2006/relationships/hyperlink" Target="https://fantasydata.com/nfl/terrel-bernard-fantasy/23447" TargetMode="External"/><Relationship Id="rId1" Type="http://schemas.openxmlformats.org/officeDocument/2006/relationships/hyperlink" Target="https://fantasydata.com/nfl/san-francisco-49ers-depth-chart" TargetMode="External"/><Relationship Id="rId6" Type="http://schemas.openxmlformats.org/officeDocument/2006/relationships/hyperlink" Target="https://fantasydata.com/nfl/miami-dolphins-depth-chart" TargetMode="External"/><Relationship Id="rId23" Type="http://schemas.openxmlformats.org/officeDocument/2006/relationships/hyperlink" Target="https://fantasydata.com/nfl/tampa-bay-buccaneers-depth-chart" TargetMode="External"/><Relationship Id="rId28" Type="http://schemas.openxmlformats.org/officeDocument/2006/relationships/hyperlink" Target="https://fantasydata.com/nfl/chicago-bears-depth-chart" TargetMode="External"/><Relationship Id="rId49" Type="http://schemas.openxmlformats.org/officeDocument/2006/relationships/hyperlink" Target="https://fantasydata.com/nfl/pittsburgh-steelers-depth-chart" TargetMode="External"/><Relationship Id="rId114" Type="http://schemas.openxmlformats.org/officeDocument/2006/relationships/hyperlink" Target="https://fantasydata.com/nfl/san-francisco-49ers-depth-chart" TargetMode="External"/><Relationship Id="rId10" Type="http://schemas.openxmlformats.org/officeDocument/2006/relationships/hyperlink" Target="https://fantasydata.com/nfl/denver-broncos-depth-chart" TargetMode="External"/><Relationship Id="rId31" Type="http://schemas.openxmlformats.org/officeDocument/2006/relationships/hyperlink" Target="https://fantasydata.com/nfl/los-angeles-chargers-depth-chart" TargetMode="External"/><Relationship Id="rId44" Type="http://schemas.openxmlformats.org/officeDocument/2006/relationships/hyperlink" Target="https://fantasydata.com/nfl/los-angeles-chargers-depth-chart" TargetMode="External"/><Relationship Id="rId52" Type="http://schemas.openxmlformats.org/officeDocument/2006/relationships/hyperlink" Target="https://fantasydata.com/nfl/las-vegas-raiders-depth-chart" TargetMode="External"/><Relationship Id="rId60" Type="http://schemas.openxmlformats.org/officeDocument/2006/relationships/hyperlink" Target="https://fantasydata.com/nfl/ceedee-lamb-fantasy/21679" TargetMode="External"/><Relationship Id="rId65" Type="http://schemas.openxmlformats.org/officeDocument/2006/relationships/hyperlink" Target="https://fantasydata.com/nfl/matthew-stafford-fantasy/9038" TargetMode="External"/><Relationship Id="rId73" Type="http://schemas.openxmlformats.org/officeDocument/2006/relationships/hyperlink" Target="https://fantasydata.com/nfl/derrick-henry-fantasy/17959" TargetMode="External"/><Relationship Id="rId78" Type="http://schemas.openxmlformats.org/officeDocument/2006/relationships/hyperlink" Target="https://fantasydata.com/nfl/joshua-dobbs-fantasy/19025" TargetMode="External"/><Relationship Id="rId81" Type="http://schemas.openxmlformats.org/officeDocument/2006/relationships/hyperlink" Target="https://fantasydata.com/nfl/dj-moore-fantasy/19844" TargetMode="External"/><Relationship Id="rId86" Type="http://schemas.openxmlformats.org/officeDocument/2006/relationships/hyperlink" Target="https://fantasydata.com/nfl/aj-brown-fantasy/21042" TargetMode="External"/><Relationship Id="rId94" Type="http://schemas.openxmlformats.org/officeDocument/2006/relationships/hyperlink" Target="https://fantasydata.com/nfl/dallas-cowboys-depth-chart" TargetMode="External"/><Relationship Id="rId99" Type="http://schemas.openxmlformats.org/officeDocument/2006/relationships/hyperlink" Target="https://fantasydata.com/nfl/alex-singleton-fantasy/17085" TargetMode="External"/><Relationship Id="rId101" Type="http://schemas.openxmlformats.org/officeDocument/2006/relationships/hyperlink" Target="https://fantasydata.com/nfl/stefon-diggs-fantasy/16906" TargetMode="External"/><Relationship Id="rId4" Type="http://schemas.openxmlformats.org/officeDocument/2006/relationships/hyperlink" Target="https://fantasydata.com/nfl/houston-texans-depth-chart" TargetMode="External"/><Relationship Id="rId9" Type="http://schemas.openxmlformats.org/officeDocument/2006/relationships/hyperlink" Target="https://fantasydata.com/nfl/miami-dolphins-depth-chart" TargetMode="External"/><Relationship Id="rId13" Type="http://schemas.openxmlformats.org/officeDocument/2006/relationships/hyperlink" Target="https://fantasydata.com/nfl/miami-dolphins-depth-chart" TargetMode="External"/><Relationship Id="rId18" Type="http://schemas.openxmlformats.org/officeDocument/2006/relationships/hyperlink" Target="https://fantasydata.com/nfl/jacksonville-jaguars-depth-chart" TargetMode="External"/><Relationship Id="rId39" Type="http://schemas.openxmlformats.org/officeDocument/2006/relationships/hyperlink" Target="https://fantasydata.com/nfl/baltimore-ravens-depth-chart" TargetMode="External"/><Relationship Id="rId109" Type="http://schemas.openxmlformats.org/officeDocument/2006/relationships/hyperlink" Target="https://fantasydata.com/nfl/lamar-jackson-fantasy/19781" TargetMode="External"/><Relationship Id="rId34" Type="http://schemas.openxmlformats.org/officeDocument/2006/relationships/hyperlink" Target="https://fantasydata.com/nfl/tampa-bay-buccaneers-depth-chart" TargetMode="External"/><Relationship Id="rId50" Type="http://schemas.openxmlformats.org/officeDocument/2006/relationships/hyperlink" Target="https://fantasydata.com/nfl/indianapolis-colts-depth-chart" TargetMode="External"/><Relationship Id="rId55" Type="http://schemas.openxmlformats.org/officeDocument/2006/relationships/hyperlink" Target="https://fantasydata.com/nfl/jared-goff-fantasy/17922" TargetMode="External"/><Relationship Id="rId76" Type="http://schemas.openxmlformats.org/officeDocument/2006/relationships/hyperlink" Target="https://fantasydata.com/nfl/rachaad-white-fantasy/23217" TargetMode="External"/><Relationship Id="rId97" Type="http://schemas.openxmlformats.org/officeDocument/2006/relationships/hyperlink" Target="https://fantasydata.com/nfl/keenan-allen-fantasy/15076" TargetMode="External"/><Relationship Id="rId104" Type="http://schemas.openxmlformats.org/officeDocument/2006/relationships/hyperlink" Target="https://fantasydata.com/nfl/jamarr-chase-fantasy/22564" TargetMode="External"/><Relationship Id="rId7" Type="http://schemas.openxmlformats.org/officeDocument/2006/relationships/hyperlink" Target="https://fantasydata.com/nfl/dallas-cowboys-depth-chart" TargetMode="External"/><Relationship Id="rId71" Type="http://schemas.openxmlformats.org/officeDocument/2006/relationships/hyperlink" Target="https://fantasydata.com/nfl/travis-etienne-jr-fantasy/21696" TargetMode="External"/><Relationship Id="rId92" Type="http://schemas.openxmlformats.org/officeDocument/2006/relationships/hyperlink" Target="https://fantasydata.com/nfl/baltimore-ravens-depth-chart" TargetMode="External"/><Relationship Id="rId2" Type="http://schemas.openxmlformats.org/officeDocument/2006/relationships/hyperlink" Target="https://fantasydata.com/nfl/detroit-lions-depth-chart" TargetMode="External"/><Relationship Id="rId29" Type="http://schemas.openxmlformats.org/officeDocument/2006/relationships/hyperlink" Target="https://fantasydata.com/nfl/detroit-lions-depth-chart" TargetMode="External"/><Relationship Id="rId24" Type="http://schemas.openxmlformats.org/officeDocument/2006/relationships/hyperlink" Target="https://fantasydata.com/nfl/tampa-bay-buccaneers-depth-chart" TargetMode="External"/><Relationship Id="rId40" Type="http://schemas.openxmlformats.org/officeDocument/2006/relationships/hyperlink" Target="https://fantasydata.com/nfl/new-york-giants-depth-chart" TargetMode="External"/><Relationship Id="rId45" Type="http://schemas.openxmlformats.org/officeDocument/2006/relationships/hyperlink" Target="https://fantasydata.com/nfl/seattle-seahawks-depth-chart" TargetMode="External"/><Relationship Id="rId66" Type="http://schemas.openxmlformats.org/officeDocument/2006/relationships/hyperlink" Target="https://fantasydata.com/nfl/raheem-mostert-fantasy/17217" TargetMode="External"/><Relationship Id="rId87" Type="http://schemas.openxmlformats.org/officeDocument/2006/relationships/hyperlink" Target="https://fantasydata.com/nfl/antoine-winfield-jr-fantasy/21940" TargetMode="External"/><Relationship Id="rId110" Type="http://schemas.openxmlformats.org/officeDocument/2006/relationships/hyperlink" Target="https://fantasydata.com/nfl/dak-prescott-fantasy/18055" TargetMode="External"/><Relationship Id="rId115" Type="http://schemas.openxmlformats.org/officeDocument/2006/relationships/hyperlink" Target="https://fantasydata.com/nfl/baltimore-ravens-depth-chart" TargetMode="External"/><Relationship Id="rId61" Type="http://schemas.openxmlformats.org/officeDocument/2006/relationships/hyperlink" Target="https://fantasydata.com/nfl/trevor-lawrence-fantasy/22490" TargetMode="External"/><Relationship Id="rId82" Type="http://schemas.openxmlformats.org/officeDocument/2006/relationships/hyperlink" Target="https://fantasydata.com/nfl/jahmyr-gibbs-fantasy/23200" TargetMode="External"/><Relationship Id="rId19" Type="http://schemas.openxmlformats.org/officeDocument/2006/relationships/hyperlink" Target="https://fantasydata.com/nfl/los-angeles-rams-depth-chart" TargetMode="External"/><Relationship Id="rId14" Type="http://schemas.openxmlformats.org/officeDocument/2006/relationships/hyperlink" Target="https://fantasydata.com/nfl/new-orleans-saints-depth-chart" TargetMode="External"/><Relationship Id="rId30" Type="http://schemas.openxmlformats.org/officeDocument/2006/relationships/hyperlink" Target="https://fantasydata.com/nfl/atlanta-falcons-depth-chart" TargetMode="External"/><Relationship Id="rId35" Type="http://schemas.openxmlformats.org/officeDocument/2006/relationships/hyperlink" Target="https://fantasydata.com/nfl/new-york-giants-depth-chart" TargetMode="External"/><Relationship Id="rId56" Type="http://schemas.openxmlformats.org/officeDocument/2006/relationships/hyperlink" Target="https://fantasydata.com/nfl/patrick-mahomes-fantasy/18890" TargetMode="External"/><Relationship Id="rId77" Type="http://schemas.openxmlformats.org/officeDocument/2006/relationships/hyperlink" Target="https://fantasydata.com/nfl/mike-evans-fantasy/16597" TargetMode="External"/><Relationship Id="rId100" Type="http://schemas.openxmlformats.org/officeDocument/2006/relationships/hyperlink" Target="https://fantasydata.com/nfl/tony-pollard-fantasy/20912" TargetMode="External"/><Relationship Id="rId105" Type="http://schemas.openxmlformats.org/officeDocument/2006/relationships/hyperlink" Target="https://fantasydata.com/nfl/davante-adams-fantasy/16470" TargetMode="External"/><Relationship Id="rId8" Type="http://schemas.openxmlformats.org/officeDocument/2006/relationships/hyperlink" Target="https://fantasydata.com/nfl/jacksonville-jaguars-depth-chart" TargetMode="External"/><Relationship Id="rId51" Type="http://schemas.openxmlformats.org/officeDocument/2006/relationships/hyperlink" Target="https://fantasydata.com/nfl/cincinnati-bengals-depth-chart" TargetMode="External"/><Relationship Id="rId72" Type="http://schemas.openxmlformats.org/officeDocument/2006/relationships/hyperlink" Target="https://fantasydata.com/nfl/kyren-williams-fantasy/23212" TargetMode="External"/><Relationship Id="rId93" Type="http://schemas.openxmlformats.org/officeDocument/2006/relationships/hyperlink" Target="https://fantasydata.com/nfl/bobby-okereke-fantasy/20897" TargetMode="External"/><Relationship Id="rId98" Type="http://schemas.openxmlformats.org/officeDocument/2006/relationships/hyperlink" Target="https://fantasydata.com/nfl/kenneth-walker-iii-fantasy/23214" TargetMode="External"/><Relationship Id="rId3" Type="http://schemas.openxmlformats.org/officeDocument/2006/relationships/hyperlink" Target="https://fantasydata.com/nfl/kansas-city-chiefs-depth-chart" TargetMode="External"/><Relationship Id="rId25" Type="http://schemas.openxmlformats.org/officeDocument/2006/relationships/hyperlink" Target="https://fantasydata.com/nfl/minnesota-vikings-depth-chart" TargetMode="External"/><Relationship Id="rId46" Type="http://schemas.openxmlformats.org/officeDocument/2006/relationships/hyperlink" Target="https://fantasydata.com/nfl/denver-broncos-depth-chart" TargetMode="External"/><Relationship Id="rId67" Type="http://schemas.openxmlformats.org/officeDocument/2006/relationships/hyperlink" Target="https://fantasydata.com/nfl/derek-carr-fantasy/16311" TargetMode="External"/><Relationship Id="rId116" Type="http://schemas.openxmlformats.org/officeDocument/2006/relationships/hyperlink" Target="https://fantasydata.com/nfl/dallas-cowboys-depth-chart" TargetMode="External"/><Relationship Id="rId20" Type="http://schemas.openxmlformats.org/officeDocument/2006/relationships/hyperlink" Target="https://fantasydata.com/nfl/tennessee-titans-depth-chart" TargetMode="External"/><Relationship Id="rId41" Type="http://schemas.openxmlformats.org/officeDocument/2006/relationships/hyperlink" Target="https://fantasydata.com/nfl/dallas-cowboys-depth-chart" TargetMode="External"/><Relationship Id="rId62" Type="http://schemas.openxmlformats.org/officeDocument/2006/relationships/hyperlink" Target="https://fantasydata.com/nfl/tyreek-hill-fantasy/18082" TargetMode="External"/><Relationship Id="rId83" Type="http://schemas.openxmlformats.org/officeDocument/2006/relationships/hyperlink" Target="https://fantasydata.com/nfl/bijan-robinson-fantasy/23189" TargetMode="External"/><Relationship Id="rId88" Type="http://schemas.openxmlformats.org/officeDocument/2006/relationships/hyperlink" Target="https://fantasydata.com/nfl/saquon-barkley-fantasy/19766" TargetMode="External"/><Relationship Id="rId111" Type="http://schemas.openxmlformats.org/officeDocument/2006/relationships/hyperlink" Target="https://fantasydata.com/nfl/jalen-hurts-fantasy/21831" TargetMode="External"/><Relationship Id="rId15" Type="http://schemas.openxmlformats.org/officeDocument/2006/relationships/hyperlink" Target="https://fantasydata.com/nfl/los-angeles-chargers-depth-chart" TargetMode="External"/><Relationship Id="rId36" Type="http://schemas.openxmlformats.org/officeDocument/2006/relationships/hyperlink" Target="https://fantasydata.com/nfl/houston-texans-depth-chart" TargetMode="External"/><Relationship Id="rId57" Type="http://schemas.openxmlformats.org/officeDocument/2006/relationships/hyperlink" Target="https://fantasydata.com/nfl/cj-stroud-fantasy/23239" TargetMode="External"/><Relationship Id="rId106" Type="http://schemas.openxmlformats.org/officeDocument/2006/relationships/hyperlink" Target="https://fantasydata.com/nfl/josh-allen-fantasy/20737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10" Type="http://schemas.openxmlformats.org/officeDocument/2006/relationships/table" Target="../tables/table16.xml"/><Relationship Id="rId4" Type="http://schemas.openxmlformats.org/officeDocument/2006/relationships/table" Target="../tables/table10.xml"/><Relationship Id="rId9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40.bin"/><Relationship Id="rId6" Type="http://schemas.openxmlformats.org/officeDocument/2006/relationships/table" Target="../tables/table30.xml"/><Relationship Id="rId5" Type="http://schemas.openxmlformats.org/officeDocument/2006/relationships/table" Target="../tables/table29.xml"/><Relationship Id="rId4" Type="http://schemas.openxmlformats.org/officeDocument/2006/relationships/table" Target="../tables/table28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2">
    <tabColor theme="7" tint="0.79998168889431442"/>
  </sheetPr>
  <dimension ref="A1:B15"/>
  <sheetViews>
    <sheetView showGridLines="0" workbookViewId="0">
      <selection sqref="A1:B1"/>
    </sheetView>
  </sheetViews>
  <sheetFormatPr baseColWidth="10" defaultColWidth="9" defaultRowHeight="14" x14ac:dyDescent="0.2"/>
  <cols>
    <col min="1" max="1" width="26.19921875" bestFit="1" customWidth="1"/>
    <col min="2" max="2" width="208" bestFit="1" customWidth="1"/>
  </cols>
  <sheetData>
    <row r="1" spans="1:2" ht="19" x14ac:dyDescent="0.25">
      <c r="A1" s="192" t="s">
        <v>397</v>
      </c>
      <c r="B1" s="192"/>
    </row>
    <row r="3" spans="1:2" x14ac:dyDescent="0.2">
      <c r="A3" s="56" t="s">
        <v>398</v>
      </c>
      <c r="B3" t="s">
        <v>399</v>
      </c>
    </row>
    <row r="4" spans="1:2" x14ac:dyDescent="0.2">
      <c r="A4" s="56"/>
      <c r="B4" s="57" t="s">
        <v>400</v>
      </c>
    </row>
    <row r="5" spans="1:2" x14ac:dyDescent="0.2">
      <c r="A5" s="56" t="s">
        <v>379</v>
      </c>
      <c r="B5" t="s">
        <v>393</v>
      </c>
    </row>
    <row r="6" spans="1:2" x14ac:dyDescent="0.2">
      <c r="A6" s="56" t="s">
        <v>376</v>
      </c>
      <c r="B6" t="s">
        <v>394</v>
      </c>
    </row>
    <row r="7" spans="1:2" x14ac:dyDescent="0.2">
      <c r="A7" s="56" t="s">
        <v>377</v>
      </c>
      <c r="B7" t="s">
        <v>378</v>
      </c>
    </row>
    <row r="8" spans="1:2" x14ac:dyDescent="0.2">
      <c r="A8" s="56" t="s">
        <v>380</v>
      </c>
      <c r="B8" t="s">
        <v>381</v>
      </c>
    </row>
    <row r="9" spans="1:2" x14ac:dyDescent="0.2">
      <c r="A9" s="56" t="s">
        <v>392</v>
      </c>
      <c r="B9" t="s">
        <v>395</v>
      </c>
    </row>
    <row r="10" spans="1:2" x14ac:dyDescent="0.2">
      <c r="A10" s="56"/>
    </row>
    <row r="11" spans="1:2" x14ac:dyDescent="0.2">
      <c r="A11" s="56" t="s">
        <v>383</v>
      </c>
      <c r="B11" t="s">
        <v>382</v>
      </c>
    </row>
    <row r="12" spans="1:2" x14ac:dyDescent="0.2">
      <c r="A12" s="56" t="s">
        <v>384</v>
      </c>
      <c r="B12" t="s">
        <v>385</v>
      </c>
    </row>
    <row r="13" spans="1:2" x14ac:dyDescent="0.2">
      <c r="A13" s="56" t="s">
        <v>386</v>
      </c>
      <c r="B13" t="s">
        <v>387</v>
      </c>
    </row>
    <row r="14" spans="1:2" x14ac:dyDescent="0.2">
      <c r="A14" s="56" t="s">
        <v>388</v>
      </c>
      <c r="B14" t="s">
        <v>389</v>
      </c>
    </row>
    <row r="15" spans="1:2" x14ac:dyDescent="0.2">
      <c r="A15" s="56" t="s">
        <v>390</v>
      </c>
      <c r="B15" t="s">
        <v>391</v>
      </c>
    </row>
  </sheetData>
  <mergeCells count="1">
    <mergeCell ref="A1:B1"/>
  </mergeCells>
  <hyperlinks>
    <hyperlink ref="A1" r:id="rId1" xr:uid="{00000000-0004-0000-0000-000000000000}"/>
    <hyperlink ref="B4" r:id="rId2" xr:uid="{00000000-0004-0000-0000-000001000000}"/>
    <hyperlink ref="A1:B1" r:id="rId3" display="LINK TO THE SITE WITH STEP-BY-STEP DEEPER INSTRUCTIONS AND PICTURES" xr:uid="{05403A2C-21A9-44A0-A133-FAADE465E33F}"/>
  </hyperlinks>
  <pageMargins left="0.7" right="0.7" top="0.75" bottom="0.75" header="0.3" footer="0.3"/>
  <pageSetup orientation="portrait" verticalDpi="9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8">
    <tabColor rgb="FFC8E6FA"/>
  </sheetPr>
  <dimension ref="A1:E28"/>
  <sheetViews>
    <sheetView showGridLines="0" zoomScaleNormal="100" workbookViewId="0">
      <selection activeCell="F20" sqref="F20"/>
    </sheetView>
  </sheetViews>
  <sheetFormatPr baseColWidth="10" defaultColWidth="9.19921875" defaultRowHeight="15" x14ac:dyDescent="0.2"/>
  <cols>
    <col min="1" max="1" width="20.796875" style="69" bestFit="1" customWidth="1"/>
    <col min="2" max="2" width="6.59765625" style="78" bestFit="1" customWidth="1"/>
    <col min="3" max="3" width="5.796875" style="69" customWidth="1"/>
    <col min="4" max="4" width="20.19921875" style="69" bestFit="1" customWidth="1"/>
    <col min="5" max="5" width="6.59765625" style="78" bestFit="1" customWidth="1"/>
    <col min="6" max="16384" width="9.19921875" style="69"/>
  </cols>
  <sheetData>
    <row r="1" spans="1:5" s="65" customFormat="1" x14ac:dyDescent="0.2">
      <c r="A1" s="63" t="s">
        <v>402</v>
      </c>
      <c r="B1" s="64" t="s">
        <v>403</v>
      </c>
      <c r="D1" s="66" t="s">
        <v>404</v>
      </c>
      <c r="E1" s="64" t="s">
        <v>445</v>
      </c>
    </row>
    <row r="2" spans="1:5" x14ac:dyDescent="0.2">
      <c r="A2" s="67" t="s">
        <v>261</v>
      </c>
      <c r="B2" s="68">
        <v>0</v>
      </c>
      <c r="D2" s="70" t="s">
        <v>367</v>
      </c>
      <c r="E2" s="71">
        <v>12</v>
      </c>
    </row>
    <row r="3" spans="1:5" x14ac:dyDescent="0.2">
      <c r="A3" s="67" t="s">
        <v>260</v>
      </c>
      <c r="B3" s="68">
        <v>0</v>
      </c>
      <c r="D3" s="70" t="s">
        <v>368</v>
      </c>
      <c r="E3" s="71">
        <v>1</v>
      </c>
    </row>
    <row r="4" spans="1:5" x14ac:dyDescent="0.2">
      <c r="A4" s="67" t="s">
        <v>262</v>
      </c>
      <c r="B4" s="68">
        <v>0.04</v>
      </c>
      <c r="D4" s="70" t="s">
        <v>369</v>
      </c>
      <c r="E4" s="71">
        <v>2</v>
      </c>
    </row>
    <row r="5" spans="1:5" x14ac:dyDescent="0.2">
      <c r="A5" s="67" t="s">
        <v>263</v>
      </c>
      <c r="B5" s="68">
        <v>4</v>
      </c>
      <c r="D5" s="70" t="s">
        <v>370</v>
      </c>
      <c r="E5" s="71">
        <v>3</v>
      </c>
    </row>
    <row r="6" spans="1:5" x14ac:dyDescent="0.2">
      <c r="A6" s="67" t="s">
        <v>264</v>
      </c>
      <c r="B6" s="68">
        <v>-1</v>
      </c>
      <c r="D6" s="70" t="s">
        <v>371</v>
      </c>
      <c r="E6" s="71">
        <v>1</v>
      </c>
    </row>
    <row r="7" spans="1:5" x14ac:dyDescent="0.2">
      <c r="A7" s="72" t="s">
        <v>265</v>
      </c>
      <c r="B7" s="73">
        <v>0</v>
      </c>
      <c r="D7" s="70" t="s">
        <v>372</v>
      </c>
      <c r="E7" s="71">
        <v>1</v>
      </c>
    </row>
    <row r="8" spans="1:5" x14ac:dyDescent="0.2">
      <c r="A8" s="72" t="s">
        <v>266</v>
      </c>
      <c r="B8" s="73">
        <v>0.1</v>
      </c>
      <c r="D8" s="70" t="s">
        <v>374</v>
      </c>
      <c r="E8" s="71">
        <v>0</v>
      </c>
    </row>
    <row r="9" spans="1:5" x14ac:dyDescent="0.2">
      <c r="A9" s="72" t="s">
        <v>267</v>
      </c>
      <c r="B9" s="73">
        <v>6</v>
      </c>
      <c r="D9" s="74" t="s">
        <v>373</v>
      </c>
      <c r="E9" s="75">
        <v>1</v>
      </c>
    </row>
    <row r="10" spans="1:5" x14ac:dyDescent="0.2">
      <c r="A10" s="76" t="s">
        <v>268</v>
      </c>
      <c r="B10" s="77">
        <v>0</v>
      </c>
      <c r="D10" s="74" t="s">
        <v>439</v>
      </c>
      <c r="E10" s="91">
        <v>200</v>
      </c>
    </row>
    <row r="11" spans="1:5" x14ac:dyDescent="0.2">
      <c r="A11" s="76" t="s">
        <v>269</v>
      </c>
      <c r="B11" s="77">
        <v>0.5</v>
      </c>
    </row>
    <row r="12" spans="1:5" x14ac:dyDescent="0.2">
      <c r="A12" s="76" t="s">
        <v>270</v>
      </c>
      <c r="B12" s="77">
        <v>0.5</v>
      </c>
    </row>
    <row r="13" spans="1:5" x14ac:dyDescent="0.2">
      <c r="A13" s="76" t="s">
        <v>271</v>
      </c>
      <c r="B13" s="77">
        <v>0.5</v>
      </c>
    </row>
    <row r="14" spans="1:5" x14ac:dyDescent="0.2">
      <c r="A14" s="76" t="s">
        <v>272</v>
      </c>
      <c r="B14" s="77">
        <v>0.1</v>
      </c>
    </row>
    <row r="15" spans="1:5" x14ac:dyDescent="0.2">
      <c r="A15" s="76" t="s">
        <v>273</v>
      </c>
      <c r="B15" s="77">
        <v>6</v>
      </c>
    </row>
    <row r="16" spans="1:5" x14ac:dyDescent="0.2">
      <c r="A16" s="79" t="s">
        <v>322</v>
      </c>
      <c r="B16" s="80">
        <v>1</v>
      </c>
    </row>
    <row r="17" spans="1:2" x14ac:dyDescent="0.2">
      <c r="A17" s="79" t="s">
        <v>323</v>
      </c>
      <c r="B17" s="80">
        <v>2</v>
      </c>
    </row>
    <row r="18" spans="1:2" x14ac:dyDescent="0.2">
      <c r="A18" s="79" t="s">
        <v>333</v>
      </c>
      <c r="B18" s="80">
        <v>1</v>
      </c>
    </row>
    <row r="19" spans="1:2" x14ac:dyDescent="0.2">
      <c r="A19" s="79" t="s">
        <v>332</v>
      </c>
      <c r="B19" s="80">
        <v>2</v>
      </c>
    </row>
    <row r="20" spans="1:2" x14ac:dyDescent="0.2">
      <c r="A20" s="79" t="s">
        <v>324</v>
      </c>
      <c r="B20" s="80">
        <v>2</v>
      </c>
    </row>
    <row r="21" spans="1:2" x14ac:dyDescent="0.2">
      <c r="A21" s="79" t="s">
        <v>325</v>
      </c>
      <c r="B21" s="80">
        <v>6</v>
      </c>
    </row>
    <row r="22" spans="1:2" x14ac:dyDescent="0.2">
      <c r="A22" s="79" t="s">
        <v>326</v>
      </c>
      <c r="B22" s="80">
        <v>10</v>
      </c>
    </row>
    <row r="23" spans="1:2" x14ac:dyDescent="0.2">
      <c r="A23" s="79" t="s">
        <v>327</v>
      </c>
      <c r="B23" s="80">
        <v>7</v>
      </c>
    </row>
    <row r="24" spans="1:2" x14ac:dyDescent="0.2">
      <c r="A24" s="79" t="s">
        <v>328</v>
      </c>
      <c r="B24" s="80">
        <v>4</v>
      </c>
    </row>
    <row r="25" spans="1:2" x14ac:dyDescent="0.2">
      <c r="A25" s="79" t="s">
        <v>329</v>
      </c>
      <c r="B25" s="80">
        <v>1</v>
      </c>
    </row>
    <row r="26" spans="1:2" x14ac:dyDescent="0.2">
      <c r="A26" s="79" t="s">
        <v>330</v>
      </c>
      <c r="B26" s="80">
        <v>0</v>
      </c>
    </row>
    <row r="27" spans="1:2" x14ac:dyDescent="0.2">
      <c r="A27" s="79" t="s">
        <v>331</v>
      </c>
      <c r="B27" s="80">
        <v>-1</v>
      </c>
    </row>
    <row r="28" spans="1:2" x14ac:dyDescent="0.2">
      <c r="A28" s="79" t="s">
        <v>334</v>
      </c>
      <c r="B28" s="80">
        <v>-4</v>
      </c>
    </row>
  </sheetData>
  <pageMargins left="0.7" right="0.7" top="0.75" bottom="0.75" header="0.3" footer="0.3"/>
  <pageSetup orientation="portrait" horizontalDpi="90" verticalDpi="90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3E50-EAEB-E74D-9474-6B02263A7DD4}">
  <dimension ref="A1:V1074"/>
  <sheetViews>
    <sheetView workbookViewId="0">
      <pane ySplit="1" topLeftCell="A2" activePane="bottomLeft" state="frozen"/>
      <selection pane="bottomLeft" activeCell="S1" sqref="S1:S1048576"/>
    </sheetView>
  </sheetViews>
  <sheetFormatPr baseColWidth="10" defaultRowHeight="14" x14ac:dyDescent="0.2"/>
  <cols>
    <col min="1" max="16384" width="11" style="193"/>
  </cols>
  <sheetData>
    <row r="1" spans="1:21" x14ac:dyDescent="0.2">
      <c r="A1" s="193" t="s">
        <v>455</v>
      </c>
      <c r="B1" s="195" t="s">
        <v>405</v>
      </c>
      <c r="C1" s="193" t="s">
        <v>539</v>
      </c>
      <c r="D1" s="193" t="s">
        <v>706</v>
      </c>
      <c r="E1" s="193" t="s">
        <v>707</v>
      </c>
      <c r="F1" s="193" t="s">
        <v>708</v>
      </c>
      <c r="G1" s="193" t="s">
        <v>718</v>
      </c>
      <c r="H1" s="193" t="s">
        <v>2</v>
      </c>
      <c r="I1" s="193" t="s">
        <v>709</v>
      </c>
      <c r="J1" s="193" t="s">
        <v>710</v>
      </c>
      <c r="K1" s="193" t="s">
        <v>717</v>
      </c>
      <c r="L1" s="193" t="s">
        <v>712</v>
      </c>
      <c r="M1" s="193" t="s">
        <v>713</v>
      </c>
      <c r="N1" s="193" t="s">
        <v>714</v>
      </c>
      <c r="O1" s="193" t="s">
        <v>715</v>
      </c>
      <c r="P1" s="193" t="s">
        <v>719</v>
      </c>
      <c r="Q1" s="193" t="s">
        <v>720</v>
      </c>
      <c r="R1" s="193" t="s">
        <v>724</v>
      </c>
      <c r="S1" s="193" t="s">
        <v>723</v>
      </c>
      <c r="T1" s="193" t="s">
        <v>721</v>
      </c>
      <c r="U1" s="193" t="s">
        <v>722</v>
      </c>
    </row>
    <row r="2" spans="1:21" x14ac:dyDescent="0.2">
      <c r="A2" s="193" t="s">
        <v>9</v>
      </c>
      <c r="B2" s="195" t="s">
        <v>530</v>
      </c>
      <c r="C2" s="195" t="s">
        <v>107</v>
      </c>
      <c r="D2" s="193">
        <v>15</v>
      </c>
      <c r="E2" s="193">
        <v>2836</v>
      </c>
      <c r="F2" s="193">
        <v>249</v>
      </c>
      <c r="G2" s="193">
        <v>12</v>
      </c>
      <c r="H2" s="193">
        <v>12</v>
      </c>
      <c r="I2" s="193">
        <v>193</v>
      </c>
      <c r="J2" s="193">
        <v>5</v>
      </c>
      <c r="N2" s="196">
        <v>198.74</v>
      </c>
      <c r="O2" s="196">
        <v>211.34298839932205</v>
      </c>
      <c r="P2" s="197">
        <f>(N2-O2)/O2</f>
        <v>-5.9632867381951296E-2</v>
      </c>
      <c r="Q2" s="193" t="b">
        <v>0</v>
      </c>
      <c r="R2" s="193" t="b">
        <v>1</v>
      </c>
      <c r="S2" s="193" t="str">
        <f>IF(Q2,A2&amp;"1",IF(R2,A2&amp;"3",A2&amp;"2"))</f>
        <v>QB3</v>
      </c>
      <c r="T2" s="197">
        <f>AVERAGEIFS(P:P,S:S,S2)</f>
        <v>5.3180590970375814</v>
      </c>
      <c r="U2" s="197" cm="1">
        <f t="array" ref="U2">STDEV(IF(S:S=S2,P:P))</f>
        <v>10.033020357124986</v>
      </c>
    </row>
    <row r="3" spans="1:21" x14ac:dyDescent="0.2">
      <c r="A3" s="193" t="s">
        <v>9</v>
      </c>
      <c r="B3" s="195" t="s">
        <v>572</v>
      </c>
      <c r="C3" s="195" t="s">
        <v>136</v>
      </c>
      <c r="D3" s="193">
        <v>17</v>
      </c>
      <c r="E3" s="193">
        <v>4044</v>
      </c>
      <c r="F3" s="193">
        <v>364</v>
      </c>
      <c r="G3" s="193">
        <v>28</v>
      </c>
      <c r="H3" s="193">
        <v>10</v>
      </c>
      <c r="I3" s="193">
        <v>163</v>
      </c>
      <c r="J3" s="193">
        <v>1</v>
      </c>
      <c r="N3" s="196">
        <v>286.06</v>
      </c>
      <c r="O3" s="196">
        <v>197.81334754120857</v>
      </c>
      <c r="P3" s="197">
        <f>(N3-O3)/O3</f>
        <v>0.44611070767308986</v>
      </c>
      <c r="Q3" s="193" t="b">
        <v>0</v>
      </c>
      <c r="R3" s="193" t="b">
        <v>1</v>
      </c>
      <c r="S3" s="193" t="str">
        <f>IF(Q3,A3&amp;"1",IF(R3,A3&amp;"3",A3&amp;"2"))</f>
        <v>QB3</v>
      </c>
      <c r="T3" s="197">
        <f>AVERAGEIFS(P:P,S:S,S3)</f>
        <v>5.3180590970375814</v>
      </c>
      <c r="U3" s="197" cm="1">
        <f t="array" ref="U3">STDEV(IF(S:S=S3,P:P))</f>
        <v>10.033020357124986</v>
      </c>
    </row>
    <row r="4" spans="1:21" x14ac:dyDescent="0.2">
      <c r="A4" s="193" t="s">
        <v>9</v>
      </c>
      <c r="B4" s="195" t="s">
        <v>538</v>
      </c>
      <c r="C4" s="195" t="s">
        <v>135</v>
      </c>
      <c r="D4" s="193">
        <v>5</v>
      </c>
      <c r="E4" s="193">
        <v>895</v>
      </c>
      <c r="F4" s="193">
        <v>95</v>
      </c>
      <c r="G4" s="193">
        <v>5</v>
      </c>
      <c r="H4" s="193">
        <v>5</v>
      </c>
      <c r="I4" s="193">
        <v>163</v>
      </c>
      <c r="J4" s="193">
        <v>3</v>
      </c>
      <c r="N4" s="196">
        <v>85.100000000000009</v>
      </c>
      <c r="O4" s="196">
        <v>120.88669071620204</v>
      </c>
      <c r="P4" s="197">
        <f>(N4-O4)/O4</f>
        <v>-0.29603499363065666</v>
      </c>
      <c r="Q4" s="193" t="b">
        <v>0</v>
      </c>
      <c r="R4" s="193" t="b">
        <v>1</v>
      </c>
      <c r="S4" s="193" t="str">
        <f>IF(Q4,A4&amp;"1",IF(R4,A4&amp;"3",A4&amp;"2"))</f>
        <v>QB3</v>
      </c>
      <c r="T4" s="197">
        <f>AVERAGEIFS(P:P,S:S,S4)</f>
        <v>5.3180590970375814</v>
      </c>
      <c r="U4" s="197" cm="1">
        <f t="array" ref="U4">STDEV(IF(S:S=S4,P:P))</f>
        <v>10.033020357124986</v>
      </c>
    </row>
    <row r="5" spans="1:21" x14ac:dyDescent="0.2">
      <c r="A5" s="193" t="s">
        <v>9</v>
      </c>
      <c r="B5" s="195" t="s">
        <v>596</v>
      </c>
      <c r="C5" s="195" t="s">
        <v>107</v>
      </c>
      <c r="D5" s="193">
        <v>7</v>
      </c>
      <c r="E5" s="193">
        <v>62</v>
      </c>
      <c r="F5" s="193">
        <v>12</v>
      </c>
      <c r="H5" s="193">
        <v>2</v>
      </c>
      <c r="I5" s="193">
        <v>30</v>
      </c>
      <c r="J5" s="193">
        <v>1</v>
      </c>
      <c r="N5" s="196">
        <v>9.48</v>
      </c>
      <c r="O5" s="196">
        <v>98.596722720000017</v>
      </c>
      <c r="P5" s="197">
        <f>(N5-O5)/O5</f>
        <v>-0.90385075955392769</v>
      </c>
      <c r="Q5" s="193" t="b">
        <v>0</v>
      </c>
      <c r="R5" s="193" t="b">
        <v>1</v>
      </c>
      <c r="S5" s="193" t="str">
        <f>IF(Q5,A5&amp;"1",IF(R5,A5&amp;"3",A5&amp;"2"))</f>
        <v>QB3</v>
      </c>
      <c r="T5" s="197">
        <f>AVERAGEIFS(P:P,S:S,S5)</f>
        <v>5.3180590970375814</v>
      </c>
      <c r="U5" s="197" cm="1">
        <f t="array" ref="U5">STDEV(IF(S:S=S5,P:P))</f>
        <v>10.033020357124986</v>
      </c>
    </row>
    <row r="6" spans="1:21" x14ac:dyDescent="0.2">
      <c r="A6" s="193" t="s">
        <v>9</v>
      </c>
      <c r="B6" s="195" t="s">
        <v>105</v>
      </c>
      <c r="C6" s="195" t="s">
        <v>107</v>
      </c>
      <c r="D6" s="193">
        <v>8</v>
      </c>
      <c r="E6" s="193">
        <v>1799</v>
      </c>
      <c r="F6" s="193">
        <v>176</v>
      </c>
      <c r="G6" s="193">
        <v>10</v>
      </c>
      <c r="H6" s="193">
        <v>5</v>
      </c>
      <c r="I6" s="193">
        <v>244</v>
      </c>
      <c r="J6" s="193">
        <v>3</v>
      </c>
      <c r="N6" s="196">
        <v>149.36000000000001</v>
      </c>
      <c r="O6" s="196">
        <v>67.952044360939965</v>
      </c>
      <c r="P6" s="197">
        <f>(N6-O6)/O6</f>
        <v>1.1980206983420028</v>
      </c>
      <c r="Q6" s="193" t="b">
        <v>0</v>
      </c>
      <c r="R6" s="193" t="b">
        <v>1</v>
      </c>
      <c r="S6" s="193" t="str">
        <f>IF(Q6,A6&amp;"1",IF(R6,A6&amp;"3",A6&amp;"2"))</f>
        <v>QB3</v>
      </c>
      <c r="T6" s="197">
        <f>AVERAGEIFS(P:P,S:S,S6)</f>
        <v>5.3180590970375814</v>
      </c>
      <c r="U6" s="197" cm="1">
        <f t="array" ref="U6">STDEV(IF(S:S=S6,P:P))</f>
        <v>10.033020357124986</v>
      </c>
    </row>
    <row r="7" spans="1:21" x14ac:dyDescent="0.2">
      <c r="A7" s="193" t="s">
        <v>9</v>
      </c>
      <c r="B7" s="195" t="s">
        <v>214</v>
      </c>
      <c r="C7" s="195" t="s">
        <v>108</v>
      </c>
      <c r="D7" s="193">
        <v>5</v>
      </c>
      <c r="E7" s="193">
        <v>890</v>
      </c>
      <c r="F7" s="193">
        <v>74</v>
      </c>
      <c r="G7" s="193">
        <v>5</v>
      </c>
      <c r="H7" s="193">
        <v>4</v>
      </c>
      <c r="I7" s="193">
        <v>124</v>
      </c>
      <c r="J7" s="193">
        <v>1</v>
      </c>
      <c r="N7" s="196">
        <v>70</v>
      </c>
      <c r="O7" s="196">
        <v>35.980127097215657</v>
      </c>
      <c r="P7" s="197">
        <f>(N7-O7)/O7</f>
        <v>0.94551841940038583</v>
      </c>
      <c r="Q7" s="193" t="b">
        <v>0</v>
      </c>
      <c r="R7" s="193" t="b">
        <v>1</v>
      </c>
      <c r="S7" s="193" t="str">
        <f>IF(Q7,A7&amp;"1",IF(R7,A7&amp;"3",A7&amp;"2"))</f>
        <v>QB3</v>
      </c>
      <c r="T7" s="197">
        <f>AVERAGEIFS(P:P,S:S,S7)</f>
        <v>5.3180590970375814</v>
      </c>
      <c r="U7" s="197" cm="1">
        <f t="array" ref="U7">STDEV(IF(S:S=S7,P:P))</f>
        <v>10.033020357124986</v>
      </c>
    </row>
    <row r="8" spans="1:21" x14ac:dyDescent="0.2">
      <c r="A8" s="193" t="s">
        <v>9</v>
      </c>
      <c r="B8" s="195" t="s">
        <v>535</v>
      </c>
      <c r="C8" s="195" t="s">
        <v>130</v>
      </c>
      <c r="D8" s="193">
        <v>11</v>
      </c>
      <c r="E8" s="193">
        <v>1341</v>
      </c>
      <c r="F8" s="193">
        <v>116</v>
      </c>
      <c r="G8" s="193">
        <v>5</v>
      </c>
      <c r="H8" s="193">
        <v>3</v>
      </c>
      <c r="I8" s="193">
        <v>197</v>
      </c>
      <c r="N8" s="196">
        <v>90.34</v>
      </c>
      <c r="O8" s="196">
        <v>23.9509264864007</v>
      </c>
      <c r="P8" s="197">
        <f>(N8-O8)/O8</f>
        <v>2.7718791400948484</v>
      </c>
      <c r="Q8" s="193" t="b">
        <v>0</v>
      </c>
      <c r="R8" s="193" t="b">
        <v>1</v>
      </c>
      <c r="S8" s="193" t="str">
        <f>IF(Q8,A8&amp;"1",IF(R8,A8&amp;"3",A8&amp;"2"))</f>
        <v>QB3</v>
      </c>
      <c r="T8" s="197">
        <f>AVERAGEIFS(P:P,S:S,S8)</f>
        <v>5.3180590970375814</v>
      </c>
      <c r="U8" s="197" cm="1">
        <f t="array" ref="U8">STDEV(IF(S:S=S8,P:P))</f>
        <v>10.033020357124986</v>
      </c>
    </row>
    <row r="9" spans="1:21" x14ac:dyDescent="0.2">
      <c r="A9" s="193" t="s">
        <v>9</v>
      </c>
      <c r="B9" s="195" t="s">
        <v>495</v>
      </c>
      <c r="C9" s="195" t="s">
        <v>192</v>
      </c>
      <c r="D9" s="193">
        <v>3</v>
      </c>
      <c r="E9" s="193">
        <v>231</v>
      </c>
      <c r="F9" s="193">
        <v>23</v>
      </c>
      <c r="H9" s="193">
        <v>2</v>
      </c>
      <c r="I9" s="193">
        <v>-3</v>
      </c>
      <c r="N9" s="196">
        <v>6.94</v>
      </c>
      <c r="O9" s="196">
        <v>23.338961302415605</v>
      </c>
      <c r="P9" s="197">
        <f>(N9-O9)/O9</f>
        <v>-0.70264315064948046</v>
      </c>
      <c r="Q9" s="193" t="b">
        <v>0</v>
      </c>
      <c r="R9" s="193" t="b">
        <v>1</v>
      </c>
      <c r="S9" s="193" t="str">
        <f>IF(Q9,A9&amp;"1",IF(R9,A9&amp;"3",A9&amp;"2"))</f>
        <v>QB3</v>
      </c>
      <c r="T9" s="197">
        <f>AVERAGEIFS(P:P,S:S,S9)</f>
        <v>5.3180590970375814</v>
      </c>
      <c r="U9" s="197" cm="1">
        <f t="array" ref="U9">STDEV(IF(S:S=S9,P:P))</f>
        <v>10.033020357124986</v>
      </c>
    </row>
    <row r="10" spans="1:21" x14ac:dyDescent="0.2">
      <c r="A10" s="193" t="s">
        <v>9</v>
      </c>
      <c r="B10" s="195" t="s">
        <v>514</v>
      </c>
      <c r="C10" s="195" t="s">
        <v>137</v>
      </c>
      <c r="D10" s="193">
        <v>3</v>
      </c>
      <c r="E10" s="193">
        <v>74</v>
      </c>
      <c r="F10" s="193">
        <v>4</v>
      </c>
      <c r="I10" s="193">
        <v>21</v>
      </c>
      <c r="N10" s="196">
        <v>5.0600000000000005</v>
      </c>
      <c r="O10" s="196">
        <v>21.063395821755705</v>
      </c>
      <c r="P10" s="197">
        <f>(N10-O10)/O10</f>
        <v>-0.75977282852114036</v>
      </c>
      <c r="Q10" s="193" t="b">
        <v>0</v>
      </c>
      <c r="R10" s="193" t="b">
        <v>1</v>
      </c>
      <c r="S10" s="193" t="str">
        <f>IF(Q10,A10&amp;"1",IF(R10,A10&amp;"3",A10&amp;"2"))</f>
        <v>QB3</v>
      </c>
      <c r="T10" s="197">
        <f>AVERAGEIFS(P:P,S:S,S10)</f>
        <v>5.3180590970375814</v>
      </c>
      <c r="U10" s="197" cm="1">
        <f t="array" ref="U10">STDEV(IF(S:S=S10,P:P))</f>
        <v>10.033020357124986</v>
      </c>
    </row>
    <row r="11" spans="1:21" x14ac:dyDescent="0.2">
      <c r="A11" s="193" t="s">
        <v>9</v>
      </c>
      <c r="B11" s="195" t="s">
        <v>144</v>
      </c>
      <c r="C11" s="195" t="s">
        <v>127</v>
      </c>
      <c r="D11" s="193">
        <v>3</v>
      </c>
      <c r="E11" s="193">
        <v>224</v>
      </c>
      <c r="F11" s="193">
        <v>18</v>
      </c>
      <c r="G11" s="193">
        <v>3</v>
      </c>
      <c r="I11" s="193">
        <v>19</v>
      </c>
      <c r="N11" s="196">
        <v>22.86</v>
      </c>
      <c r="O11" s="196">
        <v>14.244298191012943</v>
      </c>
      <c r="P11" s="197">
        <f>(N11-O11)/O11</f>
        <v>0.60485267111460095</v>
      </c>
      <c r="Q11" s="193" t="b">
        <v>0</v>
      </c>
      <c r="R11" s="193" t="b">
        <v>1</v>
      </c>
      <c r="S11" s="193" t="str">
        <f>IF(Q11,A11&amp;"1",IF(R11,A11&amp;"3",A11&amp;"2"))</f>
        <v>QB3</v>
      </c>
      <c r="T11" s="197">
        <f>AVERAGEIFS(P:P,S:S,S11)</f>
        <v>5.3180590970375814</v>
      </c>
      <c r="U11" s="197" cm="1">
        <f t="array" ref="U11">STDEV(IF(S:S=S11,P:P))</f>
        <v>10.033020357124986</v>
      </c>
    </row>
    <row r="12" spans="1:21" x14ac:dyDescent="0.2">
      <c r="A12" s="193" t="s">
        <v>9</v>
      </c>
      <c r="B12" s="195" t="s">
        <v>34</v>
      </c>
      <c r="C12" s="195" t="s">
        <v>111</v>
      </c>
      <c r="D12" s="193">
        <v>3</v>
      </c>
      <c r="E12" s="193">
        <v>361</v>
      </c>
      <c r="F12" s="193">
        <v>34</v>
      </c>
      <c r="G12" s="193">
        <v>2</v>
      </c>
      <c r="I12" s="193">
        <v>12</v>
      </c>
      <c r="N12" s="196">
        <v>23.639999999999997</v>
      </c>
      <c r="O12" s="196">
        <v>13.859334107446738</v>
      </c>
      <c r="P12" s="197">
        <f>(N12-O12)/O12</f>
        <v>0.70570965507628713</v>
      </c>
      <c r="Q12" s="193" t="b">
        <v>0</v>
      </c>
      <c r="R12" s="193" t="b">
        <v>1</v>
      </c>
      <c r="S12" s="193" t="str">
        <f>IF(Q12,A12&amp;"1",IF(R12,A12&amp;"3",A12&amp;"2"))</f>
        <v>QB3</v>
      </c>
      <c r="T12" s="197">
        <f>AVERAGEIFS(P:P,S:S,S12)</f>
        <v>5.3180590970375814</v>
      </c>
      <c r="U12" s="197" cm="1">
        <f t="array" ref="U12">STDEV(IF(S:S=S12,P:P))</f>
        <v>10.033020357124986</v>
      </c>
    </row>
    <row r="13" spans="1:21" x14ac:dyDescent="0.2">
      <c r="A13" s="193" t="s">
        <v>9</v>
      </c>
      <c r="B13" s="195" t="s">
        <v>462</v>
      </c>
      <c r="C13" s="195" t="s">
        <v>192</v>
      </c>
      <c r="D13" s="193">
        <v>17</v>
      </c>
      <c r="E13" s="193">
        <v>3305</v>
      </c>
      <c r="F13" s="193">
        <v>305</v>
      </c>
      <c r="G13" s="193">
        <v>15</v>
      </c>
      <c r="H13" s="193">
        <v>9</v>
      </c>
      <c r="I13" s="193">
        <v>100</v>
      </c>
      <c r="J13" s="193">
        <v>3</v>
      </c>
      <c r="N13" s="196">
        <v>211.2</v>
      </c>
      <c r="O13" s="196">
        <v>13.361714622133919</v>
      </c>
      <c r="P13" s="197">
        <f>(N13-O13)/O13</f>
        <v>14.806354646292432</v>
      </c>
      <c r="Q13" s="193" t="b">
        <v>0</v>
      </c>
      <c r="R13" s="193" t="b">
        <v>1</v>
      </c>
      <c r="S13" s="193" t="str">
        <f>IF(Q13,A13&amp;"1",IF(R13,A13&amp;"3",A13&amp;"2"))</f>
        <v>QB3</v>
      </c>
      <c r="T13" s="197">
        <f>AVERAGEIFS(P:P,S:S,S13)</f>
        <v>5.3180590970375814</v>
      </c>
      <c r="U13" s="197" cm="1">
        <f t="array" ref="U13">STDEV(IF(S:S=S13,P:P))</f>
        <v>10.033020357124986</v>
      </c>
    </row>
    <row r="14" spans="1:21" x14ac:dyDescent="0.2">
      <c r="A14" s="193" t="s">
        <v>9</v>
      </c>
      <c r="B14" s="195" t="s">
        <v>702</v>
      </c>
      <c r="C14" s="195" t="s">
        <v>113</v>
      </c>
      <c r="D14" s="193">
        <v>9</v>
      </c>
      <c r="E14" s="193">
        <v>1936</v>
      </c>
      <c r="F14" s="193">
        <v>171</v>
      </c>
      <c r="G14" s="193">
        <v>12</v>
      </c>
      <c r="H14" s="193">
        <v>7</v>
      </c>
      <c r="I14" s="193">
        <v>127</v>
      </c>
      <c r="J14" s="193">
        <v>3</v>
      </c>
      <c r="N14" s="196">
        <v>149.13999999999999</v>
      </c>
      <c r="O14" s="196">
        <v>13.238857219174539</v>
      </c>
      <c r="P14" s="197">
        <f>(N14-O14)/O14</f>
        <v>10.265322794175361</v>
      </c>
      <c r="Q14" s="193" t="b">
        <v>0</v>
      </c>
      <c r="R14" s="193" t="b">
        <v>1</v>
      </c>
      <c r="S14" s="193" t="str">
        <f>IF(Q14,A14&amp;"1",IF(R14,A14&amp;"3",A14&amp;"2"))</f>
        <v>QB3</v>
      </c>
      <c r="T14" s="197">
        <f>AVERAGEIFS(P:P,S:S,S14)</f>
        <v>5.3180590970375814</v>
      </c>
      <c r="U14" s="197" cm="1">
        <f t="array" ref="U14">STDEV(IF(S:S=S14,P:P))</f>
        <v>10.033020357124986</v>
      </c>
    </row>
    <row r="15" spans="1:21" x14ac:dyDescent="0.2">
      <c r="A15" s="193" t="s">
        <v>9</v>
      </c>
      <c r="B15" s="195" t="s">
        <v>87</v>
      </c>
      <c r="C15" s="195" t="s">
        <v>126</v>
      </c>
      <c r="D15" s="193">
        <v>10</v>
      </c>
      <c r="E15" s="193">
        <v>297</v>
      </c>
      <c r="F15" s="193">
        <v>28</v>
      </c>
      <c r="G15" s="193">
        <v>2</v>
      </c>
      <c r="H15" s="193">
        <v>1</v>
      </c>
      <c r="I15" s="193">
        <v>15</v>
      </c>
      <c r="J15" s="193">
        <v>1</v>
      </c>
      <c r="N15" s="196">
        <v>26.380000000000003</v>
      </c>
      <c r="O15" s="196">
        <v>12.560258565599998</v>
      </c>
      <c r="P15" s="197">
        <f>(N15-O15)/O15</f>
        <v>1.1002752341619364</v>
      </c>
      <c r="Q15" s="193" t="b">
        <v>0</v>
      </c>
      <c r="R15" s="193" t="b">
        <v>1</v>
      </c>
      <c r="S15" s="193" t="str">
        <f>IF(Q15,A15&amp;"1",IF(R15,A15&amp;"3",A15&amp;"2"))</f>
        <v>QB3</v>
      </c>
      <c r="T15" s="197">
        <f>AVERAGEIFS(P:P,S:S,S15)</f>
        <v>5.3180590970375814</v>
      </c>
      <c r="U15" s="197" cm="1">
        <f t="array" ref="U15">STDEV(IF(S:S=S15,P:P))</f>
        <v>10.033020357124986</v>
      </c>
    </row>
    <row r="16" spans="1:21" x14ac:dyDescent="0.2">
      <c r="A16" s="193" t="s">
        <v>9</v>
      </c>
      <c r="B16" s="195" t="s">
        <v>168</v>
      </c>
      <c r="C16" s="195" t="s">
        <v>129</v>
      </c>
      <c r="D16" s="193">
        <v>4</v>
      </c>
      <c r="E16" s="193">
        <v>543</v>
      </c>
      <c r="F16" s="193">
        <v>48</v>
      </c>
      <c r="G16" s="193">
        <v>3</v>
      </c>
      <c r="H16" s="193">
        <v>3</v>
      </c>
      <c r="I16" s="193">
        <v>14</v>
      </c>
      <c r="N16" s="196">
        <v>32.119999999999997</v>
      </c>
      <c r="O16" s="196">
        <v>11.385994292797822</v>
      </c>
      <c r="P16" s="197">
        <f>(N16-O16)/O16</f>
        <v>1.821009669776263</v>
      </c>
      <c r="Q16" s="193" t="b">
        <v>0</v>
      </c>
      <c r="R16" s="193" t="b">
        <v>1</v>
      </c>
      <c r="S16" s="193" t="str">
        <f>IF(Q16,A16&amp;"1",IF(R16,A16&amp;"3",A16&amp;"2"))</f>
        <v>QB3</v>
      </c>
      <c r="T16" s="197">
        <f>AVERAGEIFS(P:P,S:S,S16)</f>
        <v>5.3180590970375814</v>
      </c>
      <c r="U16" s="197" cm="1">
        <f t="array" ref="U16">STDEV(IF(S:S=S16,P:P))</f>
        <v>10.033020357124986</v>
      </c>
    </row>
    <row r="17" spans="1:21" x14ac:dyDescent="0.2">
      <c r="A17" s="193" t="s">
        <v>9</v>
      </c>
      <c r="B17" s="195" t="s">
        <v>650</v>
      </c>
      <c r="C17" s="195" t="s">
        <v>137</v>
      </c>
      <c r="D17" s="193">
        <v>9</v>
      </c>
      <c r="E17" s="193">
        <v>1808</v>
      </c>
      <c r="F17" s="193">
        <v>149</v>
      </c>
      <c r="G17" s="193">
        <v>8</v>
      </c>
      <c r="H17" s="193">
        <v>4</v>
      </c>
      <c r="I17" s="193">
        <v>57</v>
      </c>
      <c r="J17" s="193">
        <v>1</v>
      </c>
      <c r="N17" s="196">
        <v>112.02000000000001</v>
      </c>
      <c r="O17" s="196">
        <v>11.103596077020001</v>
      </c>
      <c r="P17" s="197">
        <f>(N17-O17)/O17</f>
        <v>9.0886234714388223</v>
      </c>
      <c r="Q17" s="193" t="b">
        <v>0</v>
      </c>
      <c r="R17" s="193" t="b">
        <v>1</v>
      </c>
      <c r="S17" s="193" t="str">
        <f>IF(Q17,A17&amp;"1",IF(R17,A17&amp;"3",A17&amp;"2"))</f>
        <v>QB3</v>
      </c>
      <c r="T17" s="197">
        <f>AVERAGEIFS(P:P,S:S,S17)</f>
        <v>5.3180590970375814</v>
      </c>
      <c r="U17" s="197" cm="1">
        <f t="array" ref="U17">STDEV(IF(S:S=S17,P:P))</f>
        <v>10.033020357124986</v>
      </c>
    </row>
    <row r="18" spans="1:21" x14ac:dyDescent="0.2">
      <c r="A18" s="193" t="s">
        <v>9</v>
      </c>
      <c r="B18" s="195" t="s">
        <v>209</v>
      </c>
      <c r="C18" s="195" t="s">
        <v>533</v>
      </c>
      <c r="D18" s="193">
        <v>3</v>
      </c>
      <c r="E18" s="193">
        <v>164</v>
      </c>
      <c r="F18" s="193">
        <v>15</v>
      </c>
      <c r="G18" s="193">
        <v>1</v>
      </c>
      <c r="H18" s="193">
        <v>1</v>
      </c>
      <c r="I18" s="193">
        <v>52</v>
      </c>
      <c r="N18" s="196">
        <v>14.760000000000002</v>
      </c>
      <c r="O18" s="196">
        <v>8.783530238899468</v>
      </c>
      <c r="P18" s="197">
        <f>(N18-O18)/O18</f>
        <v>0.68041773621187585</v>
      </c>
      <c r="Q18" s="193" t="b">
        <v>0</v>
      </c>
      <c r="R18" s="193" t="b">
        <v>1</v>
      </c>
      <c r="S18" s="193" t="str">
        <f>IF(Q18,A18&amp;"1",IF(R18,A18&amp;"3",A18&amp;"2"))</f>
        <v>QB3</v>
      </c>
      <c r="T18" s="197">
        <f>AVERAGEIFS(P:P,S:S,S18)</f>
        <v>5.3180590970375814</v>
      </c>
      <c r="U18" s="197" cm="1">
        <f t="array" ref="U18">STDEV(IF(S:S=S18,P:P))</f>
        <v>10.033020357124986</v>
      </c>
    </row>
    <row r="19" spans="1:21" x14ac:dyDescent="0.2">
      <c r="A19" s="193" t="s">
        <v>9</v>
      </c>
      <c r="B19" s="195" t="s">
        <v>485</v>
      </c>
      <c r="C19" s="195" t="s">
        <v>126</v>
      </c>
      <c r="D19" s="193">
        <v>5</v>
      </c>
      <c r="E19" s="193">
        <v>1306</v>
      </c>
      <c r="F19" s="193">
        <v>100</v>
      </c>
      <c r="G19" s="193">
        <v>7</v>
      </c>
      <c r="H19" s="193">
        <v>8</v>
      </c>
      <c r="I19" s="193">
        <v>25</v>
      </c>
      <c r="N19" s="196">
        <v>74.740000000000009</v>
      </c>
      <c r="O19" s="196">
        <v>7.8821260056000071</v>
      </c>
      <c r="P19" s="197">
        <f>(N19-O19)/O19</f>
        <v>8.4822132945983792</v>
      </c>
      <c r="Q19" s="193" t="b">
        <v>0</v>
      </c>
      <c r="R19" s="193" t="b">
        <v>1</v>
      </c>
      <c r="S19" s="193" t="str">
        <f>IF(Q19,A19&amp;"1",IF(R19,A19&amp;"3",A19&amp;"2"))</f>
        <v>QB3</v>
      </c>
      <c r="T19" s="197">
        <f>AVERAGEIFS(P:P,S:S,S19)</f>
        <v>5.3180590970375814</v>
      </c>
      <c r="U19" s="197" cm="1">
        <f t="array" ref="U19">STDEV(IF(S:S=S19,P:P))</f>
        <v>10.033020357124986</v>
      </c>
    </row>
    <row r="20" spans="1:21" x14ac:dyDescent="0.2">
      <c r="A20" s="193" t="s">
        <v>9</v>
      </c>
      <c r="B20" s="195" t="s">
        <v>211</v>
      </c>
      <c r="C20" s="195" t="s">
        <v>114</v>
      </c>
      <c r="D20" s="193">
        <v>7</v>
      </c>
      <c r="E20" s="193">
        <v>264</v>
      </c>
      <c r="F20" s="193">
        <v>25</v>
      </c>
      <c r="G20" s="193">
        <v>2</v>
      </c>
      <c r="H20" s="193">
        <v>3</v>
      </c>
      <c r="I20" s="193">
        <v>-6</v>
      </c>
      <c r="N20" s="196">
        <v>14.960000000000003</v>
      </c>
      <c r="O20" s="196">
        <v>7.8369386964400114</v>
      </c>
      <c r="P20" s="197">
        <f>(N20-O20)/O20</f>
        <v>0.9089086414310853</v>
      </c>
      <c r="Q20" s="193" t="b">
        <v>0</v>
      </c>
      <c r="R20" s="193" t="b">
        <v>1</v>
      </c>
      <c r="S20" s="193" t="str">
        <f>IF(Q20,A20&amp;"1",IF(R20,A20&amp;"3",A20&amp;"2"))</f>
        <v>QB3</v>
      </c>
      <c r="T20" s="197">
        <f>AVERAGEIFS(P:P,S:S,S20)</f>
        <v>5.3180590970375814</v>
      </c>
      <c r="U20" s="197" cm="1">
        <f t="array" ref="U20">STDEV(IF(S:S=S20,P:P))</f>
        <v>10.033020357124986</v>
      </c>
    </row>
    <row r="21" spans="1:21" x14ac:dyDescent="0.2">
      <c r="A21" s="193" t="s">
        <v>9</v>
      </c>
      <c r="B21" s="195" t="s">
        <v>473</v>
      </c>
      <c r="C21" s="195" t="s">
        <v>114</v>
      </c>
      <c r="D21" s="193">
        <v>5</v>
      </c>
      <c r="E21" s="193">
        <v>203</v>
      </c>
      <c r="F21" s="193">
        <v>21</v>
      </c>
      <c r="G21" s="193">
        <v>3</v>
      </c>
      <c r="I21" s="193">
        <v>55</v>
      </c>
      <c r="N21" s="196">
        <v>25.62</v>
      </c>
      <c r="O21" s="196">
        <v>7.6206734192034498</v>
      </c>
      <c r="P21" s="197">
        <f>(N21-O21)/O21</f>
        <v>2.361907615072413</v>
      </c>
      <c r="Q21" s="193" t="b">
        <v>0</v>
      </c>
      <c r="R21" s="193" t="b">
        <v>1</v>
      </c>
      <c r="S21" s="193" t="str">
        <f>IF(Q21,A21&amp;"1",IF(R21,A21&amp;"3",A21&amp;"2"))</f>
        <v>QB3</v>
      </c>
      <c r="T21" s="197">
        <f>AVERAGEIFS(P:P,S:S,S21)</f>
        <v>5.3180590970375814</v>
      </c>
      <c r="U21" s="197" cm="1">
        <f t="array" ref="U21">STDEV(IF(S:S=S21,P:P))</f>
        <v>10.033020357124986</v>
      </c>
    </row>
    <row r="22" spans="1:21" x14ac:dyDescent="0.2">
      <c r="A22" s="193" t="s">
        <v>9</v>
      </c>
      <c r="B22" s="195" t="s">
        <v>467</v>
      </c>
      <c r="C22" s="195" t="s">
        <v>125</v>
      </c>
      <c r="D22" s="193">
        <v>6</v>
      </c>
      <c r="E22" s="193">
        <v>74</v>
      </c>
      <c r="F22" s="193">
        <v>5</v>
      </c>
      <c r="G22" s="193">
        <v>1</v>
      </c>
      <c r="H22" s="193">
        <v>1</v>
      </c>
      <c r="I22" s="193">
        <v>-9</v>
      </c>
      <c r="N22" s="196">
        <v>5.0599999999999996</v>
      </c>
      <c r="O22" s="196">
        <v>7.1777933223661545</v>
      </c>
      <c r="P22" s="197">
        <f>(N22-O22)/O22</f>
        <v>-0.2950479663111874</v>
      </c>
      <c r="Q22" s="193" t="b">
        <v>0</v>
      </c>
      <c r="R22" s="193" t="b">
        <v>1</v>
      </c>
      <c r="S22" s="193" t="str">
        <f>IF(Q22,A22&amp;"1",IF(R22,A22&amp;"3",A22&amp;"2"))</f>
        <v>QB3</v>
      </c>
      <c r="T22" s="197">
        <f>AVERAGEIFS(P:P,S:S,S22)</f>
        <v>5.3180590970375814</v>
      </c>
      <c r="U22" s="197" cm="1">
        <f t="array" ref="U22">STDEV(IF(S:S=S22,P:P))</f>
        <v>10.033020357124986</v>
      </c>
    </row>
    <row r="23" spans="1:21" x14ac:dyDescent="0.2">
      <c r="A23" s="193" t="s">
        <v>9</v>
      </c>
      <c r="B23" s="195" t="s">
        <v>670</v>
      </c>
      <c r="C23" s="195" t="s">
        <v>114</v>
      </c>
      <c r="D23" s="193">
        <v>8</v>
      </c>
      <c r="E23" s="193">
        <v>440</v>
      </c>
      <c r="F23" s="193">
        <v>60</v>
      </c>
      <c r="G23" s="193">
        <v>1</v>
      </c>
      <c r="H23" s="193">
        <v>4</v>
      </c>
      <c r="I23" s="193">
        <v>65</v>
      </c>
      <c r="N23" s="196">
        <v>24.1</v>
      </c>
      <c r="O23" s="196">
        <v>6.7185977184000034</v>
      </c>
      <c r="P23" s="197">
        <f>(N23-O23)/O23</f>
        <v>2.5870580454606054</v>
      </c>
      <c r="Q23" s="193" t="b">
        <v>0</v>
      </c>
      <c r="R23" s="193" t="b">
        <v>1</v>
      </c>
      <c r="S23" s="193" t="str">
        <f>IF(Q23,A23&amp;"1",IF(R23,A23&amp;"3",A23&amp;"2"))</f>
        <v>QB3</v>
      </c>
      <c r="T23" s="197">
        <f>AVERAGEIFS(P:P,S:S,S23)</f>
        <v>5.3180590970375814</v>
      </c>
      <c r="U23" s="197" cm="1">
        <f t="array" ref="U23">STDEV(IF(S:S=S23,P:P))</f>
        <v>10.033020357124986</v>
      </c>
    </row>
    <row r="24" spans="1:21" x14ac:dyDescent="0.2">
      <c r="A24" s="193" t="s">
        <v>9</v>
      </c>
      <c r="B24" s="195" t="s">
        <v>688</v>
      </c>
      <c r="C24" s="195" t="s">
        <v>112</v>
      </c>
      <c r="D24" s="193">
        <v>5</v>
      </c>
      <c r="E24" s="193">
        <v>859</v>
      </c>
      <c r="F24" s="193">
        <v>94</v>
      </c>
      <c r="G24" s="193">
        <v>3</v>
      </c>
      <c r="H24" s="193">
        <v>6</v>
      </c>
      <c r="I24" s="193">
        <v>109</v>
      </c>
      <c r="J24" s="193">
        <v>2</v>
      </c>
      <c r="N24" s="196">
        <v>63.26</v>
      </c>
      <c r="O24" s="196">
        <v>6.6868205304145709</v>
      </c>
      <c r="P24" s="197">
        <f>(N24-O24)/O24</f>
        <v>8.46040045672917</v>
      </c>
      <c r="Q24" s="193" t="b">
        <v>0</v>
      </c>
      <c r="R24" s="193" t="b">
        <v>1</v>
      </c>
      <c r="S24" s="193" t="str">
        <f>IF(Q24,A24&amp;"1",IF(R24,A24&amp;"3",A24&amp;"2"))</f>
        <v>QB3</v>
      </c>
      <c r="T24" s="197">
        <f>AVERAGEIFS(P:P,S:S,S24)</f>
        <v>5.3180590970375814</v>
      </c>
      <c r="U24" s="197" cm="1">
        <f t="array" ref="U24">STDEV(IF(S:S=S24,P:P))</f>
        <v>10.033020357124986</v>
      </c>
    </row>
    <row r="25" spans="1:21" x14ac:dyDescent="0.2">
      <c r="A25" s="193" t="s">
        <v>9</v>
      </c>
      <c r="B25" s="195" t="s">
        <v>207</v>
      </c>
      <c r="C25" s="195" t="s">
        <v>119</v>
      </c>
      <c r="D25" s="193">
        <v>6</v>
      </c>
      <c r="E25" s="193">
        <v>173</v>
      </c>
      <c r="F25" s="193">
        <v>18</v>
      </c>
      <c r="G25" s="193">
        <v>2</v>
      </c>
      <c r="I25" s="193">
        <v>9</v>
      </c>
      <c r="N25" s="196">
        <v>15.82</v>
      </c>
      <c r="O25" s="196">
        <v>6.0265679597533444</v>
      </c>
      <c r="P25" s="197">
        <f>(N25-O25)/O25</f>
        <v>1.6250429938978872</v>
      </c>
      <c r="Q25" s="193" t="b">
        <v>0</v>
      </c>
      <c r="R25" s="193" t="b">
        <v>1</v>
      </c>
      <c r="S25" s="193" t="str">
        <f>IF(Q25,A25&amp;"1",IF(R25,A25&amp;"3",A25&amp;"2"))</f>
        <v>QB3</v>
      </c>
      <c r="T25" s="197">
        <f>AVERAGEIFS(P:P,S:S,S25)</f>
        <v>5.3180590970375814</v>
      </c>
      <c r="U25" s="197" cm="1">
        <f t="array" ref="U25">STDEV(IF(S:S=S25,P:P))</f>
        <v>10.033020357124986</v>
      </c>
    </row>
    <row r="26" spans="1:21" x14ac:dyDescent="0.2">
      <c r="A26" s="193" t="s">
        <v>9</v>
      </c>
      <c r="B26" s="195" t="s">
        <v>536</v>
      </c>
      <c r="C26" s="195" t="s">
        <v>116</v>
      </c>
      <c r="D26" s="193">
        <v>3</v>
      </c>
      <c r="E26" s="193">
        <v>496</v>
      </c>
      <c r="F26" s="193">
        <v>40</v>
      </c>
      <c r="G26" s="193">
        <v>2</v>
      </c>
      <c r="H26" s="193">
        <v>1</v>
      </c>
      <c r="I26" s="193">
        <v>8</v>
      </c>
      <c r="N26" s="196">
        <v>27.64</v>
      </c>
      <c r="O26" s="196">
        <v>3.0679900639155027</v>
      </c>
      <c r="P26" s="197">
        <f>(N26-O26)/O26</f>
        <v>8.0091556439803551</v>
      </c>
      <c r="Q26" s="193" t="b">
        <v>0</v>
      </c>
      <c r="R26" s="193" t="b">
        <v>1</v>
      </c>
      <c r="S26" s="193" t="str">
        <f>IF(Q26,A26&amp;"1",IF(R26,A26&amp;"3",A26&amp;"2"))</f>
        <v>QB3</v>
      </c>
      <c r="T26" s="197">
        <f>AVERAGEIFS(P:P,S:S,S26)</f>
        <v>5.3180590970375814</v>
      </c>
      <c r="U26" s="197" cm="1">
        <f t="array" ref="U26">STDEV(IF(S:S=S26,P:P))</f>
        <v>10.033020357124986</v>
      </c>
    </row>
    <row r="27" spans="1:21" x14ac:dyDescent="0.2">
      <c r="A27" s="193" t="s">
        <v>9</v>
      </c>
      <c r="B27" s="195" t="s">
        <v>212</v>
      </c>
      <c r="C27" s="195" t="s">
        <v>116</v>
      </c>
      <c r="D27" s="193">
        <v>12</v>
      </c>
      <c r="E27" s="193">
        <v>2271</v>
      </c>
      <c r="F27" s="193">
        <v>221</v>
      </c>
      <c r="G27" s="193">
        <v>8</v>
      </c>
      <c r="H27" s="193">
        <v>7</v>
      </c>
      <c r="I27" s="193">
        <v>211</v>
      </c>
      <c r="N27" s="196">
        <v>136.94</v>
      </c>
      <c r="O27" s="196">
        <v>2.8400780345311172</v>
      </c>
      <c r="P27" s="197">
        <f>(N27-O27)/O27</f>
        <v>47.216985003585691</v>
      </c>
      <c r="Q27" s="193" t="b">
        <v>0</v>
      </c>
      <c r="R27" s="193" t="b">
        <v>1</v>
      </c>
      <c r="S27" s="193" t="str">
        <f>IF(Q27,A27&amp;"1",IF(R27,A27&amp;"3",A27&amp;"2"))</f>
        <v>QB3</v>
      </c>
      <c r="T27" s="197">
        <f>AVERAGEIFS(P:P,S:S,S27)</f>
        <v>5.3180590970375814</v>
      </c>
      <c r="U27" s="197" cm="1">
        <f t="array" ref="U27">STDEV(IF(S:S=S27,P:P))</f>
        <v>10.033020357124986</v>
      </c>
    </row>
    <row r="28" spans="1:21" x14ac:dyDescent="0.2">
      <c r="A28" s="193" t="s">
        <v>9</v>
      </c>
      <c r="B28" s="195" t="s">
        <v>629</v>
      </c>
      <c r="C28" s="195" t="s">
        <v>122</v>
      </c>
      <c r="D28" s="193">
        <v>2</v>
      </c>
      <c r="E28" s="193">
        <v>185</v>
      </c>
      <c r="F28" s="193">
        <v>18</v>
      </c>
      <c r="H28" s="193">
        <v>3</v>
      </c>
      <c r="I28" s="193">
        <v>45</v>
      </c>
      <c r="N28" s="196">
        <v>8.9</v>
      </c>
      <c r="O28" s="196">
        <v>2.7295891675666519</v>
      </c>
      <c r="P28" s="197">
        <f>(N28-O28)/O28</f>
        <v>2.2605639360497931</v>
      </c>
      <c r="Q28" s="193" t="b">
        <v>0</v>
      </c>
      <c r="R28" s="193" t="b">
        <v>1</v>
      </c>
      <c r="S28" s="193" t="str">
        <f>IF(Q28,A28&amp;"1",IF(R28,A28&amp;"3",A28&amp;"2"))</f>
        <v>QB3</v>
      </c>
      <c r="T28" s="197">
        <f>AVERAGEIFS(P:P,S:S,S28)</f>
        <v>5.3180590970375814</v>
      </c>
      <c r="U28" s="197" cm="1">
        <f t="array" ref="U28">STDEV(IF(S:S=S28,P:P))</f>
        <v>10.033020357124986</v>
      </c>
    </row>
    <row r="29" spans="1:21" x14ac:dyDescent="0.2">
      <c r="A29" s="193" t="s">
        <v>9</v>
      </c>
      <c r="B29" s="195" t="s">
        <v>587</v>
      </c>
      <c r="C29" s="195" t="s">
        <v>123</v>
      </c>
      <c r="D29" s="193">
        <v>5</v>
      </c>
      <c r="E29" s="193">
        <v>1129</v>
      </c>
      <c r="F29" s="193">
        <v>111</v>
      </c>
      <c r="G29" s="193">
        <v>3</v>
      </c>
      <c r="H29" s="193">
        <v>1</v>
      </c>
      <c r="I29" s="193">
        <v>144</v>
      </c>
      <c r="J29" s="193">
        <v>1</v>
      </c>
      <c r="N29" s="196">
        <v>76.56</v>
      </c>
      <c r="O29" s="196">
        <v>2.583076314319138</v>
      </c>
      <c r="P29" s="197">
        <f>(N29-O29)/O29</f>
        <v>28.639077860609053</v>
      </c>
      <c r="Q29" s="193" t="b">
        <v>0</v>
      </c>
      <c r="R29" s="193" t="b">
        <v>1</v>
      </c>
      <c r="S29" s="193" t="str">
        <f>IF(Q29,A29&amp;"1",IF(R29,A29&amp;"3",A29&amp;"2"))</f>
        <v>QB3</v>
      </c>
      <c r="T29" s="197">
        <f>AVERAGEIFS(P:P,S:S,S29)</f>
        <v>5.3180590970375814</v>
      </c>
      <c r="U29" s="197" cm="1">
        <f t="array" ref="U29">STDEV(IF(S:S=S29,P:P))</f>
        <v>10.033020357124986</v>
      </c>
    </row>
    <row r="30" spans="1:21" x14ac:dyDescent="0.2">
      <c r="A30" s="193" t="s">
        <v>9</v>
      </c>
      <c r="B30" s="195" t="s">
        <v>464</v>
      </c>
      <c r="C30" s="195" t="s">
        <v>537</v>
      </c>
      <c r="D30" s="193">
        <v>7</v>
      </c>
      <c r="E30" s="193">
        <v>349</v>
      </c>
      <c r="F30" s="193">
        <v>40</v>
      </c>
      <c r="G30" s="193">
        <v>1</v>
      </c>
      <c r="I30" s="193">
        <v>35</v>
      </c>
      <c r="N30" s="196">
        <v>21.46</v>
      </c>
      <c r="O30" s="196">
        <v>2.3851871068851112</v>
      </c>
      <c r="P30" s="197">
        <f>(N30-O30)/O30</f>
        <v>7.9971977200670308</v>
      </c>
      <c r="Q30" s="193" t="b">
        <v>0</v>
      </c>
      <c r="R30" s="193" t="b">
        <v>1</v>
      </c>
      <c r="S30" s="193" t="str">
        <f>IF(Q30,A30&amp;"1",IF(R30,A30&amp;"3",A30&amp;"2"))</f>
        <v>QB3</v>
      </c>
      <c r="T30" s="197">
        <f>AVERAGEIFS(P:P,S:S,S30)</f>
        <v>5.3180590970375814</v>
      </c>
      <c r="U30" s="197" cm="1">
        <f t="array" ref="U30">STDEV(IF(S:S=S30,P:P))</f>
        <v>10.033020357124986</v>
      </c>
    </row>
    <row r="31" spans="1:21" x14ac:dyDescent="0.2">
      <c r="A31" s="193" t="s">
        <v>9</v>
      </c>
      <c r="B31" s="195" t="s">
        <v>616</v>
      </c>
      <c r="C31" s="195" t="s">
        <v>118</v>
      </c>
      <c r="D31" s="193">
        <v>2</v>
      </c>
      <c r="E31" s="193">
        <v>37</v>
      </c>
      <c r="F31" s="193">
        <v>1</v>
      </c>
      <c r="I31" s="193">
        <v>-2</v>
      </c>
      <c r="N31" s="196">
        <v>1.28</v>
      </c>
      <c r="O31" s="196">
        <v>2.2216458982080018</v>
      </c>
      <c r="P31" s="197">
        <f>(N31-O31)/O31</f>
        <v>-0.42385057806356147</v>
      </c>
      <c r="Q31" s="193" t="b">
        <v>0</v>
      </c>
      <c r="R31" s="193" t="b">
        <v>1</v>
      </c>
      <c r="S31" s="193" t="str">
        <f>IF(Q31,A31&amp;"1",IF(R31,A31&amp;"3",A31&amp;"2"))</f>
        <v>QB3</v>
      </c>
      <c r="T31" s="197">
        <f>AVERAGEIFS(P:P,S:S,S31)</f>
        <v>5.3180590970375814</v>
      </c>
      <c r="U31" s="197" cm="1">
        <f t="array" ref="U31">STDEV(IF(S:S=S31,P:P))</f>
        <v>10.033020357124986</v>
      </c>
    </row>
    <row r="32" spans="1:21" x14ac:dyDescent="0.2">
      <c r="A32" s="193" t="s">
        <v>10</v>
      </c>
      <c r="B32" t="s">
        <v>65</v>
      </c>
      <c r="C32" t="s">
        <v>113</v>
      </c>
      <c r="D32">
        <v>17</v>
      </c>
      <c r="K32">
        <v>29</v>
      </c>
      <c r="L32">
        <v>244</v>
      </c>
      <c r="M32">
        <v>2</v>
      </c>
      <c r="N32" s="196">
        <v>50.900000000000006</v>
      </c>
      <c r="O32" s="196">
        <v>84.395870962075392</v>
      </c>
      <c r="P32" s="197">
        <f>(N32-O32)/O32</f>
        <v>-0.39688992577761634</v>
      </c>
      <c r="Q32" s="193" t="b">
        <v>0</v>
      </c>
      <c r="R32" s="193" t="b">
        <v>1</v>
      </c>
      <c r="S32" s="193" t="str">
        <f>IF(Q32,A32&amp;"1",IF(R32,A32&amp;"3",A32&amp;"2"))</f>
        <v>TE3</v>
      </c>
      <c r="T32" s="197">
        <f>AVERAGEIFS(P:P,S:S,S32)</f>
        <v>0.30256123768782139</v>
      </c>
      <c r="U32" s="197" cm="1">
        <f t="array" ref="U32">STDEV(IF(S:S=S32,P:P))</f>
        <v>1.2224378401025804</v>
      </c>
    </row>
    <row r="33" spans="1:21" x14ac:dyDescent="0.2">
      <c r="A33" s="193" t="s">
        <v>10</v>
      </c>
      <c r="B33" t="s">
        <v>24</v>
      </c>
      <c r="C33" t="s">
        <v>123</v>
      </c>
      <c r="D33">
        <v>9</v>
      </c>
      <c r="K33">
        <v>18</v>
      </c>
      <c r="L33">
        <v>184</v>
      </c>
      <c r="M33">
        <v>1</v>
      </c>
      <c r="N33" s="196">
        <v>33.400000000000006</v>
      </c>
      <c r="O33" s="196">
        <v>84.191268201874024</v>
      </c>
      <c r="P33" s="197">
        <f>(N33-O33)/O33</f>
        <v>-0.60328427504009796</v>
      </c>
      <c r="Q33" s="193" t="b">
        <v>0</v>
      </c>
      <c r="R33" s="193" t="b">
        <v>1</v>
      </c>
      <c r="S33" s="193" t="str">
        <f>IF(Q33,A33&amp;"1",IF(R33,A33&amp;"3",A33&amp;"2"))</f>
        <v>TE3</v>
      </c>
      <c r="T33" s="197">
        <f>AVERAGEIFS(P:P,S:S,S33)</f>
        <v>0.30256123768782139</v>
      </c>
      <c r="U33" s="197" cm="1">
        <f t="array" ref="U33">STDEV(IF(S:S=S33,P:P))</f>
        <v>1.2224378401025804</v>
      </c>
    </row>
    <row r="34" spans="1:21" x14ac:dyDescent="0.2">
      <c r="A34" s="193" t="s">
        <v>10</v>
      </c>
      <c r="B34" t="s">
        <v>515</v>
      </c>
      <c r="C34" t="s">
        <v>136</v>
      </c>
      <c r="D34">
        <v>17</v>
      </c>
      <c r="K34">
        <v>47</v>
      </c>
      <c r="L34">
        <v>455</v>
      </c>
      <c r="M34">
        <v>4</v>
      </c>
      <c r="N34" s="196">
        <v>93</v>
      </c>
      <c r="O34" s="196">
        <v>82.115765388526086</v>
      </c>
      <c r="P34" s="197">
        <f>(N34-O34)/O34</f>
        <v>0.13254744152935524</v>
      </c>
      <c r="Q34" s="193" t="b">
        <v>0</v>
      </c>
      <c r="R34" s="193" t="b">
        <v>1</v>
      </c>
      <c r="S34" s="193" t="str">
        <f>IF(Q34,A34&amp;"1",IF(R34,A34&amp;"3",A34&amp;"2"))</f>
        <v>TE3</v>
      </c>
      <c r="T34" s="197">
        <f>AVERAGEIFS(P:P,S:S,S34)</f>
        <v>0.30256123768782139</v>
      </c>
      <c r="U34" s="197" cm="1">
        <f t="array" ref="U34">STDEV(IF(S:S=S34,P:P))</f>
        <v>1.2224378401025804</v>
      </c>
    </row>
    <row r="35" spans="1:21" x14ac:dyDescent="0.2">
      <c r="A35" s="193" t="s">
        <v>10</v>
      </c>
      <c r="B35" t="s">
        <v>556</v>
      </c>
      <c r="C35" t="s">
        <v>130</v>
      </c>
      <c r="D35">
        <v>17</v>
      </c>
      <c r="K35">
        <v>61</v>
      </c>
      <c r="L35">
        <v>621</v>
      </c>
      <c r="M35"/>
      <c r="N35" s="196">
        <v>92.6</v>
      </c>
      <c r="O35" s="196">
        <v>80.821451672672566</v>
      </c>
      <c r="P35" s="197">
        <f>(N35-O35)/O35</f>
        <v>0.14573542151940835</v>
      </c>
      <c r="Q35" s="193" t="b">
        <v>0</v>
      </c>
      <c r="R35" s="193" t="b">
        <v>1</v>
      </c>
      <c r="S35" s="193" t="str">
        <f>IF(Q35,A35&amp;"1",IF(R35,A35&amp;"3",A35&amp;"2"))</f>
        <v>TE3</v>
      </c>
      <c r="T35" s="197">
        <f>AVERAGEIFS(P:P,S:S,S35)</f>
        <v>0.30256123768782139</v>
      </c>
      <c r="U35" s="197" cm="1">
        <f t="array" ref="U35">STDEV(IF(S:S=S35,P:P))</f>
        <v>1.2224378401025804</v>
      </c>
    </row>
    <row r="36" spans="1:21" x14ac:dyDescent="0.2">
      <c r="A36" s="193" t="s">
        <v>10</v>
      </c>
      <c r="B36" t="s">
        <v>19</v>
      </c>
      <c r="C36" t="s">
        <v>127</v>
      </c>
      <c r="D36">
        <v>17</v>
      </c>
      <c r="K36">
        <v>25</v>
      </c>
      <c r="L36">
        <v>234</v>
      </c>
      <c r="M36"/>
      <c r="N36" s="196">
        <v>35.900000000000006</v>
      </c>
      <c r="O36" s="196">
        <v>74.709928956497578</v>
      </c>
      <c r="P36" s="197">
        <f>(N36-O36)/O36</f>
        <v>-0.51947484756806539</v>
      </c>
      <c r="Q36" s="193" t="b">
        <v>0</v>
      </c>
      <c r="R36" s="193" t="b">
        <v>1</v>
      </c>
      <c r="S36" s="193" t="str">
        <f>IF(Q36,A36&amp;"1",IF(R36,A36&amp;"3",A36&amp;"2"))</f>
        <v>TE3</v>
      </c>
      <c r="T36" s="197">
        <f>AVERAGEIFS(P:P,S:S,S36)</f>
        <v>0.30256123768782139</v>
      </c>
      <c r="U36" s="197" cm="1">
        <f t="array" ref="U36">STDEV(IF(S:S=S36,P:P))</f>
        <v>1.2224378401025804</v>
      </c>
    </row>
    <row r="37" spans="1:21" x14ac:dyDescent="0.2">
      <c r="A37" s="193" t="s">
        <v>10</v>
      </c>
      <c r="B37" s="195" t="s">
        <v>93</v>
      </c>
      <c r="C37" s="195" t="s">
        <v>128</v>
      </c>
      <c r="D37" s="193">
        <v>16</v>
      </c>
      <c r="E37" s="193">
        <v>83</v>
      </c>
      <c r="F37" s="193">
        <v>6</v>
      </c>
      <c r="G37" s="193">
        <v>1</v>
      </c>
      <c r="I37" s="193">
        <v>401</v>
      </c>
      <c r="J37" s="193">
        <v>4</v>
      </c>
      <c r="N37" s="196">
        <v>71.42</v>
      </c>
      <c r="O37" s="196">
        <v>71.977671055054685</v>
      </c>
      <c r="P37" s="197">
        <f>(N37-O37)/O37</f>
        <v>-7.7478341113333456E-3</v>
      </c>
      <c r="Q37" s="193" t="b">
        <v>0</v>
      </c>
      <c r="R37" s="193" t="b">
        <v>1</v>
      </c>
      <c r="S37" s="193" t="str">
        <f>IF(Q37,A37&amp;"1",IF(R37,A37&amp;"3",A37&amp;"2"))</f>
        <v>TE3</v>
      </c>
      <c r="T37" s="197">
        <f>AVERAGEIFS(P:P,S:S,S37)</f>
        <v>0.30256123768782139</v>
      </c>
      <c r="U37" s="197" cm="1">
        <f t="array" ref="U37">STDEV(IF(S:S=S37,P:P))</f>
        <v>1.2224378401025804</v>
      </c>
    </row>
    <row r="38" spans="1:21" x14ac:dyDescent="0.2">
      <c r="A38" s="193" t="s">
        <v>10</v>
      </c>
      <c r="B38" t="s">
        <v>187</v>
      </c>
      <c r="C38" t="s">
        <v>533</v>
      </c>
      <c r="D38">
        <v>16</v>
      </c>
      <c r="K38">
        <v>55</v>
      </c>
      <c r="L38">
        <v>496</v>
      </c>
      <c r="M38">
        <v>4</v>
      </c>
      <c r="N38" s="196">
        <v>101.1</v>
      </c>
      <c r="O38" s="196">
        <v>66.78321520699437</v>
      </c>
      <c r="P38" s="197">
        <f>(N38-O38)/O38</f>
        <v>0.51385343887144175</v>
      </c>
      <c r="Q38" s="193" t="b">
        <v>0</v>
      </c>
      <c r="R38" s="193" t="b">
        <v>1</v>
      </c>
      <c r="S38" s="193" t="str">
        <f>IF(Q38,A38&amp;"1",IF(R38,A38&amp;"3",A38&amp;"2"))</f>
        <v>TE3</v>
      </c>
      <c r="T38" s="197">
        <f>AVERAGEIFS(P:P,S:S,S38)</f>
        <v>0.30256123768782139</v>
      </c>
      <c r="U38" s="197" cm="1">
        <f t="array" ref="U38">STDEV(IF(S:S=S38,P:P))</f>
        <v>1.2224378401025804</v>
      </c>
    </row>
    <row r="39" spans="1:21" x14ac:dyDescent="0.2">
      <c r="A39" s="193" t="s">
        <v>10</v>
      </c>
      <c r="B39" t="s">
        <v>180</v>
      </c>
      <c r="C39" t="s">
        <v>116</v>
      </c>
      <c r="D39">
        <v>17</v>
      </c>
      <c r="K39">
        <v>22</v>
      </c>
      <c r="L39">
        <v>204</v>
      </c>
      <c r="M39">
        <v>3</v>
      </c>
      <c r="N39" s="196">
        <v>49.400000000000006</v>
      </c>
      <c r="O39" s="196">
        <v>66.361537245636754</v>
      </c>
      <c r="P39" s="197">
        <f>(N39-O39)/O39</f>
        <v>-0.25559289235349897</v>
      </c>
      <c r="Q39" s="193" t="b">
        <v>0</v>
      </c>
      <c r="R39" s="193" t="b">
        <v>1</v>
      </c>
      <c r="S39" s="193" t="str">
        <f>IF(Q39,A39&amp;"1",IF(R39,A39&amp;"3",A39&amp;"2"))</f>
        <v>TE3</v>
      </c>
      <c r="T39" s="197">
        <f>AVERAGEIFS(P:P,S:S,S39)</f>
        <v>0.30256123768782139</v>
      </c>
      <c r="U39" s="197" cm="1">
        <f t="array" ref="U39">STDEV(IF(S:S=S39,P:P))</f>
        <v>1.2224378401025804</v>
      </c>
    </row>
    <row r="40" spans="1:21" x14ac:dyDescent="0.2">
      <c r="A40" s="193" t="s">
        <v>10</v>
      </c>
      <c r="B40" t="s">
        <v>218</v>
      </c>
      <c r="C40" t="s">
        <v>120</v>
      </c>
      <c r="D40">
        <v>15</v>
      </c>
      <c r="K40">
        <v>30</v>
      </c>
      <c r="L40">
        <v>368</v>
      </c>
      <c r="M40">
        <v>1</v>
      </c>
      <c r="N40" s="196">
        <v>57.800000000000004</v>
      </c>
      <c r="O40" s="196">
        <v>57.54787370262359</v>
      </c>
      <c r="P40" s="197">
        <f>(N40-O40)/O40</f>
        <v>4.3811574808005358E-3</v>
      </c>
      <c r="Q40" s="193" t="b">
        <v>0</v>
      </c>
      <c r="R40" s="193" t="b">
        <v>1</v>
      </c>
      <c r="S40" s="193" t="str">
        <f>IF(Q40,A40&amp;"1",IF(R40,A40&amp;"3",A40&amp;"2"))</f>
        <v>TE3</v>
      </c>
      <c r="T40" s="197">
        <f>AVERAGEIFS(P:P,S:S,S40)</f>
        <v>0.30256123768782139</v>
      </c>
      <c r="U40" s="197" cm="1">
        <f t="array" ref="U40">STDEV(IF(S:S=S40,P:P))</f>
        <v>1.2224378401025804</v>
      </c>
    </row>
    <row r="41" spans="1:21" x14ac:dyDescent="0.2">
      <c r="A41" s="193" t="s">
        <v>10</v>
      </c>
      <c r="B41" t="s">
        <v>121</v>
      </c>
      <c r="C41" t="s">
        <v>120</v>
      </c>
      <c r="D41">
        <v>17</v>
      </c>
      <c r="K41">
        <v>13</v>
      </c>
      <c r="L41">
        <v>161</v>
      </c>
      <c r="M41">
        <v>3</v>
      </c>
      <c r="N41" s="196">
        <v>40.6</v>
      </c>
      <c r="O41" s="196">
        <v>54.929491460862458</v>
      </c>
      <c r="P41" s="197">
        <f>(N41-O41)/O41</f>
        <v>-0.26087063760771012</v>
      </c>
      <c r="Q41" s="193" t="b">
        <v>0</v>
      </c>
      <c r="R41" s="193" t="b">
        <v>1</v>
      </c>
      <c r="S41" s="193" t="str">
        <f>IF(Q41,A41&amp;"1",IF(R41,A41&amp;"3",A41&amp;"2"))</f>
        <v>TE3</v>
      </c>
      <c r="T41" s="197">
        <f>AVERAGEIFS(P:P,S:S,S41)</f>
        <v>0.30256123768782139</v>
      </c>
      <c r="U41" s="197" cm="1">
        <f t="array" ref="U41">STDEV(IF(S:S=S41,P:P))</f>
        <v>1.2224378401025804</v>
      </c>
    </row>
    <row r="42" spans="1:21" x14ac:dyDescent="0.2">
      <c r="A42" s="193" t="s">
        <v>10</v>
      </c>
      <c r="B42" t="s">
        <v>178</v>
      </c>
      <c r="C42" t="s">
        <v>125</v>
      </c>
      <c r="D42">
        <v>16</v>
      </c>
      <c r="K42">
        <v>35</v>
      </c>
      <c r="L42">
        <v>366</v>
      </c>
      <c r="M42"/>
      <c r="N42" s="196">
        <v>54.1</v>
      </c>
      <c r="O42" s="196">
        <v>54.683501545855158</v>
      </c>
      <c r="P42" s="197">
        <f>(N42-O42)/O42</f>
        <v>-1.0670522723674858E-2</v>
      </c>
      <c r="Q42" s="193" t="b">
        <v>0</v>
      </c>
      <c r="R42" s="193" t="b">
        <v>1</v>
      </c>
      <c r="S42" s="193" t="str">
        <f>IF(Q42,A42&amp;"1",IF(R42,A42&amp;"3",A42&amp;"2"))</f>
        <v>TE3</v>
      </c>
      <c r="T42" s="197">
        <f>AVERAGEIFS(P:P,S:S,S42)</f>
        <v>0.30256123768782139</v>
      </c>
      <c r="U42" s="197" cm="1">
        <f t="array" ref="U42">STDEV(IF(S:S=S42,P:P))</f>
        <v>1.2224378401025804</v>
      </c>
    </row>
    <row r="43" spans="1:21" x14ac:dyDescent="0.2">
      <c r="A43" s="193" t="s">
        <v>10</v>
      </c>
      <c r="B43" t="s">
        <v>498</v>
      </c>
      <c r="C43" t="s">
        <v>109</v>
      </c>
      <c r="D43">
        <v>17</v>
      </c>
      <c r="K43">
        <v>30</v>
      </c>
      <c r="L43">
        <v>411</v>
      </c>
      <c r="M43">
        <v>5</v>
      </c>
      <c r="N43" s="196">
        <v>86.1</v>
      </c>
      <c r="O43" s="196">
        <v>53.123189134197595</v>
      </c>
      <c r="P43" s="197">
        <f>(N43-O43)/O43</f>
        <v>0.62076112905228165</v>
      </c>
      <c r="Q43" s="193" t="b">
        <v>0</v>
      </c>
      <c r="R43" s="193" t="b">
        <v>1</v>
      </c>
      <c r="S43" s="193" t="str">
        <f>IF(Q43,A43&amp;"1",IF(R43,A43&amp;"3",A43&amp;"2"))</f>
        <v>TE3</v>
      </c>
      <c r="T43" s="197">
        <f>AVERAGEIFS(P:P,S:S,S43)</f>
        <v>0.30256123768782139</v>
      </c>
      <c r="U43" s="197" cm="1">
        <f t="array" ref="U43">STDEV(IF(S:S=S43,P:P))</f>
        <v>1.2224378401025804</v>
      </c>
    </row>
    <row r="44" spans="1:21" x14ac:dyDescent="0.2">
      <c r="A44" s="193" t="s">
        <v>10</v>
      </c>
      <c r="B44" t="s">
        <v>69</v>
      </c>
      <c r="C44" t="s">
        <v>125</v>
      </c>
      <c r="D44">
        <v>17</v>
      </c>
      <c r="K44">
        <v>50</v>
      </c>
      <c r="L44">
        <v>582</v>
      </c>
      <c r="M44">
        <v>3</v>
      </c>
      <c r="N44" s="196">
        <v>101.2</v>
      </c>
      <c r="O44" s="196">
        <v>43.372279950248007</v>
      </c>
      <c r="P44" s="197">
        <f>(N44-O44)/O44</f>
        <v>1.3332875310240944</v>
      </c>
      <c r="Q44" s="193" t="b">
        <v>0</v>
      </c>
      <c r="R44" s="193" t="b">
        <v>1</v>
      </c>
      <c r="S44" s="193" t="str">
        <f>IF(Q44,A44&amp;"1",IF(R44,A44&amp;"3",A44&amp;"2"))</f>
        <v>TE3</v>
      </c>
      <c r="T44" s="197">
        <f>AVERAGEIFS(P:P,S:S,S44)</f>
        <v>0.30256123768782139</v>
      </c>
      <c r="U44" s="197" cm="1">
        <f t="array" ref="U44">STDEV(IF(S:S=S44,P:P))</f>
        <v>1.2224378401025804</v>
      </c>
    </row>
    <row r="45" spans="1:21" x14ac:dyDescent="0.2">
      <c r="A45" s="193" t="s">
        <v>10</v>
      </c>
      <c r="B45" t="s">
        <v>76</v>
      </c>
      <c r="C45" t="s">
        <v>123</v>
      </c>
      <c r="D45">
        <v>16</v>
      </c>
      <c r="K45">
        <v>17</v>
      </c>
      <c r="L45">
        <v>172</v>
      </c>
      <c r="M45">
        <v>1</v>
      </c>
      <c r="N45" s="196">
        <v>31.7</v>
      </c>
      <c r="O45" s="196">
        <v>42.965516367240703</v>
      </c>
      <c r="P45" s="197">
        <f>(N45-O45)/O45</f>
        <v>-0.26219902190748856</v>
      </c>
      <c r="Q45" s="193" t="b">
        <v>0</v>
      </c>
      <c r="R45" s="193" t="b">
        <v>1</v>
      </c>
      <c r="S45" s="193" t="str">
        <f>IF(Q45,A45&amp;"1",IF(R45,A45&amp;"3",A45&amp;"2"))</f>
        <v>TE3</v>
      </c>
      <c r="T45" s="197">
        <f>AVERAGEIFS(P:P,S:S,S45)</f>
        <v>0.30256123768782139</v>
      </c>
      <c r="U45" s="197" cm="1">
        <f t="array" ref="U45">STDEV(IF(S:S=S45,P:P))</f>
        <v>1.2224378401025804</v>
      </c>
    </row>
    <row r="46" spans="1:21" x14ac:dyDescent="0.2">
      <c r="A46" s="193" t="s">
        <v>10</v>
      </c>
      <c r="B46" t="s">
        <v>30</v>
      </c>
      <c r="C46" t="s">
        <v>132</v>
      </c>
      <c r="D46">
        <v>12</v>
      </c>
      <c r="K46">
        <v>8</v>
      </c>
      <c r="L46">
        <v>58</v>
      </c>
      <c r="M46">
        <v>1</v>
      </c>
      <c r="N46" s="196">
        <v>15.8</v>
      </c>
      <c r="O46" s="196">
        <v>39.827848874302617</v>
      </c>
      <c r="P46" s="197">
        <f>(N46-O46)/O46</f>
        <v>-0.60329265961952716</v>
      </c>
      <c r="Q46" s="193" t="b">
        <v>0</v>
      </c>
      <c r="R46" s="193" t="b">
        <v>1</v>
      </c>
      <c r="S46" s="193" t="str">
        <f>IF(Q46,A46&amp;"1",IF(R46,A46&amp;"3",A46&amp;"2"))</f>
        <v>TE3</v>
      </c>
      <c r="T46" s="197">
        <f>AVERAGEIFS(P:P,S:S,S46)</f>
        <v>0.30256123768782139</v>
      </c>
      <c r="U46" s="197" cm="1">
        <f t="array" ref="U46">STDEV(IF(S:S=S46,P:P))</f>
        <v>1.2224378401025804</v>
      </c>
    </row>
    <row r="47" spans="1:21" x14ac:dyDescent="0.2">
      <c r="A47" s="193" t="s">
        <v>10</v>
      </c>
      <c r="B47" t="s">
        <v>669</v>
      </c>
      <c r="C47" t="s">
        <v>533</v>
      </c>
      <c r="D47">
        <v>12</v>
      </c>
      <c r="K47">
        <v>11</v>
      </c>
      <c r="L47">
        <v>120</v>
      </c>
      <c r="M47"/>
      <c r="N47" s="196">
        <v>17.5</v>
      </c>
      <c r="O47" s="196">
        <v>38.146037279319202</v>
      </c>
      <c r="P47" s="197">
        <f>(N47-O47)/O47</f>
        <v>-0.54123675096685364</v>
      </c>
      <c r="Q47" s="193" t="b">
        <v>0</v>
      </c>
      <c r="R47" s="193" t="b">
        <v>1</v>
      </c>
      <c r="S47" s="193" t="str">
        <f>IF(Q47,A47&amp;"1",IF(R47,A47&amp;"3",A47&amp;"2"))</f>
        <v>TE3</v>
      </c>
      <c r="T47" s="197">
        <f>AVERAGEIFS(P:P,S:S,S47)</f>
        <v>0.30256123768782139</v>
      </c>
      <c r="U47" s="197" cm="1">
        <f t="array" ref="U47">STDEV(IF(S:S=S47,P:P))</f>
        <v>1.2224378401025804</v>
      </c>
    </row>
    <row r="48" spans="1:21" x14ac:dyDescent="0.2">
      <c r="A48" s="193" t="s">
        <v>10</v>
      </c>
      <c r="B48" t="s">
        <v>558</v>
      </c>
      <c r="C48" t="s">
        <v>119</v>
      </c>
      <c r="D48">
        <v>7</v>
      </c>
      <c r="K48">
        <v>2</v>
      </c>
      <c r="L48">
        <v>33</v>
      </c>
      <c r="M48"/>
      <c r="N48" s="196">
        <v>4.3000000000000007</v>
      </c>
      <c r="O48" s="196">
        <v>36.024327486654819</v>
      </c>
      <c r="P48" s="197">
        <f>(N48-O48)/O48</f>
        <v>-0.88063621724533425</v>
      </c>
      <c r="Q48" s="193" t="b">
        <v>0</v>
      </c>
      <c r="R48" s="193" t="b">
        <v>1</v>
      </c>
      <c r="S48" s="193" t="str">
        <f>IF(Q48,A48&amp;"1",IF(R48,A48&amp;"3",A48&amp;"2"))</f>
        <v>TE3</v>
      </c>
      <c r="T48" s="197">
        <f>AVERAGEIFS(P:P,S:S,S48)</f>
        <v>0.30256123768782139</v>
      </c>
      <c r="U48" s="197" cm="1">
        <f t="array" ref="U48">STDEV(IF(S:S=S48,P:P))</f>
        <v>1.2224378401025804</v>
      </c>
    </row>
    <row r="49" spans="1:21" x14ac:dyDescent="0.2">
      <c r="A49" s="193" t="s">
        <v>10</v>
      </c>
      <c r="B49" t="s">
        <v>619</v>
      </c>
      <c r="C49" t="s">
        <v>118</v>
      </c>
      <c r="D49">
        <v>17</v>
      </c>
      <c r="K49">
        <v>31</v>
      </c>
      <c r="L49">
        <v>355</v>
      </c>
      <c r="M49">
        <v>2</v>
      </c>
      <c r="N49" s="196">
        <v>63</v>
      </c>
      <c r="O49" s="196">
        <v>35.669760428570214</v>
      </c>
      <c r="P49" s="197">
        <f>(N49-O49)/O49</f>
        <v>0.76620193808588721</v>
      </c>
      <c r="Q49" s="193" t="b">
        <v>0</v>
      </c>
      <c r="R49" s="193" t="b">
        <v>1</v>
      </c>
      <c r="S49" s="193" t="str">
        <f>IF(Q49,A49&amp;"1",IF(R49,A49&amp;"3",A49&amp;"2"))</f>
        <v>TE3</v>
      </c>
      <c r="T49" s="197">
        <f>AVERAGEIFS(P:P,S:S,S49)</f>
        <v>0.30256123768782139</v>
      </c>
      <c r="U49" s="197" cm="1">
        <f t="array" ref="U49">STDEV(IF(S:S=S49,P:P))</f>
        <v>1.2224378401025804</v>
      </c>
    </row>
    <row r="50" spans="1:21" x14ac:dyDescent="0.2">
      <c r="A50" s="193" t="s">
        <v>10</v>
      </c>
      <c r="B50" t="s">
        <v>482</v>
      </c>
      <c r="C50" t="s">
        <v>123</v>
      </c>
      <c r="D50">
        <v>14</v>
      </c>
      <c r="K50">
        <v>27</v>
      </c>
      <c r="L50">
        <v>285</v>
      </c>
      <c r="M50">
        <v>4</v>
      </c>
      <c r="N50" s="196">
        <v>66</v>
      </c>
      <c r="O50" s="196">
        <v>32.990479742088795</v>
      </c>
      <c r="P50" s="197">
        <f>(N50-O50)/O50</f>
        <v>1.0005771518320214</v>
      </c>
      <c r="Q50" s="193" t="b">
        <v>0</v>
      </c>
      <c r="R50" s="193" t="b">
        <v>1</v>
      </c>
      <c r="S50" s="193" t="str">
        <f>IF(Q50,A50&amp;"1",IF(R50,A50&amp;"3",A50&amp;"2"))</f>
        <v>TE3</v>
      </c>
      <c r="T50" s="197">
        <f>AVERAGEIFS(P:P,S:S,S50)</f>
        <v>0.30256123768782139</v>
      </c>
      <c r="U50" s="197" cm="1">
        <f t="array" ref="U50">STDEV(IF(S:S=S50,P:P))</f>
        <v>1.2224378401025804</v>
      </c>
    </row>
    <row r="51" spans="1:21" x14ac:dyDescent="0.2">
      <c r="A51" s="193" t="s">
        <v>10</v>
      </c>
      <c r="B51" t="s">
        <v>703</v>
      </c>
      <c r="C51" t="s">
        <v>125</v>
      </c>
      <c r="D51">
        <v>15</v>
      </c>
      <c r="K51">
        <v>6</v>
      </c>
      <c r="L51">
        <v>48</v>
      </c>
      <c r="M51"/>
      <c r="N51" s="196">
        <v>7.8000000000000007</v>
      </c>
      <c r="O51" s="196">
        <v>31.534379794827011</v>
      </c>
      <c r="P51" s="197">
        <f>(N51-O51)/O51</f>
        <v>-0.75265091462875278</v>
      </c>
      <c r="Q51" s="193" t="b">
        <v>0</v>
      </c>
      <c r="R51" s="193" t="b">
        <v>1</v>
      </c>
      <c r="S51" s="193" t="str">
        <f>IF(Q51,A51&amp;"1",IF(R51,A51&amp;"3",A51&amp;"2"))</f>
        <v>TE3</v>
      </c>
      <c r="T51" s="197">
        <f>AVERAGEIFS(P:P,S:S,S51)</f>
        <v>0.30256123768782139</v>
      </c>
      <c r="U51" s="197" cm="1">
        <f t="array" ref="U51">STDEV(IF(S:S=S51,P:P))</f>
        <v>1.2224378401025804</v>
      </c>
    </row>
    <row r="52" spans="1:21" x14ac:dyDescent="0.2">
      <c r="A52" s="193" t="s">
        <v>10</v>
      </c>
      <c r="B52" t="s">
        <v>611</v>
      </c>
      <c r="C52" t="s">
        <v>115</v>
      </c>
      <c r="D52">
        <v>17</v>
      </c>
      <c r="K52">
        <v>8</v>
      </c>
      <c r="L52">
        <v>65</v>
      </c>
      <c r="M52">
        <v>2</v>
      </c>
      <c r="N52" s="196">
        <v>22.5</v>
      </c>
      <c r="O52" s="196">
        <v>31.070588099084844</v>
      </c>
      <c r="P52" s="197">
        <f>(N52-O52)/O52</f>
        <v>-0.27584248073300172</v>
      </c>
      <c r="Q52" s="193" t="b">
        <v>0</v>
      </c>
      <c r="R52" s="193" t="b">
        <v>1</v>
      </c>
      <c r="S52" s="193" t="str">
        <f>IF(Q52,A52&amp;"1",IF(R52,A52&amp;"3",A52&amp;"2"))</f>
        <v>TE3</v>
      </c>
      <c r="T52" s="197">
        <f>AVERAGEIFS(P:P,S:S,S52)</f>
        <v>0.30256123768782139</v>
      </c>
      <c r="U52" s="197" cm="1">
        <f t="array" ref="U52">STDEV(IF(S:S=S52,P:P))</f>
        <v>1.2224378401025804</v>
      </c>
    </row>
    <row r="53" spans="1:21" x14ac:dyDescent="0.2">
      <c r="A53" s="193" t="s">
        <v>10</v>
      </c>
      <c r="B53" t="s">
        <v>595</v>
      </c>
      <c r="C53" t="s">
        <v>137</v>
      </c>
      <c r="D53">
        <v>15</v>
      </c>
      <c r="K53">
        <v>1</v>
      </c>
      <c r="L53">
        <v>21</v>
      </c>
      <c r="M53"/>
      <c r="N53" s="196">
        <v>2.6</v>
      </c>
      <c r="O53" s="196">
        <v>30.596001222191997</v>
      </c>
      <c r="P53" s="197">
        <f>(N53-O53)/O53</f>
        <v>-0.91502157484180779</v>
      </c>
      <c r="Q53" s="193" t="b">
        <v>0</v>
      </c>
      <c r="R53" s="193" t="b">
        <v>1</v>
      </c>
      <c r="S53" s="193" t="str">
        <f>IF(Q53,A53&amp;"1",IF(R53,A53&amp;"3",A53&amp;"2"))</f>
        <v>TE3</v>
      </c>
      <c r="T53" s="197">
        <f>AVERAGEIFS(P:P,S:S,S53)</f>
        <v>0.30256123768782139</v>
      </c>
      <c r="U53" s="197" cm="1">
        <f t="array" ref="U53">STDEV(IF(S:S=S53,P:P))</f>
        <v>1.2224378401025804</v>
      </c>
    </row>
    <row r="54" spans="1:21" x14ac:dyDescent="0.2">
      <c r="A54" s="193" t="s">
        <v>10</v>
      </c>
      <c r="B54" t="s">
        <v>560</v>
      </c>
      <c r="C54" t="s">
        <v>117</v>
      </c>
      <c r="D54">
        <v>15</v>
      </c>
      <c r="K54">
        <v>2</v>
      </c>
      <c r="L54">
        <v>28</v>
      </c>
      <c r="M54"/>
      <c r="N54" s="196">
        <v>3.8000000000000003</v>
      </c>
      <c r="O54" s="196">
        <v>28.641318240820141</v>
      </c>
      <c r="P54" s="197">
        <f>(N54-O54)/O54</f>
        <v>-0.86732454253505098</v>
      </c>
      <c r="Q54" s="193" t="b">
        <v>0</v>
      </c>
      <c r="R54" s="193" t="b">
        <v>1</v>
      </c>
      <c r="S54" s="193" t="str">
        <f>IF(Q54,A54&amp;"1",IF(R54,A54&amp;"3",A54&amp;"2"))</f>
        <v>TE3</v>
      </c>
      <c r="T54" s="197">
        <f>AVERAGEIFS(P:P,S:S,S54)</f>
        <v>0.30256123768782139</v>
      </c>
      <c r="U54" s="197" cm="1">
        <f t="array" ref="U54">STDEV(IF(S:S=S54,P:P))</f>
        <v>1.2224378401025804</v>
      </c>
    </row>
    <row r="55" spans="1:21" x14ac:dyDescent="0.2">
      <c r="A55" s="193" t="s">
        <v>10</v>
      </c>
      <c r="B55" t="s">
        <v>580</v>
      </c>
      <c r="C55" t="s">
        <v>115</v>
      </c>
      <c r="D55">
        <v>8</v>
      </c>
      <c r="K55">
        <v>4</v>
      </c>
      <c r="L55">
        <v>38</v>
      </c>
      <c r="M55"/>
      <c r="N55" s="196">
        <v>5.8000000000000007</v>
      </c>
      <c r="O55" s="196">
        <v>28.504394505953329</v>
      </c>
      <c r="P55" s="197">
        <f>(N55-O55)/O55</f>
        <v>-0.79652260289940091</v>
      </c>
      <c r="Q55" s="193" t="b">
        <v>0</v>
      </c>
      <c r="R55" s="193" t="b">
        <v>1</v>
      </c>
      <c r="S55" s="193" t="str">
        <f>IF(Q55,A55&amp;"1",IF(R55,A55&amp;"3",A55&amp;"2"))</f>
        <v>TE3</v>
      </c>
      <c r="T55" s="197">
        <f>AVERAGEIFS(P:P,S:S,S55)</f>
        <v>0.30256123768782139</v>
      </c>
      <c r="U55" s="197" cm="1">
        <f t="array" ref="U55">STDEV(IF(S:S=S55,P:P))</f>
        <v>1.2224378401025804</v>
      </c>
    </row>
    <row r="56" spans="1:21" x14ac:dyDescent="0.2">
      <c r="A56" s="193" t="s">
        <v>10</v>
      </c>
      <c r="B56" t="s">
        <v>628</v>
      </c>
      <c r="C56" t="s">
        <v>537</v>
      </c>
      <c r="D56">
        <v>14</v>
      </c>
      <c r="K56">
        <v>5</v>
      </c>
      <c r="L56">
        <v>35</v>
      </c>
      <c r="M56">
        <v>1</v>
      </c>
      <c r="N56" s="196">
        <v>12</v>
      </c>
      <c r="O56" s="196">
        <v>27.978221136532827</v>
      </c>
      <c r="P56" s="197">
        <f>(N56-O56)/O56</f>
        <v>-0.57109496199060039</v>
      </c>
      <c r="Q56" s="193" t="b">
        <v>0</v>
      </c>
      <c r="R56" s="193" t="b">
        <v>1</v>
      </c>
      <c r="S56" s="193" t="str">
        <f>IF(Q56,A56&amp;"1",IF(R56,A56&amp;"3",A56&amp;"2"))</f>
        <v>TE3</v>
      </c>
      <c r="T56" s="197">
        <f>AVERAGEIFS(P:P,S:S,S56)</f>
        <v>0.30256123768782139</v>
      </c>
      <c r="U56" s="197" cm="1">
        <f t="array" ref="U56">STDEV(IF(S:S=S56,P:P))</f>
        <v>1.2224378401025804</v>
      </c>
    </row>
    <row r="57" spans="1:21" x14ac:dyDescent="0.2">
      <c r="A57" s="193" t="s">
        <v>10</v>
      </c>
      <c r="B57" t="s">
        <v>554</v>
      </c>
      <c r="C57" t="s">
        <v>133</v>
      </c>
      <c r="D57">
        <v>17</v>
      </c>
      <c r="K57">
        <v>23</v>
      </c>
      <c r="L57">
        <v>167</v>
      </c>
      <c r="M57"/>
      <c r="N57" s="196">
        <v>28.2</v>
      </c>
      <c r="O57" s="196">
        <v>24.628471667553608</v>
      </c>
      <c r="P57" s="197">
        <f>(N57-O57)/O57</f>
        <v>0.14501623895532442</v>
      </c>
      <c r="Q57" s="193" t="b">
        <v>0</v>
      </c>
      <c r="R57" s="193" t="b">
        <v>1</v>
      </c>
      <c r="S57" s="193" t="str">
        <f>IF(Q57,A57&amp;"1",IF(R57,A57&amp;"3",A57&amp;"2"))</f>
        <v>TE3</v>
      </c>
      <c r="T57" s="197">
        <f>AVERAGEIFS(P:P,S:S,S57)</f>
        <v>0.30256123768782139</v>
      </c>
      <c r="U57" s="197" cm="1">
        <f t="array" ref="U57">STDEV(IF(S:S=S57,P:P))</f>
        <v>1.2224378401025804</v>
      </c>
    </row>
    <row r="58" spans="1:21" x14ac:dyDescent="0.2">
      <c r="A58" s="193" t="s">
        <v>10</v>
      </c>
      <c r="B58" t="s">
        <v>531</v>
      </c>
      <c r="C58" t="s">
        <v>129</v>
      </c>
      <c r="D58">
        <v>17</v>
      </c>
      <c r="K58">
        <v>25</v>
      </c>
      <c r="L58">
        <v>255</v>
      </c>
      <c r="M58"/>
      <c r="N58" s="196">
        <v>38</v>
      </c>
      <c r="O58" s="196">
        <v>23.798835293150606</v>
      </c>
      <c r="P58" s="197">
        <f>(N58-O58)/O58</f>
        <v>0.59671679441121817</v>
      </c>
      <c r="Q58" s="193" t="b">
        <v>0</v>
      </c>
      <c r="R58" s="193" t="b">
        <v>1</v>
      </c>
      <c r="S58" s="193" t="str">
        <f>IF(Q58,A58&amp;"1",IF(R58,A58&amp;"3",A58&amp;"2"))</f>
        <v>TE3</v>
      </c>
      <c r="T58" s="197">
        <f>AVERAGEIFS(P:P,S:S,S58)</f>
        <v>0.30256123768782139</v>
      </c>
      <c r="U58" s="197" cm="1">
        <f t="array" ref="U58">STDEV(IF(S:S=S58,P:P))</f>
        <v>1.2224378401025804</v>
      </c>
    </row>
    <row r="59" spans="1:21" x14ac:dyDescent="0.2">
      <c r="A59" s="193" t="s">
        <v>10</v>
      </c>
      <c r="B59" t="s">
        <v>219</v>
      </c>
      <c r="C59" t="s">
        <v>122</v>
      </c>
      <c r="D59">
        <v>17</v>
      </c>
      <c r="K59">
        <v>28</v>
      </c>
      <c r="L59">
        <v>305</v>
      </c>
      <c r="M59">
        <v>2</v>
      </c>
      <c r="N59" s="196">
        <v>56.5</v>
      </c>
      <c r="O59" s="196">
        <v>23.702476663268556</v>
      </c>
      <c r="P59" s="197">
        <f>(N59-O59)/O59</f>
        <v>1.383717144949556</v>
      </c>
      <c r="Q59" s="193" t="b">
        <v>0</v>
      </c>
      <c r="R59" s="193" t="b">
        <v>1</v>
      </c>
      <c r="S59" s="193" t="str">
        <f>IF(Q59,A59&amp;"1",IF(R59,A59&amp;"3",A59&amp;"2"))</f>
        <v>TE3</v>
      </c>
      <c r="T59" s="197">
        <f>AVERAGEIFS(P:P,S:S,S59)</f>
        <v>0.30256123768782139</v>
      </c>
      <c r="U59" s="197" cm="1">
        <f t="array" ref="U59">STDEV(IF(S:S=S59,P:P))</f>
        <v>1.2224378401025804</v>
      </c>
    </row>
    <row r="60" spans="1:21" x14ac:dyDescent="0.2">
      <c r="A60" s="193" t="s">
        <v>10</v>
      </c>
      <c r="B60" t="s">
        <v>204</v>
      </c>
      <c r="C60" t="s">
        <v>112</v>
      </c>
      <c r="D60">
        <v>17</v>
      </c>
      <c r="K60">
        <v>11</v>
      </c>
      <c r="L60">
        <v>112</v>
      </c>
      <c r="M60"/>
      <c r="N60" s="196">
        <v>16.700000000000003</v>
      </c>
      <c r="O60" s="196">
        <v>23.028311172227735</v>
      </c>
      <c r="P60" s="197">
        <f>(N60-O60)/O60</f>
        <v>-0.27480570003152072</v>
      </c>
      <c r="Q60" s="193" t="b">
        <v>0</v>
      </c>
      <c r="R60" s="193" t="b">
        <v>1</v>
      </c>
      <c r="S60" s="193" t="str">
        <f>IF(Q60,A60&amp;"1",IF(R60,A60&amp;"3",A60&amp;"2"))</f>
        <v>TE3</v>
      </c>
      <c r="T60" s="197">
        <f>AVERAGEIFS(P:P,S:S,S60)</f>
        <v>0.30256123768782139</v>
      </c>
      <c r="U60" s="197" cm="1">
        <f t="array" ref="U60">STDEV(IF(S:S=S60,P:P))</f>
        <v>1.2224378401025804</v>
      </c>
    </row>
    <row r="61" spans="1:21" x14ac:dyDescent="0.2">
      <c r="A61" s="193" t="s">
        <v>10</v>
      </c>
      <c r="B61" t="s">
        <v>172</v>
      </c>
      <c r="C61" t="s">
        <v>114</v>
      </c>
      <c r="D61">
        <v>17</v>
      </c>
      <c r="K61">
        <v>15</v>
      </c>
      <c r="L61">
        <v>132</v>
      </c>
      <c r="M61"/>
      <c r="N61" s="196">
        <v>20.700000000000003</v>
      </c>
      <c r="O61" s="196">
        <v>22.879912683379221</v>
      </c>
      <c r="P61" s="197">
        <f>(N61-O61)/O61</f>
        <v>-9.5276267595321013E-2</v>
      </c>
      <c r="Q61" s="193" t="b">
        <v>0</v>
      </c>
      <c r="R61" s="193" t="b">
        <v>1</v>
      </c>
      <c r="S61" s="193" t="str">
        <f>IF(Q61,A61&amp;"1",IF(R61,A61&amp;"3",A61&amp;"2"))</f>
        <v>TE3</v>
      </c>
      <c r="T61" s="197">
        <f>AVERAGEIFS(P:P,S:S,S61)</f>
        <v>0.30256123768782139</v>
      </c>
      <c r="U61" s="197" cm="1">
        <f t="array" ref="U61">STDEV(IF(S:S=S61,P:P))</f>
        <v>1.2224378401025804</v>
      </c>
    </row>
    <row r="62" spans="1:21" x14ac:dyDescent="0.2">
      <c r="A62" s="193" t="s">
        <v>10</v>
      </c>
      <c r="B62" t="s">
        <v>199</v>
      </c>
      <c r="C62" t="s">
        <v>192</v>
      </c>
      <c r="D62">
        <v>17</v>
      </c>
      <c r="K62">
        <v>13</v>
      </c>
      <c r="L62">
        <v>81</v>
      </c>
      <c r="M62">
        <v>3</v>
      </c>
      <c r="N62" s="196">
        <v>32.6</v>
      </c>
      <c r="O62" s="196">
        <v>22.41543281140352</v>
      </c>
      <c r="P62" s="197">
        <f>(N62-O62)/O62</f>
        <v>0.45435514336422872</v>
      </c>
      <c r="Q62" s="193" t="b">
        <v>0</v>
      </c>
      <c r="R62" s="193" t="b">
        <v>1</v>
      </c>
      <c r="S62" s="193" t="str">
        <f>IF(Q62,A62&amp;"1",IF(R62,A62&amp;"3",A62&amp;"2"))</f>
        <v>TE3</v>
      </c>
      <c r="T62" s="197">
        <f>AVERAGEIFS(P:P,S:S,S62)</f>
        <v>0.30256123768782139</v>
      </c>
      <c r="U62" s="197" cm="1">
        <f t="array" ref="U62">STDEV(IF(S:S=S62,P:P))</f>
        <v>1.2224378401025804</v>
      </c>
    </row>
    <row r="63" spans="1:21" x14ac:dyDescent="0.2">
      <c r="A63" s="193" t="s">
        <v>10</v>
      </c>
      <c r="B63" t="s">
        <v>31</v>
      </c>
      <c r="C63" t="s">
        <v>113</v>
      </c>
      <c r="D63">
        <v>17</v>
      </c>
      <c r="K63">
        <v>22</v>
      </c>
      <c r="L63">
        <v>163</v>
      </c>
      <c r="M63">
        <v>2</v>
      </c>
      <c r="N63" s="196">
        <v>39.299999999999997</v>
      </c>
      <c r="O63" s="196">
        <v>22.221847504079999</v>
      </c>
      <c r="P63" s="197">
        <f>(N63-O63)/O63</f>
        <v>0.76852982150941307</v>
      </c>
      <c r="Q63" s="193" t="b">
        <v>0</v>
      </c>
      <c r="R63" s="193" t="b">
        <v>1</v>
      </c>
      <c r="S63" s="193" t="str">
        <f>IF(Q63,A63&amp;"1",IF(R63,A63&amp;"3",A63&amp;"2"))</f>
        <v>TE3</v>
      </c>
      <c r="T63" s="197">
        <f>AVERAGEIFS(P:P,S:S,S63)</f>
        <v>0.30256123768782139</v>
      </c>
      <c r="U63" s="197" cm="1">
        <f t="array" ref="U63">STDEV(IF(S:S=S63,P:P))</f>
        <v>1.2224378401025804</v>
      </c>
    </row>
    <row r="64" spans="1:21" x14ac:dyDescent="0.2">
      <c r="A64" s="193" t="s">
        <v>10</v>
      </c>
      <c r="B64" t="s">
        <v>683</v>
      </c>
      <c r="C64" t="s">
        <v>135</v>
      </c>
      <c r="D64">
        <v>12</v>
      </c>
      <c r="K64">
        <v>1</v>
      </c>
      <c r="L64">
        <v>12</v>
      </c>
      <c r="M64"/>
      <c r="N64" s="196">
        <v>1.7000000000000002</v>
      </c>
      <c r="O64" s="196">
        <v>21.379160225181359</v>
      </c>
      <c r="P64" s="197">
        <f>(N64-O64)/O64</f>
        <v>-0.92048331262339944</v>
      </c>
      <c r="Q64" s="193" t="b">
        <v>0</v>
      </c>
      <c r="R64" s="193" t="b">
        <v>1</v>
      </c>
      <c r="S64" s="193" t="str">
        <f>IF(Q64,A64&amp;"1",IF(R64,A64&amp;"3",A64&amp;"2"))</f>
        <v>TE3</v>
      </c>
      <c r="T64" s="197">
        <f>AVERAGEIFS(P:P,S:S,S64)</f>
        <v>0.30256123768782139</v>
      </c>
      <c r="U64" s="197" cm="1">
        <f t="array" ref="U64">STDEV(IF(S:S=S64,P:P))</f>
        <v>1.2224378401025804</v>
      </c>
    </row>
    <row r="65" spans="1:21" x14ac:dyDescent="0.2">
      <c r="A65" s="193" t="s">
        <v>10</v>
      </c>
      <c r="B65" t="s">
        <v>216</v>
      </c>
      <c r="C65" t="s">
        <v>111</v>
      </c>
      <c r="D65">
        <v>16</v>
      </c>
      <c r="K65">
        <v>23</v>
      </c>
      <c r="L65">
        <v>194</v>
      </c>
      <c r="M65">
        <v>3</v>
      </c>
      <c r="N65" s="196">
        <v>48.900000000000006</v>
      </c>
      <c r="O65" s="196">
        <v>21.056662527364388</v>
      </c>
      <c r="P65" s="197">
        <f>(N65-O65)/O65</f>
        <v>1.3223053480793332</v>
      </c>
      <c r="Q65" s="193" t="b">
        <v>0</v>
      </c>
      <c r="R65" s="193" t="b">
        <v>1</v>
      </c>
      <c r="S65" s="193" t="str">
        <f>IF(Q65,A65&amp;"1",IF(R65,A65&amp;"3",A65&amp;"2"))</f>
        <v>TE3</v>
      </c>
      <c r="T65" s="197">
        <f>AVERAGEIFS(P:P,S:S,S65)</f>
        <v>0.30256123768782139</v>
      </c>
      <c r="U65" s="197" cm="1">
        <f t="array" ref="U65">STDEV(IF(S:S=S65,P:P))</f>
        <v>1.2224378401025804</v>
      </c>
    </row>
    <row r="66" spans="1:21" x14ac:dyDescent="0.2">
      <c r="A66" s="193" t="s">
        <v>10</v>
      </c>
      <c r="B66" t="s">
        <v>553</v>
      </c>
      <c r="C66" t="s">
        <v>136</v>
      </c>
      <c r="D66">
        <v>16</v>
      </c>
      <c r="K66">
        <v>1</v>
      </c>
      <c r="L66">
        <v>2</v>
      </c>
      <c r="M66">
        <v>1</v>
      </c>
      <c r="N66" s="196">
        <v>6.7</v>
      </c>
      <c r="O66" s="196">
        <v>20.890689470209896</v>
      </c>
      <c r="P66" s="197">
        <f>(N66-O66)/O66</f>
        <v>-0.67928296432943525</v>
      </c>
      <c r="Q66" s="193" t="b">
        <v>0</v>
      </c>
      <c r="R66" s="193" t="b">
        <v>1</v>
      </c>
      <c r="S66" s="193" t="str">
        <f>IF(Q66,A66&amp;"1",IF(R66,A66&amp;"3",A66&amp;"2"))</f>
        <v>TE3</v>
      </c>
      <c r="T66" s="197">
        <f>AVERAGEIFS(P:P,S:S,S66)</f>
        <v>0.30256123768782139</v>
      </c>
      <c r="U66" s="197" cm="1">
        <f t="array" ref="U66">STDEV(IF(S:S=S66,P:P))</f>
        <v>1.2224378401025804</v>
      </c>
    </row>
    <row r="67" spans="1:21" x14ac:dyDescent="0.2">
      <c r="A67" s="193" t="s">
        <v>10</v>
      </c>
      <c r="B67" t="s">
        <v>478</v>
      </c>
      <c r="C67" t="s">
        <v>117</v>
      </c>
      <c r="D67">
        <v>14</v>
      </c>
      <c r="K67">
        <v>13</v>
      </c>
      <c r="L67">
        <v>91</v>
      </c>
      <c r="M67">
        <v>1</v>
      </c>
      <c r="N67" s="196">
        <v>21.6</v>
      </c>
      <c r="O67" s="196">
        <v>20.420866563743786</v>
      </c>
      <c r="P67" s="197">
        <f>(N67-O67)/O67</f>
        <v>5.7741596448688766E-2</v>
      </c>
      <c r="Q67" s="193" t="b">
        <v>0</v>
      </c>
      <c r="R67" s="193" t="b">
        <v>1</v>
      </c>
      <c r="S67" s="193" t="str">
        <f>IF(Q67,A67&amp;"1",IF(R67,A67&amp;"3",A67&amp;"2"))</f>
        <v>TE3</v>
      </c>
      <c r="T67" s="197">
        <f>AVERAGEIFS(P:P,S:S,S67)</f>
        <v>0.30256123768782139</v>
      </c>
      <c r="U67" s="197" cm="1">
        <f t="array" ref="U67">STDEV(IF(S:S=S67,P:P))</f>
        <v>1.2224378401025804</v>
      </c>
    </row>
    <row r="68" spans="1:21" x14ac:dyDescent="0.2">
      <c r="A68" s="193" t="s">
        <v>10</v>
      </c>
      <c r="B68" t="s">
        <v>555</v>
      </c>
      <c r="C68" t="s">
        <v>132</v>
      </c>
      <c r="D68">
        <v>15</v>
      </c>
      <c r="K68">
        <v>4</v>
      </c>
      <c r="L68">
        <v>39</v>
      </c>
      <c r="M68"/>
      <c r="N68" s="196">
        <v>5.9</v>
      </c>
      <c r="O68" s="196">
        <v>17.356951041360002</v>
      </c>
      <c r="P68" s="197">
        <f>(N68-O68)/O68</f>
        <v>-0.66007854801567112</v>
      </c>
      <c r="Q68" s="193" t="b">
        <v>0</v>
      </c>
      <c r="R68" s="193" t="b">
        <v>1</v>
      </c>
      <c r="S68" s="193" t="str">
        <f>IF(Q68,A68&amp;"1",IF(R68,A68&amp;"3",A68&amp;"2"))</f>
        <v>TE3</v>
      </c>
      <c r="T68" s="197">
        <f>AVERAGEIFS(P:P,S:S,S68)</f>
        <v>0.30256123768782139</v>
      </c>
      <c r="U68" s="197" cm="1">
        <f t="array" ref="U68">STDEV(IF(S:S=S68,P:P))</f>
        <v>1.2224378401025804</v>
      </c>
    </row>
    <row r="69" spans="1:21" x14ac:dyDescent="0.2">
      <c r="A69" s="193" t="s">
        <v>10</v>
      </c>
      <c r="B69" t="s">
        <v>692</v>
      </c>
      <c r="C69" t="s">
        <v>129</v>
      </c>
      <c r="D69">
        <v>16</v>
      </c>
      <c r="K69">
        <v>2</v>
      </c>
      <c r="L69">
        <v>16</v>
      </c>
      <c r="M69"/>
      <c r="N69" s="196">
        <v>2.6</v>
      </c>
      <c r="O69" s="196">
        <v>16.832874630670773</v>
      </c>
      <c r="P69" s="197">
        <f>(N69-O69)/O69</f>
        <v>-0.84554034548189394</v>
      </c>
      <c r="Q69" s="193" t="b">
        <v>0</v>
      </c>
      <c r="R69" s="193" t="b">
        <v>1</v>
      </c>
      <c r="S69" s="193" t="str">
        <f>IF(Q69,A69&amp;"1",IF(R69,A69&amp;"3",A69&amp;"2"))</f>
        <v>TE3</v>
      </c>
      <c r="T69" s="197">
        <f>AVERAGEIFS(P:P,S:S,S69)</f>
        <v>0.30256123768782139</v>
      </c>
      <c r="U69" s="197" cm="1">
        <f t="array" ref="U69">STDEV(IF(S:S=S69,P:P))</f>
        <v>1.2224378401025804</v>
      </c>
    </row>
    <row r="70" spans="1:21" x14ac:dyDescent="0.2">
      <c r="A70" s="193" t="s">
        <v>10</v>
      </c>
      <c r="B70" t="s">
        <v>653</v>
      </c>
      <c r="C70" t="s">
        <v>137</v>
      </c>
      <c r="D70">
        <v>11</v>
      </c>
      <c r="K70">
        <v>9</v>
      </c>
      <c r="L70">
        <v>94</v>
      </c>
      <c r="M70">
        <v>1</v>
      </c>
      <c r="N70" s="196">
        <v>19.899999999999999</v>
      </c>
      <c r="O70" s="196">
        <v>16.71059312879585</v>
      </c>
      <c r="P70" s="197">
        <f>(N70-O70)/O70</f>
        <v>0.19086138036046926</v>
      </c>
      <c r="Q70" s="193" t="b">
        <v>0</v>
      </c>
      <c r="R70" s="193" t="b">
        <v>1</v>
      </c>
      <c r="S70" s="193" t="str">
        <f>IF(Q70,A70&amp;"1",IF(R70,A70&amp;"3",A70&amp;"2"))</f>
        <v>TE3</v>
      </c>
      <c r="T70" s="197">
        <f>AVERAGEIFS(P:P,S:S,S70)</f>
        <v>0.30256123768782139</v>
      </c>
      <c r="U70" s="197" cm="1">
        <f t="array" ref="U70">STDEV(IF(S:S=S70,P:P))</f>
        <v>1.2224378401025804</v>
      </c>
    </row>
    <row r="71" spans="1:21" x14ac:dyDescent="0.2">
      <c r="A71" s="193" t="s">
        <v>10</v>
      </c>
      <c r="B71" t="s">
        <v>488</v>
      </c>
      <c r="C71" t="s">
        <v>126</v>
      </c>
      <c r="D71">
        <v>17</v>
      </c>
      <c r="K71">
        <v>17</v>
      </c>
      <c r="L71">
        <v>172</v>
      </c>
      <c r="M71">
        <v>1</v>
      </c>
      <c r="N71" s="196">
        <v>31.7</v>
      </c>
      <c r="O71" s="196">
        <v>16.388591751839996</v>
      </c>
      <c r="P71" s="197">
        <f>(N71-O71)/O71</f>
        <v>0.93427235725979596</v>
      </c>
      <c r="Q71" s="193" t="b">
        <v>0</v>
      </c>
      <c r="R71" s="193" t="b">
        <v>1</v>
      </c>
      <c r="S71" s="193" t="str">
        <f>IF(Q71,A71&amp;"1",IF(R71,A71&amp;"3",A71&amp;"2"))</f>
        <v>TE3</v>
      </c>
      <c r="T71" s="197">
        <f>AVERAGEIFS(P:P,S:S,S71)</f>
        <v>0.30256123768782139</v>
      </c>
      <c r="U71" s="197" cm="1">
        <f t="array" ref="U71">STDEV(IF(S:S=S71,P:P))</f>
        <v>1.2224378401025804</v>
      </c>
    </row>
    <row r="72" spans="1:21" x14ac:dyDescent="0.2">
      <c r="A72" s="193" t="s">
        <v>10</v>
      </c>
      <c r="B72" t="s">
        <v>508</v>
      </c>
      <c r="C72" t="s">
        <v>130</v>
      </c>
      <c r="D72">
        <v>15</v>
      </c>
      <c r="K72">
        <v>16</v>
      </c>
      <c r="L72">
        <v>151</v>
      </c>
      <c r="M72"/>
      <c r="N72" s="196">
        <v>23.1</v>
      </c>
      <c r="O72" s="196">
        <v>16.080363280799997</v>
      </c>
      <c r="P72" s="197">
        <f>(N72-O72)/O72</f>
        <v>0.43653470985829484</v>
      </c>
      <c r="Q72" s="193" t="b">
        <v>0</v>
      </c>
      <c r="R72" s="193" t="b">
        <v>1</v>
      </c>
      <c r="S72" s="193" t="str">
        <f>IF(Q72,A72&amp;"1",IF(R72,A72&amp;"3",A72&amp;"2"))</f>
        <v>TE3</v>
      </c>
      <c r="T72" s="197">
        <f>AVERAGEIFS(P:P,S:S,S72)</f>
        <v>0.30256123768782139</v>
      </c>
      <c r="U72" s="197" cm="1">
        <f t="array" ref="U72">STDEV(IF(S:S=S72,P:P))</f>
        <v>1.2224378401025804</v>
      </c>
    </row>
    <row r="73" spans="1:21" x14ac:dyDescent="0.2">
      <c r="A73" s="193" t="s">
        <v>10</v>
      </c>
      <c r="B73" t="s">
        <v>678</v>
      </c>
      <c r="C73" t="s">
        <v>129</v>
      </c>
      <c r="D73">
        <v>17</v>
      </c>
      <c r="K73">
        <v>5</v>
      </c>
      <c r="L73">
        <v>38</v>
      </c>
      <c r="M73"/>
      <c r="N73" s="196">
        <v>6.3000000000000007</v>
      </c>
      <c r="O73" s="196">
        <v>15.309824690277596</v>
      </c>
      <c r="P73" s="197">
        <f>(N73-O73)/O73</f>
        <v>-0.58849953363602037</v>
      </c>
      <c r="Q73" s="193" t="b">
        <v>0</v>
      </c>
      <c r="R73" s="193" t="b">
        <v>1</v>
      </c>
      <c r="S73" s="193" t="str">
        <f>IF(Q73,A73&amp;"1",IF(R73,A73&amp;"3",A73&amp;"2"))</f>
        <v>TE3</v>
      </c>
      <c r="T73" s="197">
        <f>AVERAGEIFS(P:P,S:S,S73)</f>
        <v>0.30256123768782139</v>
      </c>
      <c r="U73" s="197" cm="1">
        <f t="array" ref="U73">STDEV(IF(S:S=S73,P:P))</f>
        <v>1.2224378401025804</v>
      </c>
    </row>
    <row r="74" spans="1:21" x14ac:dyDescent="0.2">
      <c r="A74" s="193" t="s">
        <v>10</v>
      </c>
      <c r="B74" t="s">
        <v>644</v>
      </c>
      <c r="C74" t="s">
        <v>133</v>
      </c>
      <c r="D74">
        <v>17</v>
      </c>
      <c r="K74">
        <v>7</v>
      </c>
      <c r="L74">
        <v>61</v>
      </c>
      <c r="M74"/>
      <c r="N74" s="196">
        <v>9.6000000000000014</v>
      </c>
      <c r="O74" s="196">
        <v>14.404509715954163</v>
      </c>
      <c r="P74" s="197">
        <f>(N74-O74)/O74</f>
        <v>-0.33354205111422691</v>
      </c>
      <c r="Q74" s="193" t="b">
        <v>0</v>
      </c>
      <c r="R74" s="193" t="b">
        <v>1</v>
      </c>
      <c r="S74" s="193" t="str">
        <f>IF(Q74,A74&amp;"1",IF(R74,A74&amp;"3",A74&amp;"2"))</f>
        <v>TE3</v>
      </c>
      <c r="T74" s="197">
        <f>AVERAGEIFS(P:P,S:S,S74)</f>
        <v>0.30256123768782139</v>
      </c>
      <c r="U74" s="197" cm="1">
        <f t="array" ref="U74">STDEV(IF(S:S=S74,P:P))</f>
        <v>1.2224378401025804</v>
      </c>
    </row>
    <row r="75" spans="1:21" x14ac:dyDescent="0.2">
      <c r="A75" s="193" t="s">
        <v>10</v>
      </c>
      <c r="B75" t="s">
        <v>690</v>
      </c>
      <c r="C75" t="s">
        <v>127</v>
      </c>
      <c r="D75">
        <v>17</v>
      </c>
      <c r="K75">
        <v>9</v>
      </c>
      <c r="L75">
        <v>56</v>
      </c>
      <c r="M75"/>
      <c r="N75" s="196">
        <v>10.100000000000001</v>
      </c>
      <c r="O75" s="196">
        <v>14.109268348510804</v>
      </c>
      <c r="P75" s="197">
        <f>(N75-O75)/O75</f>
        <v>-0.28415848713615049</v>
      </c>
      <c r="Q75" s="193" t="b">
        <v>0</v>
      </c>
      <c r="R75" s="193" t="b">
        <v>1</v>
      </c>
      <c r="S75" s="193" t="str">
        <f>IF(Q75,A75&amp;"1",IF(R75,A75&amp;"3",A75&amp;"2"))</f>
        <v>TE3</v>
      </c>
      <c r="T75" s="197">
        <f>AVERAGEIFS(P:P,S:S,S75)</f>
        <v>0.30256123768782139</v>
      </c>
      <c r="U75" s="197" cm="1">
        <f t="array" ref="U75">STDEV(IF(S:S=S75,P:P))</f>
        <v>1.2224378401025804</v>
      </c>
    </row>
    <row r="76" spans="1:21" x14ac:dyDescent="0.2">
      <c r="A76" s="193" t="s">
        <v>10</v>
      </c>
      <c r="B76" t="s">
        <v>85</v>
      </c>
      <c r="C76" t="s">
        <v>128</v>
      </c>
      <c r="D76">
        <v>15</v>
      </c>
      <c r="K76">
        <v>21</v>
      </c>
      <c r="L76">
        <v>193</v>
      </c>
      <c r="M76">
        <v>1</v>
      </c>
      <c r="N76" s="196">
        <v>35.799999999999997</v>
      </c>
      <c r="O76" s="196">
        <v>13.781646022609921</v>
      </c>
      <c r="P76" s="197">
        <f>(N76-O76)/O76</f>
        <v>1.5976577791409794</v>
      </c>
      <c r="Q76" s="193" t="b">
        <v>0</v>
      </c>
      <c r="R76" s="193" t="b">
        <v>1</v>
      </c>
      <c r="S76" s="193" t="str">
        <f>IF(Q76,A76&amp;"1",IF(R76,A76&amp;"3",A76&amp;"2"))</f>
        <v>TE3</v>
      </c>
      <c r="T76" s="197">
        <f>AVERAGEIFS(P:P,S:S,S76)</f>
        <v>0.30256123768782139</v>
      </c>
      <c r="U76" s="197" cm="1">
        <f t="array" ref="U76">STDEV(IF(S:S=S76,P:P))</f>
        <v>1.2224378401025804</v>
      </c>
    </row>
    <row r="77" spans="1:21" x14ac:dyDescent="0.2">
      <c r="A77" s="193" t="s">
        <v>10</v>
      </c>
      <c r="B77" t="s">
        <v>685</v>
      </c>
      <c r="C77" t="s">
        <v>133</v>
      </c>
      <c r="D77">
        <v>17</v>
      </c>
      <c r="K77">
        <v>9</v>
      </c>
      <c r="L77">
        <v>110</v>
      </c>
      <c r="M77">
        <v>1</v>
      </c>
      <c r="N77" s="196">
        <v>21.5</v>
      </c>
      <c r="O77" s="196">
        <v>11.888260212326399</v>
      </c>
      <c r="P77" s="197">
        <f>(N77-O77)/O77</f>
        <v>0.80850684759638947</v>
      </c>
      <c r="Q77" s="193" t="b">
        <v>0</v>
      </c>
      <c r="R77" s="193" t="b">
        <v>1</v>
      </c>
      <c r="S77" s="193" t="str">
        <f>IF(Q77,A77&amp;"1",IF(R77,A77&amp;"3",A77&amp;"2"))</f>
        <v>TE3</v>
      </c>
      <c r="T77" s="197">
        <f>AVERAGEIFS(P:P,S:S,S77)</f>
        <v>0.30256123768782139</v>
      </c>
      <c r="U77" s="197" cm="1">
        <f t="array" ref="U77">STDEV(IF(S:S=S77,P:P))</f>
        <v>1.2224378401025804</v>
      </c>
    </row>
    <row r="78" spans="1:21" x14ac:dyDescent="0.2">
      <c r="A78" s="193" t="s">
        <v>10</v>
      </c>
      <c r="B78" t="s">
        <v>463</v>
      </c>
      <c r="C78" t="s">
        <v>537</v>
      </c>
      <c r="D78">
        <v>15</v>
      </c>
      <c r="K78">
        <v>8</v>
      </c>
      <c r="L78">
        <v>65</v>
      </c>
      <c r="M78"/>
      <c r="N78" s="196">
        <v>10.5</v>
      </c>
      <c r="O78" s="196">
        <v>11.88686867845238</v>
      </c>
      <c r="P78" s="197">
        <f>(N78-O78)/O78</f>
        <v>-0.11667233112168483</v>
      </c>
      <c r="Q78" s="193" t="b">
        <v>0</v>
      </c>
      <c r="R78" s="193" t="b">
        <v>1</v>
      </c>
      <c r="S78" s="193" t="str">
        <f>IF(Q78,A78&amp;"1",IF(R78,A78&amp;"3",A78&amp;"2"))</f>
        <v>TE3</v>
      </c>
      <c r="T78" s="197">
        <f>AVERAGEIFS(P:P,S:S,S78)</f>
        <v>0.30256123768782139</v>
      </c>
      <c r="U78" s="197" cm="1">
        <f t="array" ref="U78">STDEV(IF(S:S=S78,P:P))</f>
        <v>1.2224378401025804</v>
      </c>
    </row>
    <row r="79" spans="1:21" x14ac:dyDescent="0.2">
      <c r="A79" s="193" t="s">
        <v>10</v>
      </c>
      <c r="B79" t="s">
        <v>7</v>
      </c>
      <c r="C79" t="s">
        <v>111</v>
      </c>
      <c r="D79">
        <v>12</v>
      </c>
      <c r="K79">
        <v>5</v>
      </c>
      <c r="L79">
        <v>56</v>
      </c>
      <c r="M79"/>
      <c r="N79" s="196">
        <v>8.1000000000000014</v>
      </c>
      <c r="O79" s="196">
        <v>11.840852666214957</v>
      </c>
      <c r="P79" s="197">
        <f>(N79-O79)/O79</f>
        <v>-0.31592764234695569</v>
      </c>
      <c r="Q79" s="193" t="b">
        <v>0</v>
      </c>
      <c r="R79" s="193" t="b">
        <v>1</v>
      </c>
      <c r="S79" s="193" t="str">
        <f>IF(Q79,A79&amp;"1",IF(R79,A79&amp;"3",A79&amp;"2"))</f>
        <v>TE3</v>
      </c>
      <c r="T79" s="197">
        <f>AVERAGEIFS(P:P,S:S,S79)</f>
        <v>0.30256123768782139</v>
      </c>
      <c r="U79" s="197" cm="1">
        <f t="array" ref="U79">STDEV(IF(S:S=S79,P:P))</f>
        <v>1.2224378401025804</v>
      </c>
    </row>
    <row r="80" spans="1:21" x14ac:dyDescent="0.2">
      <c r="A80" s="193" t="s">
        <v>10</v>
      </c>
      <c r="B80" t="s">
        <v>224</v>
      </c>
      <c r="C80" t="s">
        <v>108</v>
      </c>
      <c r="D80">
        <v>17</v>
      </c>
      <c r="K80">
        <v>3</v>
      </c>
      <c r="L80">
        <v>32</v>
      </c>
      <c r="M80"/>
      <c r="N80" s="196">
        <v>4.7</v>
      </c>
      <c r="O80" s="196">
        <v>11.655864573509518</v>
      </c>
      <c r="P80" s="197">
        <f>(N80-O80)/O80</f>
        <v>-0.59676950857152455</v>
      </c>
      <c r="Q80" s="193" t="b">
        <v>0</v>
      </c>
      <c r="R80" s="193" t="b">
        <v>1</v>
      </c>
      <c r="S80" s="193" t="str">
        <f>IF(Q80,A80&amp;"1",IF(R80,A80&amp;"3",A80&amp;"2"))</f>
        <v>TE3</v>
      </c>
      <c r="T80" s="197">
        <f>AVERAGEIFS(P:P,S:S,S80)</f>
        <v>0.30256123768782139</v>
      </c>
      <c r="U80" s="197" cm="1">
        <f t="array" ref="U80">STDEV(IF(S:S=S80,P:P))</f>
        <v>1.2224378401025804</v>
      </c>
    </row>
    <row r="81" spans="1:21" x14ac:dyDescent="0.2">
      <c r="A81" s="193" t="s">
        <v>10</v>
      </c>
      <c r="B81" t="s">
        <v>188</v>
      </c>
      <c r="C81" t="s">
        <v>711</v>
      </c>
      <c r="D81">
        <v>15</v>
      </c>
      <c r="K81">
        <v>5</v>
      </c>
      <c r="L81">
        <v>78</v>
      </c>
      <c r="M81"/>
      <c r="N81" s="196">
        <v>10.3</v>
      </c>
      <c r="O81" s="196">
        <v>10.608457570116235</v>
      </c>
      <c r="P81" s="197">
        <f>(N81-O81)/O81</f>
        <v>-2.9076571035656626E-2</v>
      </c>
      <c r="Q81" s="193" t="b">
        <v>0</v>
      </c>
      <c r="R81" s="193" t="b">
        <v>1</v>
      </c>
      <c r="S81" s="193" t="str">
        <f>IF(Q81,A81&amp;"1",IF(R81,A81&amp;"3",A81&amp;"2"))</f>
        <v>TE3</v>
      </c>
      <c r="T81" s="197">
        <f>AVERAGEIFS(P:P,S:S,S81)</f>
        <v>0.30256123768782139</v>
      </c>
      <c r="U81" s="197" cm="1">
        <f t="array" ref="U81">STDEV(IF(S:S=S81,P:P))</f>
        <v>1.2224378401025804</v>
      </c>
    </row>
    <row r="82" spans="1:21" x14ac:dyDescent="0.2">
      <c r="A82" s="193" t="s">
        <v>10</v>
      </c>
      <c r="B82" t="s">
        <v>217</v>
      </c>
      <c r="C82" t="s">
        <v>119</v>
      </c>
      <c r="D82">
        <v>14</v>
      </c>
      <c r="K82">
        <v>17</v>
      </c>
      <c r="L82">
        <v>219</v>
      </c>
      <c r="M82">
        <v>2</v>
      </c>
      <c r="N82" s="196">
        <v>42.400000000000006</v>
      </c>
      <c r="O82" s="196">
        <v>9.8063479724391271</v>
      </c>
      <c r="P82" s="197">
        <f>(N82-O82)/O82</f>
        <v>3.3237299062980199</v>
      </c>
      <c r="Q82" s="193" t="b">
        <v>0</v>
      </c>
      <c r="R82" s="193" t="b">
        <v>1</v>
      </c>
      <c r="S82" s="193" t="str">
        <f>IF(Q82,A82&amp;"1",IF(R82,A82&amp;"3",A82&amp;"2"))</f>
        <v>TE3</v>
      </c>
      <c r="T82" s="197">
        <f>AVERAGEIFS(P:P,S:S,S82)</f>
        <v>0.30256123768782139</v>
      </c>
      <c r="U82" s="197" cm="1">
        <f t="array" ref="U82">STDEV(IF(S:S=S82,P:P))</f>
        <v>1.2224378401025804</v>
      </c>
    </row>
    <row r="83" spans="1:21" x14ac:dyDescent="0.2">
      <c r="A83" s="193" t="s">
        <v>10</v>
      </c>
      <c r="B83" t="s">
        <v>579</v>
      </c>
      <c r="C83" t="s">
        <v>110</v>
      </c>
      <c r="D83">
        <v>15</v>
      </c>
      <c r="K83">
        <v>2</v>
      </c>
      <c r="L83">
        <v>26</v>
      </c>
      <c r="M83">
        <v>1</v>
      </c>
      <c r="N83" s="196">
        <v>9.6</v>
      </c>
      <c r="O83" s="196">
        <v>9.2599325460133226</v>
      </c>
      <c r="P83" s="197">
        <f>(N83-O83)/O83</f>
        <v>3.6724614601332729E-2</v>
      </c>
      <c r="Q83" s="193" t="b">
        <v>0</v>
      </c>
      <c r="R83" s="193" t="b">
        <v>1</v>
      </c>
      <c r="S83" s="193" t="str">
        <f>IF(Q83,A83&amp;"1",IF(R83,A83&amp;"3",A83&amp;"2"))</f>
        <v>TE3</v>
      </c>
      <c r="T83" s="197">
        <f>AVERAGEIFS(P:P,S:S,S83)</f>
        <v>0.30256123768782139</v>
      </c>
      <c r="U83" s="197" cm="1">
        <f t="array" ref="U83">STDEV(IF(S:S=S83,P:P))</f>
        <v>1.2224378401025804</v>
      </c>
    </row>
    <row r="84" spans="1:21" x14ac:dyDescent="0.2">
      <c r="A84" s="193" t="s">
        <v>10</v>
      </c>
      <c r="B84" t="s">
        <v>225</v>
      </c>
      <c r="C84" t="s">
        <v>533</v>
      </c>
      <c r="D84">
        <v>17</v>
      </c>
      <c r="K84">
        <v>19</v>
      </c>
      <c r="L84">
        <v>151</v>
      </c>
      <c r="M84"/>
      <c r="N84" s="196">
        <v>24.6</v>
      </c>
      <c r="O84" s="196">
        <v>8.9019390849842956</v>
      </c>
      <c r="P84" s="197">
        <f>(N84-O84)/O84</f>
        <v>1.763442859488338</v>
      </c>
      <c r="Q84" s="193" t="b">
        <v>0</v>
      </c>
      <c r="R84" s="193" t="b">
        <v>1</v>
      </c>
      <c r="S84" s="193" t="str">
        <f>IF(Q84,A84&amp;"1",IF(R84,A84&amp;"3",A84&amp;"2"))</f>
        <v>TE3</v>
      </c>
      <c r="T84" s="197">
        <f>AVERAGEIFS(P:P,S:S,S84)</f>
        <v>0.30256123768782139</v>
      </c>
      <c r="U84" s="197" cm="1">
        <f t="array" ref="U84">STDEV(IF(S:S=S84,P:P))</f>
        <v>1.2224378401025804</v>
      </c>
    </row>
    <row r="85" spans="1:21" x14ac:dyDescent="0.2">
      <c r="A85" s="193" t="s">
        <v>10</v>
      </c>
      <c r="B85" t="s">
        <v>223</v>
      </c>
      <c r="C85" t="s">
        <v>711</v>
      </c>
      <c r="D85">
        <v>17</v>
      </c>
      <c r="K85">
        <v>25</v>
      </c>
      <c r="L85">
        <v>247</v>
      </c>
      <c r="M85">
        <v>2</v>
      </c>
      <c r="N85" s="196">
        <v>49.2</v>
      </c>
      <c r="O85" s="196">
        <v>8.1406506414917494</v>
      </c>
      <c r="P85" s="197">
        <f>(N85-O85)/O85</f>
        <v>5.0437429594674583</v>
      </c>
      <c r="Q85" s="193" t="b">
        <v>0</v>
      </c>
      <c r="R85" s="193" t="b">
        <v>1</v>
      </c>
      <c r="S85" s="193" t="str">
        <f>IF(Q85,A85&amp;"1",IF(R85,A85&amp;"3",A85&amp;"2"))</f>
        <v>TE3</v>
      </c>
      <c r="T85" s="197">
        <f>AVERAGEIFS(P:P,S:S,S85)</f>
        <v>0.30256123768782139</v>
      </c>
      <c r="U85" s="197" cm="1">
        <f t="array" ref="U85">STDEV(IF(S:S=S85,P:P))</f>
        <v>1.2224378401025804</v>
      </c>
    </row>
    <row r="86" spans="1:21" x14ac:dyDescent="0.2">
      <c r="A86" s="193" t="s">
        <v>10</v>
      </c>
      <c r="B86" t="s">
        <v>591</v>
      </c>
      <c r="C86" t="s">
        <v>126</v>
      </c>
      <c r="D86">
        <v>17</v>
      </c>
      <c r="K86">
        <v>22</v>
      </c>
      <c r="L86">
        <v>213</v>
      </c>
      <c r="M86">
        <v>2</v>
      </c>
      <c r="N86" s="196">
        <v>44.3</v>
      </c>
      <c r="O86" s="196">
        <v>7.947462224774859</v>
      </c>
      <c r="P86" s="197">
        <f>(N86-O86)/O86</f>
        <v>4.5741063935984867</v>
      </c>
      <c r="Q86" s="193" t="b">
        <v>0</v>
      </c>
      <c r="R86" s="193" t="b">
        <v>1</v>
      </c>
      <c r="S86" s="193" t="str">
        <f>IF(Q86,A86&amp;"1",IF(R86,A86&amp;"3",A86&amp;"2"))</f>
        <v>TE3</v>
      </c>
      <c r="T86" s="197">
        <f>AVERAGEIFS(P:P,S:S,S86)</f>
        <v>0.30256123768782139</v>
      </c>
      <c r="U86" s="197" cm="1">
        <f t="array" ref="U86">STDEV(IF(S:S=S86,P:P))</f>
        <v>1.2224378401025804</v>
      </c>
    </row>
    <row r="87" spans="1:21" x14ac:dyDescent="0.2">
      <c r="A87" s="193" t="s">
        <v>10</v>
      </c>
      <c r="B87" t="s">
        <v>497</v>
      </c>
      <c r="C87" t="s">
        <v>109</v>
      </c>
      <c r="D87">
        <v>15</v>
      </c>
      <c r="K87">
        <v>7</v>
      </c>
      <c r="L87">
        <v>87</v>
      </c>
      <c r="M87">
        <v>1</v>
      </c>
      <c r="N87" s="196">
        <v>18.200000000000003</v>
      </c>
      <c r="O87" s="196">
        <v>7.7628243148098379</v>
      </c>
      <c r="P87" s="197">
        <f>(N87-O87)/O87</f>
        <v>1.3445075222529805</v>
      </c>
      <c r="Q87" s="193" t="b">
        <v>0</v>
      </c>
      <c r="R87" s="193" t="b">
        <v>1</v>
      </c>
      <c r="S87" s="193" t="str">
        <f>IF(Q87,A87&amp;"1",IF(R87,A87&amp;"3",A87&amp;"2"))</f>
        <v>TE3</v>
      </c>
      <c r="T87" s="197">
        <f>AVERAGEIFS(P:P,S:S,S87)</f>
        <v>0.30256123768782139</v>
      </c>
      <c r="U87" s="197" cm="1">
        <f t="array" ref="U87">STDEV(IF(S:S=S87,P:P))</f>
        <v>1.2224378401025804</v>
      </c>
    </row>
    <row r="88" spans="1:21" x14ac:dyDescent="0.2">
      <c r="A88" s="193" t="s">
        <v>10</v>
      </c>
      <c r="B88" t="s">
        <v>649</v>
      </c>
      <c r="C88" t="s">
        <v>136</v>
      </c>
      <c r="D88">
        <v>13</v>
      </c>
      <c r="K88">
        <v>5</v>
      </c>
      <c r="L88">
        <v>58</v>
      </c>
      <c r="M88"/>
      <c r="N88" s="196">
        <v>8.3000000000000007</v>
      </c>
      <c r="O88" s="196">
        <v>7.5061367673600001</v>
      </c>
      <c r="P88" s="197">
        <f>(N88-O88)/O88</f>
        <v>0.10576189286772242</v>
      </c>
      <c r="Q88" s="193" t="b">
        <v>0</v>
      </c>
      <c r="R88" s="193" t="b">
        <v>1</v>
      </c>
      <c r="S88" s="193" t="str">
        <f>IF(Q88,A88&amp;"1",IF(R88,A88&amp;"3",A88&amp;"2"))</f>
        <v>TE3</v>
      </c>
      <c r="T88" s="197">
        <f>AVERAGEIFS(P:P,S:S,S88)</f>
        <v>0.30256123768782139</v>
      </c>
      <c r="U88" s="197" cm="1">
        <f t="array" ref="U88">STDEV(IF(S:S=S88,P:P))</f>
        <v>1.2224378401025804</v>
      </c>
    </row>
    <row r="89" spans="1:21" x14ac:dyDescent="0.2">
      <c r="A89" s="193" t="s">
        <v>10</v>
      </c>
      <c r="B89" t="s">
        <v>557</v>
      </c>
      <c r="C89" t="s">
        <v>537</v>
      </c>
      <c r="D89">
        <v>17</v>
      </c>
      <c r="K89">
        <v>13</v>
      </c>
      <c r="L89">
        <v>155</v>
      </c>
      <c r="M89"/>
      <c r="N89" s="196">
        <v>22</v>
      </c>
      <c r="O89" s="196">
        <v>6.4640458763999984</v>
      </c>
      <c r="P89" s="197">
        <f>(N89-O89)/O89</f>
        <v>2.4034411915795983</v>
      </c>
      <c r="Q89" s="193" t="b">
        <v>0</v>
      </c>
      <c r="R89" s="193" t="b">
        <v>1</v>
      </c>
      <c r="S89" s="193" t="str">
        <f>IF(Q89,A89&amp;"1",IF(R89,A89&amp;"3",A89&amp;"2"))</f>
        <v>TE3</v>
      </c>
      <c r="T89" s="197">
        <f>AVERAGEIFS(P:P,S:S,S89)</f>
        <v>0.30256123768782139</v>
      </c>
      <c r="U89" s="197" cm="1">
        <f t="array" ref="U89">STDEV(IF(S:S=S89,P:P))</f>
        <v>1.2224378401025804</v>
      </c>
    </row>
    <row r="90" spans="1:21" x14ac:dyDescent="0.2">
      <c r="A90" s="193" t="s">
        <v>256</v>
      </c>
      <c r="B90" t="s">
        <v>659</v>
      </c>
      <c r="C90" t="s">
        <v>125</v>
      </c>
      <c r="D90">
        <v>11</v>
      </c>
      <c r="I90">
        <v>800</v>
      </c>
      <c r="J90">
        <v>8</v>
      </c>
      <c r="K90">
        <v>27</v>
      </c>
      <c r="L90">
        <v>197</v>
      </c>
      <c r="M90">
        <v>3</v>
      </c>
      <c r="N90" s="196">
        <v>179.2</v>
      </c>
      <c r="O90" s="196">
        <v>125.17657453477499</v>
      </c>
      <c r="P90" s="197">
        <f>(N90-O90)/O90</f>
        <v>0.43157775858626723</v>
      </c>
      <c r="Q90" s="193" t="b">
        <v>0</v>
      </c>
      <c r="R90" s="193" t="b">
        <v>1</v>
      </c>
      <c r="S90" s="193" t="str">
        <f>IF(Q90,A90&amp;"1",IF(R90,A90&amp;"3",A90&amp;"2"))</f>
        <v>RB3</v>
      </c>
      <c r="T90" s="197">
        <f>AVERAGEIFS(P:P,S:S,S90)</f>
        <v>0.15977645774330501</v>
      </c>
      <c r="U90" s="197" cm="1">
        <f t="array" ref="U90">STDEV(IF(S:S=S90,P:P))</f>
        <v>1.2265412747416893</v>
      </c>
    </row>
    <row r="91" spans="1:21" x14ac:dyDescent="0.2">
      <c r="A91" s="193" t="s">
        <v>256</v>
      </c>
      <c r="B91" t="s">
        <v>610</v>
      </c>
      <c r="C91" t="s">
        <v>115</v>
      </c>
      <c r="D91">
        <v>7</v>
      </c>
      <c r="I91">
        <v>40</v>
      </c>
      <c r="J91"/>
      <c r="K91">
        <v>7</v>
      </c>
      <c r="L91">
        <v>40</v>
      </c>
      <c r="M91"/>
      <c r="N91" s="196">
        <v>11.5</v>
      </c>
      <c r="O91" s="196">
        <v>122.46291553605721</v>
      </c>
      <c r="P91" s="197">
        <f>(N91-O91)/O91</f>
        <v>-0.90609402079265366</v>
      </c>
      <c r="Q91" s="193" t="b">
        <v>0</v>
      </c>
      <c r="R91" s="193" t="b">
        <v>1</v>
      </c>
      <c r="S91" s="193" t="str">
        <f>IF(Q91,A91&amp;"1",IF(R91,A91&amp;"3",A91&amp;"2"))</f>
        <v>RB3</v>
      </c>
      <c r="T91" s="197">
        <f>AVERAGEIFS(P:P,S:S,S91)</f>
        <v>0.15977645774330501</v>
      </c>
      <c r="U91" s="197" cm="1">
        <f t="array" ref="U91">STDEV(IF(S:S=S91,P:P))</f>
        <v>1.2265412747416893</v>
      </c>
    </row>
    <row r="92" spans="1:21" x14ac:dyDescent="0.2">
      <c r="A92" s="193" t="s">
        <v>256</v>
      </c>
      <c r="B92" t="s">
        <v>74</v>
      </c>
      <c r="C92" t="s">
        <v>111</v>
      </c>
      <c r="D92">
        <v>3</v>
      </c>
      <c r="I92">
        <v>33</v>
      </c>
      <c r="J92"/>
      <c r="K92">
        <v>1</v>
      </c>
      <c r="L92">
        <v>5</v>
      </c>
      <c r="M92"/>
      <c r="N92" s="196">
        <v>4.3000000000000007</v>
      </c>
      <c r="O92" s="196">
        <v>116.11919779473679</v>
      </c>
      <c r="P92" s="197">
        <f>(N92-O92)/O92</f>
        <v>-0.96296908623498179</v>
      </c>
      <c r="Q92" s="193" t="b">
        <v>0</v>
      </c>
      <c r="R92" s="193" t="b">
        <v>1</v>
      </c>
      <c r="S92" s="193" t="str">
        <f>IF(Q92,A92&amp;"1",IF(R92,A92&amp;"3",A92&amp;"2"))</f>
        <v>RB3</v>
      </c>
      <c r="T92" s="197">
        <f>AVERAGEIFS(P:P,S:S,S92)</f>
        <v>0.15977645774330501</v>
      </c>
      <c r="U92" s="197" cm="1">
        <f t="array" ref="U92">STDEV(IF(S:S=S92,P:P))</f>
        <v>1.2265412747416893</v>
      </c>
    </row>
    <row r="93" spans="1:21" x14ac:dyDescent="0.2">
      <c r="A93" s="193" t="s">
        <v>256</v>
      </c>
      <c r="B93" t="s">
        <v>544</v>
      </c>
      <c r="C93" t="s">
        <v>122</v>
      </c>
      <c r="D93">
        <v>8</v>
      </c>
      <c r="I93">
        <v>74</v>
      </c>
      <c r="J93"/>
      <c r="K93">
        <v>4</v>
      </c>
      <c r="L93">
        <v>26</v>
      </c>
      <c r="M93"/>
      <c r="N93" s="196">
        <v>12</v>
      </c>
      <c r="O93" s="196">
        <v>114.34337921125001</v>
      </c>
      <c r="P93" s="197">
        <f>(N93-O93)/O93</f>
        <v>-0.89505295293197573</v>
      </c>
      <c r="Q93" s="193" t="b">
        <v>0</v>
      </c>
      <c r="R93" s="193" t="b">
        <v>1</v>
      </c>
      <c r="S93" s="193" t="str">
        <f>IF(Q93,A93&amp;"1",IF(R93,A93&amp;"3",A93&amp;"2"))</f>
        <v>RB3</v>
      </c>
      <c r="T93" s="197">
        <f>AVERAGEIFS(P:P,S:S,S93)</f>
        <v>0.15977645774330501</v>
      </c>
      <c r="U93" s="197" cm="1">
        <f t="array" ref="U93">STDEV(IF(S:S=S93,P:P))</f>
        <v>1.2265412747416893</v>
      </c>
    </row>
    <row r="94" spans="1:21" x14ac:dyDescent="0.2">
      <c r="A94" s="193" t="s">
        <v>256</v>
      </c>
      <c r="B94" t="s">
        <v>654</v>
      </c>
      <c r="C94" t="s">
        <v>112</v>
      </c>
      <c r="D94">
        <v>15</v>
      </c>
      <c r="I94">
        <v>352</v>
      </c>
      <c r="J94">
        <v>2</v>
      </c>
      <c r="K94">
        <v>34</v>
      </c>
      <c r="L94">
        <v>209</v>
      </c>
      <c r="M94"/>
      <c r="N94" s="196">
        <v>85.100000000000009</v>
      </c>
      <c r="O94" s="196">
        <v>113.11824613203741</v>
      </c>
      <c r="P94" s="197">
        <f>(N94-O94)/O94</f>
        <v>-0.24768989168496364</v>
      </c>
      <c r="Q94" s="193" t="b">
        <v>0</v>
      </c>
      <c r="R94" s="193" t="b">
        <v>1</v>
      </c>
      <c r="S94" s="193" t="str">
        <f>IF(Q94,A94&amp;"1",IF(R94,A94&amp;"3",A94&amp;"2"))</f>
        <v>RB3</v>
      </c>
      <c r="T94" s="197">
        <f>AVERAGEIFS(P:P,S:S,S94)</f>
        <v>0.15977645774330501</v>
      </c>
      <c r="U94" s="197" cm="1">
        <f t="array" ref="U94">STDEV(IF(S:S=S94,P:P))</f>
        <v>1.2265412747416893</v>
      </c>
    </row>
    <row r="95" spans="1:21" x14ac:dyDescent="0.2">
      <c r="A95" s="193" t="s">
        <v>256</v>
      </c>
      <c r="B95" t="s">
        <v>626</v>
      </c>
      <c r="C95" t="s">
        <v>537</v>
      </c>
      <c r="D95">
        <v>17</v>
      </c>
      <c r="I95">
        <v>132</v>
      </c>
      <c r="J95">
        <v>2</v>
      </c>
      <c r="K95">
        <v>1</v>
      </c>
      <c r="L95">
        <v>6</v>
      </c>
      <c r="M95"/>
      <c r="N95" s="196">
        <v>26.300000000000004</v>
      </c>
      <c r="O95" s="196">
        <v>110.05860429876311</v>
      </c>
      <c r="P95" s="197">
        <f>(N95-O95)/O95</f>
        <v>-0.76103640267319317</v>
      </c>
      <c r="Q95" s="193" t="b">
        <v>0</v>
      </c>
      <c r="R95" s="193" t="b">
        <v>1</v>
      </c>
      <c r="S95" s="193" t="str">
        <f>IF(Q95,A95&amp;"1",IF(R95,A95&amp;"3",A95&amp;"2"))</f>
        <v>RB3</v>
      </c>
      <c r="T95" s="197">
        <f>AVERAGEIFS(P:P,S:S,S95)</f>
        <v>0.15977645774330501</v>
      </c>
      <c r="U95" s="197" cm="1">
        <f t="array" ref="U95">STDEV(IF(S:S=S95,P:P))</f>
        <v>1.2265412747416893</v>
      </c>
    </row>
    <row r="96" spans="1:21" x14ac:dyDescent="0.2">
      <c r="A96" s="193" t="s">
        <v>256</v>
      </c>
      <c r="B96" t="s">
        <v>542</v>
      </c>
      <c r="C96" t="s">
        <v>126</v>
      </c>
      <c r="D96">
        <v>17</v>
      </c>
      <c r="I96">
        <v>461</v>
      </c>
      <c r="J96">
        <v>3</v>
      </c>
      <c r="K96">
        <v>21</v>
      </c>
      <c r="L96">
        <v>159</v>
      </c>
      <c r="M96"/>
      <c r="N96" s="196">
        <v>90.5</v>
      </c>
      <c r="O96" s="196">
        <v>107.11994911405516</v>
      </c>
      <c r="P96" s="197">
        <f>(N96-O96)/O96</f>
        <v>-0.1551526979942755</v>
      </c>
      <c r="Q96" s="193" t="b">
        <v>0</v>
      </c>
      <c r="R96" s="193" t="b">
        <v>1</v>
      </c>
      <c r="S96" s="193" t="str">
        <f>IF(Q96,A96&amp;"1",IF(R96,A96&amp;"3",A96&amp;"2"))</f>
        <v>RB3</v>
      </c>
      <c r="T96" s="197">
        <f>AVERAGEIFS(P:P,S:S,S96)</f>
        <v>0.15977645774330501</v>
      </c>
      <c r="U96" s="197" cm="1">
        <f t="array" ref="U96">STDEV(IF(S:S=S96,P:P))</f>
        <v>1.2265412747416893</v>
      </c>
    </row>
    <row r="97" spans="1:21" x14ac:dyDescent="0.2">
      <c r="A97" s="193" t="s">
        <v>256</v>
      </c>
      <c r="B97" t="s">
        <v>97</v>
      </c>
      <c r="C97" t="s">
        <v>110</v>
      </c>
      <c r="D97">
        <v>6</v>
      </c>
      <c r="I97">
        <v>94</v>
      </c>
      <c r="J97">
        <v>1</v>
      </c>
      <c r="K97">
        <v>2</v>
      </c>
      <c r="L97">
        <v>16</v>
      </c>
      <c r="M97"/>
      <c r="N97" s="196">
        <v>18</v>
      </c>
      <c r="O97" s="196">
        <v>105.48261995841824</v>
      </c>
      <c r="P97" s="197">
        <f>(N97-O97)/O97</f>
        <v>-0.82935577437216024</v>
      </c>
      <c r="Q97" s="193" t="b">
        <v>0</v>
      </c>
      <c r="R97" s="193" t="b">
        <v>1</v>
      </c>
      <c r="S97" s="193" t="str">
        <f>IF(Q97,A97&amp;"1",IF(R97,A97&amp;"3",A97&amp;"2"))</f>
        <v>RB3</v>
      </c>
      <c r="T97" s="197">
        <f>AVERAGEIFS(P:P,S:S,S97)</f>
        <v>0.15977645774330501</v>
      </c>
      <c r="U97" s="197" cm="1">
        <f t="array" ref="U97">STDEV(IF(S:S=S97,P:P))</f>
        <v>1.2265412747416893</v>
      </c>
    </row>
    <row r="98" spans="1:21" x14ac:dyDescent="0.2">
      <c r="A98" s="193" t="s">
        <v>256</v>
      </c>
      <c r="B98" t="s">
        <v>235</v>
      </c>
      <c r="C98" t="s">
        <v>135</v>
      </c>
      <c r="D98">
        <v>11</v>
      </c>
      <c r="I98">
        <v>281</v>
      </c>
      <c r="J98">
        <v>2</v>
      </c>
      <c r="K98">
        <v>6</v>
      </c>
      <c r="L98">
        <v>14</v>
      </c>
      <c r="M98"/>
      <c r="N98" s="196">
        <v>44.5</v>
      </c>
      <c r="O98" s="196">
        <v>104.6005533109488</v>
      </c>
      <c r="P98" s="197">
        <f>(N98-O98)/O98</f>
        <v>-0.57457204009510654</v>
      </c>
      <c r="Q98" s="193" t="b">
        <v>0</v>
      </c>
      <c r="R98" s="193" t="b">
        <v>1</v>
      </c>
      <c r="S98" s="193" t="str">
        <f>IF(Q98,A98&amp;"1",IF(R98,A98&amp;"3",A98&amp;"2"))</f>
        <v>RB3</v>
      </c>
      <c r="T98" s="197">
        <f>AVERAGEIFS(P:P,S:S,S98)</f>
        <v>0.15977645774330501</v>
      </c>
      <c r="U98" s="197" cm="1">
        <f t="array" ref="U98">STDEV(IF(S:S=S98,P:P))</f>
        <v>1.2265412747416893</v>
      </c>
    </row>
    <row r="99" spans="1:21" x14ac:dyDescent="0.2">
      <c r="A99" s="193" t="s">
        <v>256</v>
      </c>
      <c r="B99" t="s">
        <v>519</v>
      </c>
      <c r="C99" t="s">
        <v>711</v>
      </c>
      <c r="D99">
        <v>12</v>
      </c>
      <c r="I99">
        <v>1144</v>
      </c>
      <c r="J99">
        <v>12</v>
      </c>
      <c r="K99">
        <v>32</v>
      </c>
      <c r="L99">
        <v>206</v>
      </c>
      <c r="M99">
        <v>3</v>
      </c>
      <c r="N99" s="196">
        <v>241</v>
      </c>
      <c r="O99" s="196">
        <v>101.74554570819568</v>
      </c>
      <c r="P99" s="197">
        <f>(N99-O99)/O99</f>
        <v>1.3686540607014237</v>
      </c>
      <c r="Q99" s="193" t="b">
        <v>0</v>
      </c>
      <c r="R99" s="193" t="b">
        <v>1</v>
      </c>
      <c r="S99" s="193" t="str">
        <f>IF(Q99,A99&amp;"1",IF(R99,A99&amp;"3",A99&amp;"2"))</f>
        <v>RB3</v>
      </c>
      <c r="T99" s="197">
        <f>AVERAGEIFS(P:P,S:S,S99)</f>
        <v>0.15977645774330501</v>
      </c>
      <c r="U99" s="197" cm="1">
        <f t="array" ref="U99">STDEV(IF(S:S=S99,P:P))</f>
        <v>1.2265412747416893</v>
      </c>
    </row>
    <row r="100" spans="1:21" x14ac:dyDescent="0.2">
      <c r="A100" s="193" t="s">
        <v>256</v>
      </c>
      <c r="B100" t="s">
        <v>541</v>
      </c>
      <c r="C100" t="s">
        <v>132</v>
      </c>
      <c r="D100">
        <v>16</v>
      </c>
      <c r="I100">
        <v>364</v>
      </c>
      <c r="J100">
        <v>2</v>
      </c>
      <c r="K100">
        <v>30</v>
      </c>
      <c r="L100">
        <v>183</v>
      </c>
      <c r="M100"/>
      <c r="N100" s="196">
        <v>81.7</v>
      </c>
      <c r="O100" s="196">
        <v>101.2645883177376</v>
      </c>
      <c r="P100" s="197">
        <f>(N100-O100)/O100</f>
        <v>-0.1932026648481486</v>
      </c>
      <c r="Q100" s="193" t="b">
        <v>0</v>
      </c>
      <c r="R100" s="193" t="b">
        <v>1</v>
      </c>
      <c r="S100" s="193" t="str">
        <f>IF(Q100,A100&amp;"1",IF(R100,A100&amp;"3",A100&amp;"2"))</f>
        <v>RB3</v>
      </c>
      <c r="T100" s="197">
        <f>AVERAGEIFS(P:P,S:S,S100)</f>
        <v>0.15977645774330501</v>
      </c>
      <c r="U100" s="197" cm="1">
        <f t="array" ref="U100">STDEV(IF(S:S=S100,P:P))</f>
        <v>1.2265412747416893</v>
      </c>
    </row>
    <row r="101" spans="1:21" x14ac:dyDescent="0.2">
      <c r="A101" s="193" t="s">
        <v>256</v>
      </c>
      <c r="B101" t="s">
        <v>396</v>
      </c>
      <c r="C101" t="s">
        <v>125</v>
      </c>
      <c r="D101">
        <v>10</v>
      </c>
      <c r="I101">
        <v>188</v>
      </c>
      <c r="J101"/>
      <c r="K101">
        <v>14</v>
      </c>
      <c r="L101">
        <v>85</v>
      </c>
      <c r="M101"/>
      <c r="N101" s="196">
        <v>34.299999999999997</v>
      </c>
      <c r="O101" s="196">
        <v>99.044586269217561</v>
      </c>
      <c r="P101" s="197">
        <f>(N101-O101)/O101</f>
        <v>-0.65369131931383284</v>
      </c>
      <c r="Q101" s="193" t="b">
        <v>0</v>
      </c>
      <c r="R101" s="193" t="b">
        <v>1</v>
      </c>
      <c r="S101" s="193" t="str">
        <f>IF(Q101,A101&amp;"1",IF(R101,A101&amp;"3",A101&amp;"2"))</f>
        <v>RB3</v>
      </c>
      <c r="T101" s="197">
        <f>AVERAGEIFS(P:P,S:S,S101)</f>
        <v>0.15977645774330501</v>
      </c>
      <c r="U101" s="197" cm="1">
        <f t="array" ref="U101">STDEV(IF(S:S=S101,P:P))</f>
        <v>1.2265412747416893</v>
      </c>
    </row>
    <row r="102" spans="1:21" x14ac:dyDescent="0.2">
      <c r="A102" s="193" t="s">
        <v>256</v>
      </c>
      <c r="B102" t="s">
        <v>190</v>
      </c>
      <c r="C102" t="s">
        <v>123</v>
      </c>
      <c r="D102">
        <v>17</v>
      </c>
      <c r="I102">
        <v>405</v>
      </c>
      <c r="J102">
        <v>2</v>
      </c>
      <c r="K102">
        <v>8</v>
      </c>
      <c r="L102">
        <v>32</v>
      </c>
      <c r="M102"/>
      <c r="N102" s="196">
        <v>59.7</v>
      </c>
      <c r="O102" s="196">
        <v>97.654269176520614</v>
      </c>
      <c r="P102" s="197">
        <f>(N102-O102)/O102</f>
        <v>-0.38865959979603332</v>
      </c>
      <c r="Q102" s="193" t="b">
        <v>0</v>
      </c>
      <c r="R102" s="193" t="b">
        <v>1</v>
      </c>
      <c r="S102" s="193" t="str">
        <f>IF(Q102,A102&amp;"1",IF(R102,A102&amp;"3",A102&amp;"2"))</f>
        <v>RB3</v>
      </c>
      <c r="T102" s="197">
        <f>AVERAGEIFS(P:P,S:S,S102)</f>
        <v>0.15977645774330501</v>
      </c>
      <c r="U102" s="197" cm="1">
        <f t="array" ref="U102">STDEV(IF(S:S=S102,P:P))</f>
        <v>1.2265412747416893</v>
      </c>
    </row>
    <row r="103" spans="1:21" x14ac:dyDescent="0.2">
      <c r="A103" s="193" t="s">
        <v>256</v>
      </c>
      <c r="B103" t="s">
        <v>651</v>
      </c>
      <c r="C103" t="s">
        <v>137</v>
      </c>
      <c r="D103">
        <v>17</v>
      </c>
      <c r="I103">
        <v>453</v>
      </c>
      <c r="J103">
        <v>2</v>
      </c>
      <c r="K103">
        <v>52</v>
      </c>
      <c r="L103">
        <v>385</v>
      </c>
      <c r="M103">
        <v>1</v>
      </c>
      <c r="N103" s="196">
        <v>127.80000000000001</v>
      </c>
      <c r="O103" s="196">
        <v>93.969165711551824</v>
      </c>
      <c r="P103" s="197">
        <f>(N103-O103)/O103</f>
        <v>0.36002058794791764</v>
      </c>
      <c r="Q103" s="193" t="b">
        <v>0</v>
      </c>
      <c r="R103" s="193" t="b">
        <v>1</v>
      </c>
      <c r="S103" s="193" t="str">
        <f>IF(Q103,A103&amp;"1",IF(R103,A103&amp;"3",A103&amp;"2"))</f>
        <v>RB3</v>
      </c>
      <c r="T103" s="197">
        <f>AVERAGEIFS(P:P,S:S,S103)</f>
        <v>0.15977645774330501</v>
      </c>
      <c r="U103" s="197" cm="1">
        <f t="array" ref="U103">STDEV(IF(S:S=S103,P:P))</f>
        <v>1.2265412747416893</v>
      </c>
    </row>
    <row r="104" spans="1:21" x14ac:dyDescent="0.2">
      <c r="A104" s="193" t="s">
        <v>256</v>
      </c>
      <c r="B104" t="s">
        <v>21</v>
      </c>
      <c r="C104" t="s">
        <v>123</v>
      </c>
      <c r="D104">
        <v>17</v>
      </c>
      <c r="I104">
        <v>810</v>
      </c>
      <c r="J104">
        <v>13</v>
      </c>
      <c r="K104">
        <v>12</v>
      </c>
      <c r="L104">
        <v>180</v>
      </c>
      <c r="M104"/>
      <c r="N104" s="196">
        <v>183</v>
      </c>
      <c r="O104" s="196">
        <v>87.245089713516052</v>
      </c>
      <c r="P104" s="197">
        <f>(N104-O104)/O104</f>
        <v>1.0975392494971503</v>
      </c>
      <c r="Q104" s="193" t="b">
        <v>0</v>
      </c>
      <c r="R104" s="193" t="b">
        <v>1</v>
      </c>
      <c r="S104" s="193" t="str">
        <f>IF(Q104,A104&amp;"1",IF(R104,A104&amp;"3",A104&amp;"2"))</f>
        <v>RB3</v>
      </c>
      <c r="T104" s="197">
        <f>AVERAGEIFS(P:P,S:S,S104)</f>
        <v>0.15977645774330501</v>
      </c>
      <c r="U104" s="197" cm="1">
        <f t="array" ref="U104">STDEV(IF(S:S=S104,P:P))</f>
        <v>1.2265412747416893</v>
      </c>
    </row>
    <row r="105" spans="1:21" x14ac:dyDescent="0.2">
      <c r="A105" s="193" t="s">
        <v>256</v>
      </c>
      <c r="B105" t="s">
        <v>26</v>
      </c>
      <c r="C105" t="s">
        <v>129</v>
      </c>
      <c r="D105">
        <v>17</v>
      </c>
      <c r="I105">
        <v>898</v>
      </c>
      <c r="J105">
        <v>4</v>
      </c>
      <c r="K105">
        <v>30</v>
      </c>
      <c r="L105">
        <v>193</v>
      </c>
      <c r="M105"/>
      <c r="N105" s="196">
        <v>148.10000000000002</v>
      </c>
      <c r="O105" s="196">
        <v>83.837635517984992</v>
      </c>
      <c r="P105" s="197">
        <f>(N105-O105)/O105</f>
        <v>0.76650974332678257</v>
      </c>
      <c r="Q105" s="193" t="b">
        <v>0</v>
      </c>
      <c r="R105" s="193" t="b">
        <v>1</v>
      </c>
      <c r="S105" s="193" t="str">
        <f>IF(Q105,A105&amp;"1",IF(R105,A105&amp;"3",A105&amp;"2"))</f>
        <v>RB3</v>
      </c>
      <c r="T105" s="197">
        <f>AVERAGEIFS(P:P,S:S,S105)</f>
        <v>0.15977645774330501</v>
      </c>
      <c r="U105" s="197" cm="1">
        <f t="array" ref="U105">STDEV(IF(S:S=S105,P:P))</f>
        <v>1.2265412747416893</v>
      </c>
    </row>
    <row r="106" spans="1:21" x14ac:dyDescent="0.2">
      <c r="A106" s="193" t="s">
        <v>256</v>
      </c>
      <c r="B106" t="s">
        <v>505</v>
      </c>
      <c r="C106" t="s">
        <v>192</v>
      </c>
      <c r="D106">
        <v>17</v>
      </c>
      <c r="I106">
        <v>451</v>
      </c>
      <c r="J106">
        <v>1</v>
      </c>
      <c r="K106">
        <v>15</v>
      </c>
      <c r="L106">
        <v>98</v>
      </c>
      <c r="M106"/>
      <c r="N106" s="196">
        <v>68.400000000000006</v>
      </c>
      <c r="O106" s="196">
        <v>81.180405652583815</v>
      </c>
      <c r="P106" s="197">
        <f>(N106-O106)/O106</f>
        <v>-0.15743214818706727</v>
      </c>
      <c r="Q106" s="193" t="b">
        <v>0</v>
      </c>
      <c r="R106" s="193" t="b">
        <v>1</v>
      </c>
      <c r="S106" s="193" t="str">
        <f>IF(Q106,A106&amp;"1",IF(R106,A106&amp;"3",A106&amp;"2"))</f>
        <v>RB3</v>
      </c>
      <c r="T106" s="197">
        <f>AVERAGEIFS(P:P,S:S,S106)</f>
        <v>0.15977645774330501</v>
      </c>
      <c r="U106" s="197" cm="1">
        <f t="array" ref="U106">STDEV(IF(S:S=S106,P:P))</f>
        <v>1.2265412747416893</v>
      </c>
    </row>
    <row r="107" spans="1:21" x14ac:dyDescent="0.2">
      <c r="A107" s="193" t="s">
        <v>256</v>
      </c>
      <c r="B107" t="s">
        <v>226</v>
      </c>
      <c r="C107" t="s">
        <v>111</v>
      </c>
      <c r="D107">
        <v>17</v>
      </c>
      <c r="I107">
        <v>902</v>
      </c>
      <c r="J107">
        <v>5</v>
      </c>
      <c r="K107">
        <v>39</v>
      </c>
      <c r="L107">
        <v>233</v>
      </c>
      <c r="M107"/>
      <c r="N107" s="196">
        <v>163</v>
      </c>
      <c r="O107" s="196">
        <v>79.540807738711649</v>
      </c>
      <c r="P107" s="197">
        <f>(N107-O107)/O107</f>
        <v>1.0492625689124058</v>
      </c>
      <c r="Q107" s="193" t="b">
        <v>0</v>
      </c>
      <c r="R107" s="193" t="b">
        <v>1</v>
      </c>
      <c r="S107" s="193" t="str">
        <f>IF(Q107,A107&amp;"1",IF(R107,A107&amp;"3",A107&amp;"2"))</f>
        <v>RB3</v>
      </c>
      <c r="T107" s="197">
        <f>AVERAGEIFS(P:P,S:S,S107)</f>
        <v>0.15977645774330501</v>
      </c>
      <c r="U107" s="197" cm="1">
        <f t="array" ref="U107">STDEV(IF(S:S=S107,P:P))</f>
        <v>1.2265412747416893</v>
      </c>
    </row>
    <row r="108" spans="1:21" x14ac:dyDescent="0.2">
      <c r="A108" s="193" t="s">
        <v>256</v>
      </c>
      <c r="B108" t="s">
        <v>29</v>
      </c>
      <c r="C108" t="s">
        <v>133</v>
      </c>
      <c r="D108">
        <v>14</v>
      </c>
      <c r="I108">
        <v>181</v>
      </c>
      <c r="J108"/>
      <c r="K108">
        <v>9</v>
      </c>
      <c r="L108">
        <v>38</v>
      </c>
      <c r="M108">
        <v>1</v>
      </c>
      <c r="N108" s="196">
        <v>32.400000000000006</v>
      </c>
      <c r="O108" s="196">
        <v>75.105777315267275</v>
      </c>
      <c r="P108" s="197">
        <f>(N108-O108)/O108</f>
        <v>-0.56860841924321803</v>
      </c>
      <c r="Q108" s="193" t="b">
        <v>0</v>
      </c>
      <c r="R108" s="193" t="b">
        <v>1</v>
      </c>
      <c r="S108" s="193" t="str">
        <f>IF(Q108,A108&amp;"1",IF(R108,A108&amp;"3",A108&amp;"2"))</f>
        <v>RB3</v>
      </c>
      <c r="T108" s="197">
        <f>AVERAGEIFS(P:P,S:S,S108)</f>
        <v>0.15977645774330501</v>
      </c>
      <c r="U108" s="197" cm="1">
        <f t="array" ref="U108">STDEV(IF(S:S=S108,P:P))</f>
        <v>1.2265412747416893</v>
      </c>
    </row>
    <row r="109" spans="1:21" x14ac:dyDescent="0.2">
      <c r="A109" s="193" t="s">
        <v>256</v>
      </c>
      <c r="B109" t="s">
        <v>496</v>
      </c>
      <c r="C109" t="s">
        <v>108</v>
      </c>
      <c r="D109">
        <v>17</v>
      </c>
      <c r="I109">
        <v>683</v>
      </c>
      <c r="J109">
        <v>4</v>
      </c>
      <c r="K109">
        <v>18</v>
      </c>
      <c r="L109">
        <v>193</v>
      </c>
      <c r="M109">
        <v>1</v>
      </c>
      <c r="N109" s="196">
        <v>126.6</v>
      </c>
      <c r="O109" s="196">
        <v>74.172152182090741</v>
      </c>
      <c r="P109" s="197">
        <f>(N109-O109)/O109</f>
        <v>0.70684005082123302</v>
      </c>
      <c r="Q109" s="193" t="b">
        <v>0</v>
      </c>
      <c r="R109" s="193" t="b">
        <v>1</v>
      </c>
      <c r="S109" s="193" t="str">
        <f>IF(Q109,A109&amp;"1",IF(R109,A109&amp;"3",A109&amp;"2"))</f>
        <v>RB3</v>
      </c>
      <c r="T109" s="197">
        <f>AVERAGEIFS(P:P,S:S,S109)</f>
        <v>0.15977645774330501</v>
      </c>
      <c r="U109" s="197" cm="1">
        <f t="array" ref="U109">STDEV(IF(S:S=S109,P:P))</f>
        <v>1.2265412747416893</v>
      </c>
    </row>
    <row r="110" spans="1:21" x14ac:dyDescent="0.2">
      <c r="A110" s="193" t="s">
        <v>256</v>
      </c>
      <c r="B110" t="s">
        <v>668</v>
      </c>
      <c r="C110" t="s">
        <v>115</v>
      </c>
      <c r="D110">
        <v>16</v>
      </c>
      <c r="I110">
        <v>361</v>
      </c>
      <c r="J110">
        <v>2</v>
      </c>
      <c r="K110">
        <v>17</v>
      </c>
      <c r="L110">
        <v>144</v>
      </c>
      <c r="M110">
        <v>2</v>
      </c>
      <c r="N110" s="196">
        <v>83</v>
      </c>
      <c r="O110" s="196">
        <v>72.49002424290903</v>
      </c>
      <c r="P110" s="197">
        <f>(N110-O110)/O110</f>
        <v>0.14498513232486684</v>
      </c>
      <c r="Q110" s="193" t="b">
        <v>0</v>
      </c>
      <c r="R110" s="193" t="b">
        <v>1</v>
      </c>
      <c r="S110" s="193" t="str">
        <f>IF(Q110,A110&amp;"1",IF(R110,A110&amp;"3",A110&amp;"2"))</f>
        <v>RB3</v>
      </c>
      <c r="T110" s="197">
        <f>AVERAGEIFS(P:P,S:S,S110)</f>
        <v>0.15977645774330501</v>
      </c>
      <c r="U110" s="197" cm="1">
        <f t="array" ref="U110">STDEV(IF(S:S=S110,P:P))</f>
        <v>1.2265412747416893</v>
      </c>
    </row>
    <row r="111" spans="1:21" x14ac:dyDescent="0.2">
      <c r="A111" s="193" t="s">
        <v>256</v>
      </c>
      <c r="B111" t="s">
        <v>647</v>
      </c>
      <c r="C111" t="s">
        <v>136</v>
      </c>
      <c r="D111">
        <v>11</v>
      </c>
      <c r="I111">
        <v>23</v>
      </c>
      <c r="J111"/>
      <c r="K111">
        <v>2</v>
      </c>
      <c r="L111">
        <v>9</v>
      </c>
      <c r="M111"/>
      <c r="N111" s="196">
        <v>4.2</v>
      </c>
      <c r="O111" s="196">
        <v>71.283273128167366</v>
      </c>
      <c r="P111" s="197">
        <f>(N111-O111)/O111</f>
        <v>-0.94108014663624662</v>
      </c>
      <c r="Q111" s="193" t="b">
        <v>0</v>
      </c>
      <c r="R111" s="193" t="b">
        <v>1</v>
      </c>
      <c r="S111" s="193" t="str">
        <f>IF(Q111,A111&amp;"1",IF(R111,A111&amp;"3",A111&amp;"2"))</f>
        <v>RB3</v>
      </c>
      <c r="T111" s="197">
        <f>AVERAGEIFS(P:P,S:S,S111)</f>
        <v>0.15977645774330501</v>
      </c>
      <c r="U111" s="197" cm="1">
        <f t="array" ref="U111">STDEV(IF(S:S=S111,P:P))</f>
        <v>1.2265412747416893</v>
      </c>
    </row>
    <row r="112" spans="1:21" x14ac:dyDescent="0.2">
      <c r="A112" s="193" t="s">
        <v>256</v>
      </c>
      <c r="B112" t="s">
        <v>480</v>
      </c>
      <c r="C112" t="s">
        <v>129</v>
      </c>
      <c r="D112">
        <v>1</v>
      </c>
      <c r="J112"/>
      <c r="K112">
        <v>5</v>
      </c>
      <c r="L112">
        <v>14</v>
      </c>
      <c r="M112"/>
      <c r="N112" s="196">
        <v>3.9000000000000004</v>
      </c>
      <c r="O112" s="196">
        <v>71.005509132096009</v>
      </c>
      <c r="P112" s="197">
        <f>(N112-O112)/O112</f>
        <v>-0.94507468437773479</v>
      </c>
      <c r="Q112" s="193" t="b">
        <v>0</v>
      </c>
      <c r="R112" s="193" t="b">
        <v>1</v>
      </c>
      <c r="S112" s="193" t="str">
        <f>IF(Q112,A112&amp;"1",IF(R112,A112&amp;"3",A112&amp;"2"))</f>
        <v>RB3</v>
      </c>
      <c r="T112" s="197">
        <f>AVERAGEIFS(P:P,S:S,S112)</f>
        <v>0.15977645774330501</v>
      </c>
      <c r="U112" s="197" cm="1">
        <f t="array" ref="U112">STDEV(IF(S:S=S112,P:P))</f>
        <v>1.2265412747416893</v>
      </c>
    </row>
    <row r="113" spans="1:21" x14ac:dyDescent="0.2">
      <c r="A113" s="193" t="s">
        <v>256</v>
      </c>
      <c r="B113" t="s">
        <v>686</v>
      </c>
      <c r="C113" t="s">
        <v>113</v>
      </c>
      <c r="D113">
        <v>14</v>
      </c>
      <c r="I113">
        <v>794</v>
      </c>
      <c r="J113">
        <v>5</v>
      </c>
      <c r="K113">
        <v>27</v>
      </c>
      <c r="L113">
        <v>192</v>
      </c>
      <c r="M113">
        <v>2</v>
      </c>
      <c r="N113" s="196">
        <v>154.10000000000002</v>
      </c>
      <c r="O113" s="196">
        <v>66.203085416160008</v>
      </c>
      <c r="P113" s="197">
        <f>(N113-O113)/O113</f>
        <v>1.3276860743167811</v>
      </c>
      <c r="Q113" s="193" t="b">
        <v>0</v>
      </c>
      <c r="R113" s="193" t="b">
        <v>1</v>
      </c>
      <c r="S113" s="193" t="str">
        <f>IF(Q113,A113&amp;"1",IF(R113,A113&amp;"3",A113&amp;"2"))</f>
        <v>RB3</v>
      </c>
      <c r="T113" s="197">
        <f>AVERAGEIFS(P:P,S:S,S113)</f>
        <v>0.15977645774330501</v>
      </c>
      <c r="U113" s="197" cm="1">
        <f t="array" ref="U113">STDEV(IF(S:S=S113,P:P))</f>
        <v>1.2265412747416893</v>
      </c>
    </row>
    <row r="114" spans="1:21" x14ac:dyDescent="0.2">
      <c r="A114" s="193" t="s">
        <v>256</v>
      </c>
      <c r="B114" t="s">
        <v>506</v>
      </c>
      <c r="C114" t="s">
        <v>114</v>
      </c>
      <c r="D114">
        <v>17</v>
      </c>
      <c r="I114">
        <v>291</v>
      </c>
      <c r="J114">
        <v>1</v>
      </c>
      <c r="K114">
        <v>5</v>
      </c>
      <c r="L114">
        <v>47</v>
      </c>
      <c r="M114"/>
      <c r="N114" s="196">
        <v>42.300000000000004</v>
      </c>
      <c r="O114" s="196">
        <v>63.675737980142394</v>
      </c>
      <c r="P114" s="197">
        <f>(N114-O114)/O114</f>
        <v>-0.33569674507437236</v>
      </c>
      <c r="Q114" s="193" t="b">
        <v>0</v>
      </c>
      <c r="R114" s="193" t="b">
        <v>1</v>
      </c>
      <c r="S114" s="193" t="str">
        <f>IF(Q114,A114&amp;"1",IF(R114,A114&amp;"3",A114&amp;"2"))</f>
        <v>RB3</v>
      </c>
      <c r="T114" s="197">
        <f>AVERAGEIFS(P:P,S:S,S114)</f>
        <v>0.15977645774330501</v>
      </c>
      <c r="U114" s="197" cm="1">
        <f t="array" ref="U114">STDEV(IF(S:S=S114,P:P))</f>
        <v>1.2265412747416893</v>
      </c>
    </row>
    <row r="115" spans="1:21" x14ac:dyDescent="0.2">
      <c r="A115" s="193" t="s">
        <v>256</v>
      </c>
      <c r="B115" t="s">
        <v>174</v>
      </c>
      <c r="C115" t="s">
        <v>122</v>
      </c>
      <c r="D115">
        <v>15</v>
      </c>
      <c r="I115">
        <v>223</v>
      </c>
      <c r="J115">
        <v>1</v>
      </c>
      <c r="K115">
        <v>17</v>
      </c>
      <c r="L115">
        <v>188</v>
      </c>
      <c r="M115">
        <v>1</v>
      </c>
      <c r="N115" s="196">
        <v>61.599999999999994</v>
      </c>
      <c r="O115" s="196">
        <v>61.455917554297137</v>
      </c>
      <c r="P115" s="197">
        <f>(N115-O115)/O115</f>
        <v>2.3444844928978254E-3</v>
      </c>
      <c r="Q115" s="193" t="b">
        <v>0</v>
      </c>
      <c r="R115" s="193" t="b">
        <v>1</v>
      </c>
      <c r="S115" s="193" t="str">
        <f>IF(Q115,A115&amp;"1",IF(R115,A115&amp;"3",A115&amp;"2"))</f>
        <v>RB3</v>
      </c>
      <c r="T115" s="197">
        <f>AVERAGEIFS(P:P,S:S,S115)</f>
        <v>0.15977645774330501</v>
      </c>
      <c r="U115" s="197" cm="1">
        <f t="array" ref="U115">STDEV(IF(S:S=S115,P:P))</f>
        <v>1.2265412747416893</v>
      </c>
    </row>
    <row r="116" spans="1:21" x14ac:dyDescent="0.2">
      <c r="A116" s="193" t="s">
        <v>256</v>
      </c>
      <c r="B116" t="s">
        <v>582</v>
      </c>
      <c r="C116" t="s">
        <v>135</v>
      </c>
      <c r="D116">
        <v>17</v>
      </c>
      <c r="I116">
        <v>206</v>
      </c>
      <c r="J116">
        <v>3</v>
      </c>
      <c r="K116">
        <v>3</v>
      </c>
      <c r="L116">
        <v>31</v>
      </c>
      <c r="M116"/>
      <c r="N116" s="196">
        <v>43.2</v>
      </c>
      <c r="O116" s="196">
        <v>60.282796608378746</v>
      </c>
      <c r="P116" s="197">
        <f>(N116-O116)/O116</f>
        <v>-0.28337763955039197</v>
      </c>
      <c r="Q116" s="193" t="b">
        <v>0</v>
      </c>
      <c r="R116" s="193" t="b">
        <v>1</v>
      </c>
      <c r="S116" s="193" t="str">
        <f>IF(Q116,A116&amp;"1",IF(R116,A116&amp;"3",A116&amp;"2"))</f>
        <v>RB3</v>
      </c>
      <c r="T116" s="197">
        <f>AVERAGEIFS(P:P,S:S,S116)</f>
        <v>0.15977645774330501</v>
      </c>
      <c r="U116" s="197" cm="1">
        <f t="array" ref="U116">STDEV(IF(S:S=S116,P:P))</f>
        <v>1.2265412747416893</v>
      </c>
    </row>
    <row r="117" spans="1:21" x14ac:dyDescent="0.2">
      <c r="A117" s="193" t="s">
        <v>256</v>
      </c>
      <c r="B117" t="s">
        <v>12</v>
      </c>
      <c r="C117" t="s">
        <v>129</v>
      </c>
      <c r="D117">
        <v>17</v>
      </c>
      <c r="I117">
        <v>151</v>
      </c>
      <c r="J117">
        <v>1</v>
      </c>
      <c r="K117">
        <v>17</v>
      </c>
      <c r="L117">
        <v>88</v>
      </c>
      <c r="M117"/>
      <c r="N117" s="196">
        <v>38.400000000000006</v>
      </c>
      <c r="O117" s="196">
        <v>56.452478120573126</v>
      </c>
      <c r="P117" s="197">
        <f>(N117-O117)/O117</f>
        <v>-0.31978185407584803</v>
      </c>
      <c r="Q117" s="193" t="b">
        <v>0</v>
      </c>
      <c r="R117" s="193" t="b">
        <v>1</v>
      </c>
      <c r="S117" s="193" t="str">
        <f>IF(Q117,A117&amp;"1",IF(R117,A117&amp;"3",A117&amp;"2"))</f>
        <v>RB3</v>
      </c>
      <c r="T117" s="197">
        <f>AVERAGEIFS(P:P,S:S,S117)</f>
        <v>0.15977645774330501</v>
      </c>
      <c r="U117" s="197" cm="1">
        <f t="array" ref="U117">STDEV(IF(S:S=S117,P:P))</f>
        <v>1.2265412747416893</v>
      </c>
    </row>
    <row r="118" spans="1:21" x14ac:dyDescent="0.2">
      <c r="A118" s="193" t="s">
        <v>256</v>
      </c>
      <c r="B118" t="s">
        <v>500</v>
      </c>
      <c r="C118" t="s">
        <v>114</v>
      </c>
      <c r="D118">
        <v>17</v>
      </c>
      <c r="I118">
        <v>813</v>
      </c>
      <c r="J118">
        <v>4</v>
      </c>
      <c r="K118">
        <v>44</v>
      </c>
      <c r="L118">
        <v>319</v>
      </c>
      <c r="M118">
        <v>5</v>
      </c>
      <c r="N118" s="196">
        <v>189.20000000000002</v>
      </c>
      <c r="O118" s="196">
        <v>55.672108526486717</v>
      </c>
      <c r="P118" s="197">
        <f>(N118-O118)/O118</f>
        <v>2.3984701676960145</v>
      </c>
      <c r="Q118" s="193" t="b">
        <v>0</v>
      </c>
      <c r="R118" s="193" t="b">
        <v>1</v>
      </c>
      <c r="S118" s="193" t="str">
        <f>IF(Q118,A118&amp;"1",IF(R118,A118&amp;"3",A118&amp;"2"))</f>
        <v>RB3</v>
      </c>
      <c r="T118" s="197">
        <f>AVERAGEIFS(P:P,S:S,S118)</f>
        <v>0.15977645774330501</v>
      </c>
      <c r="U118" s="197" cm="1">
        <f t="array" ref="U118">STDEV(IF(S:S=S118,P:P))</f>
        <v>1.2265412747416893</v>
      </c>
    </row>
    <row r="119" spans="1:21" x14ac:dyDescent="0.2">
      <c r="A119" s="193" t="s">
        <v>256</v>
      </c>
      <c r="B119" t="s">
        <v>104</v>
      </c>
      <c r="C119" t="s">
        <v>136</v>
      </c>
      <c r="D119">
        <v>13</v>
      </c>
      <c r="I119">
        <v>176</v>
      </c>
      <c r="J119"/>
      <c r="K119">
        <v>14</v>
      </c>
      <c r="L119">
        <v>81</v>
      </c>
      <c r="M119"/>
      <c r="N119" s="196">
        <v>32.700000000000003</v>
      </c>
      <c r="O119" s="196">
        <v>52.093323083656742</v>
      </c>
      <c r="P119" s="197">
        <f>(N119-O119)/O119</f>
        <v>-0.37228039863214279</v>
      </c>
      <c r="Q119" s="193" t="b">
        <v>0</v>
      </c>
      <c r="R119" s="193" t="b">
        <v>1</v>
      </c>
      <c r="S119" s="193" t="str">
        <f>IF(Q119,A119&amp;"1",IF(R119,A119&amp;"3",A119&amp;"2"))</f>
        <v>RB3</v>
      </c>
      <c r="T119" s="197">
        <f>AVERAGEIFS(P:P,S:S,S119)</f>
        <v>0.15977645774330501</v>
      </c>
      <c r="U119" s="197" cm="1">
        <f t="array" ref="U119">STDEV(IF(S:S=S119,P:P))</f>
        <v>1.2265412747416893</v>
      </c>
    </row>
    <row r="120" spans="1:21" x14ac:dyDescent="0.2">
      <c r="A120" s="193" t="s">
        <v>256</v>
      </c>
      <c r="B120" t="s">
        <v>639</v>
      </c>
      <c r="C120" t="s">
        <v>128</v>
      </c>
      <c r="D120">
        <v>8</v>
      </c>
      <c r="I120">
        <v>156</v>
      </c>
      <c r="J120">
        <v>1</v>
      </c>
      <c r="K120">
        <v>10</v>
      </c>
      <c r="L120">
        <v>117</v>
      </c>
      <c r="M120"/>
      <c r="N120" s="196">
        <v>38.300000000000004</v>
      </c>
      <c r="O120" s="196">
        <v>48.784507484923481</v>
      </c>
      <c r="P120" s="197">
        <f>(N120-O120)/O120</f>
        <v>-0.21491469373066116</v>
      </c>
      <c r="Q120" s="193" t="b">
        <v>0</v>
      </c>
      <c r="R120" s="193" t="b">
        <v>1</v>
      </c>
      <c r="S120" s="193" t="str">
        <f>IF(Q120,A120&amp;"1",IF(R120,A120&amp;"3",A120&amp;"2"))</f>
        <v>RB3</v>
      </c>
      <c r="T120" s="197">
        <f>AVERAGEIFS(P:P,S:S,S120)</f>
        <v>0.15977645774330501</v>
      </c>
      <c r="U120" s="197" cm="1">
        <f t="array" ref="U120">STDEV(IF(S:S=S120,P:P))</f>
        <v>1.2265412747416893</v>
      </c>
    </row>
    <row r="121" spans="1:21" x14ac:dyDescent="0.2">
      <c r="A121" s="193" t="s">
        <v>256</v>
      </c>
      <c r="B121" t="s">
        <v>666</v>
      </c>
      <c r="C121" t="s">
        <v>109</v>
      </c>
      <c r="D121">
        <v>8</v>
      </c>
      <c r="I121">
        <v>396</v>
      </c>
      <c r="J121">
        <v>2</v>
      </c>
      <c r="K121">
        <v>9</v>
      </c>
      <c r="L121">
        <v>93</v>
      </c>
      <c r="M121"/>
      <c r="N121" s="196">
        <v>65.400000000000006</v>
      </c>
      <c r="O121" s="196">
        <v>44.161659475282342</v>
      </c>
      <c r="P121" s="197">
        <f>(N121-O121)/O121</f>
        <v>0.48092260972676865</v>
      </c>
      <c r="Q121" s="193" t="b">
        <v>0</v>
      </c>
      <c r="R121" s="193" t="b">
        <v>1</v>
      </c>
      <c r="S121" s="193" t="str">
        <f>IF(Q121,A121&amp;"1",IF(R121,A121&amp;"3",A121&amp;"2"))</f>
        <v>RB3</v>
      </c>
      <c r="T121" s="197">
        <f>AVERAGEIFS(P:P,S:S,S121)</f>
        <v>0.15977645774330501</v>
      </c>
      <c r="U121" s="197" cm="1">
        <f t="array" ref="U121">STDEV(IF(S:S=S121,P:P))</f>
        <v>1.2265412747416893</v>
      </c>
    </row>
    <row r="122" spans="1:21" x14ac:dyDescent="0.2">
      <c r="A122" s="193" t="s">
        <v>256</v>
      </c>
      <c r="B122" t="s">
        <v>543</v>
      </c>
      <c r="C122" t="s">
        <v>192</v>
      </c>
      <c r="D122">
        <v>17</v>
      </c>
      <c r="I122">
        <v>89</v>
      </c>
      <c r="J122"/>
      <c r="K122">
        <v>19</v>
      </c>
      <c r="L122">
        <v>131</v>
      </c>
      <c r="M122"/>
      <c r="N122" s="196">
        <v>31.5</v>
      </c>
      <c r="O122" s="196">
        <v>42.351924386554309</v>
      </c>
      <c r="P122" s="197">
        <f>(N122-O122)/O122</f>
        <v>-0.25623214396367611</v>
      </c>
      <c r="Q122" s="193" t="b">
        <v>0</v>
      </c>
      <c r="R122" s="193" t="b">
        <v>1</v>
      </c>
      <c r="S122" s="193" t="str">
        <f>IF(Q122,A122&amp;"1",IF(R122,A122&amp;"3",A122&amp;"2"))</f>
        <v>RB3</v>
      </c>
      <c r="T122" s="197">
        <f>AVERAGEIFS(P:P,S:S,S122)</f>
        <v>0.15977645774330501</v>
      </c>
      <c r="U122" s="197" cm="1">
        <f t="array" ref="U122">STDEV(IF(S:S=S122,P:P))</f>
        <v>1.2265412747416893</v>
      </c>
    </row>
    <row r="123" spans="1:21" x14ac:dyDescent="0.2">
      <c r="A123" s="193" t="s">
        <v>256</v>
      </c>
      <c r="B123" t="s">
        <v>584</v>
      </c>
      <c r="C123" t="s">
        <v>111</v>
      </c>
      <c r="D123">
        <v>12</v>
      </c>
      <c r="I123">
        <v>46</v>
      </c>
      <c r="J123"/>
      <c r="K123">
        <v>6</v>
      </c>
      <c r="L123">
        <v>45</v>
      </c>
      <c r="M123"/>
      <c r="N123" s="196">
        <v>12.100000000000001</v>
      </c>
      <c r="O123" s="196">
        <v>41.245026651799179</v>
      </c>
      <c r="P123" s="197">
        <f>(N123-O123)/O123</f>
        <v>-0.70663129637056066</v>
      </c>
      <c r="Q123" s="193" t="b">
        <v>0</v>
      </c>
      <c r="R123" s="193" t="b">
        <v>1</v>
      </c>
      <c r="S123" s="193" t="str">
        <f>IF(Q123,A123&amp;"1",IF(R123,A123&amp;"3",A123&amp;"2"))</f>
        <v>RB3</v>
      </c>
      <c r="T123" s="197">
        <f>AVERAGEIFS(P:P,S:S,S123)</f>
        <v>0.15977645774330501</v>
      </c>
      <c r="U123" s="197" cm="1">
        <f t="array" ref="U123">STDEV(IF(S:S=S123,P:P))</f>
        <v>1.2265412747416893</v>
      </c>
    </row>
    <row r="124" spans="1:21" x14ac:dyDescent="0.2">
      <c r="A124" s="193" t="s">
        <v>256</v>
      </c>
      <c r="B124" t="s">
        <v>623</v>
      </c>
      <c r="C124" t="s">
        <v>120</v>
      </c>
      <c r="D124">
        <v>1</v>
      </c>
      <c r="J124"/>
      <c r="K124">
        <v>1</v>
      </c>
      <c r="L124">
        <v>6</v>
      </c>
      <c r="M124"/>
      <c r="N124" s="196">
        <v>1.1000000000000001</v>
      </c>
      <c r="O124" s="196">
        <v>39.952245169669872</v>
      </c>
      <c r="P124" s="197">
        <f>(N124-O124)/O124</f>
        <v>-0.97246712931079338</v>
      </c>
      <c r="Q124" s="193" t="b">
        <v>0</v>
      </c>
      <c r="R124" s="193" t="b">
        <v>1</v>
      </c>
      <c r="S124" s="193" t="str">
        <f>IF(Q124,A124&amp;"1",IF(R124,A124&amp;"3",A124&amp;"2"))</f>
        <v>RB3</v>
      </c>
      <c r="T124" s="197">
        <f>AVERAGEIFS(P:P,S:S,S124)</f>
        <v>0.15977645774330501</v>
      </c>
      <c r="U124" s="197" cm="1">
        <f t="array" ref="U124">STDEV(IF(S:S=S124,P:P))</f>
        <v>1.2265412747416893</v>
      </c>
    </row>
    <row r="125" spans="1:21" x14ac:dyDescent="0.2">
      <c r="A125" s="193" t="s">
        <v>256</v>
      </c>
      <c r="B125" t="s">
        <v>600</v>
      </c>
      <c r="C125" t="s">
        <v>110</v>
      </c>
      <c r="D125">
        <v>16</v>
      </c>
      <c r="I125">
        <v>300</v>
      </c>
      <c r="J125">
        <v>4</v>
      </c>
      <c r="K125">
        <v>17</v>
      </c>
      <c r="L125">
        <v>119</v>
      </c>
      <c r="M125"/>
      <c r="N125" s="196">
        <v>74.400000000000006</v>
      </c>
      <c r="O125" s="196">
        <v>38.743776008500859</v>
      </c>
      <c r="P125" s="197">
        <f>(N125-O125)/O125</f>
        <v>0.9203084382811767</v>
      </c>
      <c r="Q125" s="193" t="b">
        <v>0</v>
      </c>
      <c r="R125" s="193" t="b">
        <v>1</v>
      </c>
      <c r="S125" s="193" t="str">
        <f>IF(Q125,A125&amp;"1",IF(R125,A125&amp;"3",A125&amp;"2"))</f>
        <v>RB3</v>
      </c>
      <c r="T125" s="197">
        <f>AVERAGEIFS(P:P,S:S,S125)</f>
        <v>0.15977645774330501</v>
      </c>
      <c r="U125" s="197" cm="1">
        <f t="array" ref="U125">STDEV(IF(S:S=S125,P:P))</f>
        <v>1.2265412747416893</v>
      </c>
    </row>
    <row r="126" spans="1:21" x14ac:dyDescent="0.2">
      <c r="A126" s="193" t="s">
        <v>256</v>
      </c>
      <c r="B126" t="s">
        <v>607</v>
      </c>
      <c r="C126" t="s">
        <v>113</v>
      </c>
      <c r="D126">
        <v>12</v>
      </c>
      <c r="I126">
        <v>179</v>
      </c>
      <c r="J126"/>
      <c r="K126">
        <v>14</v>
      </c>
      <c r="L126">
        <v>156</v>
      </c>
      <c r="M126">
        <v>1</v>
      </c>
      <c r="N126" s="196">
        <v>46.5</v>
      </c>
      <c r="O126" s="196">
        <v>37.926964521529364</v>
      </c>
      <c r="P126" s="197">
        <f>(N126-O126)/O126</f>
        <v>0.22604064381699002</v>
      </c>
      <c r="Q126" s="193" t="b">
        <v>0</v>
      </c>
      <c r="R126" s="193" t="b">
        <v>1</v>
      </c>
      <c r="S126" s="193" t="str">
        <f>IF(Q126,A126&amp;"1",IF(R126,A126&amp;"3",A126&amp;"2"))</f>
        <v>RB3</v>
      </c>
      <c r="T126" s="197">
        <f>AVERAGEIFS(P:P,S:S,S126)</f>
        <v>0.15977645774330501</v>
      </c>
      <c r="U126" s="197" cm="1">
        <f t="array" ref="U126">STDEV(IF(S:S=S126,P:P))</f>
        <v>1.2265412747416893</v>
      </c>
    </row>
    <row r="127" spans="1:21" x14ac:dyDescent="0.2">
      <c r="A127" s="193" t="s">
        <v>256</v>
      </c>
      <c r="B127" t="s">
        <v>232</v>
      </c>
      <c r="C127" t="s">
        <v>107</v>
      </c>
      <c r="D127">
        <v>6</v>
      </c>
      <c r="I127">
        <v>149</v>
      </c>
      <c r="J127"/>
      <c r="K127">
        <v>9</v>
      </c>
      <c r="L127">
        <v>33</v>
      </c>
      <c r="M127">
        <v>1</v>
      </c>
      <c r="N127" s="196">
        <v>28.7</v>
      </c>
      <c r="O127" s="196">
        <v>36.499274480778766</v>
      </c>
      <c r="P127" s="197">
        <f>(N127-O127)/O127</f>
        <v>-0.21368300032610285</v>
      </c>
      <c r="Q127" s="193" t="b">
        <v>0</v>
      </c>
      <c r="R127" s="193" t="b">
        <v>1</v>
      </c>
      <c r="S127" s="193" t="str">
        <f>IF(Q127,A127&amp;"1",IF(R127,A127&amp;"3",A127&amp;"2"))</f>
        <v>RB3</v>
      </c>
      <c r="T127" s="197">
        <f>AVERAGEIFS(P:P,S:S,S127)</f>
        <v>0.15977645774330501</v>
      </c>
      <c r="U127" s="197" cm="1">
        <f t="array" ref="U127">STDEV(IF(S:S=S127,P:P))</f>
        <v>1.2265412747416893</v>
      </c>
    </row>
    <row r="128" spans="1:21" x14ac:dyDescent="0.2">
      <c r="A128" s="193" t="s">
        <v>256</v>
      </c>
      <c r="B128" t="s">
        <v>641</v>
      </c>
      <c r="C128" t="s">
        <v>129</v>
      </c>
      <c r="D128">
        <v>13</v>
      </c>
      <c r="I128">
        <v>48</v>
      </c>
      <c r="J128"/>
      <c r="K128">
        <v>6</v>
      </c>
      <c r="L128">
        <v>22</v>
      </c>
      <c r="M128"/>
      <c r="N128" s="196">
        <v>10</v>
      </c>
      <c r="O128" s="196">
        <v>35.268464973798864</v>
      </c>
      <c r="P128" s="197">
        <f>(N128-O128)/O128</f>
        <v>-0.7164605829193571</v>
      </c>
      <c r="Q128" s="193" t="b">
        <v>0</v>
      </c>
      <c r="R128" s="193" t="b">
        <v>1</v>
      </c>
      <c r="S128" s="193" t="str">
        <f>IF(Q128,A128&amp;"1",IF(R128,A128&amp;"3",A128&amp;"2"))</f>
        <v>RB3</v>
      </c>
      <c r="T128" s="197">
        <f>AVERAGEIFS(P:P,S:S,S128)</f>
        <v>0.15977645774330501</v>
      </c>
      <c r="U128" s="197" cm="1">
        <f t="array" ref="U128">STDEV(IF(S:S=S128,P:P))</f>
        <v>1.2265412747416893</v>
      </c>
    </row>
    <row r="129" spans="1:21" x14ac:dyDescent="0.2">
      <c r="A129" s="193" t="s">
        <v>256</v>
      </c>
      <c r="B129" t="s">
        <v>677</v>
      </c>
      <c r="C129" t="s">
        <v>711</v>
      </c>
      <c r="D129">
        <v>9</v>
      </c>
      <c r="I129">
        <v>129</v>
      </c>
      <c r="J129"/>
      <c r="K129">
        <v>5</v>
      </c>
      <c r="L129">
        <v>22</v>
      </c>
      <c r="M129"/>
      <c r="N129" s="196">
        <v>17.600000000000001</v>
      </c>
      <c r="O129" s="196">
        <v>34.805722107144163</v>
      </c>
      <c r="P129" s="197">
        <f>(N129-O129)/O129</f>
        <v>-0.49433601906545549</v>
      </c>
      <c r="Q129" s="193" t="b">
        <v>0</v>
      </c>
      <c r="R129" s="193" t="b">
        <v>1</v>
      </c>
      <c r="S129" s="193" t="str">
        <f>IF(Q129,A129&amp;"1",IF(R129,A129&amp;"3",A129&amp;"2"))</f>
        <v>RB3</v>
      </c>
      <c r="T129" s="197">
        <f>AVERAGEIFS(P:P,S:S,S129)</f>
        <v>0.15977645774330501</v>
      </c>
      <c r="U129" s="197" cm="1">
        <f t="array" ref="U129">STDEV(IF(S:S=S129,P:P))</f>
        <v>1.2265412747416893</v>
      </c>
    </row>
    <row r="130" spans="1:21" x14ac:dyDescent="0.2">
      <c r="A130" s="193" t="s">
        <v>256</v>
      </c>
      <c r="B130" t="s">
        <v>652</v>
      </c>
      <c r="C130" t="s">
        <v>533</v>
      </c>
      <c r="D130">
        <v>13</v>
      </c>
      <c r="I130">
        <v>247</v>
      </c>
      <c r="J130">
        <v>2</v>
      </c>
      <c r="K130">
        <v>2</v>
      </c>
      <c r="L130">
        <v>12</v>
      </c>
      <c r="M130"/>
      <c r="N130" s="196">
        <v>38.900000000000006</v>
      </c>
      <c r="O130" s="196">
        <v>34.323708694423821</v>
      </c>
      <c r="P130" s="197">
        <f>(N130-O130)/O130</f>
        <v>0.13332741360550127</v>
      </c>
      <c r="Q130" s="193" t="b">
        <v>0</v>
      </c>
      <c r="R130" s="193" t="b">
        <v>1</v>
      </c>
      <c r="S130" s="193" t="str">
        <f>IF(Q130,A130&amp;"1",IF(R130,A130&amp;"3",A130&amp;"2"))</f>
        <v>RB3</v>
      </c>
      <c r="T130" s="197">
        <f>AVERAGEIFS(P:P,S:S,S130)</f>
        <v>0.15977645774330501</v>
      </c>
      <c r="U130" s="197" cm="1">
        <f t="array" ref="U130">STDEV(IF(S:S=S130,P:P))</f>
        <v>1.2265412747416893</v>
      </c>
    </row>
    <row r="131" spans="1:21" x14ac:dyDescent="0.2">
      <c r="A131" s="193" t="s">
        <v>256</v>
      </c>
      <c r="B131" t="s">
        <v>504</v>
      </c>
      <c r="C131" t="s">
        <v>123</v>
      </c>
      <c r="D131">
        <v>9</v>
      </c>
      <c r="I131">
        <v>96</v>
      </c>
      <c r="J131"/>
      <c r="K131">
        <v>6</v>
      </c>
      <c r="L131">
        <v>34</v>
      </c>
      <c r="M131"/>
      <c r="N131" s="196">
        <v>16</v>
      </c>
      <c r="O131" s="196">
        <v>34.067763694883844</v>
      </c>
      <c r="P131" s="197">
        <f>(N131-O131)/O131</f>
        <v>-0.53034780494257061</v>
      </c>
      <c r="Q131" s="193" t="b">
        <v>0</v>
      </c>
      <c r="R131" s="193" t="b">
        <v>1</v>
      </c>
      <c r="S131" s="193" t="str">
        <f>IF(Q131,A131&amp;"1",IF(R131,A131&amp;"3",A131&amp;"2"))</f>
        <v>RB3</v>
      </c>
      <c r="T131" s="197">
        <f>AVERAGEIFS(P:P,S:S,S131)</f>
        <v>0.15977645774330501</v>
      </c>
      <c r="U131" s="197" cm="1">
        <f t="array" ref="U131">STDEV(IF(S:S=S131,P:P))</f>
        <v>1.2265412747416893</v>
      </c>
    </row>
    <row r="132" spans="1:21" x14ac:dyDescent="0.2">
      <c r="A132" s="193" t="s">
        <v>256</v>
      </c>
      <c r="B132" t="s">
        <v>665</v>
      </c>
      <c r="C132" t="s">
        <v>119</v>
      </c>
      <c r="D132">
        <v>12</v>
      </c>
      <c r="I132">
        <v>35</v>
      </c>
      <c r="J132"/>
      <c r="K132">
        <v>2</v>
      </c>
      <c r="L132">
        <v>18</v>
      </c>
      <c r="M132"/>
      <c r="N132" s="196">
        <v>6.3</v>
      </c>
      <c r="O132" s="196">
        <v>29.810729591596797</v>
      </c>
      <c r="P132" s="197">
        <f>(N132-O132)/O132</f>
        <v>-0.78866669530369771</v>
      </c>
      <c r="Q132" s="193" t="b">
        <v>0</v>
      </c>
      <c r="R132" s="193" t="b">
        <v>1</v>
      </c>
      <c r="S132" s="193" t="str">
        <f>IF(Q132,A132&amp;"1",IF(R132,A132&amp;"3",A132&amp;"2"))</f>
        <v>RB3</v>
      </c>
      <c r="T132" s="197">
        <f>AVERAGEIFS(P:P,S:S,S132)</f>
        <v>0.15977645774330501</v>
      </c>
      <c r="U132" s="197" cm="1">
        <f t="array" ref="U132">STDEV(IF(S:S=S132,P:P))</f>
        <v>1.2265412747416893</v>
      </c>
    </row>
    <row r="133" spans="1:21" x14ac:dyDescent="0.2">
      <c r="A133" s="193" t="s">
        <v>256</v>
      </c>
      <c r="B133" t="s">
        <v>664</v>
      </c>
      <c r="C133" t="s">
        <v>113</v>
      </c>
      <c r="D133">
        <v>17</v>
      </c>
      <c r="I133">
        <v>69</v>
      </c>
      <c r="J133"/>
      <c r="K133">
        <v>7</v>
      </c>
      <c r="L133">
        <v>10</v>
      </c>
      <c r="M133"/>
      <c r="N133" s="196">
        <v>11.4</v>
      </c>
      <c r="O133" s="196">
        <v>29.795665618303204</v>
      </c>
      <c r="P133" s="197">
        <f>(N133-O133)/O133</f>
        <v>-0.61739401475236444</v>
      </c>
      <c r="Q133" s="193" t="b">
        <v>0</v>
      </c>
      <c r="R133" s="193" t="b">
        <v>1</v>
      </c>
      <c r="S133" s="193" t="str">
        <f>IF(Q133,A133&amp;"1",IF(R133,A133&amp;"3",A133&amp;"2"))</f>
        <v>RB3</v>
      </c>
      <c r="T133" s="197">
        <f>AVERAGEIFS(P:P,S:S,S133)</f>
        <v>0.15977645774330501</v>
      </c>
      <c r="U133" s="197" cm="1">
        <f t="array" ref="U133">STDEV(IF(S:S=S133,P:P))</f>
        <v>1.2265412747416893</v>
      </c>
    </row>
    <row r="134" spans="1:21" x14ac:dyDescent="0.2">
      <c r="A134" s="193" t="s">
        <v>256</v>
      </c>
      <c r="B134" t="s">
        <v>475</v>
      </c>
      <c r="C134" t="s">
        <v>114</v>
      </c>
      <c r="D134">
        <v>9</v>
      </c>
      <c r="I134">
        <v>425</v>
      </c>
      <c r="J134">
        <v>4</v>
      </c>
      <c r="K134">
        <v>11</v>
      </c>
      <c r="L134">
        <v>77</v>
      </c>
      <c r="M134">
        <v>1</v>
      </c>
      <c r="N134" s="196">
        <v>85.7</v>
      </c>
      <c r="O134" s="196">
        <v>27.946418935653998</v>
      </c>
      <c r="P134" s="197">
        <f>(N134-O134)/O134</f>
        <v>2.0665825269893197</v>
      </c>
      <c r="Q134" s="193" t="b">
        <v>0</v>
      </c>
      <c r="R134" s="193" t="b">
        <v>1</v>
      </c>
      <c r="S134" s="193" t="str">
        <f>IF(Q134,A134&amp;"1",IF(R134,A134&amp;"3",A134&amp;"2"))</f>
        <v>RB3</v>
      </c>
      <c r="T134" s="197">
        <f>AVERAGEIFS(P:P,S:S,S134)</f>
        <v>0.15977645774330501</v>
      </c>
      <c r="U134" s="197" cm="1">
        <f t="array" ref="U134">STDEV(IF(S:S=S134,P:P))</f>
        <v>1.2265412747416893</v>
      </c>
    </row>
    <row r="135" spans="1:21" x14ac:dyDescent="0.2">
      <c r="A135" s="193" t="s">
        <v>256</v>
      </c>
      <c r="B135" t="s">
        <v>656</v>
      </c>
      <c r="C135" t="s">
        <v>127</v>
      </c>
      <c r="D135">
        <v>13</v>
      </c>
      <c r="I135">
        <v>9</v>
      </c>
      <c r="J135"/>
      <c r="K135">
        <v>5</v>
      </c>
      <c r="L135">
        <v>40</v>
      </c>
      <c r="M135"/>
      <c r="N135" s="196">
        <v>7.4</v>
      </c>
      <c r="O135" s="196">
        <v>25.966866593346559</v>
      </c>
      <c r="P135" s="197">
        <f>(N135-O135)/O135</f>
        <v>-0.71502144960778258</v>
      </c>
      <c r="Q135" s="193" t="b">
        <v>0</v>
      </c>
      <c r="R135" s="193" t="b">
        <v>1</v>
      </c>
      <c r="S135" s="193" t="str">
        <f>IF(Q135,A135&amp;"1",IF(R135,A135&amp;"3",A135&amp;"2"))</f>
        <v>RB3</v>
      </c>
      <c r="T135" s="197">
        <f>AVERAGEIFS(P:P,S:S,S135)</f>
        <v>0.15977645774330501</v>
      </c>
      <c r="U135" s="197" cm="1">
        <f t="array" ref="U135">STDEV(IF(S:S=S135,P:P))</f>
        <v>1.2265412747416893</v>
      </c>
    </row>
    <row r="136" spans="1:21" x14ac:dyDescent="0.2">
      <c r="A136" s="193" t="s">
        <v>256</v>
      </c>
      <c r="B136" t="s">
        <v>675</v>
      </c>
      <c r="C136" t="s">
        <v>116</v>
      </c>
      <c r="D136">
        <v>17</v>
      </c>
      <c r="I136">
        <v>410</v>
      </c>
      <c r="J136">
        <v>1</v>
      </c>
      <c r="K136">
        <v>31</v>
      </c>
      <c r="L136">
        <v>160</v>
      </c>
      <c r="M136">
        <v>2</v>
      </c>
      <c r="N136" s="196">
        <v>90.5</v>
      </c>
      <c r="O136" s="196">
        <v>24.102129513840001</v>
      </c>
      <c r="P136" s="197">
        <f>(N136-O136)/O136</f>
        <v>2.7548549371138682</v>
      </c>
      <c r="Q136" s="193" t="b">
        <v>0</v>
      </c>
      <c r="R136" s="193" t="b">
        <v>1</v>
      </c>
      <c r="S136" s="193" t="str">
        <f>IF(Q136,A136&amp;"1",IF(R136,A136&amp;"3",A136&amp;"2"))</f>
        <v>RB3</v>
      </c>
      <c r="T136" s="197">
        <f>AVERAGEIFS(P:P,S:S,S136)</f>
        <v>0.15977645774330501</v>
      </c>
      <c r="U136" s="197" cm="1">
        <f t="array" ref="U136">STDEV(IF(S:S=S136,P:P))</f>
        <v>1.2265412747416893</v>
      </c>
    </row>
    <row r="137" spans="1:21" x14ac:dyDescent="0.2">
      <c r="A137" s="193" t="s">
        <v>256</v>
      </c>
      <c r="B137" t="s">
        <v>578</v>
      </c>
      <c r="C137" t="s">
        <v>125</v>
      </c>
      <c r="D137">
        <v>8</v>
      </c>
      <c r="I137">
        <v>61</v>
      </c>
      <c r="J137">
        <v>1</v>
      </c>
      <c r="K137">
        <v>16</v>
      </c>
      <c r="L137">
        <v>88</v>
      </c>
      <c r="M137">
        <v>1</v>
      </c>
      <c r="N137" s="196">
        <v>34.900000000000006</v>
      </c>
      <c r="O137" s="196">
        <v>22.424756662526406</v>
      </c>
      <c r="P137" s="197">
        <f>(N137-O137)/O137</f>
        <v>0.5563156615349476</v>
      </c>
      <c r="Q137" s="193" t="b">
        <v>0</v>
      </c>
      <c r="R137" s="193" t="b">
        <v>1</v>
      </c>
      <c r="S137" s="193" t="str">
        <f>IF(Q137,A137&amp;"1",IF(R137,A137&amp;"3",A137&amp;"2"))</f>
        <v>RB3</v>
      </c>
      <c r="T137" s="197">
        <f>AVERAGEIFS(P:P,S:S,S137)</f>
        <v>0.15977645774330501</v>
      </c>
      <c r="U137" s="197" cm="1">
        <f t="array" ref="U137">STDEV(IF(S:S=S137,P:P))</f>
        <v>1.2265412747416893</v>
      </c>
    </row>
    <row r="138" spans="1:21" x14ac:dyDescent="0.2">
      <c r="A138" s="193" t="s">
        <v>256</v>
      </c>
      <c r="B138" t="s">
        <v>486</v>
      </c>
      <c r="C138" t="s">
        <v>192</v>
      </c>
      <c r="D138">
        <v>17</v>
      </c>
      <c r="I138">
        <v>31</v>
      </c>
      <c r="J138">
        <v>1</v>
      </c>
      <c r="K138"/>
      <c r="L138"/>
      <c r="M138"/>
      <c r="N138" s="196">
        <v>9.1</v>
      </c>
      <c r="O138" s="196">
        <v>22.341095421120002</v>
      </c>
      <c r="P138" s="197">
        <f>(N138-O138)/O138</f>
        <v>-0.59267888040094141</v>
      </c>
      <c r="Q138" s="193" t="b">
        <v>0</v>
      </c>
      <c r="R138" s="193" t="b">
        <v>1</v>
      </c>
      <c r="S138" s="193" t="str">
        <f>IF(Q138,A138&amp;"1",IF(R138,A138&amp;"3",A138&amp;"2"))</f>
        <v>RB3</v>
      </c>
      <c r="T138" s="197">
        <f>AVERAGEIFS(P:P,S:S,S138)</f>
        <v>0.15977645774330501</v>
      </c>
      <c r="U138" s="197" cm="1">
        <f t="array" ref="U138">STDEV(IF(S:S=S138,P:P))</f>
        <v>1.2265412747416893</v>
      </c>
    </row>
    <row r="139" spans="1:21" x14ac:dyDescent="0.2">
      <c r="A139" s="193" t="s">
        <v>256</v>
      </c>
      <c r="B139" t="s">
        <v>701</v>
      </c>
      <c r="C139" t="s">
        <v>109</v>
      </c>
      <c r="D139">
        <v>16</v>
      </c>
      <c r="I139">
        <v>387</v>
      </c>
      <c r="J139">
        <v>3</v>
      </c>
      <c r="K139">
        <v>28</v>
      </c>
      <c r="L139">
        <v>206</v>
      </c>
      <c r="M139">
        <v>1</v>
      </c>
      <c r="N139" s="196">
        <v>97.300000000000011</v>
      </c>
      <c r="O139" s="196">
        <v>21.261982117647044</v>
      </c>
      <c r="P139" s="197">
        <f>(N139-O139)/O139</f>
        <v>3.5762431489979876</v>
      </c>
      <c r="Q139" s="193" t="b">
        <v>0</v>
      </c>
      <c r="R139" s="193" t="b">
        <v>1</v>
      </c>
      <c r="S139" s="193" t="str">
        <f>IF(Q139,A139&amp;"1",IF(R139,A139&amp;"3",A139&amp;"2"))</f>
        <v>RB3</v>
      </c>
      <c r="T139" s="197">
        <f>AVERAGEIFS(P:P,S:S,S139)</f>
        <v>0.15977645774330501</v>
      </c>
      <c r="U139" s="197" cm="1">
        <f t="array" ref="U139">STDEV(IF(S:S=S139,P:P))</f>
        <v>1.2265412747416893</v>
      </c>
    </row>
    <row r="140" spans="1:21" x14ac:dyDescent="0.2">
      <c r="A140" s="193" t="s">
        <v>256</v>
      </c>
      <c r="B140" t="s">
        <v>185</v>
      </c>
      <c r="C140" t="s">
        <v>127</v>
      </c>
      <c r="D140">
        <v>6</v>
      </c>
      <c r="I140">
        <v>42</v>
      </c>
      <c r="J140"/>
      <c r="K140">
        <v>2</v>
      </c>
      <c r="L140">
        <v>2</v>
      </c>
      <c r="M140"/>
      <c r="N140" s="196">
        <v>5.4</v>
      </c>
      <c r="O140" s="196">
        <v>20.166868055698529</v>
      </c>
      <c r="P140" s="197">
        <f>(N140-O140)/O140</f>
        <v>-0.7322340789315509</v>
      </c>
      <c r="Q140" s="193" t="b">
        <v>0</v>
      </c>
      <c r="R140" s="193" t="b">
        <v>1</v>
      </c>
      <c r="S140" s="193" t="str">
        <f>IF(Q140,A140&amp;"1",IF(R140,A140&amp;"3",A140&amp;"2"))</f>
        <v>RB3</v>
      </c>
      <c r="T140" s="197">
        <f>AVERAGEIFS(P:P,S:S,S140)</f>
        <v>0.15977645774330501</v>
      </c>
      <c r="U140" s="197" cm="1">
        <f t="array" ref="U140">STDEV(IF(S:S=S140,P:P))</f>
        <v>1.2265412747416893</v>
      </c>
    </row>
    <row r="141" spans="1:21" x14ac:dyDescent="0.2">
      <c r="A141" s="193" t="s">
        <v>256</v>
      </c>
      <c r="B141" t="s">
        <v>193</v>
      </c>
      <c r="C141" t="s">
        <v>537</v>
      </c>
      <c r="D141">
        <v>17</v>
      </c>
      <c r="I141">
        <v>108</v>
      </c>
      <c r="J141"/>
      <c r="K141">
        <v>10</v>
      </c>
      <c r="L141">
        <v>140</v>
      </c>
      <c r="M141"/>
      <c r="N141" s="196">
        <v>29.8</v>
      </c>
      <c r="O141" s="196">
        <v>18.497819995829275</v>
      </c>
      <c r="P141" s="197">
        <f>(N141-O141)/O141</f>
        <v>0.61100064800711873</v>
      </c>
      <c r="Q141" s="193" t="b">
        <v>0</v>
      </c>
      <c r="R141" s="193" t="b">
        <v>1</v>
      </c>
      <c r="S141" s="193" t="str">
        <f>IF(Q141,A141&amp;"1",IF(R141,A141&amp;"3",A141&amp;"2"))</f>
        <v>RB3</v>
      </c>
      <c r="T141" s="197">
        <f>AVERAGEIFS(P:P,S:S,S141)</f>
        <v>0.15977645774330501</v>
      </c>
      <c r="U141" s="197" cm="1">
        <f t="array" ref="U141">STDEV(IF(S:S=S141,P:P))</f>
        <v>1.2265412747416893</v>
      </c>
    </row>
    <row r="142" spans="1:21" x14ac:dyDescent="0.2">
      <c r="A142" s="193" t="s">
        <v>256</v>
      </c>
      <c r="B142" t="s">
        <v>182</v>
      </c>
      <c r="C142" t="s">
        <v>711</v>
      </c>
      <c r="D142">
        <v>15</v>
      </c>
      <c r="I142">
        <v>86</v>
      </c>
      <c r="J142"/>
      <c r="K142">
        <v>4</v>
      </c>
      <c r="L142">
        <v>52</v>
      </c>
      <c r="M142"/>
      <c r="N142" s="196">
        <v>15.8</v>
      </c>
      <c r="O142" s="196">
        <v>17.987356251254003</v>
      </c>
      <c r="P142" s="197">
        <f>(N142-O142)/O142</f>
        <v>-0.12160521094374326</v>
      </c>
      <c r="Q142" s="193" t="b">
        <v>0</v>
      </c>
      <c r="R142" s="193" t="b">
        <v>1</v>
      </c>
      <c r="S142" s="193" t="str">
        <f>IF(Q142,A142&amp;"1",IF(R142,A142&amp;"3",A142&amp;"2"))</f>
        <v>RB3</v>
      </c>
      <c r="T142" s="197">
        <f>AVERAGEIFS(P:P,S:S,S142)</f>
        <v>0.15977645774330501</v>
      </c>
      <c r="U142" s="197" cm="1">
        <f t="array" ref="U142">STDEV(IF(S:S=S142,P:P))</f>
        <v>1.2265412747416893</v>
      </c>
    </row>
    <row r="143" spans="1:21" x14ac:dyDescent="0.2">
      <c r="A143" s="193" t="s">
        <v>256</v>
      </c>
      <c r="B143" t="s">
        <v>162</v>
      </c>
      <c r="C143" t="s">
        <v>111</v>
      </c>
      <c r="D143">
        <v>9</v>
      </c>
      <c r="I143">
        <v>23</v>
      </c>
      <c r="J143"/>
      <c r="K143">
        <v>7</v>
      </c>
      <c r="L143">
        <v>40</v>
      </c>
      <c r="M143"/>
      <c r="N143" s="196">
        <v>9.8000000000000007</v>
      </c>
      <c r="O143" s="196">
        <v>17.144728206274554</v>
      </c>
      <c r="P143" s="197">
        <f>(N143-O143)/O143</f>
        <v>-0.42839572129154901</v>
      </c>
      <c r="Q143" s="193" t="b">
        <v>0</v>
      </c>
      <c r="R143" s="193" t="b">
        <v>1</v>
      </c>
      <c r="S143" s="193" t="str">
        <f>IF(Q143,A143&amp;"1",IF(R143,A143&amp;"3",A143&amp;"2"))</f>
        <v>RB3</v>
      </c>
      <c r="T143" s="197">
        <f>AVERAGEIFS(P:P,S:S,S143)</f>
        <v>0.15977645774330501</v>
      </c>
      <c r="U143" s="197" cm="1">
        <f t="array" ref="U143">STDEV(IF(S:S=S143,P:P))</f>
        <v>1.2265412747416893</v>
      </c>
    </row>
    <row r="144" spans="1:21" x14ac:dyDescent="0.2">
      <c r="A144" s="193" t="s">
        <v>256</v>
      </c>
      <c r="B144" t="s">
        <v>191</v>
      </c>
      <c r="C144" t="s">
        <v>107</v>
      </c>
      <c r="D144">
        <v>17</v>
      </c>
      <c r="J144"/>
      <c r="K144">
        <v>6</v>
      </c>
      <c r="L144">
        <v>26</v>
      </c>
      <c r="M144"/>
      <c r="N144" s="196">
        <v>5.6</v>
      </c>
      <c r="O144" s="196">
        <v>16.264619323451843</v>
      </c>
      <c r="P144" s="197">
        <f>(N144-O144)/O144</f>
        <v>-0.6556943701765342</v>
      </c>
      <c r="Q144" s="193" t="b">
        <v>0</v>
      </c>
      <c r="R144" s="193" t="b">
        <v>1</v>
      </c>
      <c r="S144" s="193" t="str">
        <f>IF(Q144,A144&amp;"1",IF(R144,A144&amp;"3",A144&amp;"2"))</f>
        <v>RB3</v>
      </c>
      <c r="T144" s="197">
        <f>AVERAGEIFS(P:P,S:S,S144)</f>
        <v>0.15977645774330501</v>
      </c>
      <c r="U144" s="197" cm="1">
        <f t="array" ref="U144">STDEV(IF(S:S=S144,P:P))</f>
        <v>1.2265412747416893</v>
      </c>
    </row>
    <row r="145" spans="1:21" x14ac:dyDescent="0.2">
      <c r="A145" s="193" t="s">
        <v>256</v>
      </c>
      <c r="B145" t="s">
        <v>694</v>
      </c>
      <c r="C145" t="s">
        <v>118</v>
      </c>
      <c r="D145">
        <v>7</v>
      </c>
      <c r="I145">
        <v>85</v>
      </c>
      <c r="J145"/>
      <c r="K145">
        <v>4</v>
      </c>
      <c r="L145">
        <v>23</v>
      </c>
      <c r="M145"/>
      <c r="N145" s="196">
        <v>12.8</v>
      </c>
      <c r="O145" s="196">
        <v>15.557680466451197</v>
      </c>
      <c r="P145" s="197">
        <f>(N145-O145)/O145</f>
        <v>-0.17725524524031058</v>
      </c>
      <c r="Q145" s="193" t="b">
        <v>0</v>
      </c>
      <c r="R145" s="193" t="b">
        <v>1</v>
      </c>
      <c r="S145" s="193" t="str">
        <f>IF(Q145,A145&amp;"1",IF(R145,A145&amp;"3",A145&amp;"2"))</f>
        <v>RB3</v>
      </c>
      <c r="T145" s="197">
        <f>AVERAGEIFS(P:P,S:S,S145)</f>
        <v>0.15977645774330501</v>
      </c>
      <c r="U145" s="197" cm="1">
        <f t="array" ref="U145">STDEV(IF(S:S=S145,P:P))</f>
        <v>1.2265412747416893</v>
      </c>
    </row>
    <row r="146" spans="1:21" x14ac:dyDescent="0.2">
      <c r="A146" s="193" t="s">
        <v>256</v>
      </c>
      <c r="B146" t="s">
        <v>540</v>
      </c>
      <c r="C146" t="s">
        <v>133</v>
      </c>
      <c r="D146">
        <v>3</v>
      </c>
      <c r="J146"/>
      <c r="K146">
        <v>2</v>
      </c>
      <c r="L146">
        <v>11</v>
      </c>
      <c r="M146"/>
      <c r="N146" s="196">
        <v>2.1</v>
      </c>
      <c r="O146" s="196">
        <v>13.276669736399999</v>
      </c>
      <c r="P146" s="197">
        <f>(N146-O146)/O146</f>
        <v>-0.84182780458547279</v>
      </c>
      <c r="Q146" s="193" t="b">
        <v>0</v>
      </c>
      <c r="R146" s="193" t="b">
        <v>1</v>
      </c>
      <c r="S146" s="193" t="str">
        <f>IF(Q146,A146&amp;"1",IF(R146,A146&amp;"3",A146&amp;"2"))</f>
        <v>RB3</v>
      </c>
      <c r="T146" s="197">
        <f>AVERAGEIFS(P:P,S:S,S146)</f>
        <v>0.15977645774330501</v>
      </c>
      <c r="U146" s="197" cm="1">
        <f t="array" ref="U146">STDEV(IF(S:S=S146,P:P))</f>
        <v>1.2265412747416893</v>
      </c>
    </row>
    <row r="147" spans="1:21" x14ac:dyDescent="0.2">
      <c r="A147" s="193" t="s">
        <v>256</v>
      </c>
      <c r="B147" t="s">
        <v>687</v>
      </c>
      <c r="C147" t="s">
        <v>107</v>
      </c>
      <c r="D147">
        <v>14</v>
      </c>
      <c r="I147">
        <v>284</v>
      </c>
      <c r="J147">
        <v>2</v>
      </c>
      <c r="K147">
        <v>21</v>
      </c>
      <c r="L147">
        <v>119</v>
      </c>
      <c r="M147"/>
      <c r="N147" s="196">
        <v>62.800000000000004</v>
      </c>
      <c r="O147" s="196">
        <v>12.285711469569369</v>
      </c>
      <c r="P147" s="197">
        <f>(N147-O147)/O147</f>
        <v>4.1116290786699734</v>
      </c>
      <c r="Q147" s="193" t="b">
        <v>0</v>
      </c>
      <c r="R147" s="193" t="b">
        <v>1</v>
      </c>
      <c r="S147" s="193" t="str">
        <f>IF(Q147,A147&amp;"1",IF(R147,A147&amp;"3",A147&amp;"2"))</f>
        <v>RB3</v>
      </c>
      <c r="T147" s="197">
        <f>AVERAGEIFS(P:P,S:S,S147)</f>
        <v>0.15977645774330501</v>
      </c>
      <c r="U147" s="197" cm="1">
        <f t="array" ref="U147">STDEV(IF(S:S=S147,P:P))</f>
        <v>1.2265412747416893</v>
      </c>
    </row>
    <row r="148" spans="1:21" x14ac:dyDescent="0.2">
      <c r="A148" s="193" t="s">
        <v>256</v>
      </c>
      <c r="B148" t="s">
        <v>643</v>
      </c>
      <c r="C148" t="s">
        <v>130</v>
      </c>
      <c r="D148">
        <v>6</v>
      </c>
      <c r="I148">
        <v>70</v>
      </c>
      <c r="J148"/>
      <c r="K148">
        <v>7</v>
      </c>
      <c r="L148">
        <v>43</v>
      </c>
      <c r="M148"/>
      <c r="N148" s="196">
        <v>14.8</v>
      </c>
      <c r="O148" s="196">
        <v>11.350663613972769</v>
      </c>
      <c r="P148" s="197">
        <f>(N148-O148)/O148</f>
        <v>0.3038885217055563</v>
      </c>
      <c r="Q148" s="193" t="b">
        <v>0</v>
      </c>
      <c r="R148" s="193" t="b">
        <v>1</v>
      </c>
      <c r="S148" s="193" t="str">
        <f>IF(Q148,A148&amp;"1",IF(R148,A148&amp;"3",A148&amp;"2"))</f>
        <v>RB3</v>
      </c>
      <c r="T148" s="197">
        <f>AVERAGEIFS(P:P,S:S,S148)</f>
        <v>0.15977645774330501</v>
      </c>
      <c r="U148" s="197" cm="1">
        <f t="array" ref="U148">STDEV(IF(S:S=S148,P:P))</f>
        <v>1.2265412747416893</v>
      </c>
    </row>
    <row r="149" spans="1:21" x14ac:dyDescent="0.2">
      <c r="A149" s="193" t="s">
        <v>256</v>
      </c>
      <c r="B149" t="s">
        <v>705</v>
      </c>
      <c r="C149" t="s">
        <v>117</v>
      </c>
      <c r="D149">
        <v>17</v>
      </c>
      <c r="I149">
        <v>179</v>
      </c>
      <c r="J149">
        <v>1</v>
      </c>
      <c r="K149">
        <v>5</v>
      </c>
      <c r="L149">
        <v>47</v>
      </c>
      <c r="M149"/>
      <c r="N149" s="196">
        <v>31.1</v>
      </c>
      <c r="O149" s="196">
        <v>5.6978088279839989</v>
      </c>
      <c r="P149" s="197">
        <f>(N149-O149)/O149</f>
        <v>4.4582385859028228</v>
      </c>
      <c r="Q149" s="193" t="b">
        <v>0</v>
      </c>
      <c r="R149" s="193" t="b">
        <v>1</v>
      </c>
      <c r="S149" s="193" t="str">
        <f>IF(Q149,A149&amp;"1",IF(R149,A149&amp;"3",A149&amp;"2"))</f>
        <v>RB3</v>
      </c>
      <c r="T149" s="197">
        <f>AVERAGEIFS(P:P,S:S,S149)</f>
        <v>0.15977645774330501</v>
      </c>
      <c r="U149" s="197" cm="1">
        <f t="array" ref="U149">STDEV(IF(S:S=S149,P:P))</f>
        <v>1.2265412747416893</v>
      </c>
    </row>
    <row r="150" spans="1:21" x14ac:dyDescent="0.2">
      <c r="A150" s="193" t="s">
        <v>257</v>
      </c>
      <c r="B150" t="s">
        <v>176</v>
      </c>
      <c r="C150" t="s">
        <v>133</v>
      </c>
      <c r="D150">
        <v>12</v>
      </c>
      <c r="I150">
        <v>4</v>
      </c>
      <c r="J150"/>
      <c r="K150">
        <v>12</v>
      </c>
      <c r="L150">
        <v>101</v>
      </c>
      <c r="M150"/>
      <c r="N150" s="196">
        <v>16.5</v>
      </c>
      <c r="O150" s="196">
        <v>130.16505343713359</v>
      </c>
      <c r="P150" s="197">
        <f>(N150-O150)/O150</f>
        <v>-0.87323786558448979</v>
      </c>
      <c r="Q150" s="193" t="b">
        <v>0</v>
      </c>
      <c r="R150" s="193" t="b">
        <v>1</v>
      </c>
      <c r="S150" s="193" t="str">
        <f>IF(Q150,A150&amp;"1",IF(R150,A150&amp;"3",A150&amp;"2"))</f>
        <v>WR3</v>
      </c>
      <c r="T150" s="197">
        <f>AVERAGEIFS(P:P,S:S,S150)</f>
        <v>0.1221240189941602</v>
      </c>
      <c r="U150" s="197" cm="1">
        <f t="array" ref="U150">STDEV(IF(S:S=S150,P:P))</f>
        <v>0.87990698392978972</v>
      </c>
    </row>
    <row r="151" spans="1:21" x14ac:dyDescent="0.2">
      <c r="A151" s="193" t="s">
        <v>257</v>
      </c>
      <c r="B151" t="s">
        <v>612</v>
      </c>
      <c r="C151" t="s">
        <v>116</v>
      </c>
      <c r="D151">
        <v>16</v>
      </c>
      <c r="I151">
        <v>30</v>
      </c>
      <c r="J151"/>
      <c r="K151">
        <v>22</v>
      </c>
      <c r="L151">
        <v>377</v>
      </c>
      <c r="M151">
        <v>1</v>
      </c>
      <c r="N151" s="196">
        <v>57.7</v>
      </c>
      <c r="O151" s="196">
        <v>129.2891470122569</v>
      </c>
      <c r="P151" s="197">
        <f>(N151-O151)/O151</f>
        <v>-0.55371350702367994</v>
      </c>
      <c r="Q151" s="193" t="b">
        <v>0</v>
      </c>
      <c r="R151" s="193" t="b">
        <v>1</v>
      </c>
      <c r="S151" s="193" t="str">
        <f>IF(Q151,A151&amp;"1",IF(R151,A151&amp;"3",A151&amp;"2"))</f>
        <v>WR3</v>
      </c>
      <c r="T151" s="197">
        <f>AVERAGEIFS(P:P,S:S,S151)</f>
        <v>0.1221240189941602</v>
      </c>
      <c r="U151" s="197" cm="1">
        <f t="array" ref="U151">STDEV(IF(S:S=S151,P:P))</f>
        <v>0.87990698392978972</v>
      </c>
    </row>
    <row r="152" spans="1:21" x14ac:dyDescent="0.2">
      <c r="A152" s="193" t="s">
        <v>257</v>
      </c>
      <c r="B152" t="s">
        <v>6</v>
      </c>
      <c r="C152" t="s">
        <v>110</v>
      </c>
      <c r="D152">
        <v>16</v>
      </c>
      <c r="I152">
        <v>39</v>
      </c>
      <c r="J152">
        <v>1</v>
      </c>
      <c r="K152">
        <v>62</v>
      </c>
      <c r="L152">
        <v>613</v>
      </c>
      <c r="M152">
        <v>4</v>
      </c>
      <c r="N152" s="196">
        <v>126.2</v>
      </c>
      <c r="O152" s="196">
        <v>129.28583659160677</v>
      </c>
      <c r="P152" s="197">
        <f>(N152-O152)/O152</f>
        <v>-2.3868326747611395E-2</v>
      </c>
      <c r="Q152" s="193" t="b">
        <v>0</v>
      </c>
      <c r="R152" s="193" t="b">
        <v>1</v>
      </c>
      <c r="S152" s="193" t="str">
        <f>IF(Q152,A152&amp;"1",IF(R152,A152&amp;"3",A152&amp;"2"))</f>
        <v>WR3</v>
      </c>
      <c r="T152" s="197">
        <f>AVERAGEIFS(P:P,S:S,S152)</f>
        <v>0.1221240189941602</v>
      </c>
      <c r="U152" s="197" cm="1">
        <f t="array" ref="U152">STDEV(IF(S:S=S152,P:P))</f>
        <v>0.87990698392978972</v>
      </c>
    </row>
    <row r="153" spans="1:21" x14ac:dyDescent="0.2">
      <c r="A153" s="193" t="s">
        <v>257</v>
      </c>
      <c r="B153" t="s">
        <v>90</v>
      </c>
      <c r="C153" t="s">
        <v>129</v>
      </c>
      <c r="D153">
        <v>17</v>
      </c>
      <c r="I153"/>
      <c r="J153"/>
      <c r="K153">
        <v>50</v>
      </c>
      <c r="L153">
        <v>770</v>
      </c>
      <c r="M153">
        <v>4</v>
      </c>
      <c r="N153" s="196">
        <v>126</v>
      </c>
      <c r="O153" s="196">
        <v>121.11123240350437</v>
      </c>
      <c r="P153" s="197">
        <f>(N153-O153)/O153</f>
        <v>4.0365930553887819E-2</v>
      </c>
      <c r="Q153" s="193" t="b">
        <v>0</v>
      </c>
      <c r="R153" s="193" t="b">
        <v>1</v>
      </c>
      <c r="S153" s="193" t="str">
        <f>IF(Q153,A153&amp;"1",IF(R153,A153&amp;"3",A153&amp;"2"))</f>
        <v>WR3</v>
      </c>
      <c r="T153" s="197">
        <f>AVERAGEIFS(P:P,S:S,S153)</f>
        <v>0.1221240189941602</v>
      </c>
      <c r="U153" s="197" cm="1">
        <f t="array" ref="U153">STDEV(IF(S:S=S153,P:P))</f>
        <v>0.87990698392978972</v>
      </c>
    </row>
    <row r="154" spans="1:21" x14ac:dyDescent="0.2">
      <c r="A154" s="193" t="s">
        <v>257</v>
      </c>
      <c r="B154" t="s">
        <v>597</v>
      </c>
      <c r="C154" t="s">
        <v>107</v>
      </c>
      <c r="D154">
        <v>13</v>
      </c>
      <c r="I154"/>
      <c r="J154"/>
      <c r="K154">
        <v>38</v>
      </c>
      <c r="L154">
        <v>565</v>
      </c>
      <c r="M154">
        <v>3</v>
      </c>
      <c r="N154" s="196">
        <v>93.5</v>
      </c>
      <c r="O154" s="196">
        <v>119.77105166565002</v>
      </c>
      <c r="P154" s="197">
        <f>(N154-O154)/O154</f>
        <v>-0.21934391741827278</v>
      </c>
      <c r="Q154" s="193" t="b">
        <v>0</v>
      </c>
      <c r="R154" s="193" t="b">
        <v>1</v>
      </c>
      <c r="S154" s="193" t="str">
        <f>IF(Q154,A154&amp;"1",IF(R154,A154&amp;"3",A154&amp;"2"))</f>
        <v>WR3</v>
      </c>
      <c r="T154" s="197">
        <f>AVERAGEIFS(P:P,S:S,S154)</f>
        <v>0.1221240189941602</v>
      </c>
      <c r="U154" s="197" cm="1">
        <f t="array" ref="U154">STDEV(IF(S:S=S154,P:P))</f>
        <v>0.87990698392978972</v>
      </c>
    </row>
    <row r="155" spans="1:21" x14ac:dyDescent="0.2">
      <c r="A155" s="193" t="s">
        <v>257</v>
      </c>
      <c r="B155" t="s">
        <v>617</v>
      </c>
      <c r="C155" t="s">
        <v>118</v>
      </c>
      <c r="D155">
        <v>16</v>
      </c>
      <c r="I155">
        <v>119</v>
      </c>
      <c r="J155">
        <v>2</v>
      </c>
      <c r="K155">
        <v>64</v>
      </c>
      <c r="L155">
        <v>793</v>
      </c>
      <c r="M155">
        <v>8</v>
      </c>
      <c r="N155" s="196">
        <v>183.20000000000002</v>
      </c>
      <c r="O155" s="196">
        <v>119.06544448157086</v>
      </c>
      <c r="P155" s="197">
        <f>(N155-O155)/O155</f>
        <v>0.53864961238485953</v>
      </c>
      <c r="Q155" s="193" t="b">
        <v>0</v>
      </c>
      <c r="R155" s="193" t="b">
        <v>1</v>
      </c>
      <c r="S155" s="193" t="str">
        <f>IF(Q155,A155&amp;"1",IF(R155,A155&amp;"3",A155&amp;"2"))</f>
        <v>WR3</v>
      </c>
      <c r="T155" s="197">
        <f>AVERAGEIFS(P:P,S:S,S155)</f>
        <v>0.1221240189941602</v>
      </c>
      <c r="U155" s="197" cm="1">
        <f t="array" ref="U155">STDEV(IF(S:S=S155,P:P))</f>
        <v>0.87990698392978972</v>
      </c>
    </row>
    <row r="156" spans="1:21" x14ac:dyDescent="0.2">
      <c r="A156" s="193" t="s">
        <v>257</v>
      </c>
      <c r="B156" t="s">
        <v>249</v>
      </c>
      <c r="C156" t="s">
        <v>114</v>
      </c>
      <c r="D156">
        <v>17</v>
      </c>
      <c r="I156">
        <v>11</v>
      </c>
      <c r="J156"/>
      <c r="K156">
        <v>59</v>
      </c>
      <c r="L156">
        <v>640</v>
      </c>
      <c r="M156">
        <v>2</v>
      </c>
      <c r="N156" s="196">
        <v>106.6</v>
      </c>
      <c r="O156" s="196">
        <v>118.66713195414852</v>
      </c>
      <c r="P156" s="197">
        <f>(N156-O156)/O156</f>
        <v>-0.10168891550198676</v>
      </c>
      <c r="Q156" s="193" t="b">
        <v>0</v>
      </c>
      <c r="R156" s="193" t="b">
        <v>1</v>
      </c>
      <c r="S156" s="193" t="str">
        <f>IF(Q156,A156&amp;"1",IF(R156,A156&amp;"3",A156&amp;"2"))</f>
        <v>WR3</v>
      </c>
      <c r="T156" s="197">
        <f>AVERAGEIFS(P:P,S:S,S156)</f>
        <v>0.1221240189941602</v>
      </c>
      <c r="U156" s="197" cm="1">
        <f t="array" ref="U156">STDEV(IF(S:S=S156,P:P))</f>
        <v>0.87990698392978972</v>
      </c>
    </row>
    <row r="157" spans="1:21" x14ac:dyDescent="0.2">
      <c r="A157" s="193" t="s">
        <v>257</v>
      </c>
      <c r="B157" t="s">
        <v>248</v>
      </c>
      <c r="C157" t="s">
        <v>122</v>
      </c>
      <c r="D157">
        <v>13</v>
      </c>
      <c r="I157">
        <v>31</v>
      </c>
      <c r="J157"/>
      <c r="K157">
        <v>27</v>
      </c>
      <c r="L157">
        <v>169</v>
      </c>
      <c r="M157">
        <v>1</v>
      </c>
      <c r="N157" s="196">
        <v>39.5</v>
      </c>
      <c r="O157" s="196">
        <v>115.6532121174868</v>
      </c>
      <c r="P157" s="197">
        <f>(N157-O157)/O157</f>
        <v>-0.6584617125906217</v>
      </c>
      <c r="Q157" s="193" t="b">
        <v>0</v>
      </c>
      <c r="R157" s="193" t="b">
        <v>1</v>
      </c>
      <c r="S157" s="193" t="str">
        <f>IF(Q157,A157&amp;"1",IF(R157,A157&amp;"3",A157&amp;"2"))</f>
        <v>WR3</v>
      </c>
      <c r="T157" s="197">
        <f>AVERAGEIFS(P:P,S:S,S157)</f>
        <v>0.1221240189941602</v>
      </c>
      <c r="U157" s="197" cm="1">
        <f t="array" ref="U157">STDEV(IF(S:S=S157,P:P))</f>
        <v>0.87990698392978972</v>
      </c>
    </row>
    <row r="158" spans="1:21" x14ac:dyDescent="0.2">
      <c r="A158" s="193" t="s">
        <v>257</v>
      </c>
      <c r="B158" t="s">
        <v>243</v>
      </c>
      <c r="C158" t="s">
        <v>119</v>
      </c>
      <c r="D158">
        <v>15</v>
      </c>
      <c r="I158">
        <v>7</v>
      </c>
      <c r="J158"/>
      <c r="K158">
        <v>80</v>
      </c>
      <c r="L158">
        <v>1297</v>
      </c>
      <c r="M158">
        <v>8</v>
      </c>
      <c r="N158" s="196">
        <v>218.40000000000003</v>
      </c>
      <c r="O158" s="196">
        <v>114.84809106865067</v>
      </c>
      <c r="P158" s="197">
        <f>(N158-O158)/O158</f>
        <v>0.90164240404702067</v>
      </c>
      <c r="Q158" s="193" t="b">
        <v>0</v>
      </c>
      <c r="R158" s="193" t="b">
        <v>1</v>
      </c>
      <c r="S158" s="193" t="str">
        <f>IF(Q158,A158&amp;"1",IF(R158,A158&amp;"3",A158&amp;"2"))</f>
        <v>WR3</v>
      </c>
      <c r="T158" s="197">
        <f>AVERAGEIFS(P:P,S:S,S158)</f>
        <v>0.1221240189941602</v>
      </c>
      <c r="U158" s="197" cm="1">
        <f t="array" ref="U158">STDEV(IF(S:S=S158,P:P))</f>
        <v>0.87990698392978972</v>
      </c>
    </row>
    <row r="159" spans="1:21" x14ac:dyDescent="0.2">
      <c r="A159" s="193" t="s">
        <v>257</v>
      </c>
      <c r="B159" t="s">
        <v>469</v>
      </c>
      <c r="C159" t="s">
        <v>127</v>
      </c>
      <c r="D159">
        <v>16</v>
      </c>
      <c r="I159"/>
      <c r="J159"/>
      <c r="K159">
        <v>48</v>
      </c>
      <c r="L159">
        <v>540</v>
      </c>
      <c r="M159">
        <v>3</v>
      </c>
      <c r="N159" s="196">
        <v>96</v>
      </c>
      <c r="O159" s="196">
        <v>113.8911756591277</v>
      </c>
      <c r="P159" s="197">
        <f>(N159-O159)/O159</f>
        <v>-0.15709009548444175</v>
      </c>
      <c r="Q159" s="193" t="b">
        <v>0</v>
      </c>
      <c r="R159" s="193" t="b">
        <v>1</v>
      </c>
      <c r="S159" s="193" t="str">
        <f>IF(Q159,A159&amp;"1",IF(R159,A159&amp;"3",A159&amp;"2"))</f>
        <v>WR3</v>
      </c>
      <c r="T159" s="197">
        <f>AVERAGEIFS(P:P,S:S,S159)</f>
        <v>0.1221240189941602</v>
      </c>
      <c r="U159" s="197" cm="1">
        <f t="array" ref="U159">STDEV(IF(S:S=S159,P:P))</f>
        <v>0.87990698392978972</v>
      </c>
    </row>
    <row r="160" spans="1:21" x14ac:dyDescent="0.2">
      <c r="A160" s="193" t="s">
        <v>257</v>
      </c>
      <c r="B160" t="s">
        <v>624</v>
      </c>
      <c r="C160" t="s">
        <v>120</v>
      </c>
      <c r="D160">
        <v>17</v>
      </c>
      <c r="I160"/>
      <c r="J160"/>
      <c r="K160">
        <v>68</v>
      </c>
      <c r="L160">
        <v>771</v>
      </c>
      <c r="M160">
        <v>2</v>
      </c>
      <c r="N160" s="196">
        <v>123.10000000000001</v>
      </c>
      <c r="O160" s="196">
        <v>113.73967041881546</v>
      </c>
      <c r="P160" s="197">
        <f>(N160-O160)/O160</f>
        <v>8.229608496945412E-2</v>
      </c>
      <c r="Q160" s="193" t="b">
        <v>0</v>
      </c>
      <c r="R160" s="193" t="b">
        <v>1</v>
      </c>
      <c r="S160" s="193" t="str">
        <f>IF(Q160,A160&amp;"1",IF(R160,A160&amp;"3",A160&amp;"2"))</f>
        <v>WR3</v>
      </c>
      <c r="T160" s="197">
        <f>AVERAGEIFS(P:P,S:S,S160)</f>
        <v>0.1221240189941602</v>
      </c>
      <c r="U160" s="197" cm="1">
        <f t="array" ref="U160">STDEV(IF(S:S=S160,P:P))</f>
        <v>0.87990698392978972</v>
      </c>
    </row>
    <row r="161" spans="1:21" x14ac:dyDescent="0.2">
      <c r="A161" s="193" t="s">
        <v>257</v>
      </c>
      <c r="B161" t="s">
        <v>571</v>
      </c>
      <c r="C161" t="s">
        <v>123</v>
      </c>
      <c r="D161">
        <v>15</v>
      </c>
      <c r="I161"/>
      <c r="J161"/>
      <c r="K161">
        <v>35</v>
      </c>
      <c r="L161">
        <v>525</v>
      </c>
      <c r="M161">
        <v>5</v>
      </c>
      <c r="N161" s="196">
        <v>100</v>
      </c>
      <c r="O161" s="196">
        <v>113.20957392716396</v>
      </c>
      <c r="P161" s="197">
        <f>(N161-O161)/O161</f>
        <v>-0.1166824807207794</v>
      </c>
      <c r="Q161" s="193" t="b">
        <v>0</v>
      </c>
      <c r="R161" s="193" t="b">
        <v>1</v>
      </c>
      <c r="S161" s="193" t="str">
        <f>IF(Q161,A161&amp;"1",IF(R161,A161&amp;"3",A161&amp;"2"))</f>
        <v>WR3</v>
      </c>
      <c r="T161" s="197">
        <f>AVERAGEIFS(P:P,S:S,S161)</f>
        <v>0.1221240189941602</v>
      </c>
      <c r="U161" s="197" cm="1">
        <f t="array" ref="U161">STDEV(IF(S:S=S161,P:P))</f>
        <v>0.87990698392978972</v>
      </c>
    </row>
    <row r="162" spans="1:21" x14ac:dyDescent="0.2">
      <c r="A162" s="193" t="s">
        <v>257</v>
      </c>
      <c r="B162" t="s">
        <v>64</v>
      </c>
      <c r="C162" t="s">
        <v>132</v>
      </c>
      <c r="D162">
        <v>13</v>
      </c>
      <c r="I162"/>
      <c r="J162"/>
      <c r="K162">
        <v>33</v>
      </c>
      <c r="L162">
        <v>394</v>
      </c>
      <c r="M162"/>
      <c r="N162" s="196">
        <v>55.900000000000006</v>
      </c>
      <c r="O162" s="196">
        <v>111.97896938137993</v>
      </c>
      <c r="P162" s="197">
        <f>(N162-O162)/O162</f>
        <v>-0.50079912050614783</v>
      </c>
      <c r="Q162" s="193" t="b">
        <v>0</v>
      </c>
      <c r="R162" s="193" t="b">
        <v>1</v>
      </c>
      <c r="S162" s="193" t="str">
        <f>IF(Q162,A162&amp;"1",IF(R162,A162&amp;"3",A162&amp;"2"))</f>
        <v>WR3</v>
      </c>
      <c r="T162" s="197">
        <f>AVERAGEIFS(P:P,S:S,S162)</f>
        <v>0.1221240189941602</v>
      </c>
      <c r="U162" s="197" cm="1">
        <f t="array" ref="U162">STDEV(IF(S:S=S162,P:P))</f>
        <v>0.87990698392978972</v>
      </c>
    </row>
    <row r="163" spans="1:21" x14ac:dyDescent="0.2">
      <c r="A163" s="193" t="s">
        <v>257</v>
      </c>
      <c r="B163" t="s">
        <v>60</v>
      </c>
      <c r="C163" t="s">
        <v>119</v>
      </c>
      <c r="D163">
        <v>14</v>
      </c>
      <c r="I163">
        <v>7</v>
      </c>
      <c r="J163"/>
      <c r="K163">
        <v>40</v>
      </c>
      <c r="L163">
        <v>426</v>
      </c>
      <c r="M163">
        <v>1</v>
      </c>
      <c r="N163" s="196">
        <v>69.3</v>
      </c>
      <c r="O163" s="196">
        <v>109.84140305335866</v>
      </c>
      <c r="P163" s="197">
        <f>(N163-O163)/O163</f>
        <v>-0.36909036052338567</v>
      </c>
      <c r="Q163" s="193" t="b">
        <v>0</v>
      </c>
      <c r="R163" s="193" t="b">
        <v>1</v>
      </c>
      <c r="S163" s="193" t="str">
        <f>IF(Q163,A163&amp;"1",IF(R163,A163&amp;"3",A163&amp;"2"))</f>
        <v>WR3</v>
      </c>
      <c r="T163" s="197">
        <f>AVERAGEIFS(P:P,S:S,S163)</f>
        <v>0.1221240189941602</v>
      </c>
      <c r="U163" s="197" cm="1">
        <f t="array" ref="U163">STDEV(IF(S:S=S163,P:P))</f>
        <v>0.87990698392978972</v>
      </c>
    </row>
    <row r="164" spans="1:21" x14ac:dyDescent="0.2">
      <c r="A164" s="193" t="s">
        <v>257</v>
      </c>
      <c r="B164" t="s">
        <v>236</v>
      </c>
      <c r="C164" t="s">
        <v>108</v>
      </c>
      <c r="D164">
        <v>17</v>
      </c>
      <c r="I164">
        <v>178</v>
      </c>
      <c r="J164">
        <v>1</v>
      </c>
      <c r="K164">
        <v>40</v>
      </c>
      <c r="L164">
        <v>352</v>
      </c>
      <c r="M164">
        <v>1</v>
      </c>
      <c r="N164" s="196">
        <v>85</v>
      </c>
      <c r="O164" s="196">
        <v>98.677687369437947</v>
      </c>
      <c r="P164" s="197">
        <f>(N164-O164)/O164</f>
        <v>-0.13860972763001889</v>
      </c>
      <c r="Q164" s="193" t="b">
        <v>0</v>
      </c>
      <c r="R164" s="193" t="b">
        <v>1</v>
      </c>
      <c r="S164" s="193" t="str">
        <f>IF(Q164,A164&amp;"1",IF(R164,A164&amp;"3",A164&amp;"2"))</f>
        <v>WR3</v>
      </c>
      <c r="T164" s="197">
        <f>AVERAGEIFS(P:P,S:S,S164)</f>
        <v>0.1221240189941602</v>
      </c>
      <c r="U164" s="197" cm="1">
        <f t="array" ref="U164">STDEV(IF(S:S=S164,P:P))</f>
        <v>0.87990698392978972</v>
      </c>
    </row>
    <row r="165" spans="1:21" x14ac:dyDescent="0.2">
      <c r="A165" s="193" t="s">
        <v>257</v>
      </c>
      <c r="B165" t="s">
        <v>477</v>
      </c>
      <c r="C165" t="s">
        <v>117</v>
      </c>
      <c r="D165">
        <v>12</v>
      </c>
      <c r="I165">
        <v>29</v>
      </c>
      <c r="J165">
        <v>1</v>
      </c>
      <c r="K165">
        <v>24</v>
      </c>
      <c r="L165">
        <v>354</v>
      </c>
      <c r="M165">
        <v>2</v>
      </c>
      <c r="N165" s="196">
        <v>68.3</v>
      </c>
      <c r="O165" s="196">
        <v>96.934568288463439</v>
      </c>
      <c r="P165" s="197">
        <f>(N165-O165)/O165</f>
        <v>-0.29540099877735104</v>
      </c>
      <c r="Q165" s="193" t="b">
        <v>0</v>
      </c>
      <c r="R165" s="193" t="b">
        <v>1</v>
      </c>
      <c r="S165" s="193" t="str">
        <f>IF(Q165,A165&amp;"1",IF(R165,A165&amp;"3",A165&amp;"2"))</f>
        <v>WR3</v>
      </c>
      <c r="T165" s="197">
        <f>AVERAGEIFS(P:P,S:S,S165)</f>
        <v>0.1221240189941602</v>
      </c>
      <c r="U165" s="197" cm="1">
        <f t="array" ref="U165">STDEV(IF(S:S=S165,P:P))</f>
        <v>0.87990698392978972</v>
      </c>
    </row>
    <row r="166" spans="1:21" x14ac:dyDescent="0.2">
      <c r="A166" s="193" t="s">
        <v>257</v>
      </c>
      <c r="B166" t="s">
        <v>239</v>
      </c>
      <c r="C166" t="s">
        <v>108</v>
      </c>
      <c r="D166">
        <v>15</v>
      </c>
      <c r="I166">
        <v>5</v>
      </c>
      <c r="J166"/>
      <c r="K166">
        <v>31</v>
      </c>
      <c r="L166">
        <v>414</v>
      </c>
      <c r="M166">
        <v>1</v>
      </c>
      <c r="N166" s="196">
        <v>63.400000000000006</v>
      </c>
      <c r="O166" s="196">
        <v>96.007529586463335</v>
      </c>
      <c r="P166" s="197">
        <f>(N166-O166)/O166</f>
        <v>-0.33963512785835553</v>
      </c>
      <c r="Q166" s="193" t="b">
        <v>0</v>
      </c>
      <c r="R166" s="193" t="b">
        <v>1</v>
      </c>
      <c r="S166" s="193" t="str">
        <f>IF(Q166,A166&amp;"1",IF(R166,A166&amp;"3",A166&amp;"2"))</f>
        <v>WR3</v>
      </c>
      <c r="T166" s="197">
        <f>AVERAGEIFS(P:P,S:S,S166)</f>
        <v>0.1221240189941602</v>
      </c>
      <c r="U166" s="197" cm="1">
        <f t="array" ref="U166">STDEV(IF(S:S=S166,P:P))</f>
        <v>0.87990698392978972</v>
      </c>
    </row>
    <row r="167" spans="1:21" x14ac:dyDescent="0.2">
      <c r="A167" s="193" t="s">
        <v>257</v>
      </c>
      <c r="B167" t="s">
        <v>237</v>
      </c>
      <c r="C167" t="s">
        <v>109</v>
      </c>
      <c r="D167">
        <v>16</v>
      </c>
      <c r="I167">
        <v>18</v>
      </c>
      <c r="J167"/>
      <c r="K167">
        <v>32</v>
      </c>
      <c r="L167">
        <v>367</v>
      </c>
      <c r="M167">
        <v>1</v>
      </c>
      <c r="N167" s="196">
        <v>60.5</v>
      </c>
      <c r="O167" s="196">
        <v>95.75240316946082</v>
      </c>
      <c r="P167" s="197">
        <f>(N167-O167)/O167</f>
        <v>-0.36816207220482783</v>
      </c>
      <c r="Q167" s="193" t="b">
        <v>0</v>
      </c>
      <c r="R167" s="193" t="b">
        <v>1</v>
      </c>
      <c r="S167" s="193" t="str">
        <f>IF(Q167,A167&amp;"1",IF(R167,A167&amp;"3",A167&amp;"2"))</f>
        <v>WR3</v>
      </c>
      <c r="T167" s="197">
        <f>AVERAGEIFS(P:P,S:S,S167)</f>
        <v>0.1221240189941602</v>
      </c>
      <c r="U167" s="197" cm="1">
        <f t="array" ref="U167">STDEV(IF(S:S=S167,P:P))</f>
        <v>0.87990698392978972</v>
      </c>
    </row>
    <row r="168" spans="1:21" x14ac:dyDescent="0.2">
      <c r="A168" s="193" t="s">
        <v>257</v>
      </c>
      <c r="B168" t="s">
        <v>521</v>
      </c>
      <c r="C168" t="s">
        <v>120</v>
      </c>
      <c r="D168">
        <v>17</v>
      </c>
      <c r="I168"/>
      <c r="J168"/>
      <c r="K168">
        <v>32</v>
      </c>
      <c r="L168">
        <v>514</v>
      </c>
      <c r="M168">
        <v>2</v>
      </c>
      <c r="N168" s="196">
        <v>79.400000000000006</v>
      </c>
      <c r="O168" s="196">
        <v>94.292158056808148</v>
      </c>
      <c r="P168" s="197">
        <f>(N168-O168)/O168</f>
        <v>-0.15793633705823204</v>
      </c>
      <c r="Q168" s="193" t="b">
        <v>0</v>
      </c>
      <c r="R168" s="193" t="b">
        <v>1</v>
      </c>
      <c r="S168" s="193" t="str">
        <f>IF(Q168,A168&amp;"1",IF(R168,A168&amp;"3",A168&amp;"2"))</f>
        <v>WR3</v>
      </c>
      <c r="T168" s="197">
        <f>AVERAGEIFS(P:P,S:S,S168)</f>
        <v>0.1221240189941602</v>
      </c>
      <c r="U168" s="197" cm="1">
        <f t="array" ref="U168">STDEV(IF(S:S=S168,P:P))</f>
        <v>0.87990698392978972</v>
      </c>
    </row>
    <row r="169" spans="1:21" x14ac:dyDescent="0.2">
      <c r="A169" s="193" t="s">
        <v>257</v>
      </c>
      <c r="B169" t="s">
        <v>38</v>
      </c>
      <c r="C169" t="s">
        <v>192</v>
      </c>
      <c r="D169">
        <v>17</v>
      </c>
      <c r="I169"/>
      <c r="J169"/>
      <c r="K169">
        <v>34</v>
      </c>
      <c r="L169">
        <v>418</v>
      </c>
      <c r="M169">
        <v>2</v>
      </c>
      <c r="N169" s="196">
        <v>70.800000000000011</v>
      </c>
      <c r="O169" s="196">
        <v>93.431094692524141</v>
      </c>
      <c r="P169" s="197">
        <f>(N169-O169)/O169</f>
        <v>-0.24222230047717669</v>
      </c>
      <c r="Q169" s="193" t="b">
        <v>0</v>
      </c>
      <c r="R169" s="193" t="b">
        <v>1</v>
      </c>
      <c r="S169" s="193" t="str">
        <f>IF(Q169,A169&amp;"1",IF(R169,A169&amp;"3",A169&amp;"2"))</f>
        <v>WR3</v>
      </c>
      <c r="T169" s="197">
        <f>AVERAGEIFS(P:P,S:S,S169)</f>
        <v>0.1221240189941602</v>
      </c>
      <c r="U169" s="197" cm="1">
        <f t="array" ref="U169">STDEV(IF(S:S=S169,P:P))</f>
        <v>0.87990698392978972</v>
      </c>
    </row>
    <row r="170" spans="1:21" x14ac:dyDescent="0.2">
      <c r="A170" s="193" t="s">
        <v>257</v>
      </c>
      <c r="B170" t="s">
        <v>561</v>
      </c>
      <c r="C170" t="s">
        <v>122</v>
      </c>
      <c r="D170">
        <v>10</v>
      </c>
      <c r="I170"/>
      <c r="J170"/>
      <c r="K170">
        <v>6</v>
      </c>
      <c r="L170">
        <v>53</v>
      </c>
      <c r="M170"/>
      <c r="N170" s="196">
        <v>8.3000000000000007</v>
      </c>
      <c r="O170" s="196">
        <v>92.112339109190401</v>
      </c>
      <c r="P170" s="197">
        <f>(N170-O170)/O170</f>
        <v>-0.90989263674912069</v>
      </c>
      <c r="Q170" s="193" t="b">
        <v>0</v>
      </c>
      <c r="R170" s="193" t="b">
        <v>1</v>
      </c>
      <c r="S170" s="193" t="str">
        <f>IF(Q170,A170&amp;"1",IF(R170,A170&amp;"3",A170&amp;"2"))</f>
        <v>WR3</v>
      </c>
      <c r="T170" s="197">
        <f>AVERAGEIFS(P:P,S:S,S170)</f>
        <v>0.1221240189941602</v>
      </c>
      <c r="U170" s="197" cm="1">
        <f t="array" ref="U170">STDEV(IF(S:S=S170,P:P))</f>
        <v>0.87990698392978972</v>
      </c>
    </row>
    <row r="171" spans="1:21" x14ac:dyDescent="0.2">
      <c r="A171" s="193" t="s">
        <v>257</v>
      </c>
      <c r="B171" t="s">
        <v>484</v>
      </c>
      <c r="C171" t="s">
        <v>129</v>
      </c>
      <c r="D171">
        <v>17</v>
      </c>
      <c r="I171"/>
      <c r="J171"/>
      <c r="K171">
        <v>34</v>
      </c>
      <c r="L171">
        <v>280</v>
      </c>
      <c r="M171"/>
      <c r="N171" s="196">
        <v>45</v>
      </c>
      <c r="O171" s="196">
        <v>92.066985387508694</v>
      </c>
      <c r="P171" s="197">
        <f>(N171-O171)/O171</f>
        <v>-0.51122544296855588</v>
      </c>
      <c r="Q171" s="193" t="b">
        <v>0</v>
      </c>
      <c r="R171" s="193" t="b">
        <v>1</v>
      </c>
      <c r="S171" s="193" t="str">
        <f>IF(Q171,A171&amp;"1",IF(R171,A171&amp;"3",A171&amp;"2"))</f>
        <v>WR3</v>
      </c>
      <c r="T171" s="197">
        <f>AVERAGEIFS(P:P,S:S,S171)</f>
        <v>0.1221240189941602</v>
      </c>
      <c r="U171" s="197" cm="1">
        <f t="array" ref="U171">STDEV(IF(S:S=S171,P:P))</f>
        <v>0.87990698392978972</v>
      </c>
    </row>
    <row r="172" spans="1:21" x14ac:dyDescent="0.2">
      <c r="A172" s="193" t="s">
        <v>257</v>
      </c>
      <c r="B172" t="s">
        <v>549</v>
      </c>
      <c r="C172" t="s">
        <v>117</v>
      </c>
      <c r="D172">
        <v>6</v>
      </c>
      <c r="I172"/>
      <c r="J172"/>
      <c r="K172">
        <v>5</v>
      </c>
      <c r="L172">
        <v>35</v>
      </c>
      <c r="M172"/>
      <c r="N172" s="196">
        <v>6</v>
      </c>
      <c r="O172" s="196">
        <v>91.94050662758977</v>
      </c>
      <c r="P172" s="197">
        <f>(N172-O172)/O172</f>
        <v>-0.93474040746476039</v>
      </c>
      <c r="Q172" s="193" t="b">
        <v>0</v>
      </c>
      <c r="R172" s="193" t="b">
        <v>1</v>
      </c>
      <c r="S172" s="193" t="str">
        <f>IF(Q172,A172&amp;"1",IF(R172,A172&amp;"3",A172&amp;"2"))</f>
        <v>WR3</v>
      </c>
      <c r="T172" s="197">
        <f>AVERAGEIFS(P:P,S:S,S172)</f>
        <v>0.1221240189941602</v>
      </c>
      <c r="U172" s="197" cm="1">
        <f t="array" ref="U172">STDEV(IF(S:S=S172,P:P))</f>
        <v>0.87990698392978972</v>
      </c>
    </row>
    <row r="173" spans="1:21" x14ac:dyDescent="0.2">
      <c r="A173" s="193" t="s">
        <v>257</v>
      </c>
      <c r="B173" t="s">
        <v>476</v>
      </c>
      <c r="C173" t="s">
        <v>119</v>
      </c>
      <c r="D173">
        <v>10</v>
      </c>
      <c r="I173">
        <v>-1</v>
      </c>
      <c r="J173"/>
      <c r="K173">
        <v>33</v>
      </c>
      <c r="L173">
        <v>567</v>
      </c>
      <c r="M173">
        <v>2</v>
      </c>
      <c r="N173" s="196">
        <v>85.1</v>
      </c>
      <c r="O173" s="196">
        <v>90.783936841197601</v>
      </c>
      <c r="P173" s="197">
        <f>(N173-O173)/O173</f>
        <v>-6.2609499422129553E-2</v>
      </c>
      <c r="Q173" s="193" t="b">
        <v>0</v>
      </c>
      <c r="R173" s="193" t="b">
        <v>1</v>
      </c>
      <c r="S173" s="193" t="str">
        <f>IF(Q173,A173&amp;"1",IF(R173,A173&amp;"3",A173&amp;"2"))</f>
        <v>WR3</v>
      </c>
      <c r="T173" s="197">
        <f>AVERAGEIFS(P:P,S:S,S173)</f>
        <v>0.1221240189941602</v>
      </c>
      <c r="U173" s="197" cm="1">
        <f t="array" ref="U173">STDEV(IF(S:S=S173,P:P))</f>
        <v>0.87990698392978972</v>
      </c>
    </row>
    <row r="174" spans="1:21" x14ac:dyDescent="0.2">
      <c r="A174" s="193" t="s">
        <v>257</v>
      </c>
      <c r="B174" t="s">
        <v>55</v>
      </c>
      <c r="C174" t="s">
        <v>122</v>
      </c>
      <c r="D174">
        <v>6</v>
      </c>
      <c r="I174">
        <v>3</v>
      </c>
      <c r="J174"/>
      <c r="K174">
        <v>14</v>
      </c>
      <c r="L174">
        <v>118</v>
      </c>
      <c r="M174"/>
      <c r="N174" s="196">
        <v>19.100000000000001</v>
      </c>
      <c r="O174" s="196">
        <v>90.344374723291807</v>
      </c>
      <c r="P174" s="197">
        <f>(N174-O174)/O174</f>
        <v>-0.7885867265283556</v>
      </c>
      <c r="Q174" s="193" t="b">
        <v>0</v>
      </c>
      <c r="R174" s="193" t="b">
        <v>1</v>
      </c>
      <c r="S174" s="193" t="str">
        <f>IF(Q174,A174&amp;"1",IF(R174,A174&amp;"3",A174&amp;"2"))</f>
        <v>WR3</v>
      </c>
      <c r="T174" s="197">
        <f>AVERAGEIFS(P:P,S:S,S174)</f>
        <v>0.1221240189941602</v>
      </c>
      <c r="U174" s="197" cm="1">
        <f t="array" ref="U174">STDEV(IF(S:S=S174,P:P))</f>
        <v>0.87990698392978972</v>
      </c>
    </row>
    <row r="175" spans="1:21" x14ac:dyDescent="0.2">
      <c r="A175" s="193" t="s">
        <v>257</v>
      </c>
      <c r="B175" t="s">
        <v>548</v>
      </c>
      <c r="C175" t="s">
        <v>134</v>
      </c>
      <c r="D175">
        <v>8</v>
      </c>
      <c r="I175">
        <v>55</v>
      </c>
      <c r="J175"/>
      <c r="K175">
        <v>10</v>
      </c>
      <c r="L175">
        <v>60</v>
      </c>
      <c r="M175"/>
      <c r="N175" s="196">
        <v>16.5</v>
      </c>
      <c r="O175" s="196">
        <v>90.290516206634649</v>
      </c>
      <c r="P175" s="197">
        <f>(N175-O175)/O175</f>
        <v>-0.81725655480539205</v>
      </c>
      <c r="Q175" s="193" t="b">
        <v>0</v>
      </c>
      <c r="R175" s="193" t="b">
        <v>1</v>
      </c>
      <c r="S175" s="193" t="str">
        <f>IF(Q175,A175&amp;"1",IF(R175,A175&amp;"3",A175&amp;"2"))</f>
        <v>WR3</v>
      </c>
      <c r="T175" s="197">
        <f>AVERAGEIFS(P:P,S:S,S175)</f>
        <v>0.1221240189941602</v>
      </c>
      <c r="U175" s="197" cm="1">
        <f t="array" ref="U175">STDEV(IF(S:S=S175,P:P))</f>
        <v>0.87990698392978972</v>
      </c>
    </row>
    <row r="176" spans="1:21" x14ac:dyDescent="0.2">
      <c r="A176" s="193" t="s">
        <v>257</v>
      </c>
      <c r="B176" t="s">
        <v>589</v>
      </c>
      <c r="C176" t="s">
        <v>129</v>
      </c>
      <c r="D176">
        <v>17</v>
      </c>
      <c r="I176"/>
      <c r="J176"/>
      <c r="K176">
        <v>21</v>
      </c>
      <c r="L176">
        <v>230</v>
      </c>
      <c r="M176">
        <v>3</v>
      </c>
      <c r="N176" s="196">
        <v>51.5</v>
      </c>
      <c r="O176" s="196">
        <v>88.794501254683098</v>
      </c>
      <c r="P176" s="197">
        <f>(N176-O176)/O176</f>
        <v>-0.42000913038200272</v>
      </c>
      <c r="Q176" s="193" t="b">
        <v>0</v>
      </c>
      <c r="R176" s="193" t="b">
        <v>1</v>
      </c>
      <c r="S176" s="193" t="str">
        <f>IF(Q176,A176&amp;"1",IF(R176,A176&amp;"3",A176&amp;"2"))</f>
        <v>WR3</v>
      </c>
      <c r="T176" s="197">
        <f>AVERAGEIFS(P:P,S:S,S176)</f>
        <v>0.1221240189941602</v>
      </c>
      <c r="U176" s="197" cm="1">
        <f t="array" ref="U176">STDEV(IF(S:S=S176,P:P))</f>
        <v>0.87990698392978972</v>
      </c>
    </row>
    <row r="177" spans="1:21" x14ac:dyDescent="0.2">
      <c r="A177" s="193" t="s">
        <v>257</v>
      </c>
      <c r="B177" t="s">
        <v>52</v>
      </c>
      <c r="C177" t="s">
        <v>132</v>
      </c>
      <c r="D177">
        <v>12</v>
      </c>
      <c r="I177"/>
      <c r="J177"/>
      <c r="K177">
        <v>20</v>
      </c>
      <c r="L177">
        <v>104</v>
      </c>
      <c r="M177"/>
      <c r="N177" s="196">
        <v>20.399999999999999</v>
      </c>
      <c r="O177" s="196">
        <v>87.537493843607933</v>
      </c>
      <c r="P177" s="197">
        <f>(N177-O177)/O177</f>
        <v>-0.76695700203108308</v>
      </c>
      <c r="Q177" s="193" t="b">
        <v>0</v>
      </c>
      <c r="R177" s="193" t="b">
        <v>1</v>
      </c>
      <c r="S177" s="193" t="str">
        <f>IF(Q177,A177&amp;"1",IF(R177,A177&amp;"3",A177&amp;"2"))</f>
        <v>WR3</v>
      </c>
      <c r="T177" s="197">
        <f>AVERAGEIFS(P:P,S:S,S177)</f>
        <v>0.1221240189941602</v>
      </c>
      <c r="U177" s="197" cm="1">
        <f t="array" ref="U177">STDEV(IF(S:S=S177,P:P))</f>
        <v>0.87990698392978972</v>
      </c>
    </row>
    <row r="178" spans="1:21" x14ac:dyDescent="0.2">
      <c r="A178" s="193" t="s">
        <v>257</v>
      </c>
      <c r="B178" t="s">
        <v>156</v>
      </c>
      <c r="C178" t="s">
        <v>127</v>
      </c>
      <c r="D178">
        <v>8</v>
      </c>
      <c r="I178">
        <v>4</v>
      </c>
      <c r="J178"/>
      <c r="K178">
        <v>37</v>
      </c>
      <c r="L178">
        <v>406</v>
      </c>
      <c r="M178">
        <v>4</v>
      </c>
      <c r="N178" s="196">
        <v>83.5</v>
      </c>
      <c r="O178" s="196">
        <v>87.486076024099162</v>
      </c>
      <c r="P178" s="197">
        <f>(N178-O178)/O178</f>
        <v>-4.5562404959174838E-2</v>
      </c>
      <c r="Q178" s="193" t="b">
        <v>0</v>
      </c>
      <c r="R178" s="193" t="b">
        <v>1</v>
      </c>
      <c r="S178" s="193" t="str">
        <f>IF(Q178,A178&amp;"1",IF(R178,A178&amp;"3",A178&amp;"2"))</f>
        <v>WR3</v>
      </c>
      <c r="T178" s="197">
        <f>AVERAGEIFS(P:P,S:S,S178)</f>
        <v>0.1221240189941602</v>
      </c>
      <c r="U178" s="197" cm="1">
        <f t="array" ref="U178">STDEV(IF(S:S=S178,P:P))</f>
        <v>0.87990698392978972</v>
      </c>
    </row>
    <row r="179" spans="1:21" x14ac:dyDescent="0.2">
      <c r="A179" s="193" t="s">
        <v>257</v>
      </c>
      <c r="B179" t="s">
        <v>648</v>
      </c>
      <c r="C179" t="s">
        <v>136</v>
      </c>
      <c r="D179">
        <v>17</v>
      </c>
      <c r="I179">
        <v>22</v>
      </c>
      <c r="J179"/>
      <c r="K179">
        <v>39</v>
      </c>
      <c r="L179">
        <v>385</v>
      </c>
      <c r="M179">
        <v>3</v>
      </c>
      <c r="N179" s="196">
        <v>78.2</v>
      </c>
      <c r="O179" s="196">
        <v>87.342060412734071</v>
      </c>
      <c r="P179" s="197">
        <f>(N179-O179)/O179</f>
        <v>-0.1046696215950637</v>
      </c>
      <c r="Q179" s="193" t="b">
        <v>0</v>
      </c>
      <c r="R179" s="193" t="b">
        <v>1</v>
      </c>
      <c r="S179" s="193" t="str">
        <f>IF(Q179,A179&amp;"1",IF(R179,A179&amp;"3",A179&amp;"2"))</f>
        <v>WR3</v>
      </c>
      <c r="T179" s="197">
        <f>AVERAGEIFS(P:P,S:S,S179)</f>
        <v>0.1221240189941602</v>
      </c>
      <c r="U179" s="197" cm="1">
        <f t="array" ref="U179">STDEV(IF(S:S=S179,P:P))</f>
        <v>0.87990698392978972</v>
      </c>
    </row>
    <row r="180" spans="1:21" x14ac:dyDescent="0.2">
      <c r="A180" s="193" t="s">
        <v>257</v>
      </c>
      <c r="B180" t="s">
        <v>636</v>
      </c>
      <c r="C180" t="s">
        <v>711</v>
      </c>
      <c r="D180">
        <v>17</v>
      </c>
      <c r="I180">
        <v>89</v>
      </c>
      <c r="J180"/>
      <c r="K180">
        <v>105</v>
      </c>
      <c r="L180">
        <v>1486</v>
      </c>
      <c r="M180">
        <v>6</v>
      </c>
      <c r="N180" s="196">
        <v>246</v>
      </c>
      <c r="O180" s="196">
        <v>85.054259195136012</v>
      </c>
      <c r="P180" s="197">
        <f>(N180-O180)/O180</f>
        <v>1.8922713845007302</v>
      </c>
      <c r="Q180" s="193" t="b">
        <v>0</v>
      </c>
      <c r="R180" s="193" t="b">
        <v>1</v>
      </c>
      <c r="S180" s="193" t="str">
        <f>IF(Q180,A180&amp;"1",IF(R180,A180&amp;"3",A180&amp;"2"))</f>
        <v>WR3</v>
      </c>
      <c r="T180" s="197">
        <f>AVERAGEIFS(P:P,S:S,S180)</f>
        <v>0.1221240189941602</v>
      </c>
      <c r="U180" s="197" cm="1">
        <f t="array" ref="U180">STDEV(IF(S:S=S180,P:P))</f>
        <v>0.87990698392978972</v>
      </c>
    </row>
    <row r="181" spans="1:21" x14ac:dyDescent="0.2">
      <c r="A181" s="193" t="s">
        <v>257</v>
      </c>
      <c r="B181" t="s">
        <v>131</v>
      </c>
      <c r="C181" t="s">
        <v>192</v>
      </c>
      <c r="D181">
        <v>17</v>
      </c>
      <c r="I181"/>
      <c r="J181"/>
      <c r="K181">
        <v>25</v>
      </c>
      <c r="L181">
        <v>255</v>
      </c>
      <c r="M181"/>
      <c r="N181" s="196">
        <v>38</v>
      </c>
      <c r="O181" s="196">
        <v>84.554260335667863</v>
      </c>
      <c r="P181" s="197">
        <f>(N181-O181)/O181</f>
        <v>-0.55058444306477705</v>
      </c>
      <c r="Q181" s="193" t="b">
        <v>0</v>
      </c>
      <c r="R181" s="193" t="b">
        <v>1</v>
      </c>
      <c r="S181" s="193" t="str">
        <f>IF(Q181,A181&amp;"1",IF(R181,A181&amp;"3",A181&amp;"2"))</f>
        <v>WR3</v>
      </c>
      <c r="T181" s="197">
        <f>AVERAGEIFS(P:P,S:S,S181)</f>
        <v>0.1221240189941602</v>
      </c>
      <c r="U181" s="197" cm="1">
        <f t="array" ref="U181">STDEV(IF(S:S=S181,P:P))</f>
        <v>0.87990698392978972</v>
      </c>
    </row>
    <row r="182" spans="1:21" x14ac:dyDescent="0.2">
      <c r="A182" s="193" t="s">
        <v>257</v>
      </c>
      <c r="B182" t="s">
        <v>551</v>
      </c>
      <c r="C182" t="s">
        <v>111</v>
      </c>
      <c r="D182">
        <v>9</v>
      </c>
      <c r="I182"/>
      <c r="J182"/>
      <c r="K182">
        <v>19</v>
      </c>
      <c r="L182">
        <v>139</v>
      </c>
      <c r="M182"/>
      <c r="N182" s="196">
        <v>23.4</v>
      </c>
      <c r="O182" s="196">
        <v>79.745267232922856</v>
      </c>
      <c r="P182" s="197">
        <f>(N182-O182)/O182</f>
        <v>-0.70656565822705897</v>
      </c>
      <c r="Q182" s="193" t="b">
        <v>0</v>
      </c>
      <c r="R182" s="193" t="b">
        <v>1</v>
      </c>
      <c r="S182" s="193" t="str">
        <f>IF(Q182,A182&amp;"1",IF(R182,A182&amp;"3",A182&amp;"2"))</f>
        <v>WR3</v>
      </c>
      <c r="T182" s="197">
        <f>AVERAGEIFS(P:P,S:S,S182)</f>
        <v>0.1221240189941602</v>
      </c>
      <c r="U182" s="197" cm="1">
        <f t="array" ref="U182">STDEV(IF(S:S=S182,P:P))</f>
        <v>0.87990698392978972</v>
      </c>
    </row>
    <row r="183" spans="1:21" x14ac:dyDescent="0.2">
      <c r="A183" s="193" t="s">
        <v>257</v>
      </c>
      <c r="B183" t="s">
        <v>183</v>
      </c>
      <c r="C183" t="s">
        <v>110</v>
      </c>
      <c r="D183">
        <v>9</v>
      </c>
      <c r="I183"/>
      <c r="J183"/>
      <c r="K183">
        <v>4</v>
      </c>
      <c r="L183">
        <v>26</v>
      </c>
      <c r="M183"/>
      <c r="N183" s="196">
        <v>4.5999999999999996</v>
      </c>
      <c r="O183" s="196">
        <v>78.131442847366372</v>
      </c>
      <c r="P183" s="197">
        <f>(N183-O183)/O183</f>
        <v>-0.94112485534170509</v>
      </c>
      <c r="Q183" s="193" t="b">
        <v>0</v>
      </c>
      <c r="R183" s="193" t="b">
        <v>1</v>
      </c>
      <c r="S183" s="193" t="str">
        <f>IF(Q183,A183&amp;"1",IF(R183,A183&amp;"3",A183&amp;"2"))</f>
        <v>WR3</v>
      </c>
      <c r="T183" s="197">
        <f>AVERAGEIFS(P:P,S:S,S183)</f>
        <v>0.1221240189941602</v>
      </c>
      <c r="U183" s="197" cm="1">
        <f t="array" ref="U183">STDEV(IF(S:S=S183,P:P))</f>
        <v>0.87990698392978972</v>
      </c>
    </row>
    <row r="184" spans="1:21" x14ac:dyDescent="0.2">
      <c r="A184" s="193" t="s">
        <v>257</v>
      </c>
      <c r="B184" t="s">
        <v>590</v>
      </c>
      <c r="C184" t="s">
        <v>128</v>
      </c>
      <c r="D184">
        <v>15</v>
      </c>
      <c r="I184">
        <v>37</v>
      </c>
      <c r="J184"/>
      <c r="K184">
        <v>46</v>
      </c>
      <c r="L184">
        <v>719</v>
      </c>
      <c r="M184">
        <v>5</v>
      </c>
      <c r="N184" s="196">
        <v>128.60000000000002</v>
      </c>
      <c r="O184" s="196">
        <v>77.226919676598641</v>
      </c>
      <c r="P184" s="197">
        <f>(N184-O184)/O184</f>
        <v>0.66522244495229421</v>
      </c>
      <c r="Q184" s="193" t="b">
        <v>0</v>
      </c>
      <c r="R184" s="193" t="b">
        <v>1</v>
      </c>
      <c r="S184" s="193" t="str">
        <f>IF(Q184,A184&amp;"1",IF(R184,A184&amp;"3",A184&amp;"2"))</f>
        <v>WR3</v>
      </c>
      <c r="T184" s="197">
        <f>AVERAGEIFS(P:P,S:S,S184)</f>
        <v>0.1221240189941602</v>
      </c>
      <c r="U184" s="197" cm="1">
        <f t="array" ref="U184">STDEV(IF(S:S=S184,P:P))</f>
        <v>0.87990698392978972</v>
      </c>
    </row>
    <row r="185" spans="1:21" x14ac:dyDescent="0.2">
      <c r="A185" s="193" t="s">
        <v>257</v>
      </c>
      <c r="B185" t="s">
        <v>470</v>
      </c>
      <c r="C185" t="s">
        <v>110</v>
      </c>
      <c r="D185">
        <v>13</v>
      </c>
      <c r="I185"/>
      <c r="J185"/>
      <c r="K185">
        <v>18</v>
      </c>
      <c r="L185">
        <v>251</v>
      </c>
      <c r="M185"/>
      <c r="N185" s="196">
        <v>34.1</v>
      </c>
      <c r="O185" s="196">
        <v>77.189576272085475</v>
      </c>
      <c r="P185" s="197">
        <f>(N185-O185)/O185</f>
        <v>-0.55823050667099217</v>
      </c>
      <c r="Q185" s="193" t="b">
        <v>0</v>
      </c>
      <c r="R185" s="193" t="b">
        <v>1</v>
      </c>
      <c r="S185" s="193" t="str">
        <f>IF(Q185,A185&amp;"1",IF(R185,A185&amp;"3",A185&amp;"2"))</f>
        <v>WR3</v>
      </c>
      <c r="T185" s="197">
        <f>AVERAGEIFS(P:P,S:S,S185)</f>
        <v>0.1221240189941602</v>
      </c>
      <c r="U185" s="197" cm="1">
        <f t="array" ref="U185">STDEV(IF(S:S=S185,P:P))</f>
        <v>0.87990698392978972</v>
      </c>
    </row>
    <row r="186" spans="1:21" x14ac:dyDescent="0.2">
      <c r="A186" s="193" t="s">
        <v>257</v>
      </c>
      <c r="B186" t="s">
        <v>523</v>
      </c>
      <c r="C186" t="s">
        <v>119</v>
      </c>
      <c r="D186">
        <v>16</v>
      </c>
      <c r="I186">
        <v>4</v>
      </c>
      <c r="J186"/>
      <c r="K186">
        <v>16</v>
      </c>
      <c r="L186">
        <v>158</v>
      </c>
      <c r="M186"/>
      <c r="N186" s="196">
        <v>24.200000000000003</v>
      </c>
      <c r="O186" s="196">
        <v>73.182013035648367</v>
      </c>
      <c r="P186" s="197">
        <f>(N186-O186)/O186</f>
        <v>-0.66931765066080218</v>
      </c>
      <c r="Q186" s="193" t="b">
        <v>0</v>
      </c>
      <c r="R186" s="193" t="b">
        <v>1</v>
      </c>
      <c r="S186" s="193" t="str">
        <f>IF(Q186,A186&amp;"1",IF(R186,A186&amp;"3",A186&amp;"2"))</f>
        <v>WR3</v>
      </c>
      <c r="T186" s="197">
        <f>AVERAGEIFS(P:P,S:S,S186)</f>
        <v>0.1221240189941602</v>
      </c>
      <c r="U186" s="197" cm="1">
        <f t="array" ref="U186">STDEV(IF(S:S=S186,P:P))</f>
        <v>0.87990698392978972</v>
      </c>
    </row>
    <row r="187" spans="1:21" x14ac:dyDescent="0.2">
      <c r="A187" s="193" t="s">
        <v>257</v>
      </c>
      <c r="B187" t="s">
        <v>39</v>
      </c>
      <c r="C187" t="s">
        <v>130</v>
      </c>
      <c r="D187">
        <v>11</v>
      </c>
      <c r="I187"/>
      <c r="J187"/>
      <c r="K187">
        <v>5</v>
      </c>
      <c r="L187">
        <v>39</v>
      </c>
      <c r="M187">
        <v>1</v>
      </c>
      <c r="N187" s="196">
        <v>12.4</v>
      </c>
      <c r="O187" s="196">
        <v>71.627058184838234</v>
      </c>
      <c r="P187" s="197">
        <f>(N187-O187)/O187</f>
        <v>-0.82688106542082185</v>
      </c>
      <c r="Q187" s="193" t="b">
        <v>0</v>
      </c>
      <c r="R187" s="193" t="b">
        <v>1</v>
      </c>
      <c r="S187" s="193" t="str">
        <f>IF(Q187,A187&amp;"1",IF(R187,A187&amp;"3",A187&amp;"2"))</f>
        <v>WR3</v>
      </c>
      <c r="T187" s="197">
        <f>AVERAGEIFS(P:P,S:S,S187)</f>
        <v>0.1221240189941602</v>
      </c>
      <c r="U187" s="197" cm="1">
        <f t="array" ref="U187">STDEV(IF(S:S=S187,P:P))</f>
        <v>0.87990698392978972</v>
      </c>
    </row>
    <row r="188" spans="1:21" x14ac:dyDescent="0.2">
      <c r="A188" s="193" t="s">
        <v>257</v>
      </c>
      <c r="B188" t="s">
        <v>252</v>
      </c>
      <c r="C188" t="s">
        <v>137</v>
      </c>
      <c r="D188">
        <v>14</v>
      </c>
      <c r="I188"/>
      <c r="J188"/>
      <c r="K188">
        <v>28</v>
      </c>
      <c r="L188">
        <v>370</v>
      </c>
      <c r="M188">
        <v>3</v>
      </c>
      <c r="N188" s="196">
        <v>69</v>
      </c>
      <c r="O188" s="196">
        <v>69.20477178254302</v>
      </c>
      <c r="P188" s="197">
        <f>(N188-O188)/O188</f>
        <v>-2.958925768680501E-3</v>
      </c>
      <c r="Q188" s="193" t="b">
        <v>0</v>
      </c>
      <c r="R188" s="193" t="b">
        <v>1</v>
      </c>
      <c r="S188" s="193" t="str">
        <f>IF(Q188,A188&amp;"1",IF(R188,A188&amp;"3",A188&amp;"2"))</f>
        <v>WR3</v>
      </c>
      <c r="T188" s="197">
        <f>AVERAGEIFS(P:P,S:S,S188)</f>
        <v>0.1221240189941602</v>
      </c>
      <c r="U188" s="197" cm="1">
        <f t="array" ref="U188">STDEV(IF(S:S=S188,P:P))</f>
        <v>0.87990698392978972</v>
      </c>
    </row>
    <row r="189" spans="1:21" x14ac:dyDescent="0.2">
      <c r="A189" s="193" t="s">
        <v>257</v>
      </c>
      <c r="B189" t="s">
        <v>62</v>
      </c>
      <c r="C189" t="s">
        <v>116</v>
      </c>
      <c r="D189">
        <v>17</v>
      </c>
      <c r="I189"/>
      <c r="J189"/>
      <c r="K189">
        <v>40</v>
      </c>
      <c r="L189">
        <v>608</v>
      </c>
      <c r="M189">
        <v>5</v>
      </c>
      <c r="N189" s="196">
        <v>110.80000000000001</v>
      </c>
      <c r="O189" s="196">
        <v>68.671312284847986</v>
      </c>
      <c r="P189" s="197">
        <f>(N189-O189)/O189</f>
        <v>0.61348307340338293</v>
      </c>
      <c r="Q189" s="193" t="b">
        <v>0</v>
      </c>
      <c r="R189" s="193" t="b">
        <v>1</v>
      </c>
      <c r="S189" s="193" t="str">
        <f>IF(Q189,A189&amp;"1",IF(R189,A189&amp;"3",A189&amp;"2"))</f>
        <v>WR3</v>
      </c>
      <c r="T189" s="197">
        <f>AVERAGEIFS(P:P,S:S,S189)</f>
        <v>0.1221240189941602</v>
      </c>
      <c r="U189" s="197" cm="1">
        <f t="array" ref="U189">STDEV(IF(S:S=S189,P:P))</f>
        <v>0.87990698392978972</v>
      </c>
    </row>
    <row r="190" spans="1:21" x14ac:dyDescent="0.2">
      <c r="A190" s="193" t="s">
        <v>257</v>
      </c>
      <c r="B190" t="s">
        <v>663</v>
      </c>
      <c r="C190" t="s">
        <v>123</v>
      </c>
      <c r="D190">
        <v>10</v>
      </c>
      <c r="I190">
        <v>6</v>
      </c>
      <c r="J190"/>
      <c r="K190">
        <v>38</v>
      </c>
      <c r="L190">
        <v>581</v>
      </c>
      <c r="M190">
        <v>2</v>
      </c>
      <c r="N190" s="196">
        <v>89.7</v>
      </c>
      <c r="O190" s="196">
        <v>65.559330244799995</v>
      </c>
      <c r="P190" s="197">
        <f>(N190-O190)/O190</f>
        <v>0.36822630226785741</v>
      </c>
      <c r="Q190" s="193" t="b">
        <v>0</v>
      </c>
      <c r="R190" s="193" t="b">
        <v>1</v>
      </c>
      <c r="S190" s="193" t="str">
        <f>IF(Q190,A190&amp;"1",IF(R190,A190&amp;"3",A190&amp;"2"))</f>
        <v>WR3</v>
      </c>
      <c r="T190" s="197">
        <f>AVERAGEIFS(P:P,S:S,S190)</f>
        <v>0.1221240189941602</v>
      </c>
      <c r="U190" s="197" cm="1">
        <f t="array" ref="U190">STDEV(IF(S:S=S190,P:P))</f>
        <v>0.87990698392978972</v>
      </c>
    </row>
    <row r="191" spans="1:21" x14ac:dyDescent="0.2">
      <c r="A191" s="193" t="s">
        <v>257</v>
      </c>
      <c r="B191" t="s">
        <v>245</v>
      </c>
      <c r="C191" t="s">
        <v>711</v>
      </c>
      <c r="D191">
        <v>16</v>
      </c>
      <c r="I191">
        <v>31</v>
      </c>
      <c r="J191"/>
      <c r="K191">
        <v>39</v>
      </c>
      <c r="L191">
        <v>483</v>
      </c>
      <c r="M191">
        <v>3</v>
      </c>
      <c r="N191" s="196">
        <v>88.9</v>
      </c>
      <c r="O191" s="196">
        <v>64.322349932332799</v>
      </c>
      <c r="P191" s="197">
        <f>(N191-O191)/O191</f>
        <v>0.38210124620016106</v>
      </c>
      <c r="Q191" s="193" t="b">
        <v>0</v>
      </c>
      <c r="R191" s="193" t="b">
        <v>1</v>
      </c>
      <c r="S191" s="193" t="str">
        <f>IF(Q191,A191&amp;"1",IF(R191,A191&amp;"3",A191&amp;"2"))</f>
        <v>WR3</v>
      </c>
      <c r="T191" s="197">
        <f>AVERAGEIFS(P:P,S:S,S191)</f>
        <v>0.1221240189941602</v>
      </c>
      <c r="U191" s="197" cm="1">
        <f t="array" ref="U191">STDEV(IF(S:S=S191,P:P))</f>
        <v>0.87990698392978972</v>
      </c>
    </row>
    <row r="192" spans="1:21" x14ac:dyDescent="0.2">
      <c r="A192" s="193" t="s">
        <v>257</v>
      </c>
      <c r="B192" t="s">
        <v>255</v>
      </c>
      <c r="C192" t="s">
        <v>126</v>
      </c>
      <c r="D192">
        <v>17</v>
      </c>
      <c r="I192"/>
      <c r="J192"/>
      <c r="K192">
        <v>11</v>
      </c>
      <c r="L192">
        <v>86</v>
      </c>
      <c r="M192">
        <v>1</v>
      </c>
      <c r="N192" s="196">
        <v>20.100000000000001</v>
      </c>
      <c r="O192" s="196">
        <v>59.836018948557339</v>
      </c>
      <c r="P192" s="197">
        <f>(N192-O192)/O192</f>
        <v>-0.66408193002812366</v>
      </c>
      <c r="Q192" s="193" t="b">
        <v>0</v>
      </c>
      <c r="R192" s="193" t="b">
        <v>1</v>
      </c>
      <c r="S192" s="193" t="str">
        <f>IF(Q192,A192&amp;"1",IF(R192,A192&amp;"3",A192&amp;"2"))</f>
        <v>WR3</v>
      </c>
      <c r="T192" s="197">
        <f>AVERAGEIFS(P:P,S:S,S192)</f>
        <v>0.1221240189941602</v>
      </c>
      <c r="U192" s="197" cm="1">
        <f t="array" ref="U192">STDEV(IF(S:S=S192,P:P))</f>
        <v>0.87990698392978972</v>
      </c>
    </row>
    <row r="193" spans="1:21" x14ac:dyDescent="0.2">
      <c r="A193" s="193" t="s">
        <v>257</v>
      </c>
      <c r="B193" t="s">
        <v>657</v>
      </c>
      <c r="C193" t="s">
        <v>119</v>
      </c>
      <c r="D193">
        <v>11</v>
      </c>
      <c r="I193">
        <v>51</v>
      </c>
      <c r="J193"/>
      <c r="K193">
        <v>47</v>
      </c>
      <c r="L193">
        <v>709</v>
      </c>
      <c r="M193">
        <v>7</v>
      </c>
      <c r="N193" s="196">
        <v>141.5</v>
      </c>
      <c r="O193" s="196">
        <v>59.210008222847328</v>
      </c>
      <c r="P193" s="197">
        <f>(N193-O193)/O193</f>
        <v>1.3897986885500799</v>
      </c>
      <c r="Q193" s="193" t="b">
        <v>0</v>
      </c>
      <c r="R193" s="193" t="b">
        <v>1</v>
      </c>
      <c r="S193" s="193" t="str">
        <f>IF(Q193,A193&amp;"1",IF(R193,A193&amp;"3",A193&amp;"2"))</f>
        <v>WR3</v>
      </c>
      <c r="T193" s="197">
        <f>AVERAGEIFS(P:P,S:S,S193)</f>
        <v>0.1221240189941602</v>
      </c>
      <c r="U193" s="197" cm="1">
        <f t="array" ref="U193">STDEV(IF(S:S=S193,P:P))</f>
        <v>0.87990698392978972</v>
      </c>
    </row>
    <row r="194" spans="1:21" x14ac:dyDescent="0.2">
      <c r="A194" s="193" t="s">
        <v>257</v>
      </c>
      <c r="B194" t="s">
        <v>241</v>
      </c>
      <c r="C194" t="s">
        <v>128</v>
      </c>
      <c r="D194">
        <v>15</v>
      </c>
      <c r="I194"/>
      <c r="J194"/>
      <c r="K194">
        <v>22</v>
      </c>
      <c r="L194">
        <v>296</v>
      </c>
      <c r="M194">
        <v>3</v>
      </c>
      <c r="N194" s="196">
        <v>58.6</v>
      </c>
      <c r="O194" s="196">
        <v>59.155899982718687</v>
      </c>
      <c r="P194" s="197">
        <f>(N194-O194)/O194</f>
        <v>-9.3972026945931212E-3</v>
      </c>
      <c r="Q194" s="193" t="b">
        <v>0</v>
      </c>
      <c r="R194" s="193" t="b">
        <v>1</v>
      </c>
      <c r="S194" s="193" t="str">
        <f>IF(Q194,A194&amp;"1",IF(R194,A194&amp;"3",A194&amp;"2"))</f>
        <v>WR3</v>
      </c>
      <c r="T194" s="197">
        <f>AVERAGEIFS(P:P,S:S,S194)</f>
        <v>0.1221240189941602</v>
      </c>
      <c r="U194" s="197" cm="1">
        <f t="array" ref="U194">STDEV(IF(S:S=S194,P:P))</f>
        <v>0.87990698392978972</v>
      </c>
    </row>
    <row r="195" spans="1:21" x14ac:dyDescent="0.2">
      <c r="A195" s="193" t="s">
        <v>257</v>
      </c>
      <c r="B195" t="s">
        <v>532</v>
      </c>
      <c r="C195" t="s">
        <v>129</v>
      </c>
      <c r="D195">
        <v>15</v>
      </c>
      <c r="I195">
        <v>87</v>
      </c>
      <c r="J195">
        <v>1</v>
      </c>
      <c r="K195">
        <v>60</v>
      </c>
      <c r="L195">
        <v>525</v>
      </c>
      <c r="M195">
        <v>1</v>
      </c>
      <c r="N195" s="196">
        <v>103.2</v>
      </c>
      <c r="O195" s="196">
        <v>57.776482817212141</v>
      </c>
      <c r="P195" s="197">
        <f>(N195-O195)/O195</f>
        <v>0.78619387972256038</v>
      </c>
      <c r="Q195" s="193" t="b">
        <v>0</v>
      </c>
      <c r="R195" s="193" t="b">
        <v>1</v>
      </c>
      <c r="S195" s="193" t="str">
        <f>IF(Q195,A195&amp;"1",IF(R195,A195&amp;"3",A195&amp;"2"))</f>
        <v>WR3</v>
      </c>
      <c r="T195" s="197">
        <f>AVERAGEIFS(P:P,S:S,S195)</f>
        <v>0.1221240189941602</v>
      </c>
      <c r="U195" s="197" cm="1">
        <f t="array" ref="U195">STDEV(IF(S:S=S195,P:P))</f>
        <v>0.87990698392978972</v>
      </c>
    </row>
    <row r="196" spans="1:21" x14ac:dyDescent="0.2">
      <c r="A196" s="193" t="s">
        <v>257</v>
      </c>
      <c r="B196" t="s">
        <v>630</v>
      </c>
      <c r="C196" t="s">
        <v>122</v>
      </c>
      <c r="D196">
        <v>16</v>
      </c>
      <c r="I196">
        <v>-3</v>
      </c>
      <c r="J196"/>
      <c r="K196">
        <v>79</v>
      </c>
      <c r="L196">
        <v>938</v>
      </c>
      <c r="M196">
        <v>7</v>
      </c>
      <c r="N196" s="196">
        <v>175</v>
      </c>
      <c r="O196" s="196">
        <v>56.831704490872688</v>
      </c>
      <c r="P196" s="197">
        <f>(N196-O196)/O196</f>
        <v>2.079267137379373</v>
      </c>
      <c r="Q196" s="193" t="b">
        <v>0</v>
      </c>
      <c r="R196" s="193" t="b">
        <v>1</v>
      </c>
      <c r="S196" s="193" t="str">
        <f>IF(Q196,A196&amp;"1",IF(R196,A196&amp;"3",A196&amp;"2"))</f>
        <v>WR3</v>
      </c>
      <c r="T196" s="197">
        <f>AVERAGEIFS(P:P,S:S,S196)</f>
        <v>0.1221240189941602</v>
      </c>
      <c r="U196" s="197" cm="1">
        <f t="array" ref="U196">STDEV(IF(S:S=S196,P:P))</f>
        <v>0.87990698392978972</v>
      </c>
    </row>
    <row r="197" spans="1:21" x14ac:dyDescent="0.2">
      <c r="A197" s="193" t="s">
        <v>257</v>
      </c>
      <c r="B197" t="s">
        <v>494</v>
      </c>
      <c r="C197" t="s">
        <v>109</v>
      </c>
      <c r="D197">
        <v>16</v>
      </c>
      <c r="I197"/>
      <c r="J197"/>
      <c r="K197">
        <v>15</v>
      </c>
      <c r="L197">
        <v>150</v>
      </c>
      <c r="M197">
        <v>1</v>
      </c>
      <c r="N197" s="196">
        <v>28.5</v>
      </c>
      <c r="O197" s="196">
        <v>56.822667667156409</v>
      </c>
      <c r="P197" s="197">
        <f>(N197-O197)/O197</f>
        <v>-0.49843959866613152</v>
      </c>
      <c r="Q197" s="193" t="b">
        <v>0</v>
      </c>
      <c r="R197" s="193" t="b">
        <v>1</v>
      </c>
      <c r="S197" s="193" t="str">
        <f>IF(Q197,A197&amp;"1",IF(R197,A197&amp;"3",A197&amp;"2"))</f>
        <v>WR3</v>
      </c>
      <c r="T197" s="197">
        <f>AVERAGEIFS(P:P,S:S,S197)</f>
        <v>0.1221240189941602</v>
      </c>
      <c r="U197" s="197" cm="1">
        <f t="array" ref="U197">STDEV(IF(S:S=S197,P:P))</f>
        <v>0.87990698392978972</v>
      </c>
    </row>
    <row r="198" spans="1:21" x14ac:dyDescent="0.2">
      <c r="A198" s="193" t="s">
        <v>257</v>
      </c>
      <c r="B198" t="s">
        <v>205</v>
      </c>
      <c r="C198" t="s">
        <v>125</v>
      </c>
      <c r="D198">
        <v>16</v>
      </c>
      <c r="I198">
        <v>11</v>
      </c>
      <c r="J198"/>
      <c r="K198">
        <v>27</v>
      </c>
      <c r="L198">
        <v>238</v>
      </c>
      <c r="M198">
        <v>1</v>
      </c>
      <c r="N198" s="196">
        <v>44.4</v>
      </c>
      <c r="O198" s="196">
        <v>56.686699079863281</v>
      </c>
      <c r="P198" s="197">
        <f>(N198-O198)/O198</f>
        <v>-0.21674747832032198</v>
      </c>
      <c r="Q198" s="193" t="b">
        <v>0</v>
      </c>
      <c r="R198" s="193" t="b">
        <v>1</v>
      </c>
      <c r="S198" s="193" t="str">
        <f>IF(Q198,A198&amp;"1",IF(R198,A198&amp;"3",A198&amp;"2"))</f>
        <v>WR3</v>
      </c>
      <c r="T198" s="197">
        <f>AVERAGEIFS(P:P,S:S,S198)</f>
        <v>0.1221240189941602</v>
      </c>
      <c r="U198" s="197" cm="1">
        <f t="array" ref="U198">STDEV(IF(S:S=S198,P:P))</f>
        <v>0.87990698392978972</v>
      </c>
    </row>
    <row r="199" spans="1:21" x14ac:dyDescent="0.2">
      <c r="A199" s="193" t="s">
        <v>257</v>
      </c>
      <c r="B199" t="s">
        <v>246</v>
      </c>
      <c r="C199" t="s">
        <v>119</v>
      </c>
      <c r="D199">
        <v>17</v>
      </c>
      <c r="I199">
        <v>9</v>
      </c>
      <c r="J199"/>
      <c r="K199">
        <v>8</v>
      </c>
      <c r="L199">
        <v>66</v>
      </c>
      <c r="M199">
        <v>1</v>
      </c>
      <c r="N199" s="196">
        <v>17.5</v>
      </c>
      <c r="O199" s="196">
        <v>55.2630857895698</v>
      </c>
      <c r="P199" s="197">
        <f>(N199-O199)/O199</f>
        <v>-0.68333292015874181</v>
      </c>
      <c r="Q199" s="193" t="b">
        <v>0</v>
      </c>
      <c r="R199" s="193" t="b">
        <v>1</v>
      </c>
      <c r="S199" s="193" t="str">
        <f>IF(Q199,A199&amp;"1",IF(R199,A199&amp;"3",A199&amp;"2"))</f>
        <v>WR3</v>
      </c>
      <c r="T199" s="197">
        <f>AVERAGEIFS(P:P,S:S,S199)</f>
        <v>0.1221240189941602</v>
      </c>
      <c r="U199" s="197" cm="1">
        <f t="array" ref="U199">STDEV(IF(S:S=S199,P:P))</f>
        <v>0.87990698392978972</v>
      </c>
    </row>
    <row r="200" spans="1:21" x14ac:dyDescent="0.2">
      <c r="A200" s="193" t="s">
        <v>257</v>
      </c>
      <c r="B200" t="s">
        <v>562</v>
      </c>
      <c r="C200" t="s">
        <v>122</v>
      </c>
      <c r="D200">
        <v>9</v>
      </c>
      <c r="I200"/>
      <c r="J200"/>
      <c r="K200">
        <v>10</v>
      </c>
      <c r="L200">
        <v>114</v>
      </c>
      <c r="M200"/>
      <c r="N200" s="196">
        <v>16.399999999999999</v>
      </c>
      <c r="O200" s="196">
        <v>54.595342488959986</v>
      </c>
      <c r="P200" s="197">
        <f>(N200-O200)/O200</f>
        <v>-0.69960807548159754</v>
      </c>
      <c r="Q200" s="193" t="b">
        <v>0</v>
      </c>
      <c r="R200" s="193" t="b">
        <v>1</v>
      </c>
      <c r="S200" s="193" t="str">
        <f>IF(Q200,A200&amp;"1",IF(R200,A200&amp;"3",A200&amp;"2"))</f>
        <v>WR3</v>
      </c>
      <c r="T200" s="197">
        <f>AVERAGEIFS(P:P,S:S,S200)</f>
        <v>0.1221240189941602</v>
      </c>
      <c r="U200" s="197" cm="1">
        <f t="array" ref="U200">STDEV(IF(S:S=S200,P:P))</f>
        <v>0.87990698392978972</v>
      </c>
    </row>
    <row r="201" spans="1:21" x14ac:dyDescent="0.2">
      <c r="A201" s="193" t="s">
        <v>257</v>
      </c>
      <c r="B201" t="s">
        <v>671</v>
      </c>
      <c r="C201" t="s">
        <v>127</v>
      </c>
      <c r="D201">
        <v>5</v>
      </c>
      <c r="I201"/>
      <c r="J201"/>
      <c r="K201">
        <v>2</v>
      </c>
      <c r="L201">
        <v>19</v>
      </c>
      <c r="M201"/>
      <c r="N201" s="196">
        <v>2.9000000000000004</v>
      </c>
      <c r="O201" s="196">
        <v>47.181509120148462</v>
      </c>
      <c r="P201" s="197">
        <f>(N201-O201)/O201</f>
        <v>-0.9385352428508571</v>
      </c>
      <c r="Q201" s="193" t="b">
        <v>0</v>
      </c>
      <c r="R201" s="193" t="b">
        <v>1</v>
      </c>
      <c r="S201" s="193" t="str">
        <f>IF(Q201,A201&amp;"1",IF(R201,A201&amp;"3",A201&amp;"2"))</f>
        <v>WR3</v>
      </c>
      <c r="T201" s="197">
        <f>AVERAGEIFS(P:P,S:S,S201)</f>
        <v>0.1221240189941602</v>
      </c>
      <c r="U201" s="197" cm="1">
        <f t="array" ref="U201">STDEV(IF(S:S=S201,P:P))</f>
        <v>0.87990698392978972</v>
      </c>
    </row>
    <row r="202" spans="1:21" x14ac:dyDescent="0.2">
      <c r="A202" s="193" t="s">
        <v>257</v>
      </c>
      <c r="B202" t="s">
        <v>472</v>
      </c>
      <c r="C202" t="s">
        <v>108</v>
      </c>
      <c r="D202">
        <v>17</v>
      </c>
      <c r="I202"/>
      <c r="J202"/>
      <c r="K202">
        <v>14</v>
      </c>
      <c r="L202">
        <v>232</v>
      </c>
      <c r="M202"/>
      <c r="N202" s="196">
        <v>30.200000000000003</v>
      </c>
      <c r="O202" s="196">
        <v>46.12868847008707</v>
      </c>
      <c r="P202" s="197">
        <f>(N202-O202)/O202</f>
        <v>-0.34530980607472278</v>
      </c>
      <c r="Q202" s="193" t="b">
        <v>0</v>
      </c>
      <c r="R202" s="193" t="b">
        <v>1</v>
      </c>
      <c r="S202" s="193" t="str">
        <f>IF(Q202,A202&amp;"1",IF(R202,A202&amp;"3",A202&amp;"2"))</f>
        <v>WR3</v>
      </c>
      <c r="T202" s="197">
        <f>AVERAGEIFS(P:P,S:S,S202)</f>
        <v>0.1221240189941602</v>
      </c>
      <c r="U202" s="197" cm="1">
        <f t="array" ref="U202">STDEV(IF(S:S=S202,P:P))</f>
        <v>0.87990698392978972</v>
      </c>
    </row>
    <row r="203" spans="1:21" x14ac:dyDescent="0.2">
      <c r="A203" s="193" t="s">
        <v>257</v>
      </c>
      <c r="B203" t="s">
        <v>251</v>
      </c>
      <c r="C203" t="s">
        <v>133</v>
      </c>
      <c r="D203">
        <v>9</v>
      </c>
      <c r="I203"/>
      <c r="J203"/>
      <c r="K203">
        <v>15</v>
      </c>
      <c r="L203">
        <v>142</v>
      </c>
      <c r="M203">
        <v>1</v>
      </c>
      <c r="N203" s="196">
        <v>27.700000000000003</v>
      </c>
      <c r="O203" s="196">
        <v>45.688608346058807</v>
      </c>
      <c r="P203" s="197">
        <f>(N203-O203)/O203</f>
        <v>-0.39372195821347528</v>
      </c>
      <c r="Q203" s="193" t="b">
        <v>0</v>
      </c>
      <c r="R203" s="193" t="b">
        <v>1</v>
      </c>
      <c r="S203" s="193" t="str">
        <f>IF(Q203,A203&amp;"1",IF(R203,A203&amp;"3",A203&amp;"2"))</f>
        <v>WR3</v>
      </c>
      <c r="T203" s="197">
        <f>AVERAGEIFS(P:P,S:S,S203)</f>
        <v>0.1221240189941602</v>
      </c>
      <c r="U203" s="197" cm="1">
        <f t="array" ref="U203">STDEV(IF(S:S=S203,P:P))</f>
        <v>0.87990698392978972</v>
      </c>
    </row>
    <row r="204" spans="1:21" x14ac:dyDescent="0.2">
      <c r="A204" s="193" t="s">
        <v>257</v>
      </c>
      <c r="B204" t="s">
        <v>466</v>
      </c>
      <c r="C204" t="s">
        <v>135</v>
      </c>
      <c r="D204">
        <v>13</v>
      </c>
      <c r="I204"/>
      <c r="J204"/>
      <c r="K204">
        <v>19</v>
      </c>
      <c r="L204">
        <v>265</v>
      </c>
      <c r="M204">
        <v>1</v>
      </c>
      <c r="N204" s="196">
        <v>42</v>
      </c>
      <c r="O204" s="196">
        <v>40.313265190549011</v>
      </c>
      <c r="P204" s="197">
        <f>(N204-O204)/O204</f>
        <v>4.1840689447463192E-2</v>
      </c>
      <c r="Q204" s="193" t="b">
        <v>0</v>
      </c>
      <c r="R204" s="193" t="b">
        <v>1</v>
      </c>
      <c r="S204" s="193" t="str">
        <f>IF(Q204,A204&amp;"1",IF(R204,A204&amp;"3",A204&amp;"2"))</f>
        <v>WR3</v>
      </c>
      <c r="T204" s="197">
        <f>AVERAGEIFS(P:P,S:S,S204)</f>
        <v>0.1221240189941602</v>
      </c>
      <c r="U204" s="197" cm="1">
        <f t="array" ref="U204">STDEV(IF(S:S=S204,P:P))</f>
        <v>0.87990698392978972</v>
      </c>
    </row>
    <row r="205" spans="1:21" x14ac:dyDescent="0.2">
      <c r="A205" s="193" t="s">
        <v>257</v>
      </c>
      <c r="B205" t="s">
        <v>198</v>
      </c>
      <c r="C205" t="s">
        <v>129</v>
      </c>
      <c r="D205">
        <v>13</v>
      </c>
      <c r="I205">
        <v>14</v>
      </c>
      <c r="J205"/>
      <c r="K205">
        <v>11</v>
      </c>
      <c r="L205">
        <v>82</v>
      </c>
      <c r="M205"/>
      <c r="N205" s="196">
        <v>15.100000000000001</v>
      </c>
      <c r="O205" s="196">
        <v>39.328571361895207</v>
      </c>
      <c r="P205" s="197">
        <f>(N205-O205)/O205</f>
        <v>-0.61605521184453349</v>
      </c>
      <c r="Q205" s="193" t="b">
        <v>0</v>
      </c>
      <c r="R205" s="193" t="b">
        <v>1</v>
      </c>
      <c r="S205" s="193" t="str">
        <f>IF(Q205,A205&amp;"1",IF(R205,A205&amp;"3",A205&amp;"2"))</f>
        <v>WR3</v>
      </c>
      <c r="T205" s="197">
        <f>AVERAGEIFS(P:P,S:S,S205)</f>
        <v>0.1221240189941602</v>
      </c>
      <c r="U205" s="197" cm="1">
        <f t="array" ref="U205">STDEV(IF(S:S=S205,P:P))</f>
        <v>0.87990698392978972</v>
      </c>
    </row>
    <row r="206" spans="1:21" x14ac:dyDescent="0.2">
      <c r="A206" s="193" t="s">
        <v>257</v>
      </c>
      <c r="B206" t="s">
        <v>642</v>
      </c>
      <c r="C206" t="s">
        <v>129</v>
      </c>
      <c r="D206">
        <v>17</v>
      </c>
      <c r="I206"/>
      <c r="J206"/>
      <c r="K206">
        <v>23</v>
      </c>
      <c r="L206">
        <v>373</v>
      </c>
      <c r="M206"/>
      <c r="N206" s="196">
        <v>48.800000000000004</v>
      </c>
      <c r="O206" s="196">
        <v>39.016453413547382</v>
      </c>
      <c r="P206" s="197">
        <f>(N206-O206)/O206</f>
        <v>0.25075438002408384</v>
      </c>
      <c r="Q206" s="193" t="b">
        <v>0</v>
      </c>
      <c r="R206" s="193" t="b">
        <v>1</v>
      </c>
      <c r="S206" s="193" t="str">
        <f>IF(Q206,A206&amp;"1",IF(R206,A206&amp;"3",A206&amp;"2"))</f>
        <v>WR3</v>
      </c>
      <c r="T206" s="197">
        <f>AVERAGEIFS(P:P,S:S,S206)</f>
        <v>0.1221240189941602</v>
      </c>
      <c r="U206" s="197" cm="1">
        <f t="array" ref="U206">STDEV(IF(S:S=S206,P:P))</f>
        <v>0.87990698392978972</v>
      </c>
    </row>
    <row r="207" spans="1:21" x14ac:dyDescent="0.2">
      <c r="A207" s="193" t="s">
        <v>257</v>
      </c>
      <c r="B207" t="s">
        <v>499</v>
      </c>
      <c r="C207" t="s">
        <v>110</v>
      </c>
      <c r="D207">
        <v>17</v>
      </c>
      <c r="I207">
        <v>10</v>
      </c>
      <c r="J207"/>
      <c r="K207">
        <v>39</v>
      </c>
      <c r="L207">
        <v>611</v>
      </c>
      <c r="M207">
        <v>2</v>
      </c>
      <c r="N207" s="196">
        <v>93.6</v>
      </c>
      <c r="O207" s="196">
        <v>38.389008385575202</v>
      </c>
      <c r="P207" s="197">
        <f>(N207-O207)/O207</f>
        <v>1.4381979096696467</v>
      </c>
      <c r="Q207" s="193" t="b">
        <v>0</v>
      </c>
      <c r="R207" s="193" t="b">
        <v>1</v>
      </c>
      <c r="S207" s="193" t="str">
        <f>IF(Q207,A207&amp;"1",IF(R207,A207&amp;"3",A207&amp;"2"))</f>
        <v>WR3</v>
      </c>
      <c r="T207" s="197">
        <f>AVERAGEIFS(P:P,S:S,S207)</f>
        <v>0.1221240189941602</v>
      </c>
      <c r="U207" s="197" cm="1">
        <f t="array" ref="U207">STDEV(IF(S:S=S207,P:P))</f>
        <v>0.87990698392978972</v>
      </c>
    </row>
    <row r="208" spans="1:21" x14ac:dyDescent="0.2">
      <c r="A208" s="193" t="s">
        <v>257</v>
      </c>
      <c r="B208" t="s">
        <v>716</v>
      </c>
      <c r="C208" t="s">
        <v>127</v>
      </c>
      <c r="D208">
        <v>14</v>
      </c>
      <c r="I208">
        <v>41</v>
      </c>
      <c r="J208"/>
      <c r="K208">
        <v>49</v>
      </c>
      <c r="L208">
        <v>561</v>
      </c>
      <c r="M208"/>
      <c r="N208" s="196">
        <v>84.7</v>
      </c>
      <c r="O208" s="196">
        <v>37.195711972182387</v>
      </c>
      <c r="P208" s="197">
        <f>(N208-O208)/O208</f>
        <v>1.2771442058521347</v>
      </c>
      <c r="Q208" s="193" t="b">
        <v>0</v>
      </c>
      <c r="R208" s="193" t="b">
        <v>1</v>
      </c>
      <c r="S208" s="193" t="str">
        <f>IF(Q208,A208&amp;"1",IF(R208,A208&amp;"3",A208&amp;"2"))</f>
        <v>WR3</v>
      </c>
      <c r="T208" s="197">
        <f>AVERAGEIFS(P:P,S:S,S208)</f>
        <v>0.1221240189941602</v>
      </c>
      <c r="U208" s="197" cm="1">
        <f t="array" ref="U208">STDEV(IF(S:S=S208,P:P))</f>
        <v>0.87990698392978972</v>
      </c>
    </row>
    <row r="209" spans="1:21" x14ac:dyDescent="0.2">
      <c r="A209" s="193" t="s">
        <v>257</v>
      </c>
      <c r="B209" t="s">
        <v>513</v>
      </c>
      <c r="C209" t="s">
        <v>137</v>
      </c>
      <c r="D209">
        <v>9</v>
      </c>
      <c r="I209"/>
      <c r="J209"/>
      <c r="K209">
        <v>15</v>
      </c>
      <c r="L209">
        <v>181</v>
      </c>
      <c r="M209"/>
      <c r="N209" s="196">
        <v>25.6</v>
      </c>
      <c r="O209" s="196">
        <v>36.780466404519956</v>
      </c>
      <c r="P209" s="197">
        <f>(N209-O209)/O209</f>
        <v>-0.30397837486764401</v>
      </c>
      <c r="Q209" s="193" t="b">
        <v>0</v>
      </c>
      <c r="R209" s="193" t="b">
        <v>1</v>
      </c>
      <c r="S209" s="193" t="str">
        <f>IF(Q209,A209&amp;"1",IF(R209,A209&amp;"3",A209&amp;"2"))</f>
        <v>WR3</v>
      </c>
      <c r="T209" s="197">
        <f>AVERAGEIFS(P:P,S:S,S209)</f>
        <v>0.1221240189941602</v>
      </c>
      <c r="U209" s="197" cm="1">
        <f t="array" ref="U209">STDEV(IF(S:S=S209,P:P))</f>
        <v>0.87990698392978972</v>
      </c>
    </row>
    <row r="210" spans="1:21" x14ac:dyDescent="0.2">
      <c r="A210" s="193" t="s">
        <v>257</v>
      </c>
      <c r="B210" t="s">
        <v>89</v>
      </c>
      <c r="C210" t="s">
        <v>129</v>
      </c>
      <c r="D210">
        <v>15</v>
      </c>
      <c r="I210">
        <v>6</v>
      </c>
      <c r="J210"/>
      <c r="K210">
        <v>10</v>
      </c>
      <c r="L210">
        <v>57</v>
      </c>
      <c r="M210">
        <v>1</v>
      </c>
      <c r="N210" s="196">
        <v>17.3</v>
      </c>
      <c r="O210" s="196">
        <v>35.665895599228826</v>
      </c>
      <c r="P210" s="197">
        <f>(N210-O210)/O210</f>
        <v>-0.51494278471520949</v>
      </c>
      <c r="Q210" s="193" t="b">
        <v>0</v>
      </c>
      <c r="R210" s="193" t="b">
        <v>1</v>
      </c>
      <c r="S210" s="193" t="str">
        <f>IF(Q210,A210&amp;"1",IF(R210,A210&amp;"3",A210&amp;"2"))</f>
        <v>WR3</v>
      </c>
      <c r="T210" s="197">
        <f>AVERAGEIFS(P:P,S:S,S210)</f>
        <v>0.1221240189941602</v>
      </c>
      <c r="U210" s="197" cm="1">
        <f t="array" ref="U210">STDEV(IF(S:S=S210,P:P))</f>
        <v>0.87990698392978972</v>
      </c>
    </row>
    <row r="211" spans="1:21" x14ac:dyDescent="0.2">
      <c r="A211" s="193" t="s">
        <v>257</v>
      </c>
      <c r="B211" t="s">
        <v>608</v>
      </c>
      <c r="C211" t="s">
        <v>113</v>
      </c>
      <c r="D211">
        <v>11</v>
      </c>
      <c r="I211">
        <v>13</v>
      </c>
      <c r="J211"/>
      <c r="K211">
        <v>7</v>
      </c>
      <c r="L211">
        <v>64</v>
      </c>
      <c r="M211"/>
      <c r="N211" s="196">
        <v>11.2</v>
      </c>
      <c r="O211" s="196">
        <v>35.157696402703706</v>
      </c>
      <c r="P211" s="197">
        <f>(N211-O211)/O211</f>
        <v>-0.6814353286485888</v>
      </c>
      <c r="Q211" s="193" t="b">
        <v>0</v>
      </c>
      <c r="R211" s="193" t="b">
        <v>1</v>
      </c>
      <c r="S211" s="193" t="str">
        <f>IF(Q211,A211&amp;"1",IF(R211,A211&amp;"3",A211&amp;"2"))</f>
        <v>WR3</v>
      </c>
      <c r="T211" s="197">
        <f>AVERAGEIFS(P:P,S:S,S211)</f>
        <v>0.1221240189941602</v>
      </c>
      <c r="U211" s="197" cm="1">
        <f t="array" ref="U211">STDEV(IF(S:S=S211,P:P))</f>
        <v>0.87990698392978972</v>
      </c>
    </row>
    <row r="212" spans="1:21" x14ac:dyDescent="0.2">
      <c r="A212" s="193" t="s">
        <v>257</v>
      </c>
      <c r="B212" t="s">
        <v>614</v>
      </c>
      <c r="C212" t="s">
        <v>117</v>
      </c>
      <c r="D212">
        <v>9</v>
      </c>
      <c r="I212"/>
      <c r="J212"/>
      <c r="K212">
        <v>1</v>
      </c>
      <c r="L212">
        <v>2</v>
      </c>
      <c r="M212"/>
      <c r="N212" s="196">
        <v>0.7</v>
      </c>
      <c r="O212" s="196">
        <v>34.981737176305913</v>
      </c>
      <c r="P212" s="197">
        <f>(N212-O212)/O212</f>
        <v>-0.97998955865250359</v>
      </c>
      <c r="Q212" s="193" t="b">
        <v>0</v>
      </c>
      <c r="R212" s="193" t="b">
        <v>1</v>
      </c>
      <c r="S212" s="193" t="str">
        <f>IF(Q212,A212&amp;"1",IF(R212,A212&amp;"3",A212&amp;"2"))</f>
        <v>WR3</v>
      </c>
      <c r="T212" s="197">
        <f>AVERAGEIFS(P:P,S:S,S212)</f>
        <v>0.1221240189941602</v>
      </c>
      <c r="U212" s="197" cm="1">
        <f t="array" ref="U212">STDEV(IF(S:S=S212,P:P))</f>
        <v>0.87990698392978972</v>
      </c>
    </row>
    <row r="213" spans="1:21" x14ac:dyDescent="0.2">
      <c r="A213" s="193" t="s">
        <v>257</v>
      </c>
      <c r="B213" t="s">
        <v>698</v>
      </c>
      <c r="C213" t="s">
        <v>116</v>
      </c>
      <c r="D213">
        <v>13</v>
      </c>
      <c r="I213"/>
      <c r="J213"/>
      <c r="K213">
        <v>19</v>
      </c>
      <c r="L213">
        <v>284</v>
      </c>
      <c r="M213">
        <v>4</v>
      </c>
      <c r="N213" s="196">
        <v>61.900000000000006</v>
      </c>
      <c r="O213" s="196">
        <v>34.217311715823605</v>
      </c>
      <c r="P213" s="197">
        <f>(N213-O213)/O213</f>
        <v>0.80902580875091645</v>
      </c>
      <c r="Q213" s="193" t="b">
        <v>0</v>
      </c>
      <c r="R213" s="193" t="b">
        <v>1</v>
      </c>
      <c r="S213" s="193" t="str">
        <f>IF(Q213,A213&amp;"1",IF(R213,A213&amp;"3",A213&amp;"2"))</f>
        <v>WR3</v>
      </c>
      <c r="T213" s="197">
        <f>AVERAGEIFS(P:P,S:S,S213)</f>
        <v>0.1221240189941602</v>
      </c>
      <c r="U213" s="197" cm="1">
        <f t="array" ref="U213">STDEV(IF(S:S=S213,P:P))</f>
        <v>0.87990698392978972</v>
      </c>
    </row>
    <row r="214" spans="1:21" x14ac:dyDescent="0.2">
      <c r="A214" s="193" t="s">
        <v>257</v>
      </c>
      <c r="B214" t="s">
        <v>667</v>
      </c>
      <c r="C214" t="s">
        <v>136</v>
      </c>
      <c r="D214">
        <v>17</v>
      </c>
      <c r="I214">
        <v>56</v>
      </c>
      <c r="J214"/>
      <c r="K214">
        <v>17</v>
      </c>
      <c r="L214">
        <v>83</v>
      </c>
      <c r="M214">
        <v>1</v>
      </c>
      <c r="N214" s="196">
        <v>28.400000000000002</v>
      </c>
      <c r="O214" s="196">
        <v>33.969009366190079</v>
      </c>
      <c r="P214" s="197">
        <f>(N214-O214)/O214</f>
        <v>-0.16394382615505429</v>
      </c>
      <c r="Q214" s="193" t="b">
        <v>0</v>
      </c>
      <c r="R214" s="193" t="b">
        <v>1</v>
      </c>
      <c r="S214" s="193" t="str">
        <f>IF(Q214,A214&amp;"1",IF(R214,A214&amp;"3",A214&amp;"2"))</f>
        <v>WR3</v>
      </c>
      <c r="T214" s="197">
        <f>AVERAGEIFS(P:P,S:S,S214)</f>
        <v>0.1221240189941602</v>
      </c>
      <c r="U214" s="197" cm="1">
        <f t="array" ref="U214">STDEV(IF(S:S=S214,P:P))</f>
        <v>0.87990698392978972</v>
      </c>
    </row>
    <row r="215" spans="1:21" x14ac:dyDescent="0.2">
      <c r="A215" s="193" t="s">
        <v>257</v>
      </c>
      <c r="B215" t="s">
        <v>609</v>
      </c>
      <c r="C215" t="s">
        <v>114</v>
      </c>
      <c r="D215">
        <v>14</v>
      </c>
      <c r="I215">
        <v>8</v>
      </c>
      <c r="J215"/>
      <c r="K215">
        <v>21</v>
      </c>
      <c r="L215">
        <v>224</v>
      </c>
      <c r="M215"/>
      <c r="N215" s="196">
        <v>33.700000000000003</v>
      </c>
      <c r="O215" s="196">
        <v>33.936930944818862</v>
      </c>
      <c r="P215" s="197">
        <f>(N215-O215)/O215</f>
        <v>-6.981507703336708E-3</v>
      </c>
      <c r="Q215" s="193" t="b">
        <v>0</v>
      </c>
      <c r="R215" s="193" t="b">
        <v>1</v>
      </c>
      <c r="S215" s="193" t="str">
        <f>IF(Q215,A215&amp;"1",IF(R215,A215&amp;"3",A215&amp;"2"))</f>
        <v>WR3</v>
      </c>
      <c r="T215" s="197">
        <f>AVERAGEIFS(P:P,S:S,S215)</f>
        <v>0.1221240189941602</v>
      </c>
      <c r="U215" s="197" cm="1">
        <f t="array" ref="U215">STDEV(IF(S:S=S215,P:P))</f>
        <v>0.87990698392978972</v>
      </c>
    </row>
    <row r="216" spans="1:21" x14ac:dyDescent="0.2">
      <c r="A216" s="193" t="s">
        <v>257</v>
      </c>
      <c r="B216" t="s">
        <v>583</v>
      </c>
      <c r="C216" t="s">
        <v>107</v>
      </c>
      <c r="D216">
        <v>16</v>
      </c>
      <c r="I216">
        <v>5</v>
      </c>
      <c r="J216"/>
      <c r="K216">
        <v>24</v>
      </c>
      <c r="L216">
        <v>280</v>
      </c>
      <c r="M216">
        <v>2</v>
      </c>
      <c r="N216" s="196">
        <v>52.5</v>
      </c>
      <c r="O216" s="196">
        <v>33.890268423899997</v>
      </c>
      <c r="P216" s="197">
        <f>(N216-O216)/O216</f>
        <v>0.54911726703752228</v>
      </c>
      <c r="Q216" s="193" t="b">
        <v>0</v>
      </c>
      <c r="R216" s="193" t="b">
        <v>1</v>
      </c>
      <c r="S216" s="193" t="str">
        <f>IF(Q216,A216&amp;"1",IF(R216,A216&amp;"3",A216&amp;"2"))</f>
        <v>WR3</v>
      </c>
      <c r="T216" s="197">
        <f>AVERAGEIFS(P:P,S:S,S216)</f>
        <v>0.1221240189941602</v>
      </c>
      <c r="U216" s="197" cm="1">
        <f t="array" ref="U216">STDEV(IF(S:S=S216,P:P))</f>
        <v>0.87990698392978972</v>
      </c>
    </row>
    <row r="217" spans="1:21" x14ac:dyDescent="0.2">
      <c r="A217" s="193" t="s">
        <v>257</v>
      </c>
      <c r="B217" t="s">
        <v>244</v>
      </c>
      <c r="C217" t="s">
        <v>537</v>
      </c>
      <c r="D217">
        <v>11</v>
      </c>
      <c r="I217">
        <v>-2</v>
      </c>
      <c r="J217"/>
      <c r="K217">
        <v>14</v>
      </c>
      <c r="L217">
        <v>225</v>
      </c>
      <c r="M217">
        <v>1</v>
      </c>
      <c r="N217" s="196">
        <v>35.299999999999997</v>
      </c>
      <c r="O217" s="196">
        <v>33.638613788015689</v>
      </c>
      <c r="P217" s="197">
        <f>(N217-O217)/O217</f>
        <v>4.9389259095337749E-2</v>
      </c>
      <c r="Q217" s="193" t="b">
        <v>0</v>
      </c>
      <c r="R217" s="193" t="b">
        <v>1</v>
      </c>
      <c r="S217" s="193" t="str">
        <f>IF(Q217,A217&amp;"1",IF(R217,A217&amp;"3",A217&amp;"2"))</f>
        <v>WR3</v>
      </c>
      <c r="T217" s="197">
        <f>AVERAGEIFS(P:P,S:S,S217)</f>
        <v>0.1221240189941602</v>
      </c>
      <c r="U217" s="197" cm="1">
        <f t="array" ref="U217">STDEV(IF(S:S=S217,P:P))</f>
        <v>0.87990698392978972</v>
      </c>
    </row>
    <row r="218" spans="1:21" x14ac:dyDescent="0.2">
      <c r="A218" s="193" t="s">
        <v>257</v>
      </c>
      <c r="B218" t="s">
        <v>681</v>
      </c>
      <c r="C218" t="s">
        <v>133</v>
      </c>
      <c r="D218">
        <v>17</v>
      </c>
      <c r="I218"/>
      <c r="J218"/>
      <c r="K218">
        <v>11</v>
      </c>
      <c r="L218">
        <v>161</v>
      </c>
      <c r="M218">
        <v>2</v>
      </c>
      <c r="N218" s="196">
        <v>33.6</v>
      </c>
      <c r="O218" s="196">
        <v>30.037570986869504</v>
      </c>
      <c r="P218" s="197">
        <f>(N218-O218)/O218</f>
        <v>0.1185991042580561</v>
      </c>
      <c r="Q218" s="193" t="b">
        <v>0</v>
      </c>
      <c r="R218" s="193" t="b">
        <v>1</v>
      </c>
      <c r="S218" s="193" t="str">
        <f>IF(Q218,A218&amp;"1",IF(R218,A218&amp;"3",A218&amp;"2"))</f>
        <v>WR3</v>
      </c>
      <c r="T218" s="197">
        <f>AVERAGEIFS(P:P,S:S,S218)</f>
        <v>0.1221240189941602</v>
      </c>
      <c r="U218" s="197" cm="1">
        <f t="array" ref="U218">STDEV(IF(S:S=S218,P:P))</f>
        <v>0.87990698392978972</v>
      </c>
    </row>
    <row r="219" spans="1:21" x14ac:dyDescent="0.2">
      <c r="A219" s="193" t="s">
        <v>257</v>
      </c>
      <c r="B219" t="s">
        <v>526</v>
      </c>
      <c r="C219" t="s">
        <v>115</v>
      </c>
      <c r="D219">
        <v>17</v>
      </c>
      <c r="I219"/>
      <c r="J219"/>
      <c r="K219">
        <v>22</v>
      </c>
      <c r="L219">
        <v>268</v>
      </c>
      <c r="M219">
        <v>2</v>
      </c>
      <c r="N219" s="196">
        <v>49.8</v>
      </c>
      <c r="O219" s="196">
        <v>29.724437104205709</v>
      </c>
      <c r="P219" s="197">
        <f>(N219-O219)/O219</f>
        <v>0.6753891697062212</v>
      </c>
      <c r="Q219" s="193" t="b">
        <v>0</v>
      </c>
      <c r="R219" s="193" t="b">
        <v>1</v>
      </c>
      <c r="S219" s="193" t="str">
        <f>IF(Q219,A219&amp;"1",IF(R219,A219&amp;"3",A219&amp;"2"))</f>
        <v>WR3</v>
      </c>
      <c r="T219" s="197">
        <f>AVERAGEIFS(P:P,S:S,S219)</f>
        <v>0.1221240189941602</v>
      </c>
      <c r="U219" s="197" cm="1">
        <f t="array" ref="U219">STDEV(IF(S:S=S219,P:P))</f>
        <v>0.87990698392978972</v>
      </c>
    </row>
    <row r="220" spans="1:21" x14ac:dyDescent="0.2">
      <c r="A220" s="193" t="s">
        <v>257</v>
      </c>
      <c r="B220" t="s">
        <v>546</v>
      </c>
      <c r="C220" t="s">
        <v>107</v>
      </c>
      <c r="D220">
        <v>14</v>
      </c>
      <c r="I220"/>
      <c r="J220"/>
      <c r="K220">
        <v>4</v>
      </c>
      <c r="L220">
        <v>19</v>
      </c>
      <c r="M220"/>
      <c r="N220" s="196">
        <v>3.9000000000000004</v>
      </c>
      <c r="O220" s="196">
        <v>27.765618152580004</v>
      </c>
      <c r="P220" s="197">
        <f>(N220-O220)/O220</f>
        <v>-0.85953851347488885</v>
      </c>
      <c r="Q220" s="193" t="b">
        <v>0</v>
      </c>
      <c r="R220" s="193" t="b">
        <v>1</v>
      </c>
      <c r="S220" s="193" t="str">
        <f>IF(Q220,A220&amp;"1",IF(R220,A220&amp;"3",A220&amp;"2"))</f>
        <v>WR3</v>
      </c>
      <c r="T220" s="197">
        <f>AVERAGEIFS(P:P,S:S,S220)</f>
        <v>0.1221240189941602</v>
      </c>
      <c r="U220" s="197" cm="1">
        <f t="array" ref="U220">STDEV(IF(S:S=S220,P:P))</f>
        <v>0.87990698392978972</v>
      </c>
    </row>
    <row r="221" spans="1:21" x14ac:dyDescent="0.2">
      <c r="A221" s="193" t="s">
        <v>257</v>
      </c>
      <c r="B221" t="s">
        <v>594</v>
      </c>
      <c r="C221" t="s">
        <v>125</v>
      </c>
      <c r="D221">
        <v>10</v>
      </c>
      <c r="I221"/>
      <c r="J221"/>
      <c r="K221">
        <v>9</v>
      </c>
      <c r="L221">
        <v>121</v>
      </c>
      <c r="M221">
        <v>1</v>
      </c>
      <c r="N221" s="196">
        <v>22.6</v>
      </c>
      <c r="O221" s="196">
        <v>26.416578674304006</v>
      </c>
      <c r="P221" s="197">
        <f>(N221-O221)/O221</f>
        <v>-0.14447664557017278</v>
      </c>
      <c r="Q221" s="193" t="b">
        <v>0</v>
      </c>
      <c r="R221" s="193" t="b">
        <v>1</v>
      </c>
      <c r="S221" s="193" t="str">
        <f>IF(Q221,A221&amp;"1",IF(R221,A221&amp;"3",A221&amp;"2"))</f>
        <v>WR3</v>
      </c>
      <c r="T221" s="197">
        <f>AVERAGEIFS(P:P,S:S,S221)</f>
        <v>0.1221240189941602</v>
      </c>
      <c r="U221" s="197" cm="1">
        <f t="array" ref="U221">STDEV(IF(S:S=S221,P:P))</f>
        <v>0.87990698392978972</v>
      </c>
    </row>
    <row r="222" spans="1:21" x14ac:dyDescent="0.2">
      <c r="A222" s="193" t="s">
        <v>257</v>
      </c>
      <c r="B222" t="s">
        <v>700</v>
      </c>
      <c r="C222" t="s">
        <v>126</v>
      </c>
      <c r="D222">
        <v>17</v>
      </c>
      <c r="I222">
        <v>17</v>
      </c>
      <c r="J222"/>
      <c r="K222">
        <v>29</v>
      </c>
      <c r="L222">
        <v>324</v>
      </c>
      <c r="M222">
        <v>1</v>
      </c>
      <c r="N222" s="196">
        <v>54.599999999999994</v>
      </c>
      <c r="O222" s="196">
        <v>26.324510102351994</v>
      </c>
      <c r="P222" s="197">
        <f>(N222-O222)/O222</f>
        <v>1.0741126724755912</v>
      </c>
      <c r="Q222" s="193" t="b">
        <v>0</v>
      </c>
      <c r="R222" s="193" t="b">
        <v>1</v>
      </c>
      <c r="S222" s="193" t="str">
        <f>IF(Q222,A222&amp;"1",IF(R222,A222&amp;"3",A222&amp;"2"))</f>
        <v>WR3</v>
      </c>
      <c r="T222" s="197">
        <f>AVERAGEIFS(P:P,S:S,S222)</f>
        <v>0.1221240189941602</v>
      </c>
      <c r="U222" s="197" cm="1">
        <f t="array" ref="U222">STDEV(IF(S:S=S222,P:P))</f>
        <v>0.87990698392978972</v>
      </c>
    </row>
    <row r="223" spans="1:21" x14ac:dyDescent="0.2">
      <c r="A223" s="193" t="s">
        <v>257</v>
      </c>
      <c r="B223" t="s">
        <v>672</v>
      </c>
      <c r="C223" t="s">
        <v>130</v>
      </c>
      <c r="D223">
        <v>7</v>
      </c>
      <c r="I223"/>
      <c r="J223"/>
      <c r="K223">
        <v>5</v>
      </c>
      <c r="L223">
        <v>56</v>
      </c>
      <c r="M223">
        <v>1</v>
      </c>
      <c r="N223" s="196">
        <v>14.100000000000001</v>
      </c>
      <c r="O223" s="196">
        <v>26.314535347600497</v>
      </c>
      <c r="P223" s="197">
        <f>(N223-O223)/O223</f>
        <v>-0.46417446427433434</v>
      </c>
      <c r="Q223" s="193" t="b">
        <v>0</v>
      </c>
      <c r="R223" s="193" t="b">
        <v>1</v>
      </c>
      <c r="S223" s="193" t="str">
        <f>IF(Q223,A223&amp;"1",IF(R223,A223&amp;"3",A223&amp;"2"))</f>
        <v>WR3</v>
      </c>
      <c r="T223" s="197">
        <f>AVERAGEIFS(P:P,S:S,S223)</f>
        <v>0.1221240189941602</v>
      </c>
      <c r="U223" s="197" cm="1">
        <f t="array" ref="U223">STDEV(IF(S:S=S223,P:P))</f>
        <v>0.87990698392978972</v>
      </c>
    </row>
    <row r="224" spans="1:21" x14ac:dyDescent="0.2">
      <c r="A224" s="193" t="s">
        <v>257</v>
      </c>
      <c r="B224" t="s">
        <v>585</v>
      </c>
      <c r="C224" t="s">
        <v>118</v>
      </c>
      <c r="D224">
        <v>11</v>
      </c>
      <c r="I224"/>
      <c r="J224"/>
      <c r="K224">
        <v>8</v>
      </c>
      <c r="L224">
        <v>78</v>
      </c>
      <c r="M224"/>
      <c r="N224" s="196">
        <v>11.8</v>
      </c>
      <c r="O224" s="196">
        <v>25.989920188422406</v>
      </c>
      <c r="P224" s="197">
        <f>(N224-O224)/O224</f>
        <v>-0.54597782854075538</v>
      </c>
      <c r="Q224" s="193" t="b">
        <v>0</v>
      </c>
      <c r="R224" s="193" t="b">
        <v>1</v>
      </c>
      <c r="S224" s="193" t="str">
        <f>IF(Q224,A224&amp;"1",IF(R224,A224&amp;"3",A224&amp;"2"))</f>
        <v>WR3</v>
      </c>
      <c r="T224" s="197">
        <f>AVERAGEIFS(P:P,S:S,S224)</f>
        <v>0.1221240189941602</v>
      </c>
      <c r="U224" s="197" cm="1">
        <f t="array" ref="U224">STDEV(IF(S:S=S224,P:P))</f>
        <v>0.87990698392978972</v>
      </c>
    </row>
    <row r="225" spans="1:21" x14ac:dyDescent="0.2">
      <c r="A225" s="193" t="s">
        <v>257</v>
      </c>
      <c r="B225" t="s">
        <v>80</v>
      </c>
      <c r="C225" t="s">
        <v>109</v>
      </c>
      <c r="D225">
        <v>17</v>
      </c>
      <c r="I225"/>
      <c r="J225"/>
      <c r="K225">
        <v>35</v>
      </c>
      <c r="L225">
        <v>381</v>
      </c>
      <c r="M225">
        <v>4</v>
      </c>
      <c r="N225" s="196">
        <v>79.599999999999994</v>
      </c>
      <c r="O225" s="196">
        <v>24.648219082428216</v>
      </c>
      <c r="P225" s="197">
        <f>(N225-O225)/O225</f>
        <v>2.2294422462654535</v>
      </c>
      <c r="Q225" s="193" t="b">
        <v>0</v>
      </c>
      <c r="R225" s="193" t="b">
        <v>1</v>
      </c>
      <c r="S225" s="193" t="str">
        <f>IF(Q225,A225&amp;"1",IF(R225,A225&amp;"3",A225&amp;"2"))</f>
        <v>WR3</v>
      </c>
      <c r="T225" s="197">
        <f>AVERAGEIFS(P:P,S:S,S225)</f>
        <v>0.1221240189941602</v>
      </c>
      <c r="U225" s="197" cm="1">
        <f t="array" ref="U225">STDEV(IF(S:S=S225,P:P))</f>
        <v>0.87990698392978972</v>
      </c>
    </row>
    <row r="226" spans="1:21" x14ac:dyDescent="0.2">
      <c r="A226" s="193" t="s">
        <v>257</v>
      </c>
      <c r="B226" t="s">
        <v>640</v>
      </c>
      <c r="C226" t="s">
        <v>128</v>
      </c>
      <c r="D226">
        <v>10</v>
      </c>
      <c r="I226"/>
      <c r="J226"/>
      <c r="K226">
        <v>12</v>
      </c>
      <c r="L226">
        <v>246</v>
      </c>
      <c r="M226">
        <v>4</v>
      </c>
      <c r="N226" s="196">
        <v>54.6</v>
      </c>
      <c r="O226" s="196">
        <v>24.507357616987889</v>
      </c>
      <c r="P226" s="197">
        <f>(N226-O226)/O226</f>
        <v>1.2279023652126675</v>
      </c>
      <c r="Q226" s="193" t="b">
        <v>0</v>
      </c>
      <c r="R226" s="193" t="b">
        <v>1</v>
      </c>
      <c r="S226" s="193" t="str">
        <f>IF(Q226,A226&amp;"1",IF(R226,A226&amp;"3",A226&amp;"2"))</f>
        <v>WR3</v>
      </c>
      <c r="T226" s="197">
        <f>AVERAGEIFS(P:P,S:S,S226)</f>
        <v>0.1221240189941602</v>
      </c>
      <c r="U226" s="197" cm="1">
        <f t="array" ref="U226">STDEV(IF(S:S=S226,P:P))</f>
        <v>0.87990698392978972</v>
      </c>
    </row>
    <row r="227" spans="1:21" x14ac:dyDescent="0.2">
      <c r="A227" s="193" t="s">
        <v>257</v>
      </c>
      <c r="B227" t="s">
        <v>253</v>
      </c>
      <c r="C227" t="s">
        <v>533</v>
      </c>
      <c r="D227">
        <v>17</v>
      </c>
      <c r="I227"/>
      <c r="J227"/>
      <c r="K227">
        <v>12</v>
      </c>
      <c r="L227">
        <v>168</v>
      </c>
      <c r="M227">
        <v>1</v>
      </c>
      <c r="N227" s="196">
        <v>28.8</v>
      </c>
      <c r="O227" s="196">
        <v>24.28852591635879</v>
      </c>
      <c r="P227" s="197">
        <f>(N227-O227)/O227</f>
        <v>0.18574507564506607</v>
      </c>
      <c r="Q227" s="193" t="b">
        <v>0</v>
      </c>
      <c r="R227" s="193" t="b">
        <v>1</v>
      </c>
      <c r="S227" s="193" t="str">
        <f>IF(Q227,A227&amp;"1",IF(R227,A227&amp;"3",A227&amp;"2"))</f>
        <v>WR3</v>
      </c>
      <c r="T227" s="197">
        <f>AVERAGEIFS(P:P,S:S,S227)</f>
        <v>0.1221240189941602</v>
      </c>
      <c r="U227" s="197" cm="1">
        <f t="array" ref="U227">STDEV(IF(S:S=S227,P:P))</f>
        <v>0.87990698392978972</v>
      </c>
    </row>
    <row r="228" spans="1:21" x14ac:dyDescent="0.2">
      <c r="A228" s="193" t="s">
        <v>257</v>
      </c>
      <c r="B228" t="s">
        <v>606</v>
      </c>
      <c r="C228" t="s">
        <v>112</v>
      </c>
      <c r="D228">
        <v>17</v>
      </c>
      <c r="I228">
        <v>41</v>
      </c>
      <c r="J228"/>
      <c r="K228">
        <v>17</v>
      </c>
      <c r="L228">
        <v>168</v>
      </c>
      <c r="M228"/>
      <c r="N228" s="196">
        <v>29.400000000000002</v>
      </c>
      <c r="O228" s="196">
        <v>22.848987911184629</v>
      </c>
      <c r="P228" s="197">
        <f>(N228-O228)/O228</f>
        <v>0.28670907062840356</v>
      </c>
      <c r="Q228" s="193" t="b">
        <v>0</v>
      </c>
      <c r="R228" s="193" t="b">
        <v>1</v>
      </c>
      <c r="S228" s="193" t="str">
        <f>IF(Q228,A228&amp;"1",IF(R228,A228&amp;"3",A228&amp;"2"))</f>
        <v>WR3</v>
      </c>
      <c r="T228" s="197">
        <f>AVERAGEIFS(P:P,S:S,S228)</f>
        <v>0.1221240189941602</v>
      </c>
      <c r="U228" s="197" cm="1">
        <f t="array" ref="U228">STDEV(IF(S:S=S228,P:P))</f>
        <v>0.87990698392978972</v>
      </c>
    </row>
    <row r="229" spans="1:21" x14ac:dyDescent="0.2">
      <c r="A229" s="193" t="s">
        <v>257</v>
      </c>
      <c r="B229" t="s">
        <v>704</v>
      </c>
      <c r="C229" t="s">
        <v>134</v>
      </c>
      <c r="D229">
        <v>17</v>
      </c>
      <c r="I229">
        <v>3</v>
      </c>
      <c r="J229">
        <v>1</v>
      </c>
      <c r="K229">
        <v>19</v>
      </c>
      <c r="L229">
        <v>196</v>
      </c>
      <c r="M229">
        <v>2</v>
      </c>
      <c r="N229" s="196">
        <v>47.400000000000006</v>
      </c>
      <c r="O229" s="196">
        <v>21.473156859376324</v>
      </c>
      <c r="P229" s="197">
        <f>(N229-O229)/O229</f>
        <v>1.2074071507237485</v>
      </c>
      <c r="Q229" s="193" t="b">
        <v>0</v>
      </c>
      <c r="R229" s="193" t="b">
        <v>1</v>
      </c>
      <c r="S229" s="193" t="str">
        <f>IF(Q229,A229&amp;"1",IF(R229,A229&amp;"3",A229&amp;"2"))</f>
        <v>WR3</v>
      </c>
      <c r="T229" s="197">
        <f>AVERAGEIFS(P:P,S:S,S229)</f>
        <v>0.1221240189941602</v>
      </c>
      <c r="U229" s="197" cm="1">
        <f t="array" ref="U229">STDEV(IF(S:S=S229,P:P))</f>
        <v>0.87990698392978972</v>
      </c>
    </row>
    <row r="230" spans="1:21" x14ac:dyDescent="0.2">
      <c r="A230" s="193" t="s">
        <v>257</v>
      </c>
      <c r="B230" t="s">
        <v>627</v>
      </c>
      <c r="C230" t="s">
        <v>537</v>
      </c>
      <c r="D230">
        <v>9</v>
      </c>
      <c r="I230"/>
      <c r="J230"/>
      <c r="K230">
        <v>16</v>
      </c>
      <c r="L230">
        <v>132</v>
      </c>
      <c r="M230">
        <v>2</v>
      </c>
      <c r="N230" s="196">
        <v>33.200000000000003</v>
      </c>
      <c r="O230" s="196">
        <v>21.3997226771328</v>
      </c>
      <c r="P230" s="197">
        <f>(N230-O230)/O230</f>
        <v>0.55142197405561144</v>
      </c>
      <c r="Q230" s="193" t="b">
        <v>0</v>
      </c>
      <c r="R230" s="193" t="b">
        <v>1</v>
      </c>
      <c r="S230" s="193" t="str">
        <f>IF(Q230,A230&amp;"1",IF(R230,A230&amp;"3",A230&amp;"2"))</f>
        <v>WR3</v>
      </c>
      <c r="T230" s="197">
        <f>AVERAGEIFS(P:P,S:S,S230)</f>
        <v>0.1221240189941602</v>
      </c>
      <c r="U230" s="197" cm="1">
        <f t="array" ref="U230">STDEV(IF(S:S=S230,P:P))</f>
        <v>0.87990698392978972</v>
      </c>
    </row>
    <row r="231" spans="1:21" x14ac:dyDescent="0.2">
      <c r="A231" s="193" t="s">
        <v>257</v>
      </c>
      <c r="B231" t="s">
        <v>679</v>
      </c>
      <c r="C231" t="s">
        <v>107</v>
      </c>
      <c r="D231">
        <v>17</v>
      </c>
      <c r="I231">
        <v>39</v>
      </c>
      <c r="J231"/>
      <c r="K231">
        <v>22</v>
      </c>
      <c r="L231">
        <v>424</v>
      </c>
      <c r="M231"/>
      <c r="N231" s="196">
        <v>57.300000000000004</v>
      </c>
      <c r="O231" s="196">
        <v>21.260022568135398</v>
      </c>
      <c r="P231" s="197">
        <f>(N231-O231)/O231</f>
        <v>1.6951993967250751</v>
      </c>
      <c r="Q231" s="193" t="b">
        <v>0</v>
      </c>
      <c r="R231" s="193" t="b">
        <v>1</v>
      </c>
      <c r="S231" s="193" t="str">
        <f>IF(Q231,A231&amp;"1",IF(R231,A231&amp;"3",A231&amp;"2"))</f>
        <v>WR3</v>
      </c>
      <c r="T231" s="197">
        <f>AVERAGEIFS(P:P,S:S,S231)</f>
        <v>0.1221240189941602</v>
      </c>
      <c r="U231" s="197" cm="1">
        <f t="array" ref="U231">STDEV(IF(S:S=S231,P:P))</f>
        <v>0.87990698392978972</v>
      </c>
    </row>
    <row r="232" spans="1:21" x14ac:dyDescent="0.2">
      <c r="A232" s="193" t="s">
        <v>257</v>
      </c>
      <c r="B232" t="s">
        <v>510</v>
      </c>
      <c r="C232" t="s">
        <v>133</v>
      </c>
      <c r="D232">
        <v>17</v>
      </c>
      <c r="I232">
        <v>57</v>
      </c>
      <c r="J232">
        <v>1</v>
      </c>
      <c r="K232">
        <v>17</v>
      </c>
      <c r="L232">
        <v>180</v>
      </c>
      <c r="M232">
        <v>1</v>
      </c>
      <c r="N232" s="196">
        <v>44.2</v>
      </c>
      <c r="O232" s="196">
        <v>20.161777129038061</v>
      </c>
      <c r="P232" s="197">
        <f>(N232-O232)/O232</f>
        <v>1.1922670663956907</v>
      </c>
      <c r="Q232" s="193" t="b">
        <v>0</v>
      </c>
      <c r="R232" s="193" t="b">
        <v>1</v>
      </c>
      <c r="S232" s="193" t="str">
        <f>IF(Q232,A232&amp;"1",IF(R232,A232&amp;"3",A232&amp;"2"))</f>
        <v>WR3</v>
      </c>
      <c r="T232" s="197">
        <f>AVERAGEIFS(P:P,S:S,S232)</f>
        <v>0.1221240189941602</v>
      </c>
      <c r="U232" s="197" cm="1">
        <f t="array" ref="U232">STDEV(IF(S:S=S232,P:P))</f>
        <v>0.87990698392978972</v>
      </c>
    </row>
    <row r="233" spans="1:21" x14ac:dyDescent="0.2">
      <c r="A233" s="193" t="s">
        <v>257</v>
      </c>
      <c r="B233" t="s">
        <v>676</v>
      </c>
      <c r="C233" t="s">
        <v>118</v>
      </c>
      <c r="D233">
        <v>13</v>
      </c>
      <c r="I233"/>
      <c r="J233"/>
      <c r="K233">
        <v>15</v>
      </c>
      <c r="L233">
        <v>125</v>
      </c>
      <c r="M233">
        <v>1</v>
      </c>
      <c r="N233" s="196">
        <v>26</v>
      </c>
      <c r="O233" s="196">
        <v>18.534319168668365</v>
      </c>
      <c r="P233" s="197">
        <f>(N233-O233)/O233</f>
        <v>0.40280307916311892</v>
      </c>
      <c r="Q233" s="193" t="b">
        <v>0</v>
      </c>
      <c r="R233" s="193" t="b">
        <v>1</v>
      </c>
      <c r="S233" s="193" t="str">
        <f>IF(Q233,A233&amp;"1",IF(R233,A233&amp;"3",A233&amp;"2"))</f>
        <v>WR3</v>
      </c>
      <c r="T233" s="197">
        <f>AVERAGEIFS(P:P,S:S,S233)</f>
        <v>0.1221240189941602</v>
      </c>
      <c r="U233" s="197" cm="1">
        <f t="array" ref="U233">STDEV(IF(S:S=S233,P:P))</f>
        <v>0.87990698392978972</v>
      </c>
    </row>
    <row r="234" spans="1:21" x14ac:dyDescent="0.2">
      <c r="A234" s="193" t="s">
        <v>257</v>
      </c>
      <c r="B234" t="s">
        <v>197</v>
      </c>
      <c r="C234" t="s">
        <v>533</v>
      </c>
      <c r="D234">
        <v>17</v>
      </c>
      <c r="I234"/>
      <c r="J234"/>
      <c r="K234">
        <v>10</v>
      </c>
      <c r="L234">
        <v>164</v>
      </c>
      <c r="M234">
        <v>2</v>
      </c>
      <c r="N234" s="196">
        <v>33.400000000000006</v>
      </c>
      <c r="O234" s="196">
        <v>17.304445098071039</v>
      </c>
      <c r="P234" s="197">
        <f>(N234-O234)/O234</f>
        <v>0.93013990397895918</v>
      </c>
      <c r="Q234" s="193" t="b">
        <v>0</v>
      </c>
      <c r="R234" s="193" t="b">
        <v>1</v>
      </c>
      <c r="S234" s="193" t="str">
        <f>IF(Q234,A234&amp;"1",IF(R234,A234&amp;"3",A234&amp;"2"))</f>
        <v>WR3</v>
      </c>
      <c r="T234" s="197">
        <f>AVERAGEIFS(P:P,S:S,S234)</f>
        <v>0.1221240189941602</v>
      </c>
      <c r="U234" s="197" cm="1">
        <f t="array" ref="U234">STDEV(IF(S:S=S234,P:P))</f>
        <v>0.87990698392978972</v>
      </c>
    </row>
    <row r="235" spans="1:21" x14ac:dyDescent="0.2">
      <c r="A235" s="193" t="s">
        <v>257</v>
      </c>
      <c r="B235" t="s">
        <v>465</v>
      </c>
      <c r="C235" t="s">
        <v>192</v>
      </c>
      <c r="D235">
        <v>17</v>
      </c>
      <c r="I235">
        <v>18</v>
      </c>
      <c r="J235"/>
      <c r="K235">
        <v>4</v>
      </c>
      <c r="L235">
        <v>39</v>
      </c>
      <c r="M235"/>
      <c r="N235" s="196">
        <v>7.7</v>
      </c>
      <c r="O235" s="196">
        <v>16.591250282286047</v>
      </c>
      <c r="P235" s="197">
        <f>(N235-O235)/O235</f>
        <v>-0.53589995515762634</v>
      </c>
      <c r="Q235" s="193" t="b">
        <v>0</v>
      </c>
      <c r="R235" s="193" t="b">
        <v>1</v>
      </c>
      <c r="S235" s="193" t="str">
        <f>IF(Q235,A235&amp;"1",IF(R235,A235&amp;"3",A235&amp;"2"))</f>
        <v>WR3</v>
      </c>
      <c r="T235" s="197">
        <f>AVERAGEIFS(P:P,S:S,S235)</f>
        <v>0.1221240189941602</v>
      </c>
      <c r="U235" s="197" cm="1">
        <f t="array" ref="U235">STDEV(IF(S:S=S235,P:P))</f>
        <v>0.87990698392978972</v>
      </c>
    </row>
    <row r="236" spans="1:21" x14ac:dyDescent="0.2">
      <c r="A236" s="193" t="s">
        <v>257</v>
      </c>
      <c r="B236" t="s">
        <v>631</v>
      </c>
      <c r="C236" t="s">
        <v>192</v>
      </c>
      <c r="D236">
        <v>16</v>
      </c>
      <c r="I236">
        <v>77</v>
      </c>
      <c r="J236"/>
      <c r="K236">
        <v>19</v>
      </c>
      <c r="L236">
        <v>331</v>
      </c>
      <c r="M236">
        <v>2</v>
      </c>
      <c r="N236" s="196">
        <v>62.3</v>
      </c>
      <c r="O236" s="196">
        <v>16.305184102292177</v>
      </c>
      <c r="P236" s="197">
        <f>(N236-O236)/O236</f>
        <v>2.8208706880679677</v>
      </c>
      <c r="Q236" s="193" t="b">
        <v>0</v>
      </c>
      <c r="R236" s="193" t="b">
        <v>1</v>
      </c>
      <c r="S236" s="193" t="str">
        <f>IF(Q236,A236&amp;"1",IF(R236,A236&amp;"3",A236&amp;"2"))</f>
        <v>WR3</v>
      </c>
      <c r="T236" s="197">
        <f>AVERAGEIFS(P:P,S:S,S236)</f>
        <v>0.1221240189941602</v>
      </c>
      <c r="U236" s="197" cm="1">
        <f t="array" ref="U236">STDEV(IF(S:S=S236,P:P))</f>
        <v>0.87990698392978972</v>
      </c>
    </row>
    <row r="237" spans="1:21" x14ac:dyDescent="0.2">
      <c r="A237" s="193" t="s">
        <v>257</v>
      </c>
      <c r="B237" t="s">
        <v>527</v>
      </c>
      <c r="C237" t="s">
        <v>114</v>
      </c>
      <c r="D237">
        <v>15</v>
      </c>
      <c r="I237"/>
      <c r="J237"/>
      <c r="K237">
        <v>14</v>
      </c>
      <c r="L237">
        <v>167</v>
      </c>
      <c r="M237">
        <v>3</v>
      </c>
      <c r="N237" s="196">
        <v>41.7</v>
      </c>
      <c r="O237" s="196">
        <v>16.274309090837527</v>
      </c>
      <c r="P237" s="197">
        <f>(N237-O237)/O237</f>
        <v>1.5623207576582896</v>
      </c>
      <c r="Q237" s="193" t="b">
        <v>0</v>
      </c>
      <c r="R237" s="193" t="b">
        <v>1</v>
      </c>
      <c r="S237" s="193" t="str">
        <f>IF(Q237,A237&amp;"1",IF(R237,A237&amp;"3",A237&amp;"2"))</f>
        <v>WR3</v>
      </c>
      <c r="T237" s="197">
        <f>AVERAGEIFS(P:P,S:S,S237)</f>
        <v>0.1221240189941602</v>
      </c>
      <c r="U237" s="197" cm="1">
        <f t="array" ref="U237">STDEV(IF(S:S=S237,P:P))</f>
        <v>0.87990698392978972</v>
      </c>
    </row>
    <row r="238" spans="1:21" x14ac:dyDescent="0.2">
      <c r="A238" s="193" t="s">
        <v>257</v>
      </c>
      <c r="B238" t="s">
        <v>689</v>
      </c>
      <c r="C238" t="s">
        <v>113</v>
      </c>
      <c r="D238">
        <v>16</v>
      </c>
      <c r="I238"/>
      <c r="J238"/>
      <c r="K238">
        <v>15</v>
      </c>
      <c r="L238">
        <v>116</v>
      </c>
      <c r="M238">
        <v>4</v>
      </c>
      <c r="N238" s="196">
        <v>43.1</v>
      </c>
      <c r="O238" s="196">
        <v>15.523537206239999</v>
      </c>
      <c r="P238" s="197">
        <f>(N238-O238)/O238</f>
        <v>1.7764290720207174</v>
      </c>
      <c r="Q238" s="193" t="b">
        <v>0</v>
      </c>
      <c r="R238" s="193" t="b">
        <v>1</v>
      </c>
      <c r="S238" s="193" t="str">
        <f>IF(Q238,A238&amp;"1",IF(R238,A238&amp;"3",A238&amp;"2"))</f>
        <v>WR3</v>
      </c>
      <c r="T238" s="197">
        <f>AVERAGEIFS(P:P,S:S,S238)</f>
        <v>0.1221240189941602</v>
      </c>
      <c r="U238" s="197" cm="1">
        <f t="array" ref="U238">STDEV(IF(S:S=S238,P:P))</f>
        <v>0.87990698392978972</v>
      </c>
    </row>
    <row r="239" spans="1:21" x14ac:dyDescent="0.2">
      <c r="A239" s="193" t="s">
        <v>257</v>
      </c>
      <c r="B239" t="s">
        <v>163</v>
      </c>
      <c r="C239" t="s">
        <v>537</v>
      </c>
      <c r="D239">
        <v>13</v>
      </c>
      <c r="I239">
        <v>15</v>
      </c>
      <c r="J239"/>
      <c r="K239">
        <v>4</v>
      </c>
      <c r="L239">
        <v>18</v>
      </c>
      <c r="M239"/>
      <c r="N239" s="196">
        <v>5.3</v>
      </c>
      <c r="O239" s="196">
        <v>14.822361132585366</v>
      </c>
      <c r="P239" s="197">
        <f>(N239-O239)/O239</f>
        <v>-0.64243213664869359</v>
      </c>
      <c r="Q239" s="193" t="b">
        <v>0</v>
      </c>
      <c r="R239" s="193" t="b">
        <v>1</v>
      </c>
      <c r="S239" s="193" t="str">
        <f>IF(Q239,A239&amp;"1",IF(R239,A239&amp;"3",A239&amp;"2"))</f>
        <v>WR3</v>
      </c>
      <c r="T239" s="197">
        <f>AVERAGEIFS(P:P,S:S,S239)</f>
        <v>0.1221240189941602</v>
      </c>
      <c r="U239" s="197" cm="1">
        <f t="array" ref="U239">STDEV(IF(S:S=S239,P:P))</f>
        <v>0.87990698392978972</v>
      </c>
    </row>
    <row r="240" spans="1:21" x14ac:dyDescent="0.2">
      <c r="A240" s="193" t="s">
        <v>257</v>
      </c>
      <c r="B240" t="s">
        <v>634</v>
      </c>
      <c r="C240" t="s">
        <v>123</v>
      </c>
      <c r="D240">
        <v>17</v>
      </c>
      <c r="I240">
        <v>101</v>
      </c>
      <c r="J240"/>
      <c r="K240">
        <v>15</v>
      </c>
      <c r="L240">
        <v>66</v>
      </c>
      <c r="M240"/>
      <c r="N240" s="196">
        <v>24.200000000000003</v>
      </c>
      <c r="O240" s="196">
        <v>13.746683842113603</v>
      </c>
      <c r="P240" s="197">
        <f>(N240-O240)/O240</f>
        <v>0.76042457060532531</v>
      </c>
      <c r="Q240" s="193" t="b">
        <v>0</v>
      </c>
      <c r="R240" s="193" t="b">
        <v>1</v>
      </c>
      <c r="S240" s="193" t="str">
        <f>IF(Q240,A240&amp;"1",IF(R240,A240&amp;"3",A240&amp;"2"))</f>
        <v>WR3</v>
      </c>
      <c r="T240" s="197">
        <f>AVERAGEIFS(P:P,S:S,S240)</f>
        <v>0.1221240189941602</v>
      </c>
      <c r="U240" s="197" cm="1">
        <f t="array" ref="U240">STDEV(IF(S:S=S240,P:P))</f>
        <v>0.87990698392978972</v>
      </c>
    </row>
    <row r="241" spans="1:21" x14ac:dyDescent="0.2">
      <c r="A241" s="193" t="s">
        <v>257</v>
      </c>
      <c r="B241" t="s">
        <v>528</v>
      </c>
      <c r="C241" t="s">
        <v>112</v>
      </c>
      <c r="D241">
        <v>14</v>
      </c>
      <c r="I241">
        <v>51</v>
      </c>
      <c r="J241"/>
      <c r="K241">
        <v>4</v>
      </c>
      <c r="L241">
        <v>20</v>
      </c>
      <c r="M241"/>
      <c r="N241" s="196">
        <v>9.1000000000000014</v>
      </c>
      <c r="O241" s="196">
        <v>13.617734530209351</v>
      </c>
      <c r="P241" s="197">
        <f>(N241-O241)/O241</f>
        <v>-0.33175375244592142</v>
      </c>
      <c r="Q241" s="193" t="b">
        <v>0</v>
      </c>
      <c r="R241" s="193" t="b">
        <v>1</v>
      </c>
      <c r="S241" s="193" t="str">
        <f>IF(Q241,A241&amp;"1",IF(R241,A241&amp;"3",A241&amp;"2"))</f>
        <v>WR3</v>
      </c>
      <c r="T241" s="197">
        <f>AVERAGEIFS(P:P,S:S,S241)</f>
        <v>0.1221240189941602</v>
      </c>
      <c r="U241" s="197" cm="1">
        <f t="array" ref="U241">STDEV(IF(S:S=S241,P:P))</f>
        <v>0.87990698392978972</v>
      </c>
    </row>
    <row r="242" spans="1:21" x14ac:dyDescent="0.2">
      <c r="A242" s="193" t="s">
        <v>257</v>
      </c>
      <c r="B242" t="s">
        <v>593</v>
      </c>
      <c r="C242" t="s">
        <v>115</v>
      </c>
      <c r="D242">
        <v>16</v>
      </c>
      <c r="I242">
        <v>110</v>
      </c>
      <c r="J242">
        <v>1</v>
      </c>
      <c r="K242">
        <v>12</v>
      </c>
      <c r="L242">
        <v>127</v>
      </c>
      <c r="M242">
        <v>3</v>
      </c>
      <c r="N242" s="196">
        <v>53.7</v>
      </c>
      <c r="O242" s="196">
        <v>13.457139075072</v>
      </c>
      <c r="P242" s="197">
        <f>(N242-O242)/O242</f>
        <v>2.9904469813701984</v>
      </c>
      <c r="Q242" s="193" t="b">
        <v>0</v>
      </c>
      <c r="R242" s="193" t="b">
        <v>1</v>
      </c>
      <c r="S242" s="193" t="str">
        <f>IF(Q242,A242&amp;"1",IF(R242,A242&amp;"3",A242&amp;"2"))</f>
        <v>WR3</v>
      </c>
      <c r="T242" s="197">
        <f>AVERAGEIFS(P:P,S:S,S242)</f>
        <v>0.1221240189941602</v>
      </c>
      <c r="U242" s="197" cm="1">
        <f t="array" ref="U242">STDEV(IF(S:S=S242,P:P))</f>
        <v>0.87990698392978972</v>
      </c>
    </row>
    <row r="243" spans="1:21" x14ac:dyDescent="0.2">
      <c r="A243" s="193" t="s">
        <v>257</v>
      </c>
      <c r="B243" t="s">
        <v>697</v>
      </c>
      <c r="C243" t="s">
        <v>136</v>
      </c>
      <c r="D243">
        <v>10</v>
      </c>
      <c r="I243"/>
      <c r="J243"/>
      <c r="K243">
        <v>4</v>
      </c>
      <c r="L243">
        <v>60</v>
      </c>
      <c r="M243"/>
      <c r="N243" s="196">
        <v>8</v>
      </c>
      <c r="O243" s="196">
        <v>13.398454129737601</v>
      </c>
      <c r="P243" s="197">
        <f>(N243-O243)/O243</f>
        <v>-0.40291619297750481</v>
      </c>
      <c r="Q243" s="193" t="b">
        <v>0</v>
      </c>
      <c r="R243" s="193" t="b">
        <v>1</v>
      </c>
      <c r="S243" s="193" t="str">
        <f>IF(Q243,A243&amp;"1",IF(R243,A243&amp;"3",A243&amp;"2"))</f>
        <v>WR3</v>
      </c>
      <c r="T243" s="197">
        <f>AVERAGEIFS(P:P,S:S,S243)</f>
        <v>0.1221240189941602</v>
      </c>
      <c r="U243" s="197" cm="1">
        <f t="array" ref="U243">STDEV(IF(S:S=S243,P:P))</f>
        <v>0.87990698392978972</v>
      </c>
    </row>
    <row r="244" spans="1:21" x14ac:dyDescent="0.2">
      <c r="A244" s="193" t="s">
        <v>257</v>
      </c>
      <c r="B244" t="s">
        <v>547</v>
      </c>
      <c r="C244" t="s">
        <v>126</v>
      </c>
      <c r="D244">
        <v>6</v>
      </c>
      <c r="I244"/>
      <c r="J244"/>
      <c r="K244">
        <v>3</v>
      </c>
      <c r="L244">
        <v>29</v>
      </c>
      <c r="M244"/>
      <c r="N244" s="196">
        <v>4.4000000000000004</v>
      </c>
      <c r="O244" s="196">
        <v>12.440677591952079</v>
      </c>
      <c r="P244" s="197">
        <f>(N244-O244)/O244</f>
        <v>-0.64632151524878545</v>
      </c>
      <c r="Q244" s="193" t="b">
        <v>0</v>
      </c>
      <c r="R244" s="193" t="b">
        <v>1</v>
      </c>
      <c r="S244" s="193" t="str">
        <f>IF(Q244,A244&amp;"1",IF(R244,A244&amp;"3",A244&amp;"2"))</f>
        <v>WR3</v>
      </c>
      <c r="T244" s="197">
        <f>AVERAGEIFS(P:P,S:S,S244)</f>
        <v>0.1221240189941602</v>
      </c>
      <c r="U244" s="197" cm="1">
        <f t="array" ref="U244">STDEV(IF(S:S=S244,P:P))</f>
        <v>0.87990698392978972</v>
      </c>
    </row>
    <row r="245" spans="1:21" x14ac:dyDescent="0.2">
      <c r="A245" s="193" t="s">
        <v>257</v>
      </c>
      <c r="B245" t="s">
        <v>696</v>
      </c>
      <c r="C245" t="s">
        <v>135</v>
      </c>
      <c r="D245">
        <v>17</v>
      </c>
      <c r="I245"/>
      <c r="J245"/>
      <c r="K245">
        <v>6</v>
      </c>
      <c r="L245">
        <v>68</v>
      </c>
      <c r="M245">
        <v>3</v>
      </c>
      <c r="N245" s="196">
        <v>27.8</v>
      </c>
      <c r="O245" s="196">
        <v>11.527513781876888</v>
      </c>
      <c r="P245" s="197">
        <f>(N245-O245)/O245</f>
        <v>1.4116214932404669</v>
      </c>
      <c r="Q245" s="193" t="b">
        <v>0</v>
      </c>
      <c r="R245" s="193" t="b">
        <v>1</v>
      </c>
      <c r="S245" s="193" t="str">
        <f>IF(Q245,A245&amp;"1",IF(R245,A245&amp;"3",A245&amp;"2"))</f>
        <v>WR3</v>
      </c>
      <c r="T245" s="197">
        <f>AVERAGEIFS(P:P,S:S,S245)</f>
        <v>0.1221240189941602</v>
      </c>
      <c r="U245" s="197" cm="1">
        <f t="array" ref="U245">STDEV(IF(S:S=S245,P:P))</f>
        <v>0.87990698392978972</v>
      </c>
    </row>
    <row r="246" spans="1:21" x14ac:dyDescent="0.2">
      <c r="A246" s="193" t="s">
        <v>257</v>
      </c>
      <c r="B246" t="s">
        <v>621</v>
      </c>
      <c r="C246" t="s">
        <v>119</v>
      </c>
      <c r="D246">
        <v>16</v>
      </c>
      <c r="I246">
        <v>49</v>
      </c>
      <c r="J246"/>
      <c r="K246">
        <v>8</v>
      </c>
      <c r="L246">
        <v>90</v>
      </c>
      <c r="M246"/>
      <c r="N246" s="196">
        <v>17.899999999999999</v>
      </c>
      <c r="O246" s="196">
        <v>9.68795222327239</v>
      </c>
      <c r="P246" s="197">
        <f>(N246-O246)/O246</f>
        <v>0.84765568486192933</v>
      </c>
      <c r="Q246" s="193" t="b">
        <v>0</v>
      </c>
      <c r="R246" s="193" t="b">
        <v>1</v>
      </c>
      <c r="S246" s="193" t="str">
        <f>IF(Q246,A246&amp;"1",IF(R246,A246&amp;"3",A246&amp;"2"))</f>
        <v>WR3</v>
      </c>
      <c r="T246" s="197">
        <f>AVERAGEIFS(P:P,S:S,S246)</f>
        <v>0.1221240189941602</v>
      </c>
      <c r="U246" s="197" cm="1">
        <f t="array" ref="U246">STDEV(IF(S:S=S246,P:P))</f>
        <v>0.87990698392978972</v>
      </c>
    </row>
    <row r="247" spans="1:21" x14ac:dyDescent="0.2">
      <c r="A247" s="193" t="s">
        <v>257</v>
      </c>
      <c r="B247" t="s">
        <v>577</v>
      </c>
      <c r="C247" t="s">
        <v>537</v>
      </c>
      <c r="D247">
        <v>17</v>
      </c>
      <c r="I247"/>
      <c r="J247"/>
      <c r="K247">
        <v>11</v>
      </c>
      <c r="L247">
        <v>83</v>
      </c>
      <c r="M247"/>
      <c r="N247" s="196">
        <v>13.8</v>
      </c>
      <c r="O247" s="196">
        <v>7.3040380685999988</v>
      </c>
      <c r="P247" s="197">
        <f>(N247-O247)/O247</f>
        <v>0.88936583714234596</v>
      </c>
      <c r="Q247" s="193" t="b">
        <v>0</v>
      </c>
      <c r="R247" s="193" t="b">
        <v>1</v>
      </c>
      <c r="S247" s="193" t="str">
        <f>IF(Q247,A247&amp;"1",IF(R247,A247&amp;"3",A247&amp;"2"))</f>
        <v>WR3</v>
      </c>
      <c r="T247" s="197">
        <f>AVERAGEIFS(P:P,S:S,S247)</f>
        <v>0.1221240189941602</v>
      </c>
      <c r="U247" s="197" cm="1">
        <f t="array" ref="U247">STDEV(IF(S:S=S247,P:P))</f>
        <v>0.87990698392978972</v>
      </c>
    </row>
    <row r="248" spans="1:21" x14ac:dyDescent="0.2">
      <c r="A248" s="193" t="s">
        <v>256</v>
      </c>
      <c r="B248" t="s">
        <v>512</v>
      </c>
      <c r="C248" t="s">
        <v>533</v>
      </c>
      <c r="D248">
        <v>15</v>
      </c>
      <c r="I248">
        <v>733</v>
      </c>
      <c r="J248">
        <v>5</v>
      </c>
      <c r="K248">
        <v>36</v>
      </c>
      <c r="L248">
        <v>368</v>
      </c>
      <c r="M248">
        <v>4</v>
      </c>
      <c r="N248" s="196">
        <v>182.1</v>
      </c>
      <c r="O248" s="196">
        <v>172.64825861373072</v>
      </c>
      <c r="P248" s="197">
        <f>(N248-O248)/O248</f>
        <v>5.4745651431190159E-2</v>
      </c>
      <c r="Q248" s="193" t="b">
        <v>0</v>
      </c>
      <c r="R248" s="193" t="b">
        <v>0</v>
      </c>
      <c r="S248" s="193" t="str">
        <f>IF(Q248,A248&amp;"1",IF(R248,A248&amp;"3",A248&amp;"2"))</f>
        <v>RB2</v>
      </c>
      <c r="T248" s="197">
        <f>AVERAGEIFS(P:P,S:S,S248)</f>
        <v>-8.1022379244590631E-2</v>
      </c>
      <c r="U248" s="197" cm="1">
        <f t="array" ref="U248">STDEV(IF(S:S=S248,P:P))</f>
        <v>0.41655125156207201</v>
      </c>
    </row>
    <row r="249" spans="1:21" x14ac:dyDescent="0.2">
      <c r="A249" s="193" t="s">
        <v>256</v>
      </c>
      <c r="B249" t="s">
        <v>573</v>
      </c>
      <c r="C249" t="s">
        <v>122</v>
      </c>
      <c r="D249">
        <v>14</v>
      </c>
      <c r="I249">
        <v>935</v>
      </c>
      <c r="J249">
        <v>7</v>
      </c>
      <c r="K249">
        <v>44</v>
      </c>
      <c r="L249">
        <v>244</v>
      </c>
      <c r="M249">
        <v>2</v>
      </c>
      <c r="N249" s="196">
        <v>193.9</v>
      </c>
      <c r="O249" s="196">
        <v>169.26071656943054</v>
      </c>
      <c r="P249" s="197">
        <f>(N249-O249)/O249</f>
        <v>0.14557000543278723</v>
      </c>
      <c r="Q249" s="193" t="b">
        <v>0</v>
      </c>
      <c r="R249" s="193" t="b">
        <v>0</v>
      </c>
      <c r="S249" s="193" t="str">
        <f>IF(Q249,A249&amp;"1",IF(R249,A249&amp;"3",A249&amp;"2"))</f>
        <v>RB2</v>
      </c>
      <c r="T249" s="197">
        <f>AVERAGEIFS(P:P,S:S,S249)</f>
        <v>-8.1022379244590631E-2</v>
      </c>
      <c r="U249" s="197" cm="1">
        <f t="array" ref="U249">STDEV(IF(S:S=S249,P:P))</f>
        <v>0.41655125156207201</v>
      </c>
    </row>
    <row r="250" spans="1:21" x14ac:dyDescent="0.2">
      <c r="A250" s="193" t="s">
        <v>256</v>
      </c>
      <c r="B250" t="s">
        <v>655</v>
      </c>
      <c r="C250" t="s">
        <v>134</v>
      </c>
      <c r="D250">
        <v>15</v>
      </c>
      <c r="I250">
        <v>905</v>
      </c>
      <c r="J250">
        <v>8</v>
      </c>
      <c r="K250">
        <v>29</v>
      </c>
      <c r="L250">
        <v>259</v>
      </c>
      <c r="M250">
        <v>1</v>
      </c>
      <c r="N250" s="196">
        <v>184.9</v>
      </c>
      <c r="O250" s="196">
        <v>168.27099333838893</v>
      </c>
      <c r="P250" s="197">
        <f>(N250-O250)/O250</f>
        <v>9.8822775878968858E-2</v>
      </c>
      <c r="Q250" s="193" t="b">
        <v>0</v>
      </c>
      <c r="R250" s="193" t="b">
        <v>0</v>
      </c>
      <c r="S250" s="193" t="str">
        <f>IF(Q250,A250&amp;"1",IF(R250,A250&amp;"3",A250&amp;"2"))</f>
        <v>RB2</v>
      </c>
      <c r="T250" s="197">
        <f>AVERAGEIFS(P:P,S:S,S250)</f>
        <v>-8.1022379244590631E-2</v>
      </c>
      <c r="U250" s="197" cm="1">
        <f t="array" ref="U250">STDEV(IF(S:S=S250,P:P))</f>
        <v>0.41655125156207201</v>
      </c>
    </row>
    <row r="251" spans="1:21" x14ac:dyDescent="0.2">
      <c r="A251" s="193" t="s">
        <v>256</v>
      </c>
      <c r="B251" t="s">
        <v>570</v>
      </c>
      <c r="C251" t="s">
        <v>118</v>
      </c>
      <c r="D251">
        <v>15</v>
      </c>
      <c r="I251">
        <v>613</v>
      </c>
      <c r="J251">
        <v>2</v>
      </c>
      <c r="K251">
        <v>22</v>
      </c>
      <c r="L251">
        <v>223</v>
      </c>
      <c r="M251"/>
      <c r="N251" s="196">
        <v>106.60000000000001</v>
      </c>
      <c r="O251" s="196">
        <v>168.16281556267418</v>
      </c>
      <c r="P251" s="197">
        <f>(N251-O251)/O251</f>
        <v>-0.3660905376535501</v>
      </c>
      <c r="Q251" s="193" t="b">
        <v>0</v>
      </c>
      <c r="R251" s="193" t="b">
        <v>0</v>
      </c>
      <c r="S251" s="193" t="str">
        <f>IF(Q251,A251&amp;"1",IF(R251,A251&amp;"3",A251&amp;"2"))</f>
        <v>RB2</v>
      </c>
      <c r="T251" s="197">
        <f>AVERAGEIFS(P:P,S:S,S251)</f>
        <v>-8.1022379244590631E-2</v>
      </c>
      <c r="U251" s="197" cm="1">
        <f t="array" ref="U251">STDEV(IF(S:S=S251,P:P))</f>
        <v>0.41655125156207201</v>
      </c>
    </row>
    <row r="252" spans="1:21" x14ac:dyDescent="0.2">
      <c r="A252" s="193" t="s">
        <v>256</v>
      </c>
      <c r="B252" t="s">
        <v>99</v>
      </c>
      <c r="C252" t="s">
        <v>109</v>
      </c>
      <c r="D252">
        <v>15</v>
      </c>
      <c r="I252">
        <v>214</v>
      </c>
      <c r="J252"/>
      <c r="K252">
        <v>15</v>
      </c>
      <c r="L252">
        <v>78</v>
      </c>
      <c r="M252"/>
      <c r="N252" s="196">
        <v>36.700000000000003</v>
      </c>
      <c r="O252" s="196">
        <v>160.13808023888697</v>
      </c>
      <c r="P252" s="197">
        <f>(N252-O252)/O252</f>
        <v>-0.7708227802827875</v>
      </c>
      <c r="Q252" s="193" t="b">
        <v>0</v>
      </c>
      <c r="R252" s="193" t="b">
        <v>0</v>
      </c>
      <c r="S252" s="193" t="str">
        <f>IF(Q252,A252&amp;"1",IF(R252,A252&amp;"3",A252&amp;"2"))</f>
        <v>RB2</v>
      </c>
      <c r="T252" s="197">
        <f>AVERAGEIFS(P:P,S:S,S252)</f>
        <v>-8.1022379244590631E-2</v>
      </c>
      <c r="U252" s="197" cm="1">
        <f t="array" ref="U252">STDEV(IF(S:S=S252,P:P))</f>
        <v>0.41655125156207201</v>
      </c>
    </row>
    <row r="253" spans="1:21" x14ac:dyDescent="0.2">
      <c r="A253" s="193" t="s">
        <v>256</v>
      </c>
      <c r="B253" t="s">
        <v>194</v>
      </c>
      <c r="C253" t="s">
        <v>112</v>
      </c>
      <c r="D253">
        <v>16</v>
      </c>
      <c r="I253">
        <v>1049</v>
      </c>
      <c r="J253">
        <v>5</v>
      </c>
      <c r="K253">
        <v>39</v>
      </c>
      <c r="L253">
        <v>214</v>
      </c>
      <c r="M253">
        <v>1</v>
      </c>
      <c r="N253" s="196">
        <v>181.8</v>
      </c>
      <c r="O253" s="196">
        <v>158.55879954993404</v>
      </c>
      <c r="P253" s="197">
        <f>(N253-O253)/O253</f>
        <v>0.14657780278379789</v>
      </c>
      <c r="Q253" s="193" t="b">
        <v>0</v>
      </c>
      <c r="R253" s="193" t="b">
        <v>0</v>
      </c>
      <c r="S253" s="193" t="str">
        <f>IF(Q253,A253&amp;"1",IF(R253,A253&amp;"3",A253&amp;"2"))</f>
        <v>RB2</v>
      </c>
      <c r="T253" s="197">
        <f>AVERAGEIFS(P:P,S:S,S253)</f>
        <v>-8.1022379244590631E-2</v>
      </c>
      <c r="U253" s="197" cm="1">
        <f t="array" ref="U253">STDEV(IF(S:S=S253,P:P))</f>
        <v>0.41655125156207201</v>
      </c>
    </row>
    <row r="254" spans="1:21" x14ac:dyDescent="0.2">
      <c r="A254" s="193" t="s">
        <v>256</v>
      </c>
      <c r="B254" t="s">
        <v>186</v>
      </c>
      <c r="C254" t="s">
        <v>127</v>
      </c>
      <c r="D254">
        <v>16</v>
      </c>
      <c r="I254">
        <v>265</v>
      </c>
      <c r="J254">
        <v>1</v>
      </c>
      <c r="K254">
        <v>48</v>
      </c>
      <c r="L254">
        <v>389</v>
      </c>
      <c r="M254">
        <v>2</v>
      </c>
      <c r="N254" s="196">
        <v>107.4</v>
      </c>
      <c r="O254" s="196">
        <v>154.52928913426035</v>
      </c>
      <c r="P254" s="197">
        <f>(N254-O254)/O254</f>
        <v>-0.30498612527307234</v>
      </c>
      <c r="Q254" s="193" t="b">
        <v>0</v>
      </c>
      <c r="R254" s="193" t="b">
        <v>0</v>
      </c>
      <c r="S254" s="193" t="str">
        <f>IF(Q254,A254&amp;"1",IF(R254,A254&amp;"3",A254&amp;"2"))</f>
        <v>RB2</v>
      </c>
      <c r="T254" s="197">
        <f>AVERAGEIFS(P:P,S:S,S254)</f>
        <v>-8.1022379244590631E-2</v>
      </c>
      <c r="U254" s="197" cm="1">
        <f t="array" ref="U254">STDEV(IF(S:S=S254,P:P))</f>
        <v>0.41655125156207201</v>
      </c>
    </row>
    <row r="255" spans="1:21" x14ac:dyDescent="0.2">
      <c r="A255" s="193" t="s">
        <v>256</v>
      </c>
      <c r="B255" t="s">
        <v>645</v>
      </c>
      <c r="C255" t="s">
        <v>134</v>
      </c>
      <c r="D255">
        <v>16</v>
      </c>
      <c r="I255">
        <v>462</v>
      </c>
      <c r="J255">
        <v>1</v>
      </c>
      <c r="K255">
        <v>33</v>
      </c>
      <c r="L255">
        <v>209</v>
      </c>
      <c r="M255"/>
      <c r="N255" s="196">
        <v>89.600000000000009</v>
      </c>
      <c r="O255" s="196">
        <v>154.45059742536267</v>
      </c>
      <c r="P255" s="197">
        <f>(N255-O255)/O255</f>
        <v>-0.41987922679743162</v>
      </c>
      <c r="Q255" s="193" t="b">
        <v>0</v>
      </c>
      <c r="R255" s="193" t="b">
        <v>0</v>
      </c>
      <c r="S255" s="193" t="str">
        <f>IF(Q255,A255&amp;"1",IF(R255,A255&amp;"3",A255&amp;"2"))</f>
        <v>RB2</v>
      </c>
      <c r="T255" s="197">
        <f>AVERAGEIFS(P:P,S:S,S255)</f>
        <v>-8.1022379244590631E-2</v>
      </c>
      <c r="U255" s="197" cm="1">
        <f t="array" ref="U255">STDEV(IF(S:S=S255,P:P))</f>
        <v>0.41655125156207201</v>
      </c>
    </row>
    <row r="256" spans="1:21" x14ac:dyDescent="0.2">
      <c r="A256" s="193" t="s">
        <v>256</v>
      </c>
      <c r="B256" t="s">
        <v>153</v>
      </c>
      <c r="C256" t="s">
        <v>125</v>
      </c>
      <c r="D256">
        <v>15</v>
      </c>
      <c r="I256">
        <v>1012</v>
      </c>
      <c r="J256">
        <v>18</v>
      </c>
      <c r="K256">
        <v>25</v>
      </c>
      <c r="L256">
        <v>175</v>
      </c>
      <c r="M256">
        <v>3</v>
      </c>
      <c r="N256" s="196">
        <v>257.2</v>
      </c>
      <c r="O256" s="196">
        <v>148.20650311068127</v>
      </c>
      <c r="P256" s="197">
        <f>(N256-O256)/O256</f>
        <v>0.73541642641633542</v>
      </c>
      <c r="Q256" s="193" t="b">
        <v>0</v>
      </c>
      <c r="R256" s="193" t="b">
        <v>0</v>
      </c>
      <c r="S256" s="193" t="str">
        <f>IF(Q256,A256&amp;"1",IF(R256,A256&amp;"3",A256&amp;"2"))</f>
        <v>RB2</v>
      </c>
      <c r="T256" s="197">
        <f>AVERAGEIFS(P:P,S:S,S256)</f>
        <v>-8.1022379244590631E-2</v>
      </c>
      <c r="U256" s="197" cm="1">
        <f t="array" ref="U256">STDEV(IF(S:S=S256,P:P))</f>
        <v>0.41655125156207201</v>
      </c>
    </row>
    <row r="257" spans="1:21" x14ac:dyDescent="0.2">
      <c r="A257" s="193" t="s">
        <v>256</v>
      </c>
      <c r="B257" t="s">
        <v>173</v>
      </c>
      <c r="C257" t="s">
        <v>120</v>
      </c>
      <c r="D257">
        <v>10</v>
      </c>
      <c r="I257">
        <v>741</v>
      </c>
      <c r="J257">
        <v>7</v>
      </c>
      <c r="K257">
        <v>19</v>
      </c>
      <c r="L257">
        <v>153</v>
      </c>
      <c r="M257">
        <v>1</v>
      </c>
      <c r="N257" s="196">
        <v>146.9</v>
      </c>
      <c r="O257" s="196">
        <v>133.35083061101241</v>
      </c>
      <c r="P257" s="197">
        <f>(N257-O257)/O257</f>
        <v>0.10160543677834934</v>
      </c>
      <c r="Q257" s="193" t="b">
        <v>0</v>
      </c>
      <c r="R257" s="193" t="b">
        <v>0</v>
      </c>
      <c r="S257" s="193" t="str">
        <f>IF(Q257,A257&amp;"1",IF(R257,A257&amp;"3",A257&amp;"2"))</f>
        <v>RB2</v>
      </c>
      <c r="T257" s="197">
        <f>AVERAGEIFS(P:P,S:S,S257)</f>
        <v>-8.1022379244590631E-2</v>
      </c>
      <c r="U257" s="197" cm="1">
        <f t="array" ref="U257">STDEV(IF(S:S=S257,P:P))</f>
        <v>0.41655125156207201</v>
      </c>
    </row>
    <row r="258" spans="1:21" x14ac:dyDescent="0.2">
      <c r="A258" s="193" t="s">
        <v>256</v>
      </c>
      <c r="B258" t="s">
        <v>195</v>
      </c>
      <c r="C258" t="s">
        <v>128</v>
      </c>
      <c r="D258">
        <v>13</v>
      </c>
      <c r="I258">
        <v>306</v>
      </c>
      <c r="J258">
        <v>1</v>
      </c>
      <c r="K258">
        <v>18</v>
      </c>
      <c r="L258">
        <v>62</v>
      </c>
      <c r="M258"/>
      <c r="N258" s="196">
        <v>51.800000000000004</v>
      </c>
      <c r="O258" s="196">
        <v>131.74018152559984</v>
      </c>
      <c r="P258" s="197">
        <f>(N258-O258)/O258</f>
        <v>-0.60680181703002889</v>
      </c>
      <c r="Q258" s="193" t="b">
        <v>0</v>
      </c>
      <c r="R258" s="193" t="b">
        <v>0</v>
      </c>
      <c r="S258" s="193" t="str">
        <f>IF(Q258,A258&amp;"1",IF(R258,A258&amp;"3",A258&amp;"2"))</f>
        <v>RB2</v>
      </c>
      <c r="T258" s="197">
        <f>AVERAGEIFS(P:P,S:S,S258)</f>
        <v>-8.1022379244590631E-2</v>
      </c>
      <c r="U258" s="197" cm="1">
        <f t="array" ref="U258">STDEV(IF(S:S=S258,P:P))</f>
        <v>0.41655125156207201</v>
      </c>
    </row>
    <row r="259" spans="1:21" x14ac:dyDescent="0.2">
      <c r="A259" s="193" t="s">
        <v>256</v>
      </c>
      <c r="B259" t="s">
        <v>40</v>
      </c>
      <c r="C259" t="s">
        <v>115</v>
      </c>
      <c r="D259">
        <v>17</v>
      </c>
      <c r="I259">
        <v>642</v>
      </c>
      <c r="J259">
        <v>3</v>
      </c>
      <c r="K259">
        <v>51</v>
      </c>
      <c r="L259">
        <v>313</v>
      </c>
      <c r="M259">
        <v>2</v>
      </c>
      <c r="N259" s="196">
        <v>151</v>
      </c>
      <c r="O259" s="196">
        <v>129.219760046272</v>
      </c>
      <c r="P259" s="197">
        <f>(N259-O259)/O259</f>
        <v>0.16855193002934507</v>
      </c>
      <c r="Q259" s="193" t="b">
        <v>0</v>
      </c>
      <c r="R259" s="193" t="b">
        <v>0</v>
      </c>
      <c r="S259" s="193" t="str">
        <f>IF(Q259,A259&amp;"1",IF(R259,A259&amp;"3",A259&amp;"2"))</f>
        <v>RB2</v>
      </c>
      <c r="T259" s="197">
        <f>AVERAGEIFS(P:P,S:S,S259)</f>
        <v>-8.1022379244590631E-2</v>
      </c>
      <c r="U259" s="197" cm="1">
        <f t="array" ref="U259">STDEV(IF(S:S=S259,P:P))</f>
        <v>0.41655125156207201</v>
      </c>
    </row>
    <row r="260" spans="1:21" x14ac:dyDescent="0.2">
      <c r="A260" s="193" t="s">
        <v>256</v>
      </c>
      <c r="B260" t="s">
        <v>574</v>
      </c>
      <c r="C260" t="s">
        <v>122</v>
      </c>
      <c r="D260">
        <v>12</v>
      </c>
      <c r="I260">
        <v>60</v>
      </c>
      <c r="J260">
        <v>1</v>
      </c>
      <c r="K260">
        <v>25</v>
      </c>
      <c r="L260">
        <v>192</v>
      </c>
      <c r="M260">
        <v>4</v>
      </c>
      <c r="N260" s="196">
        <v>67.7</v>
      </c>
      <c r="O260" s="196">
        <v>127.93849341402913</v>
      </c>
      <c r="P260" s="197">
        <f>(N260-O260)/O260</f>
        <v>-0.47083947767844869</v>
      </c>
      <c r="Q260" s="193" t="b">
        <v>0</v>
      </c>
      <c r="R260" s="193" t="b">
        <v>0</v>
      </c>
      <c r="S260" s="193" t="str">
        <f>IF(Q260,A260&amp;"1",IF(R260,A260&amp;"3",A260&amp;"2"))</f>
        <v>RB2</v>
      </c>
      <c r="T260" s="197">
        <f>AVERAGEIFS(P:P,S:S,S260)</f>
        <v>-8.1022379244590631E-2</v>
      </c>
      <c r="U260" s="197" cm="1">
        <f t="array" ref="U260">STDEV(IF(S:S=S260,P:P))</f>
        <v>0.41655125156207201</v>
      </c>
    </row>
    <row r="261" spans="1:21" x14ac:dyDescent="0.2">
      <c r="A261" s="193" t="s">
        <v>256</v>
      </c>
      <c r="B261" t="s">
        <v>575</v>
      </c>
      <c r="C261" t="s">
        <v>133</v>
      </c>
      <c r="D261">
        <v>17</v>
      </c>
      <c r="I261">
        <v>784</v>
      </c>
      <c r="J261">
        <v>4</v>
      </c>
      <c r="K261">
        <v>61</v>
      </c>
      <c r="L261">
        <v>370</v>
      </c>
      <c r="M261"/>
      <c r="N261" s="196">
        <v>169.9</v>
      </c>
      <c r="O261" s="196">
        <v>125.49705526529478</v>
      </c>
      <c r="P261" s="197">
        <f>(N261-O261)/O261</f>
        <v>0.3538166265402764</v>
      </c>
      <c r="Q261" s="193" t="b">
        <v>0</v>
      </c>
      <c r="R261" s="193" t="b">
        <v>0</v>
      </c>
      <c r="S261" s="193" t="str">
        <f>IF(Q261,A261&amp;"1",IF(R261,A261&amp;"3",A261&amp;"2"))</f>
        <v>RB2</v>
      </c>
      <c r="T261" s="197">
        <f>AVERAGEIFS(P:P,S:S,S261)</f>
        <v>-8.1022379244590631E-2</v>
      </c>
      <c r="U261" s="197" cm="1">
        <f t="array" ref="U261">STDEV(IF(S:S=S261,P:P))</f>
        <v>0.41655125156207201</v>
      </c>
    </row>
    <row r="262" spans="1:21" x14ac:dyDescent="0.2">
      <c r="A262" s="193" t="s">
        <v>257</v>
      </c>
      <c r="B262" t="s">
        <v>179</v>
      </c>
      <c r="C262" t="s">
        <v>126</v>
      </c>
      <c r="D262">
        <v>10</v>
      </c>
      <c r="I262">
        <v>-12</v>
      </c>
      <c r="J262"/>
      <c r="K262">
        <v>68</v>
      </c>
      <c r="L262">
        <v>1074</v>
      </c>
      <c r="M262">
        <v>5</v>
      </c>
      <c r="N262" s="196">
        <v>170.2</v>
      </c>
      <c r="O262" s="196">
        <v>277.31918748577561</v>
      </c>
      <c r="P262" s="197">
        <f>(N262-O262)/O262</f>
        <v>-0.3862667724398624</v>
      </c>
      <c r="Q262" s="193" t="b">
        <v>1</v>
      </c>
      <c r="R262" s="193" t="b">
        <v>0</v>
      </c>
      <c r="S262" s="193" t="str">
        <f>IF(Q262,A262&amp;"1",IF(R262,A262&amp;"3",A262&amp;"2"))</f>
        <v>WR1</v>
      </c>
      <c r="T262" s="197">
        <f>AVERAGEIFS(P:P,S:S,S262)</f>
        <v>-9.4807490640656453E-2</v>
      </c>
      <c r="U262" s="197" cm="1">
        <f t="array" ref="U262">STDEV(IF(S:S=S262,P:P))</f>
        <v>0.28789782402979236</v>
      </c>
    </row>
    <row r="263" spans="1:21" x14ac:dyDescent="0.2">
      <c r="A263" s="193" t="s">
        <v>257</v>
      </c>
      <c r="B263" t="s">
        <v>54</v>
      </c>
      <c r="C263" t="s">
        <v>125</v>
      </c>
      <c r="D263">
        <v>16</v>
      </c>
      <c r="I263">
        <v>15</v>
      </c>
      <c r="J263"/>
      <c r="K263">
        <v>119</v>
      </c>
      <c r="L263">
        <v>1799</v>
      </c>
      <c r="M263">
        <v>13</v>
      </c>
      <c r="N263" s="196">
        <v>318.89999999999998</v>
      </c>
      <c r="O263" s="196">
        <v>265.79784894083116</v>
      </c>
      <c r="P263" s="197">
        <f>(N263-O263)/O263</f>
        <v>0.19978397594553071</v>
      </c>
      <c r="Q263" s="193" t="b">
        <v>1</v>
      </c>
      <c r="R263" s="193" t="b">
        <v>0</v>
      </c>
      <c r="S263" s="193" t="str">
        <f>IF(Q263,A263&amp;"1",IF(R263,A263&amp;"3",A263&amp;"2"))</f>
        <v>WR1</v>
      </c>
      <c r="T263" s="197">
        <f>AVERAGEIFS(P:P,S:S,S263)</f>
        <v>-9.4807490640656453E-2</v>
      </c>
      <c r="U263" s="197" cm="1">
        <f t="array" ref="U263">STDEV(IF(S:S=S263,P:P))</f>
        <v>0.28789782402979236</v>
      </c>
    </row>
    <row r="264" spans="1:21" x14ac:dyDescent="0.2">
      <c r="A264" s="193" t="s">
        <v>257</v>
      </c>
      <c r="B264" t="s">
        <v>61</v>
      </c>
      <c r="C264" t="s">
        <v>711</v>
      </c>
      <c r="D264">
        <v>12</v>
      </c>
      <c r="I264">
        <v>-3</v>
      </c>
      <c r="J264"/>
      <c r="K264">
        <v>59</v>
      </c>
      <c r="L264">
        <v>737</v>
      </c>
      <c r="M264">
        <v>5</v>
      </c>
      <c r="N264" s="196">
        <v>132.9</v>
      </c>
      <c r="O264" s="196">
        <v>258.64512105109765</v>
      </c>
      <c r="P264" s="197">
        <f>(N264-O264)/O264</f>
        <v>-0.48616854066331128</v>
      </c>
      <c r="Q264" s="193" t="b">
        <v>1</v>
      </c>
      <c r="R264" s="193" t="b">
        <v>0</v>
      </c>
      <c r="S264" s="193" t="str">
        <f>IF(Q264,A264&amp;"1",IF(R264,A264&amp;"3",A264&amp;"2"))</f>
        <v>WR1</v>
      </c>
      <c r="T264" s="197">
        <f>AVERAGEIFS(P:P,S:S,S264)</f>
        <v>-9.4807490640656453E-2</v>
      </c>
      <c r="U264" s="197" cm="1">
        <f t="array" ref="U264">STDEV(IF(S:S=S264,P:P))</f>
        <v>0.28789782402979236</v>
      </c>
    </row>
    <row r="265" spans="1:21" x14ac:dyDescent="0.2">
      <c r="A265" s="193" t="s">
        <v>257</v>
      </c>
      <c r="B265" t="s">
        <v>49</v>
      </c>
      <c r="C265" t="s">
        <v>192</v>
      </c>
      <c r="D265">
        <v>17</v>
      </c>
      <c r="I265"/>
      <c r="J265"/>
      <c r="K265">
        <v>103</v>
      </c>
      <c r="L265">
        <v>1144</v>
      </c>
      <c r="M265">
        <v>8</v>
      </c>
      <c r="N265" s="196">
        <v>213.9</v>
      </c>
      <c r="O265" s="196">
        <v>254.78207097985711</v>
      </c>
      <c r="P265" s="197">
        <f>(N265-O265)/O265</f>
        <v>-0.16045897901147532</v>
      </c>
      <c r="Q265" s="193" t="b">
        <v>1</v>
      </c>
      <c r="R265" s="193" t="b">
        <v>0</v>
      </c>
      <c r="S265" s="193" t="str">
        <f>IF(Q265,A265&amp;"1",IF(R265,A265&amp;"3",A265&amp;"2"))</f>
        <v>WR1</v>
      </c>
      <c r="T265" s="197">
        <f>AVERAGEIFS(P:P,S:S,S265)</f>
        <v>-9.4807490640656453E-2</v>
      </c>
      <c r="U265" s="197" cm="1">
        <f t="array" ref="U265">STDEV(IF(S:S=S265,P:P))</f>
        <v>0.28789782402979236</v>
      </c>
    </row>
    <row r="266" spans="1:21" x14ac:dyDescent="0.2">
      <c r="A266" s="193" t="s">
        <v>257</v>
      </c>
      <c r="B266" t="s">
        <v>240</v>
      </c>
      <c r="C266" t="s">
        <v>113</v>
      </c>
      <c r="D266">
        <v>16</v>
      </c>
      <c r="I266">
        <v>-6</v>
      </c>
      <c r="J266"/>
      <c r="K266">
        <v>100</v>
      </c>
      <c r="L266">
        <v>1216</v>
      </c>
      <c r="M266">
        <v>7</v>
      </c>
      <c r="N266" s="196">
        <v>213</v>
      </c>
      <c r="O266" s="196">
        <v>251.63020846296595</v>
      </c>
      <c r="P266" s="197">
        <f>(N266-O266)/O266</f>
        <v>-0.15351975702333615</v>
      </c>
      <c r="Q266" s="193" t="b">
        <v>1</v>
      </c>
      <c r="R266" s="193" t="b">
        <v>0</v>
      </c>
      <c r="S266" s="193" t="str">
        <f>IF(Q266,A266&amp;"1",IF(R266,A266&amp;"3",A266&amp;"2"))</f>
        <v>WR1</v>
      </c>
      <c r="T266" s="197">
        <f>AVERAGEIFS(P:P,S:S,S266)</f>
        <v>-9.4807490640656453E-2</v>
      </c>
      <c r="U266" s="197" cm="1">
        <f t="array" ref="U266">STDEV(IF(S:S=S266,P:P))</f>
        <v>0.28789782402979236</v>
      </c>
    </row>
    <row r="267" spans="1:21" x14ac:dyDescent="0.2">
      <c r="A267" s="193" t="s">
        <v>257</v>
      </c>
      <c r="B267" t="s">
        <v>242</v>
      </c>
      <c r="C267" t="s">
        <v>117</v>
      </c>
      <c r="D267">
        <v>16</v>
      </c>
      <c r="I267">
        <v>24</v>
      </c>
      <c r="J267"/>
      <c r="K267">
        <v>119</v>
      </c>
      <c r="L267">
        <v>1515</v>
      </c>
      <c r="M267">
        <v>10</v>
      </c>
      <c r="N267" s="196">
        <v>273.39999999999998</v>
      </c>
      <c r="O267" s="196">
        <v>235.77471963299024</v>
      </c>
      <c r="P267" s="197">
        <f>(N267-O267)/O267</f>
        <v>0.15958148704652347</v>
      </c>
      <c r="Q267" s="193" t="b">
        <v>1</v>
      </c>
      <c r="R267" s="193" t="b">
        <v>0</v>
      </c>
      <c r="S267" s="193" t="str">
        <f>IF(Q267,A267&amp;"1",IF(R267,A267&amp;"3",A267&amp;"2"))</f>
        <v>WR1</v>
      </c>
      <c r="T267" s="197">
        <f>AVERAGEIFS(P:P,S:S,S267)</f>
        <v>-9.4807490640656453E-2</v>
      </c>
      <c r="U267" s="197" cm="1">
        <f t="array" ref="U267">STDEV(IF(S:S=S267,P:P))</f>
        <v>0.28789782402979236</v>
      </c>
    </row>
    <row r="268" spans="1:21" x14ac:dyDescent="0.2">
      <c r="A268" s="193" t="s">
        <v>257</v>
      </c>
      <c r="B268" t="s">
        <v>102</v>
      </c>
      <c r="C268" t="s">
        <v>119</v>
      </c>
      <c r="D268">
        <v>17</v>
      </c>
      <c r="I268">
        <v>5</v>
      </c>
      <c r="J268"/>
      <c r="K268">
        <v>107</v>
      </c>
      <c r="L268">
        <v>1183</v>
      </c>
      <c r="M268">
        <v>8</v>
      </c>
      <c r="N268" s="196">
        <v>220.3</v>
      </c>
      <c r="O268" s="196">
        <v>230.83501137252614</v>
      </c>
      <c r="P268" s="197">
        <f>(N268-O268)/O268</f>
        <v>-4.5638706667094436E-2</v>
      </c>
      <c r="Q268" s="193" t="b">
        <v>1</v>
      </c>
      <c r="R268" s="193" t="b">
        <v>0</v>
      </c>
      <c r="S268" s="193" t="str">
        <f>IF(Q268,A268&amp;"1",IF(R268,A268&amp;"3",A268&amp;"2"))</f>
        <v>WR1</v>
      </c>
      <c r="T268" s="197">
        <f>AVERAGEIFS(P:P,S:S,S268)</f>
        <v>-9.4807490640656453E-2</v>
      </c>
      <c r="U268" s="197" cm="1">
        <f t="array" ref="U268">STDEV(IF(S:S=S268,P:P))</f>
        <v>0.28789782402979236</v>
      </c>
    </row>
    <row r="269" spans="1:21" x14ac:dyDescent="0.2">
      <c r="A269" s="193" t="s">
        <v>257</v>
      </c>
      <c r="B269" t="s">
        <v>167</v>
      </c>
      <c r="C269" t="s">
        <v>115</v>
      </c>
      <c r="D269">
        <v>17</v>
      </c>
      <c r="I269">
        <v>113</v>
      </c>
      <c r="J269">
        <v>2</v>
      </c>
      <c r="K269">
        <v>135</v>
      </c>
      <c r="L269">
        <v>1749</v>
      </c>
      <c r="M269">
        <v>12</v>
      </c>
      <c r="N269" s="196">
        <v>337.7</v>
      </c>
      <c r="O269" s="196">
        <v>217.43365166733861</v>
      </c>
      <c r="P269" s="197">
        <f>(N269-O269)/O269</f>
        <v>0.55311745633864529</v>
      </c>
      <c r="Q269" s="193" t="b">
        <v>1</v>
      </c>
      <c r="R269" s="193" t="b">
        <v>0</v>
      </c>
      <c r="S269" s="193" t="str">
        <f>IF(Q269,A269&amp;"1",IF(R269,A269&amp;"3",A269&amp;"2"))</f>
        <v>WR1</v>
      </c>
      <c r="T269" s="197">
        <f>AVERAGEIFS(P:P,S:S,S269)</f>
        <v>-9.4807490640656453E-2</v>
      </c>
      <c r="U269" s="197" cm="1">
        <f t="array" ref="U269">STDEV(IF(S:S=S269,P:P))</f>
        <v>0.28789782402979236</v>
      </c>
    </row>
    <row r="270" spans="1:21" x14ac:dyDescent="0.2">
      <c r="A270" s="193" t="s">
        <v>257</v>
      </c>
      <c r="B270" t="s">
        <v>247</v>
      </c>
      <c r="C270" t="s">
        <v>125</v>
      </c>
      <c r="D270">
        <v>14</v>
      </c>
      <c r="I270">
        <v>12</v>
      </c>
      <c r="J270"/>
      <c r="K270">
        <v>72</v>
      </c>
      <c r="L270">
        <v>1014</v>
      </c>
      <c r="M270">
        <v>4</v>
      </c>
      <c r="N270" s="196">
        <v>162.60000000000002</v>
      </c>
      <c r="O270" s="196">
        <v>213.97580424242801</v>
      </c>
      <c r="P270" s="197">
        <f>(N270-O270)/O270</f>
        <v>-0.24010099844850114</v>
      </c>
      <c r="Q270" s="193" t="b">
        <v>1</v>
      </c>
      <c r="R270" s="193" t="b">
        <v>0</v>
      </c>
      <c r="S270" s="193" t="str">
        <f>IF(Q270,A270&amp;"1",IF(R270,A270&amp;"3",A270&amp;"2"))</f>
        <v>WR1</v>
      </c>
      <c r="T270" s="197">
        <f>AVERAGEIFS(P:P,S:S,S270)</f>
        <v>-9.4807490640656453E-2</v>
      </c>
      <c r="U270" s="197" cm="1">
        <f t="array" ref="U270">STDEV(IF(S:S=S270,P:P))</f>
        <v>0.28789782402979236</v>
      </c>
    </row>
    <row r="271" spans="1:21" x14ac:dyDescent="0.2">
      <c r="A271" s="193" t="s">
        <v>257</v>
      </c>
      <c r="B271" t="s">
        <v>492</v>
      </c>
      <c r="C271" t="s">
        <v>130</v>
      </c>
      <c r="D271">
        <v>17</v>
      </c>
      <c r="I271"/>
      <c r="J271"/>
      <c r="K271">
        <v>95</v>
      </c>
      <c r="L271">
        <v>1042</v>
      </c>
      <c r="M271">
        <v>3</v>
      </c>
      <c r="N271" s="196">
        <v>169.7</v>
      </c>
      <c r="O271" s="196">
        <v>207.71072219166814</v>
      </c>
      <c r="P271" s="197">
        <f>(N271-O271)/O271</f>
        <v>-0.18299836325537974</v>
      </c>
      <c r="Q271" s="193" t="b">
        <v>1</v>
      </c>
      <c r="R271" s="193" t="b">
        <v>0</v>
      </c>
      <c r="S271" s="193" t="str">
        <f>IF(Q271,A271&amp;"1",IF(R271,A271&amp;"3",A271&amp;"2"))</f>
        <v>WR1</v>
      </c>
      <c r="T271" s="197">
        <f>AVERAGEIFS(P:P,S:S,S271)</f>
        <v>-9.4807490640656453E-2</v>
      </c>
      <c r="U271" s="197" cm="1">
        <f t="array" ref="U271">STDEV(IF(S:S=S271,P:P))</f>
        <v>0.28789782402979236</v>
      </c>
    </row>
    <row r="272" spans="1:21" x14ac:dyDescent="0.2">
      <c r="A272" s="193" t="s">
        <v>257</v>
      </c>
      <c r="B272" t="s">
        <v>68</v>
      </c>
      <c r="C272" t="s">
        <v>132</v>
      </c>
      <c r="D272">
        <v>17</v>
      </c>
      <c r="I272"/>
      <c r="J272"/>
      <c r="K272">
        <v>106</v>
      </c>
      <c r="L272">
        <v>1456</v>
      </c>
      <c r="M272">
        <v>7</v>
      </c>
      <c r="N272" s="196">
        <v>240.6</v>
      </c>
      <c r="O272" s="196">
        <v>206.51176008611552</v>
      </c>
      <c r="P272" s="197">
        <f>(N272-O272)/O272</f>
        <v>0.16506682185881164</v>
      </c>
      <c r="Q272" s="193" t="b">
        <v>1</v>
      </c>
      <c r="R272" s="193" t="b">
        <v>0</v>
      </c>
      <c r="S272" s="193" t="str">
        <f>IF(Q272,A272&amp;"1",IF(R272,A272&amp;"3",A272&amp;"2"))</f>
        <v>WR1</v>
      </c>
      <c r="T272" s="197">
        <f>AVERAGEIFS(P:P,S:S,S272)</f>
        <v>-9.4807490640656453E-2</v>
      </c>
      <c r="U272" s="197" cm="1">
        <f t="array" ref="U272">STDEV(IF(S:S=S272,P:P))</f>
        <v>0.28789782402979236</v>
      </c>
    </row>
    <row r="273" spans="1:21" x14ac:dyDescent="0.2">
      <c r="A273" s="193" t="s">
        <v>257</v>
      </c>
      <c r="B273" t="s">
        <v>166</v>
      </c>
      <c r="C273" t="s">
        <v>113</v>
      </c>
      <c r="D273">
        <v>12</v>
      </c>
      <c r="I273"/>
      <c r="J273"/>
      <c r="K273">
        <v>42</v>
      </c>
      <c r="L273">
        <v>656</v>
      </c>
      <c r="M273">
        <v>5</v>
      </c>
      <c r="N273" s="196">
        <v>116.60000000000001</v>
      </c>
      <c r="O273" s="196">
        <v>206.05871828961045</v>
      </c>
      <c r="P273" s="197">
        <f>(N273-O273)/O273</f>
        <v>-0.43414187486053574</v>
      </c>
      <c r="Q273" s="193" t="b">
        <v>1</v>
      </c>
      <c r="R273" s="193" t="b">
        <v>0</v>
      </c>
      <c r="S273" s="193" t="str">
        <f>IF(Q273,A273&amp;"1",IF(R273,A273&amp;"3",A273&amp;"2"))</f>
        <v>WR1</v>
      </c>
      <c r="T273" s="197">
        <f>AVERAGEIFS(P:P,S:S,S273)</f>
        <v>-9.4807490640656453E-2</v>
      </c>
      <c r="U273" s="197" cm="1">
        <f t="array" ref="U273">STDEV(IF(S:S=S273,P:P))</f>
        <v>0.28789782402979236</v>
      </c>
    </row>
    <row r="274" spans="1:21" x14ac:dyDescent="0.2">
      <c r="A274" s="193" t="s">
        <v>257</v>
      </c>
      <c r="B274" t="s">
        <v>586</v>
      </c>
      <c r="C274" t="s">
        <v>137</v>
      </c>
      <c r="D274">
        <v>17</v>
      </c>
      <c r="I274">
        <v>23</v>
      </c>
      <c r="J274"/>
      <c r="K274">
        <v>76</v>
      </c>
      <c r="L274">
        <v>1016</v>
      </c>
      <c r="M274">
        <v>8</v>
      </c>
      <c r="N274" s="196">
        <v>189.9</v>
      </c>
      <c r="O274" s="196">
        <v>205.85347666981542</v>
      </c>
      <c r="P274" s="197">
        <f>(N274-O274)/O274</f>
        <v>-7.749918499265597E-2</v>
      </c>
      <c r="Q274" s="193" t="b">
        <v>1</v>
      </c>
      <c r="R274" s="193" t="b">
        <v>0</v>
      </c>
      <c r="S274" s="193" t="str">
        <f>IF(Q274,A274&amp;"1",IF(R274,A274&amp;"3",A274&amp;"2"))</f>
        <v>WR1</v>
      </c>
      <c r="T274" s="197">
        <f>AVERAGEIFS(P:P,S:S,S274)</f>
        <v>-9.4807490640656453E-2</v>
      </c>
      <c r="U274" s="197" cm="1">
        <f t="array" ref="U274">STDEV(IF(S:S=S274,P:P))</f>
        <v>0.28789782402979236</v>
      </c>
    </row>
    <row r="275" spans="1:21" x14ac:dyDescent="0.2">
      <c r="A275" s="193" t="s">
        <v>257</v>
      </c>
      <c r="B275" t="s">
        <v>524</v>
      </c>
      <c r="C275" t="s">
        <v>118</v>
      </c>
      <c r="D275">
        <v>9</v>
      </c>
      <c r="I275">
        <v>11</v>
      </c>
      <c r="J275"/>
      <c r="K275">
        <v>28</v>
      </c>
      <c r="L275">
        <v>422</v>
      </c>
      <c r="M275">
        <v>5</v>
      </c>
      <c r="N275" s="196">
        <v>87.300000000000011</v>
      </c>
      <c r="O275" s="196">
        <v>194.98899947146739</v>
      </c>
      <c r="P275" s="197">
        <f>(N275-O275)/O275</f>
        <v>-0.55228243523156006</v>
      </c>
      <c r="Q275" s="193" t="b">
        <v>1</v>
      </c>
      <c r="R275" s="193" t="b">
        <v>0</v>
      </c>
      <c r="S275" s="193" t="str">
        <f>IF(Q275,A275&amp;"1",IF(R275,A275&amp;"3",A275&amp;"2"))</f>
        <v>WR1</v>
      </c>
      <c r="T275" s="197">
        <f>AVERAGEIFS(P:P,S:S,S275)</f>
        <v>-9.4807490640656453E-2</v>
      </c>
      <c r="U275" s="197" cm="1">
        <f t="array" ref="U275">STDEV(IF(S:S=S275,P:P))</f>
        <v>0.28789782402979236</v>
      </c>
    </row>
    <row r="276" spans="1:21" x14ac:dyDescent="0.2">
      <c r="A276" s="193" t="s">
        <v>257</v>
      </c>
      <c r="B276" t="s">
        <v>489</v>
      </c>
      <c r="C276" t="s">
        <v>533</v>
      </c>
      <c r="D276">
        <v>17</v>
      </c>
      <c r="I276"/>
      <c r="J276"/>
      <c r="K276">
        <v>49</v>
      </c>
      <c r="L276">
        <v>518</v>
      </c>
      <c r="M276">
        <v>4</v>
      </c>
      <c r="N276" s="196">
        <v>100.30000000000001</v>
      </c>
      <c r="O276" s="196">
        <v>191.8214704728</v>
      </c>
      <c r="P276" s="197">
        <f>(N276-O276)/O276</f>
        <v>-0.47711796936609135</v>
      </c>
      <c r="Q276" s="193" t="b">
        <v>1</v>
      </c>
      <c r="R276" s="193" t="b">
        <v>0</v>
      </c>
      <c r="S276" s="193" t="str">
        <f>IF(Q276,A276&amp;"1",IF(R276,A276&amp;"3",A276&amp;"2"))</f>
        <v>WR1</v>
      </c>
      <c r="T276" s="197">
        <f>AVERAGEIFS(P:P,S:S,S276)</f>
        <v>-9.4807490640656453E-2</v>
      </c>
      <c r="U276" s="197" cm="1">
        <f t="array" ref="U276">STDEV(IF(S:S=S276,P:P))</f>
        <v>0.28789782402979236</v>
      </c>
    </row>
    <row r="277" spans="1:21" x14ac:dyDescent="0.2">
      <c r="A277" s="193" t="s">
        <v>257</v>
      </c>
      <c r="B277" t="s">
        <v>493</v>
      </c>
      <c r="C277" t="s">
        <v>128</v>
      </c>
      <c r="D277">
        <v>16</v>
      </c>
      <c r="I277"/>
      <c r="J277"/>
      <c r="K277">
        <v>87</v>
      </c>
      <c r="L277">
        <v>1123</v>
      </c>
      <c r="M277">
        <v>5</v>
      </c>
      <c r="N277" s="196">
        <v>185.8</v>
      </c>
      <c r="O277" s="196">
        <v>191.7746675145101</v>
      </c>
      <c r="P277" s="197">
        <f>(N277-O277)/O277</f>
        <v>-3.1154623245836323E-2</v>
      </c>
      <c r="Q277" s="193" t="b">
        <v>1</v>
      </c>
      <c r="R277" s="193" t="b">
        <v>0</v>
      </c>
      <c r="S277" s="193" t="str">
        <f>IF(Q277,A277&amp;"1",IF(R277,A277&amp;"3",A277&amp;"2"))</f>
        <v>WR1</v>
      </c>
      <c r="T277" s="197">
        <f>AVERAGEIFS(P:P,S:S,S277)</f>
        <v>-9.4807490640656453E-2</v>
      </c>
      <c r="U277" s="197" cm="1">
        <f t="array" ref="U277">STDEV(IF(S:S=S277,P:P))</f>
        <v>0.28789782402979236</v>
      </c>
    </row>
    <row r="278" spans="1:21" x14ac:dyDescent="0.2">
      <c r="A278" s="193" t="s">
        <v>257</v>
      </c>
      <c r="B278" t="s">
        <v>196</v>
      </c>
      <c r="C278" t="s">
        <v>137</v>
      </c>
      <c r="D278">
        <v>17</v>
      </c>
      <c r="I278">
        <v>9</v>
      </c>
      <c r="J278"/>
      <c r="K278">
        <v>75</v>
      </c>
      <c r="L278">
        <v>1057</v>
      </c>
      <c r="M278">
        <v>7</v>
      </c>
      <c r="N278" s="196">
        <v>186.1</v>
      </c>
      <c r="O278" s="196">
        <v>189.24061536009924</v>
      </c>
      <c r="P278" s="197">
        <f>(N278-O278)/O278</f>
        <v>-1.6595884314385058E-2</v>
      </c>
      <c r="Q278" s="193" t="b">
        <v>1</v>
      </c>
      <c r="R278" s="193" t="b">
        <v>0</v>
      </c>
      <c r="S278" s="193" t="str">
        <f>IF(Q278,A278&amp;"1",IF(R278,A278&amp;"3",A278&amp;"2"))</f>
        <v>WR1</v>
      </c>
      <c r="T278" s="197">
        <f>AVERAGEIFS(P:P,S:S,S278)</f>
        <v>-9.4807490640656453E-2</v>
      </c>
      <c r="U278" s="197" cm="1">
        <f t="array" ref="U278">STDEV(IF(S:S=S278,P:P))</f>
        <v>0.28789782402979236</v>
      </c>
    </row>
    <row r="279" spans="1:21" x14ac:dyDescent="0.2">
      <c r="A279" s="193" t="s">
        <v>257</v>
      </c>
      <c r="B279" t="s">
        <v>250</v>
      </c>
      <c r="C279" t="s">
        <v>132</v>
      </c>
      <c r="D279">
        <v>16</v>
      </c>
      <c r="I279"/>
      <c r="J279"/>
      <c r="K279">
        <v>81</v>
      </c>
      <c r="L279">
        <v>1066</v>
      </c>
      <c r="M279">
        <v>7</v>
      </c>
      <c r="N279" s="196">
        <v>189.10000000000002</v>
      </c>
      <c r="O279" s="196">
        <v>189.0966160335829</v>
      </c>
      <c r="P279" s="197">
        <f>(N279-O279)/O279</f>
        <v>1.7895436143168548E-5</v>
      </c>
      <c r="Q279" s="193" t="b">
        <v>1</v>
      </c>
      <c r="R279" s="193" t="b">
        <v>0</v>
      </c>
      <c r="S279" s="193" t="str">
        <f>IF(Q279,A279&amp;"1",IF(R279,A279&amp;"3",A279&amp;"2"))</f>
        <v>WR1</v>
      </c>
      <c r="T279" s="197">
        <f>AVERAGEIFS(P:P,S:S,S279)</f>
        <v>-9.4807490640656453E-2</v>
      </c>
      <c r="U279" s="197" cm="1">
        <f t="array" ref="U279">STDEV(IF(S:S=S279,P:P))</f>
        <v>0.28789782402979236</v>
      </c>
    </row>
    <row r="280" spans="1:21" x14ac:dyDescent="0.2">
      <c r="A280" s="193" t="s">
        <v>257</v>
      </c>
      <c r="B280" t="s">
        <v>16</v>
      </c>
      <c r="C280" t="s">
        <v>112</v>
      </c>
      <c r="D280">
        <v>13</v>
      </c>
      <c r="I280">
        <v>6</v>
      </c>
      <c r="J280"/>
      <c r="K280">
        <v>108</v>
      </c>
      <c r="L280">
        <v>1243</v>
      </c>
      <c r="M280">
        <v>7</v>
      </c>
      <c r="N280" s="196">
        <v>220.9</v>
      </c>
      <c r="O280" s="196">
        <v>188.37080588355121</v>
      </c>
      <c r="P280" s="197">
        <f>(N280-O280)/O280</f>
        <v>0.17268702527374644</v>
      </c>
      <c r="Q280" s="193" t="b">
        <v>1</v>
      </c>
      <c r="R280" s="193" t="b">
        <v>0</v>
      </c>
      <c r="S280" s="193" t="str">
        <f>IF(Q280,A280&amp;"1",IF(R280,A280&amp;"3",A280&amp;"2"))</f>
        <v>WR1</v>
      </c>
      <c r="T280" s="197">
        <f>AVERAGEIFS(P:P,S:S,S280)</f>
        <v>-9.4807490640656453E-2</v>
      </c>
      <c r="U280" s="197" cm="1">
        <f t="array" ref="U280">STDEV(IF(S:S=S280,P:P))</f>
        <v>0.28789782402979236</v>
      </c>
    </row>
    <row r="281" spans="1:21" x14ac:dyDescent="0.2">
      <c r="A281" s="193" t="s">
        <v>257</v>
      </c>
      <c r="B281" t="s">
        <v>201</v>
      </c>
      <c r="C281" t="s">
        <v>134</v>
      </c>
      <c r="D281">
        <v>16</v>
      </c>
      <c r="I281"/>
      <c r="J281"/>
      <c r="K281">
        <v>66</v>
      </c>
      <c r="L281">
        <v>1114</v>
      </c>
      <c r="M281">
        <v>8</v>
      </c>
      <c r="N281" s="196">
        <v>192.4</v>
      </c>
      <c r="O281" s="196">
        <v>188.35721763550663</v>
      </c>
      <c r="P281" s="197">
        <f>(N281-O281)/O281</f>
        <v>2.1463379079620065E-2</v>
      </c>
      <c r="Q281" s="193" t="b">
        <v>1</v>
      </c>
      <c r="R281" s="193" t="b">
        <v>0</v>
      </c>
      <c r="S281" s="193" t="str">
        <f>IF(Q281,A281&amp;"1",IF(R281,A281&amp;"3",A281&amp;"2"))</f>
        <v>WR1</v>
      </c>
      <c r="T281" s="197">
        <f>AVERAGEIFS(P:P,S:S,S281)</f>
        <v>-9.4807490640656453E-2</v>
      </c>
      <c r="U281" s="197" cm="1">
        <f t="array" ref="U281">STDEV(IF(S:S=S281,P:P))</f>
        <v>0.28789782402979236</v>
      </c>
    </row>
    <row r="282" spans="1:21" x14ac:dyDescent="0.2">
      <c r="A282" s="193" t="s">
        <v>257</v>
      </c>
      <c r="B282" t="s">
        <v>13</v>
      </c>
      <c r="C282" t="s">
        <v>135</v>
      </c>
      <c r="D282">
        <v>15</v>
      </c>
      <c r="I282">
        <v>225</v>
      </c>
      <c r="J282">
        <v>5</v>
      </c>
      <c r="K282">
        <v>60</v>
      </c>
      <c r="L282">
        <v>892</v>
      </c>
      <c r="M282">
        <v>7</v>
      </c>
      <c r="N282" s="196">
        <v>213.7</v>
      </c>
      <c r="O282" s="196">
        <v>187.77475092905638</v>
      </c>
      <c r="P282" s="197">
        <f>(N282-O282)/O282</f>
        <v>0.1380656821147295</v>
      </c>
      <c r="Q282" s="193" t="b">
        <v>1</v>
      </c>
      <c r="R282" s="193" t="b">
        <v>0</v>
      </c>
      <c r="S282" s="193" t="str">
        <f>IF(Q282,A282&amp;"1",IF(R282,A282&amp;"3",A282&amp;"2"))</f>
        <v>WR1</v>
      </c>
      <c r="T282" s="197">
        <f>AVERAGEIFS(P:P,S:S,S282)</f>
        <v>-9.4807490640656453E-2</v>
      </c>
      <c r="U282" s="197" cm="1">
        <f t="array" ref="U282">STDEV(IF(S:S=S282,P:P))</f>
        <v>0.28789782402979236</v>
      </c>
    </row>
    <row r="283" spans="1:21" x14ac:dyDescent="0.2">
      <c r="A283" s="193" t="s">
        <v>257</v>
      </c>
      <c r="B283" t="s">
        <v>66</v>
      </c>
      <c r="C283" t="s">
        <v>533</v>
      </c>
      <c r="D283">
        <v>17</v>
      </c>
      <c r="I283"/>
      <c r="J283"/>
      <c r="K283">
        <v>79</v>
      </c>
      <c r="L283">
        <v>1002</v>
      </c>
      <c r="M283">
        <v>4</v>
      </c>
      <c r="N283" s="196">
        <v>163.69999999999999</v>
      </c>
      <c r="O283" s="196">
        <v>185.45630681519057</v>
      </c>
      <c r="P283" s="197">
        <f>(N283-O283)/O283</f>
        <v>-0.11731230492404339</v>
      </c>
      <c r="Q283" s="193" t="b">
        <v>1</v>
      </c>
      <c r="R283" s="193" t="b">
        <v>0</v>
      </c>
      <c r="S283" s="193" t="str">
        <f>IF(Q283,A283&amp;"1",IF(R283,A283&amp;"3",A283&amp;"2"))</f>
        <v>WR1</v>
      </c>
      <c r="T283" s="197">
        <f>AVERAGEIFS(P:P,S:S,S283)</f>
        <v>-9.4807490640656453E-2</v>
      </c>
      <c r="U283" s="197" cm="1">
        <f t="array" ref="U283">STDEV(IF(S:S=S283,P:P))</f>
        <v>0.28789782402979236</v>
      </c>
    </row>
    <row r="284" spans="1:21" x14ac:dyDescent="0.2">
      <c r="A284" s="193" t="s">
        <v>257</v>
      </c>
      <c r="B284" t="s">
        <v>17</v>
      </c>
      <c r="C284" t="s">
        <v>130</v>
      </c>
      <c r="D284">
        <v>3</v>
      </c>
      <c r="I284">
        <v>3</v>
      </c>
      <c r="J284"/>
      <c r="K284">
        <v>19</v>
      </c>
      <c r="L284">
        <v>249</v>
      </c>
      <c r="M284">
        <v>1</v>
      </c>
      <c r="N284" s="196">
        <v>40.700000000000003</v>
      </c>
      <c r="O284" s="196">
        <v>184.79340105256802</v>
      </c>
      <c r="P284" s="197">
        <f>(N284-O284)/O284</f>
        <v>-0.77975404008922322</v>
      </c>
      <c r="Q284" s="193" t="b">
        <v>1</v>
      </c>
      <c r="R284" s="193" t="b">
        <v>0</v>
      </c>
      <c r="S284" s="193" t="str">
        <f>IF(Q284,A284&amp;"1",IF(R284,A284&amp;"3",A284&amp;"2"))</f>
        <v>WR1</v>
      </c>
      <c r="T284" s="197">
        <f>AVERAGEIFS(P:P,S:S,S284)</f>
        <v>-9.4807490640656453E-2</v>
      </c>
      <c r="U284" s="197" cm="1">
        <f t="array" ref="U284">STDEV(IF(S:S=S284,P:P))</f>
        <v>0.28789782402979236</v>
      </c>
    </row>
    <row r="285" spans="1:21" x14ac:dyDescent="0.2">
      <c r="A285" s="193" t="s">
        <v>257</v>
      </c>
      <c r="B285" t="s">
        <v>37</v>
      </c>
      <c r="C285" t="s">
        <v>114</v>
      </c>
      <c r="D285">
        <v>15</v>
      </c>
      <c r="I285"/>
      <c r="J285"/>
      <c r="K285">
        <v>72</v>
      </c>
      <c r="L285">
        <v>1250</v>
      </c>
      <c r="M285">
        <v>5</v>
      </c>
      <c r="N285" s="196">
        <v>191</v>
      </c>
      <c r="O285" s="196">
        <v>183.883298165518</v>
      </c>
      <c r="P285" s="197">
        <f>(N285-O285)/O285</f>
        <v>3.8702274243939641E-2</v>
      </c>
      <c r="Q285" s="193" t="b">
        <v>1</v>
      </c>
      <c r="R285" s="193" t="b">
        <v>0</v>
      </c>
      <c r="S285" s="193" t="str">
        <f>IF(Q285,A285&amp;"1",IF(R285,A285&amp;"3",A285&amp;"2"))</f>
        <v>WR1</v>
      </c>
      <c r="T285" s="197">
        <f>AVERAGEIFS(P:P,S:S,S285)</f>
        <v>-9.4807490640656453E-2</v>
      </c>
      <c r="U285" s="197" cm="1">
        <f t="array" ref="U285">STDEV(IF(S:S=S285,P:P))</f>
        <v>0.28789782402979236</v>
      </c>
    </row>
    <row r="286" spans="1:21" x14ac:dyDescent="0.2">
      <c r="A286" s="193" t="s">
        <v>257</v>
      </c>
      <c r="B286" t="s">
        <v>238</v>
      </c>
      <c r="C286" t="s">
        <v>112</v>
      </c>
      <c r="D286">
        <v>17</v>
      </c>
      <c r="I286">
        <v>21</v>
      </c>
      <c r="J286">
        <v>1</v>
      </c>
      <c r="K286">
        <v>96</v>
      </c>
      <c r="L286">
        <v>1364</v>
      </c>
      <c r="M286">
        <v>8</v>
      </c>
      <c r="N286" s="196">
        <v>240.5</v>
      </c>
      <c r="O286" s="196">
        <v>182.80721027452122</v>
      </c>
      <c r="P286" s="197">
        <f>(N286-O286)/O286</f>
        <v>0.31559362258655788</v>
      </c>
      <c r="Q286" s="193" t="b">
        <v>1</v>
      </c>
      <c r="R286" s="193" t="b">
        <v>0</v>
      </c>
      <c r="S286" s="193" t="str">
        <f>IF(Q286,A286&amp;"1",IF(R286,A286&amp;"3",A286&amp;"2"))</f>
        <v>WR1</v>
      </c>
      <c r="T286" s="197">
        <f>AVERAGEIFS(P:P,S:S,S286)</f>
        <v>-9.4807490640656453E-2</v>
      </c>
      <c r="U286" s="197" cm="1">
        <f t="array" ref="U286">STDEV(IF(S:S=S286,P:P))</f>
        <v>0.28789782402979236</v>
      </c>
    </row>
    <row r="287" spans="1:21" x14ac:dyDescent="0.2">
      <c r="A287" s="193" t="s">
        <v>257</v>
      </c>
      <c r="B287" t="s">
        <v>75</v>
      </c>
      <c r="C287" t="s">
        <v>134</v>
      </c>
      <c r="D287">
        <v>17</v>
      </c>
      <c r="I287"/>
      <c r="J287"/>
      <c r="K287">
        <v>79</v>
      </c>
      <c r="L287">
        <v>894</v>
      </c>
      <c r="M287">
        <v>5</v>
      </c>
      <c r="N287" s="196">
        <v>158.9</v>
      </c>
      <c r="O287" s="196">
        <v>180.30568338510338</v>
      </c>
      <c r="P287" s="197">
        <f>(N287-O287)/O287</f>
        <v>-0.11871885002861692</v>
      </c>
      <c r="Q287" s="193" t="b">
        <v>1</v>
      </c>
      <c r="R287" s="193" t="b">
        <v>0</v>
      </c>
      <c r="S287" s="193" t="str">
        <f>IF(Q287,A287&amp;"1",IF(R287,A287&amp;"3",A287&amp;"2"))</f>
        <v>WR1</v>
      </c>
      <c r="T287" s="197">
        <f>AVERAGEIFS(P:P,S:S,S287)</f>
        <v>-9.4807490640656453E-2</v>
      </c>
      <c r="U287" s="197" cm="1">
        <f t="array" ref="U287">STDEV(IF(S:S=S287,P:P))</f>
        <v>0.28789782402979236</v>
      </c>
    </row>
    <row r="288" spans="1:21" x14ac:dyDescent="0.2">
      <c r="A288" s="193" t="s">
        <v>257</v>
      </c>
      <c r="B288" t="s">
        <v>638</v>
      </c>
      <c r="C288" t="s">
        <v>126</v>
      </c>
      <c r="D288">
        <v>17</v>
      </c>
      <c r="I288">
        <v>2</v>
      </c>
      <c r="J288"/>
      <c r="K288">
        <v>70</v>
      </c>
      <c r="L288">
        <v>911</v>
      </c>
      <c r="M288">
        <v>10</v>
      </c>
      <c r="N288" s="196">
        <v>186.3</v>
      </c>
      <c r="O288" s="196">
        <v>176.77315343207513</v>
      </c>
      <c r="P288" s="197">
        <f>(N288-O288)/O288</f>
        <v>5.3893062283270052E-2</v>
      </c>
      <c r="Q288" s="193" t="b">
        <v>1</v>
      </c>
      <c r="R288" s="193" t="b">
        <v>0</v>
      </c>
      <c r="S288" s="193" t="str">
        <f>IF(Q288,A288&amp;"1",IF(R288,A288&amp;"3",A288&amp;"2"))</f>
        <v>WR1</v>
      </c>
      <c r="T288" s="197">
        <f>AVERAGEIFS(P:P,S:S,S288)</f>
        <v>-9.4807490640656453E-2</v>
      </c>
      <c r="U288" s="197" cm="1">
        <f t="array" ref="U288">STDEV(IF(S:S=S288,P:P))</f>
        <v>0.28789782402979236</v>
      </c>
    </row>
    <row r="289" spans="1:21" x14ac:dyDescent="0.2">
      <c r="A289" s="193" t="s">
        <v>257</v>
      </c>
      <c r="B289" t="s">
        <v>601</v>
      </c>
      <c r="C289" t="s">
        <v>537</v>
      </c>
      <c r="D289">
        <v>17</v>
      </c>
      <c r="I289">
        <v>-2</v>
      </c>
      <c r="J289"/>
      <c r="K289">
        <v>45</v>
      </c>
      <c r="L289">
        <v>746</v>
      </c>
      <c r="M289">
        <v>7</v>
      </c>
      <c r="N289" s="196">
        <v>138.9</v>
      </c>
      <c r="O289" s="196">
        <v>176.46008169396845</v>
      </c>
      <c r="P289" s="197">
        <f>(N289-O289)/O289</f>
        <v>-0.21285313558399127</v>
      </c>
      <c r="Q289" s="193" t="b">
        <v>1</v>
      </c>
      <c r="R289" s="193" t="b">
        <v>0</v>
      </c>
      <c r="S289" s="193" t="str">
        <f>IF(Q289,A289&amp;"1",IF(R289,A289&amp;"3",A289&amp;"2"))</f>
        <v>WR1</v>
      </c>
      <c r="T289" s="197">
        <f>AVERAGEIFS(P:P,S:S,S289)</f>
        <v>-9.4807490640656453E-2</v>
      </c>
      <c r="U289" s="197" cm="1">
        <f t="array" ref="U289">STDEV(IF(S:S=S289,P:P))</f>
        <v>0.28789782402979236</v>
      </c>
    </row>
    <row r="290" spans="1:21" x14ac:dyDescent="0.2">
      <c r="A290" s="193" t="s">
        <v>10</v>
      </c>
      <c r="B290" t="s">
        <v>56</v>
      </c>
      <c r="C290" t="s">
        <v>122</v>
      </c>
      <c r="D290">
        <v>15</v>
      </c>
      <c r="K290">
        <v>93</v>
      </c>
      <c r="L290">
        <v>984</v>
      </c>
      <c r="M290">
        <v>5</v>
      </c>
      <c r="N290" s="196">
        <v>174.9</v>
      </c>
      <c r="O290" s="196">
        <v>224.5527577004236</v>
      </c>
      <c r="P290" s="197">
        <f>(N290-O290)/O290</f>
        <v>-0.22111844988635349</v>
      </c>
      <c r="Q290" s="193" t="b">
        <v>1</v>
      </c>
      <c r="R290" s="193" t="b">
        <v>0</v>
      </c>
      <c r="S290" s="193" t="str">
        <f>IF(Q290,A290&amp;"1",IF(R290,A290&amp;"3",A290&amp;"2"))</f>
        <v>TE1</v>
      </c>
      <c r="T290" s="197">
        <f>AVERAGEIFS(P:P,S:S,S290)</f>
        <v>-0.13797236305683816</v>
      </c>
      <c r="U290" s="197" cm="1">
        <f t="array" ref="U290">STDEV(IF(S:S=S290,P:P))</f>
        <v>0.28574853704600151</v>
      </c>
    </row>
    <row r="291" spans="1:21" x14ac:dyDescent="0.2">
      <c r="A291" s="193" t="s">
        <v>10</v>
      </c>
      <c r="B291" t="s">
        <v>23</v>
      </c>
      <c r="C291" t="s">
        <v>109</v>
      </c>
      <c r="D291">
        <v>10</v>
      </c>
      <c r="K291">
        <v>45</v>
      </c>
      <c r="L291">
        <v>544</v>
      </c>
      <c r="M291">
        <v>6</v>
      </c>
      <c r="N291" s="196">
        <v>112.9</v>
      </c>
      <c r="O291" s="196">
        <v>182.44202704799619</v>
      </c>
      <c r="P291" s="197">
        <f>(N291-O291)/O291</f>
        <v>-0.38117328651309779</v>
      </c>
      <c r="Q291" s="193" t="b">
        <v>1</v>
      </c>
      <c r="R291" s="193" t="b">
        <v>0</v>
      </c>
      <c r="S291" s="193" t="str">
        <f>IF(Q291,A291&amp;"1",IF(R291,A291&amp;"3",A291&amp;"2"))</f>
        <v>TE1</v>
      </c>
      <c r="T291" s="197">
        <f>AVERAGEIFS(P:P,S:S,S291)</f>
        <v>-0.13797236305683816</v>
      </c>
      <c r="U291" s="197" cm="1">
        <f t="array" ref="U291">STDEV(IF(S:S=S291,P:P))</f>
        <v>0.28574853704600151</v>
      </c>
    </row>
    <row r="292" spans="1:21" x14ac:dyDescent="0.2">
      <c r="A292" s="193" t="s">
        <v>10</v>
      </c>
      <c r="B292" t="s">
        <v>84</v>
      </c>
      <c r="C292" t="s">
        <v>129</v>
      </c>
      <c r="D292">
        <v>12</v>
      </c>
      <c r="K292">
        <v>52</v>
      </c>
      <c r="L292">
        <v>552</v>
      </c>
      <c r="M292">
        <v>1</v>
      </c>
      <c r="N292" s="196">
        <v>87.2</v>
      </c>
      <c r="O292" s="196">
        <v>181.80931561622648</v>
      </c>
      <c r="P292" s="197">
        <f>(N292-O292)/O292</f>
        <v>-0.52037661159196724</v>
      </c>
      <c r="Q292" s="193" t="b">
        <v>1</v>
      </c>
      <c r="R292" s="193" t="b">
        <v>0</v>
      </c>
      <c r="S292" s="193" t="str">
        <f>IF(Q292,A292&amp;"1",IF(R292,A292&amp;"3",A292&amp;"2"))</f>
        <v>TE1</v>
      </c>
      <c r="T292" s="197">
        <f>AVERAGEIFS(P:P,S:S,S292)</f>
        <v>-0.13797236305683816</v>
      </c>
      <c r="U292" s="197" cm="1">
        <f t="array" ref="U292">STDEV(IF(S:S=S292,P:P))</f>
        <v>0.28574853704600151</v>
      </c>
    </row>
    <row r="293" spans="1:21" x14ac:dyDescent="0.2">
      <c r="A293" s="193" t="s">
        <v>10</v>
      </c>
      <c r="B293" t="s">
        <v>45</v>
      </c>
      <c r="C293" t="s">
        <v>126</v>
      </c>
      <c r="D293">
        <v>15</v>
      </c>
      <c r="K293">
        <v>95</v>
      </c>
      <c r="L293">
        <v>960</v>
      </c>
      <c r="M293">
        <v>5</v>
      </c>
      <c r="N293" s="196">
        <v>173.5</v>
      </c>
      <c r="O293" s="196">
        <v>173.66456609490382</v>
      </c>
      <c r="P293" s="197">
        <f>(N293-O293)/O293</f>
        <v>-9.4760893718461307E-4</v>
      </c>
      <c r="Q293" s="193" t="b">
        <v>1</v>
      </c>
      <c r="R293" s="193" t="b">
        <v>0</v>
      </c>
      <c r="S293" s="193" t="str">
        <f>IF(Q293,A293&amp;"1",IF(R293,A293&amp;"3",A293&amp;"2"))</f>
        <v>TE1</v>
      </c>
      <c r="T293" s="197">
        <f>AVERAGEIFS(P:P,S:S,S293)</f>
        <v>-0.13797236305683816</v>
      </c>
      <c r="U293" s="197" cm="1">
        <f t="array" ref="U293">STDEV(IF(S:S=S293,P:P))</f>
        <v>0.28574853704600151</v>
      </c>
    </row>
    <row r="294" spans="1:21" x14ac:dyDescent="0.2">
      <c r="A294" s="193" t="s">
        <v>10</v>
      </c>
      <c r="B294" t="s">
        <v>14</v>
      </c>
      <c r="C294" t="s">
        <v>135</v>
      </c>
      <c r="D294">
        <v>16</v>
      </c>
      <c r="K294">
        <v>65</v>
      </c>
      <c r="L294">
        <v>1020</v>
      </c>
      <c r="M294">
        <v>6</v>
      </c>
      <c r="N294" s="196">
        <v>170.5</v>
      </c>
      <c r="O294" s="196">
        <v>160.72749918287673</v>
      </c>
      <c r="P294" s="197">
        <f>(N294-O294)/O294</f>
        <v>6.0801672811471183E-2</v>
      </c>
      <c r="Q294" s="193" t="b">
        <v>1</v>
      </c>
      <c r="R294" s="193" t="b">
        <v>0</v>
      </c>
      <c r="S294" s="193" t="str">
        <f>IF(Q294,A294&amp;"1",IF(R294,A294&amp;"3",A294&amp;"2"))</f>
        <v>TE1</v>
      </c>
      <c r="T294" s="197">
        <f>AVERAGEIFS(P:P,S:S,S294)</f>
        <v>-0.13797236305683816</v>
      </c>
      <c r="U294" s="197" cm="1">
        <f t="array" ref="U294">STDEV(IF(S:S=S294,P:P))</f>
        <v>0.28574853704600151</v>
      </c>
    </row>
    <row r="295" spans="1:21" x14ac:dyDescent="0.2">
      <c r="A295" s="193" t="s">
        <v>10</v>
      </c>
      <c r="B295" t="s">
        <v>82</v>
      </c>
      <c r="C295" t="s">
        <v>132</v>
      </c>
      <c r="D295">
        <v>14</v>
      </c>
      <c r="K295">
        <v>59</v>
      </c>
      <c r="L295">
        <v>592</v>
      </c>
      <c r="M295">
        <v>3</v>
      </c>
      <c r="N295" s="196">
        <v>106.7</v>
      </c>
      <c r="O295" s="196">
        <v>140.56778839078723</v>
      </c>
      <c r="P295" s="197">
        <f>(N295-O295)/O295</f>
        <v>-0.24093562813005678</v>
      </c>
      <c r="Q295" s="193" t="b">
        <v>1</v>
      </c>
      <c r="R295" s="193" t="b">
        <v>0</v>
      </c>
      <c r="S295" s="193" t="str">
        <f>IF(Q295,A295&amp;"1",IF(R295,A295&amp;"3",A295&amp;"2"))</f>
        <v>TE1</v>
      </c>
      <c r="T295" s="197">
        <f>AVERAGEIFS(P:P,S:S,S295)</f>
        <v>-0.13797236305683816</v>
      </c>
      <c r="U295" s="197" cm="1">
        <f t="array" ref="U295">STDEV(IF(S:S=S295,P:P))</f>
        <v>0.28574853704600151</v>
      </c>
    </row>
    <row r="296" spans="1:21" x14ac:dyDescent="0.2">
      <c r="A296" s="193" t="s">
        <v>10</v>
      </c>
      <c r="B296" t="s">
        <v>215</v>
      </c>
      <c r="C296" t="s">
        <v>108</v>
      </c>
      <c r="D296">
        <v>17</v>
      </c>
      <c r="K296">
        <v>53</v>
      </c>
      <c r="L296">
        <v>667</v>
      </c>
      <c r="M296">
        <v>3</v>
      </c>
      <c r="N296" s="196">
        <v>111.2</v>
      </c>
      <c r="O296" s="196">
        <v>138.52950994352989</v>
      </c>
      <c r="P296" s="197">
        <f>(N296-O296)/O296</f>
        <v>-0.19728294682245304</v>
      </c>
      <c r="Q296" s="193" t="b">
        <v>1</v>
      </c>
      <c r="R296" s="193" t="b">
        <v>0</v>
      </c>
      <c r="S296" s="193" t="str">
        <f>IF(Q296,A296&amp;"1",IF(R296,A296&amp;"3",A296&amp;"2"))</f>
        <v>TE1</v>
      </c>
      <c r="T296" s="197">
        <f>AVERAGEIFS(P:P,S:S,S296)</f>
        <v>-0.13797236305683816</v>
      </c>
      <c r="U296" s="197" cm="1">
        <f t="array" ref="U296">STDEV(IF(S:S=S296,P:P))</f>
        <v>0.28574853704600151</v>
      </c>
    </row>
    <row r="297" spans="1:21" x14ac:dyDescent="0.2">
      <c r="A297" s="193" t="s">
        <v>10</v>
      </c>
      <c r="B297" t="s">
        <v>58</v>
      </c>
      <c r="C297" t="s">
        <v>711</v>
      </c>
      <c r="D297">
        <v>15</v>
      </c>
      <c r="K297">
        <v>47</v>
      </c>
      <c r="L297">
        <v>495</v>
      </c>
      <c r="M297">
        <v>2</v>
      </c>
      <c r="N297" s="196">
        <v>85</v>
      </c>
      <c r="O297" s="196">
        <v>138.39001077242881</v>
      </c>
      <c r="P297" s="197">
        <f>(N297-O297)/O297</f>
        <v>-0.38579381903672488</v>
      </c>
      <c r="Q297" s="193" t="b">
        <v>1</v>
      </c>
      <c r="R297" s="193" t="b">
        <v>0</v>
      </c>
      <c r="S297" s="193" t="str">
        <f>IF(Q297,A297&amp;"1",IF(R297,A297&amp;"3",A297&amp;"2"))</f>
        <v>TE1</v>
      </c>
      <c r="T297" s="197">
        <f>AVERAGEIFS(P:P,S:S,S297)</f>
        <v>-0.13797236305683816</v>
      </c>
      <c r="U297" s="197" cm="1">
        <f t="array" ref="U297">STDEV(IF(S:S=S297,P:P))</f>
        <v>0.28574853704600151</v>
      </c>
    </row>
    <row r="298" spans="1:21" x14ac:dyDescent="0.2">
      <c r="A298" s="193" t="s">
        <v>10</v>
      </c>
      <c r="B298" t="s">
        <v>36</v>
      </c>
      <c r="C298" t="s">
        <v>114</v>
      </c>
      <c r="D298">
        <v>16</v>
      </c>
      <c r="K298">
        <v>81</v>
      </c>
      <c r="L298">
        <v>882</v>
      </c>
      <c r="M298">
        <v>6</v>
      </c>
      <c r="N298" s="196">
        <v>164.7</v>
      </c>
      <c r="O298" s="196">
        <v>132.8430292226715</v>
      </c>
      <c r="P298" s="197">
        <f>(N298-O298)/O298</f>
        <v>0.2398091263330786</v>
      </c>
      <c r="Q298" s="193" t="b">
        <v>1</v>
      </c>
      <c r="R298" s="193" t="b">
        <v>0</v>
      </c>
      <c r="S298" s="193" t="str">
        <f>IF(Q298,A298&amp;"1",IF(R298,A298&amp;"3",A298&amp;"2"))</f>
        <v>TE1</v>
      </c>
      <c r="T298" s="197">
        <f>AVERAGEIFS(P:P,S:S,S298)</f>
        <v>-0.13797236305683816</v>
      </c>
      <c r="U298" s="197" cm="1">
        <f t="array" ref="U298">STDEV(IF(S:S=S298,P:P))</f>
        <v>0.28574853704600151</v>
      </c>
    </row>
    <row r="299" spans="1:21" x14ac:dyDescent="0.2">
      <c r="A299" s="193" t="s">
        <v>10</v>
      </c>
      <c r="B299" t="s">
        <v>88</v>
      </c>
      <c r="C299" t="s">
        <v>537</v>
      </c>
      <c r="D299">
        <v>17</v>
      </c>
      <c r="K299">
        <v>114</v>
      </c>
      <c r="L299">
        <v>963</v>
      </c>
      <c r="M299">
        <v>4</v>
      </c>
      <c r="N299" s="196">
        <v>177.3</v>
      </c>
      <c r="O299" s="196">
        <v>132.11341947692489</v>
      </c>
      <c r="P299" s="197">
        <f>(N299-O299)/O299</f>
        <v>0.34202869551012927</v>
      </c>
      <c r="Q299" s="193" t="b">
        <v>1</v>
      </c>
      <c r="R299" s="193" t="b">
        <v>0</v>
      </c>
      <c r="S299" s="193" t="str">
        <f>IF(Q299,A299&amp;"1",IF(R299,A299&amp;"3",A299&amp;"2"))</f>
        <v>TE1</v>
      </c>
      <c r="T299" s="197">
        <f>AVERAGEIFS(P:P,S:S,S299)</f>
        <v>-0.13797236305683816</v>
      </c>
      <c r="U299" s="197" cm="1">
        <f t="array" ref="U299">STDEV(IF(S:S=S299,P:P))</f>
        <v>0.28574853704600151</v>
      </c>
    </row>
    <row r="300" spans="1:21" x14ac:dyDescent="0.2">
      <c r="A300" s="193" t="s">
        <v>10</v>
      </c>
      <c r="B300" t="s">
        <v>222</v>
      </c>
      <c r="C300" t="s">
        <v>133</v>
      </c>
      <c r="D300">
        <v>12</v>
      </c>
      <c r="K300">
        <v>32</v>
      </c>
      <c r="L300">
        <v>308</v>
      </c>
      <c r="M300">
        <v>2</v>
      </c>
      <c r="N300" s="196">
        <v>58.8</v>
      </c>
      <c r="O300" s="196">
        <v>121.31963431833421</v>
      </c>
      <c r="P300" s="197">
        <f>(N300-O300)/O300</f>
        <v>-0.5153298942056409</v>
      </c>
      <c r="Q300" s="193" t="b">
        <v>1</v>
      </c>
      <c r="R300" s="193" t="b">
        <v>0</v>
      </c>
      <c r="S300" s="193" t="str">
        <f>IF(Q300,A300&amp;"1",IF(R300,A300&amp;"3",A300&amp;"2"))</f>
        <v>TE1</v>
      </c>
      <c r="T300" s="197">
        <f>AVERAGEIFS(P:P,S:S,S300)</f>
        <v>-0.13797236305683816</v>
      </c>
      <c r="U300" s="197" cm="1">
        <f t="array" ref="U300">STDEV(IF(S:S=S300,P:P))</f>
        <v>0.28574853704600151</v>
      </c>
    </row>
    <row r="301" spans="1:21" x14ac:dyDescent="0.2">
      <c r="A301" s="193" t="s">
        <v>10</v>
      </c>
      <c r="B301" t="s">
        <v>552</v>
      </c>
      <c r="C301" t="s">
        <v>137</v>
      </c>
      <c r="D301">
        <v>17</v>
      </c>
      <c r="K301">
        <v>54</v>
      </c>
      <c r="L301">
        <v>528</v>
      </c>
      <c r="M301">
        <v>1</v>
      </c>
      <c r="N301" s="196">
        <v>85.800000000000011</v>
      </c>
      <c r="O301" s="196">
        <v>118.83018715312387</v>
      </c>
      <c r="P301" s="197">
        <f>(N301-O301)/O301</f>
        <v>-0.27796124826902241</v>
      </c>
      <c r="Q301" s="193" t="b">
        <v>1</v>
      </c>
      <c r="R301" s="193" t="b">
        <v>0</v>
      </c>
      <c r="S301" s="193" t="str">
        <f>IF(Q301,A301&amp;"1",IF(R301,A301&amp;"3",A301&amp;"2"))</f>
        <v>TE1</v>
      </c>
      <c r="T301" s="197">
        <f>AVERAGEIFS(P:P,S:S,S301)</f>
        <v>-0.13797236305683816</v>
      </c>
      <c r="U301" s="197" cm="1">
        <f t="array" ref="U301">STDEV(IF(S:S=S301,P:P))</f>
        <v>0.28574853704600151</v>
      </c>
    </row>
    <row r="302" spans="1:21" x14ac:dyDescent="0.2">
      <c r="A302" s="193" t="s">
        <v>10</v>
      </c>
      <c r="B302" t="s">
        <v>18</v>
      </c>
      <c r="C302" t="s">
        <v>127</v>
      </c>
      <c r="D302">
        <v>14</v>
      </c>
      <c r="K302">
        <v>42</v>
      </c>
      <c r="L302">
        <v>419</v>
      </c>
      <c r="M302">
        <v>6</v>
      </c>
      <c r="N302" s="196">
        <v>98.9</v>
      </c>
      <c r="O302" s="196">
        <v>112.32468213400713</v>
      </c>
      <c r="P302" s="197">
        <f>(N302-O302)/O302</f>
        <v>-0.11951676051031268</v>
      </c>
      <c r="Q302" s="193" t="b">
        <v>1</v>
      </c>
      <c r="R302" s="193" t="b">
        <v>0</v>
      </c>
      <c r="S302" s="193" t="str">
        <f>IF(Q302,A302&amp;"1",IF(R302,A302&amp;"3",A302&amp;"2"))</f>
        <v>TE1</v>
      </c>
      <c r="T302" s="197">
        <f>AVERAGEIFS(P:P,S:S,S302)</f>
        <v>-0.13797236305683816</v>
      </c>
      <c r="U302" s="197" cm="1">
        <f t="array" ref="U302">STDEV(IF(S:S=S302,P:P))</f>
        <v>0.28574853704600151</v>
      </c>
    </row>
    <row r="303" spans="1:21" x14ac:dyDescent="0.2">
      <c r="A303" s="193" t="s">
        <v>10</v>
      </c>
      <c r="B303" t="s">
        <v>164</v>
      </c>
      <c r="C303" t="s">
        <v>112</v>
      </c>
      <c r="D303">
        <v>17</v>
      </c>
      <c r="K303">
        <v>73</v>
      </c>
      <c r="L303">
        <v>719</v>
      </c>
      <c r="M303">
        <v>6</v>
      </c>
      <c r="N303" s="196">
        <v>144.4</v>
      </c>
      <c r="O303" s="196">
        <v>112.27012334528251</v>
      </c>
      <c r="P303" s="197">
        <f>(N303-O303)/O303</f>
        <v>0.28618367645240106</v>
      </c>
      <c r="Q303" s="193" t="b">
        <v>1</v>
      </c>
      <c r="R303" s="193" t="b">
        <v>0</v>
      </c>
      <c r="S303" s="193" t="str">
        <f>IF(Q303,A303&amp;"1",IF(R303,A303&amp;"3",A303&amp;"2"))</f>
        <v>TE1</v>
      </c>
      <c r="T303" s="197">
        <f>AVERAGEIFS(P:P,S:S,S303)</f>
        <v>-0.13797236305683816</v>
      </c>
      <c r="U303" s="197" cm="1">
        <f t="array" ref="U303">STDEV(IF(S:S=S303,P:P))</f>
        <v>0.28574853704600151</v>
      </c>
    </row>
    <row r="304" spans="1:21" x14ac:dyDescent="0.2">
      <c r="A304" s="193" t="s">
        <v>10</v>
      </c>
      <c r="B304" t="s">
        <v>603</v>
      </c>
      <c r="C304" t="s">
        <v>110</v>
      </c>
      <c r="D304">
        <v>16</v>
      </c>
      <c r="K304">
        <v>73</v>
      </c>
      <c r="L304">
        <v>673</v>
      </c>
      <c r="M304">
        <v>2</v>
      </c>
      <c r="N304" s="196">
        <v>115.8</v>
      </c>
      <c r="O304" s="196">
        <v>111.19421970139238</v>
      </c>
      <c r="P304" s="197">
        <f>(N304-O304)/O304</f>
        <v>4.1421040688771872E-2</v>
      </c>
      <c r="Q304" s="193" t="b">
        <v>0</v>
      </c>
      <c r="R304" s="193" t="b">
        <v>0</v>
      </c>
      <c r="S304" s="193" t="str">
        <f>IF(Q304,A304&amp;"1",IF(R304,A304&amp;"3",A304&amp;"2"))</f>
        <v>TE2</v>
      </c>
      <c r="T304" s="197">
        <f>AVERAGEIFS(P:P,S:S,S304)</f>
        <v>-0.16622726377639183</v>
      </c>
      <c r="U304" s="197" cm="1">
        <f t="array" ref="U304">STDEV(IF(S:S=S304,P:P))</f>
        <v>0.52828090109169112</v>
      </c>
    </row>
    <row r="305" spans="1:21" x14ac:dyDescent="0.2">
      <c r="A305" s="193" t="s">
        <v>10</v>
      </c>
      <c r="B305" t="s">
        <v>157</v>
      </c>
      <c r="C305" t="s">
        <v>119</v>
      </c>
      <c r="D305">
        <v>15</v>
      </c>
      <c r="K305">
        <v>59</v>
      </c>
      <c r="L305">
        <v>635</v>
      </c>
      <c r="M305">
        <v>5</v>
      </c>
      <c r="N305" s="196">
        <v>123</v>
      </c>
      <c r="O305" s="196">
        <v>107.78710020429105</v>
      </c>
      <c r="P305" s="197">
        <f>(N305-O305)/O305</f>
        <v>0.1411384086488609</v>
      </c>
      <c r="Q305" s="193" t="b">
        <v>0</v>
      </c>
      <c r="R305" s="193" t="b">
        <v>0</v>
      </c>
      <c r="S305" s="193" t="str">
        <f>IF(Q305,A305&amp;"1",IF(R305,A305&amp;"3",A305&amp;"2"))</f>
        <v>TE2</v>
      </c>
      <c r="T305" s="197">
        <f>AVERAGEIFS(P:P,S:S,S305)</f>
        <v>-0.16622726377639183</v>
      </c>
      <c r="U305" s="197" cm="1">
        <f t="array" ref="U305">STDEV(IF(S:S=S305,P:P))</f>
        <v>0.52828090109169112</v>
      </c>
    </row>
    <row r="306" spans="1:21" x14ac:dyDescent="0.2">
      <c r="A306" s="193" t="s">
        <v>10</v>
      </c>
      <c r="B306" t="s">
        <v>81</v>
      </c>
      <c r="C306" t="s">
        <v>533</v>
      </c>
      <c r="D306">
        <v>7</v>
      </c>
      <c r="K306">
        <v>27</v>
      </c>
      <c r="L306">
        <v>187</v>
      </c>
      <c r="M306">
        <v>1</v>
      </c>
      <c r="N306" s="196">
        <v>38.200000000000003</v>
      </c>
      <c r="O306" s="196">
        <v>102.28849844849999</v>
      </c>
      <c r="P306" s="197">
        <f>(N306-O306)/O306</f>
        <v>-0.62654647805556696</v>
      </c>
      <c r="Q306" s="193" t="b">
        <v>0</v>
      </c>
      <c r="R306" s="193" t="b">
        <v>0</v>
      </c>
      <c r="S306" s="193" t="str">
        <f>IF(Q306,A306&amp;"1",IF(R306,A306&amp;"3",A306&amp;"2"))</f>
        <v>TE2</v>
      </c>
      <c r="T306" s="197">
        <f>AVERAGEIFS(P:P,S:S,S306)</f>
        <v>-0.16622726377639183</v>
      </c>
      <c r="U306" s="197" cm="1">
        <f t="array" ref="U306">STDEV(IF(S:S=S306,P:P))</f>
        <v>0.52828090109169112</v>
      </c>
    </row>
    <row r="307" spans="1:21" x14ac:dyDescent="0.2">
      <c r="A307" s="193" t="s">
        <v>10</v>
      </c>
      <c r="B307" t="s">
        <v>25</v>
      </c>
      <c r="C307" t="s">
        <v>110</v>
      </c>
      <c r="D307">
        <v>12</v>
      </c>
      <c r="K307">
        <v>22</v>
      </c>
      <c r="L307">
        <v>186</v>
      </c>
      <c r="M307">
        <v>2</v>
      </c>
      <c r="N307" s="196">
        <v>41.6</v>
      </c>
      <c r="O307" s="196">
        <v>101.98897439520259</v>
      </c>
      <c r="P307" s="197">
        <f>(N307-O307)/O307</f>
        <v>-0.59211277251595928</v>
      </c>
      <c r="Q307" s="193" t="b">
        <v>0</v>
      </c>
      <c r="R307" s="193" t="b">
        <v>0</v>
      </c>
      <c r="S307" s="193" t="str">
        <f>IF(Q307,A307&amp;"1",IF(R307,A307&amp;"3",A307&amp;"2"))</f>
        <v>TE2</v>
      </c>
      <c r="T307" s="197">
        <f>AVERAGEIFS(P:P,S:S,S307)</f>
        <v>-0.16622726377639183</v>
      </c>
      <c r="U307" s="197" cm="1">
        <f t="array" ref="U307">STDEV(IF(S:S=S307,P:P))</f>
        <v>0.52828090109169112</v>
      </c>
    </row>
    <row r="308" spans="1:21" x14ac:dyDescent="0.2">
      <c r="A308" s="193" t="s">
        <v>10</v>
      </c>
      <c r="B308" t="s">
        <v>501</v>
      </c>
      <c r="C308" t="s">
        <v>115</v>
      </c>
      <c r="D308">
        <v>17</v>
      </c>
      <c r="K308">
        <v>71</v>
      </c>
      <c r="L308">
        <v>761</v>
      </c>
      <c r="M308">
        <v>5</v>
      </c>
      <c r="N308" s="196">
        <v>141.60000000000002</v>
      </c>
      <c r="O308" s="196">
        <v>100.82096199922665</v>
      </c>
      <c r="P308" s="197">
        <f>(N308-O308)/O308</f>
        <v>0.40446983635294181</v>
      </c>
      <c r="Q308" s="193" t="b">
        <v>0</v>
      </c>
      <c r="R308" s="193" t="b">
        <v>0</v>
      </c>
      <c r="S308" s="193" t="str">
        <f>IF(Q308,A308&amp;"1",IF(R308,A308&amp;"3",A308&amp;"2"))</f>
        <v>TE2</v>
      </c>
      <c r="T308" s="197">
        <f>AVERAGEIFS(P:P,S:S,S308)</f>
        <v>-0.16622726377639183</v>
      </c>
      <c r="U308" s="197" cm="1">
        <f t="array" ref="U308">STDEV(IF(S:S=S308,P:P))</f>
        <v>0.52828090109169112</v>
      </c>
    </row>
    <row r="309" spans="1:21" x14ac:dyDescent="0.2">
      <c r="A309" s="193" t="s">
        <v>10</v>
      </c>
      <c r="B309" t="s">
        <v>615</v>
      </c>
      <c r="C309" t="s">
        <v>117</v>
      </c>
      <c r="D309">
        <v>17</v>
      </c>
      <c r="K309">
        <v>86</v>
      </c>
      <c r="L309">
        <v>889</v>
      </c>
      <c r="M309">
        <v>10</v>
      </c>
      <c r="N309" s="196">
        <v>191.9</v>
      </c>
      <c r="O309" s="196">
        <v>99.61112532514457</v>
      </c>
      <c r="P309" s="197">
        <f>(N309-O309)/O309</f>
        <v>0.92649163809375423</v>
      </c>
      <c r="Q309" s="193" t="b">
        <v>0</v>
      </c>
      <c r="R309" s="193" t="b">
        <v>0</v>
      </c>
      <c r="S309" s="193" t="str">
        <f>IF(Q309,A309&amp;"1",IF(R309,A309&amp;"3",A309&amp;"2"))</f>
        <v>TE2</v>
      </c>
      <c r="T309" s="197">
        <f>AVERAGEIFS(P:P,S:S,S309)</f>
        <v>-0.16622726377639183</v>
      </c>
      <c r="U309" s="197" cm="1">
        <f t="array" ref="U309">STDEV(IF(S:S=S309,P:P))</f>
        <v>0.52828090109169112</v>
      </c>
    </row>
    <row r="310" spans="1:21" x14ac:dyDescent="0.2">
      <c r="A310" s="193" t="s">
        <v>10</v>
      </c>
      <c r="B310" t="s">
        <v>468</v>
      </c>
      <c r="C310" t="s">
        <v>128</v>
      </c>
      <c r="D310">
        <v>13</v>
      </c>
      <c r="K310">
        <v>37</v>
      </c>
      <c r="L310">
        <v>368</v>
      </c>
      <c r="M310">
        <v>4</v>
      </c>
      <c r="N310" s="196">
        <v>79.300000000000011</v>
      </c>
      <c r="O310" s="196">
        <v>98.079881682801982</v>
      </c>
      <c r="P310" s="197">
        <f>(N310-O310)/O310</f>
        <v>-0.1914753704897155</v>
      </c>
      <c r="Q310" s="193" t="b">
        <v>0</v>
      </c>
      <c r="R310" s="193" t="b">
        <v>0</v>
      </c>
      <c r="S310" s="193" t="str">
        <f>IF(Q310,A310&amp;"1",IF(R310,A310&amp;"3",A310&amp;"2"))</f>
        <v>TE2</v>
      </c>
      <c r="T310" s="197">
        <f>AVERAGEIFS(P:P,S:S,S310)</f>
        <v>-0.16622726377639183</v>
      </c>
      <c r="U310" s="197" cm="1">
        <f t="array" ref="U310">STDEV(IF(S:S=S310,P:P))</f>
        <v>0.52828090109169112</v>
      </c>
    </row>
    <row r="311" spans="1:21" x14ac:dyDescent="0.2">
      <c r="A311" s="193" t="s">
        <v>10</v>
      </c>
      <c r="B311" t="s">
        <v>487</v>
      </c>
      <c r="C311" t="s">
        <v>122</v>
      </c>
      <c r="D311">
        <v>12</v>
      </c>
      <c r="K311">
        <v>18</v>
      </c>
      <c r="L311">
        <v>115</v>
      </c>
      <c r="M311">
        <v>1</v>
      </c>
      <c r="N311" s="196">
        <v>26.5</v>
      </c>
      <c r="O311" s="196">
        <v>98.061359137818485</v>
      </c>
      <c r="P311" s="197">
        <f>(N311-O311)/O311</f>
        <v>-0.7297610370384926</v>
      </c>
      <c r="Q311" s="193" t="b">
        <v>0</v>
      </c>
      <c r="R311" s="193" t="b">
        <v>0</v>
      </c>
      <c r="S311" s="193" t="str">
        <f>IF(Q311,A311&amp;"1",IF(R311,A311&amp;"3",A311&amp;"2"))</f>
        <v>TE2</v>
      </c>
      <c r="T311" s="197">
        <f>AVERAGEIFS(P:P,S:S,S311)</f>
        <v>-0.16622726377639183</v>
      </c>
      <c r="U311" s="197" cm="1">
        <f t="array" ref="U311">STDEV(IF(S:S=S311,P:P))</f>
        <v>0.52828090109169112</v>
      </c>
    </row>
    <row r="312" spans="1:21" x14ac:dyDescent="0.2">
      <c r="A312" s="193" t="s">
        <v>10</v>
      </c>
      <c r="B312" t="s">
        <v>618</v>
      </c>
      <c r="C312" t="s">
        <v>118</v>
      </c>
      <c r="D312">
        <v>11</v>
      </c>
      <c r="K312">
        <v>34</v>
      </c>
      <c r="L312">
        <v>352</v>
      </c>
      <c r="M312">
        <v>1</v>
      </c>
      <c r="N312" s="196">
        <v>58.2</v>
      </c>
      <c r="O312" s="196">
        <v>97.802786851182233</v>
      </c>
      <c r="P312" s="197">
        <f>(N312-O312)/O312</f>
        <v>-0.40492493236866811</v>
      </c>
      <c r="Q312" s="193" t="b">
        <v>0</v>
      </c>
      <c r="R312" s="193" t="b">
        <v>0</v>
      </c>
      <c r="S312" s="193" t="str">
        <f>IF(Q312,A312&amp;"1",IF(R312,A312&amp;"3",A312&amp;"2"))</f>
        <v>TE2</v>
      </c>
      <c r="T312" s="197">
        <f>AVERAGEIFS(P:P,S:S,S312)</f>
        <v>-0.16622726377639183</v>
      </c>
      <c r="U312" s="197" cm="1">
        <f t="array" ref="U312">STDEV(IF(S:S=S312,P:P))</f>
        <v>0.52828090109169112</v>
      </c>
    </row>
    <row r="313" spans="1:21" x14ac:dyDescent="0.2">
      <c r="A313" s="193" t="s">
        <v>10</v>
      </c>
      <c r="B313" t="s">
        <v>44</v>
      </c>
      <c r="C313" t="s">
        <v>134</v>
      </c>
      <c r="D313">
        <v>17</v>
      </c>
      <c r="K313">
        <v>32</v>
      </c>
      <c r="L313">
        <v>414</v>
      </c>
      <c r="M313"/>
      <c r="N313" s="196">
        <v>57.400000000000006</v>
      </c>
      <c r="O313" s="196">
        <v>96.734479211257991</v>
      </c>
      <c r="P313" s="197">
        <f>(N313-O313)/O313</f>
        <v>-0.40662315579696867</v>
      </c>
      <c r="Q313" s="193" t="b">
        <v>0</v>
      </c>
      <c r="R313" s="193" t="b">
        <v>0</v>
      </c>
      <c r="S313" s="193" t="str">
        <f>IF(Q313,A313&amp;"1",IF(R313,A313&amp;"3",A313&amp;"2"))</f>
        <v>TE2</v>
      </c>
      <c r="T313" s="197">
        <f>AVERAGEIFS(P:P,S:S,S313)</f>
        <v>-0.16622726377639183</v>
      </c>
      <c r="U313" s="197" cm="1">
        <f t="array" ref="U313">STDEV(IF(S:S=S313,P:P))</f>
        <v>0.52828090109169112</v>
      </c>
    </row>
    <row r="314" spans="1:21" x14ac:dyDescent="0.2">
      <c r="A314" s="193" t="s">
        <v>10</v>
      </c>
      <c r="B314" t="s">
        <v>559</v>
      </c>
      <c r="C314" t="s">
        <v>107</v>
      </c>
      <c r="D314">
        <v>17</v>
      </c>
      <c r="K314">
        <v>81</v>
      </c>
      <c r="L314">
        <v>825</v>
      </c>
      <c r="M314">
        <v>3</v>
      </c>
      <c r="N314" s="196">
        <v>141</v>
      </c>
      <c r="O314" s="196">
        <v>93.404355072000016</v>
      </c>
      <c r="P314" s="197">
        <f>(N314-O314)/O314</f>
        <v>0.50956558600839597</v>
      </c>
      <c r="Q314" s="193" t="b">
        <v>0</v>
      </c>
      <c r="R314" s="193" t="b">
        <v>0</v>
      </c>
      <c r="S314" s="193" t="str">
        <f>IF(Q314,A314&amp;"1",IF(R314,A314&amp;"3",A314&amp;"2"))</f>
        <v>TE2</v>
      </c>
      <c r="T314" s="197">
        <f>AVERAGEIFS(P:P,S:S,S314)</f>
        <v>-0.16622726377639183</v>
      </c>
      <c r="U314" s="197" cm="1">
        <f t="array" ref="U314">STDEV(IF(S:S=S314,P:P))</f>
        <v>0.52828090109169112</v>
      </c>
    </row>
    <row r="315" spans="1:21" x14ac:dyDescent="0.2">
      <c r="A315" s="193" t="s">
        <v>10</v>
      </c>
      <c r="B315" t="s">
        <v>632</v>
      </c>
      <c r="C315" t="s">
        <v>192</v>
      </c>
      <c r="D315">
        <v>14</v>
      </c>
      <c r="K315">
        <v>27</v>
      </c>
      <c r="L315">
        <v>304</v>
      </c>
      <c r="M315">
        <v>2</v>
      </c>
      <c r="N315" s="196">
        <v>55.900000000000006</v>
      </c>
      <c r="O315" s="196">
        <v>92.765919307287874</v>
      </c>
      <c r="P315" s="197">
        <f>(N315-O315)/O315</f>
        <v>-0.39740800913284979</v>
      </c>
      <c r="Q315" s="193" t="b">
        <v>0</v>
      </c>
      <c r="R315" s="193" t="b">
        <v>0</v>
      </c>
      <c r="S315" s="193" t="str">
        <f>IF(Q315,A315&amp;"1",IF(R315,A315&amp;"3",A315&amp;"2"))</f>
        <v>TE2</v>
      </c>
      <c r="T315" s="197">
        <f>AVERAGEIFS(P:P,S:S,S315)</f>
        <v>-0.16622726377639183</v>
      </c>
      <c r="U315" s="197" cm="1">
        <f t="array" ref="U315">STDEV(IF(S:S=S315,P:P))</f>
        <v>0.52828090109169112</v>
      </c>
    </row>
    <row r="316" spans="1:21" x14ac:dyDescent="0.2">
      <c r="A316" s="193" t="s">
        <v>10</v>
      </c>
      <c r="B316" t="s">
        <v>57</v>
      </c>
      <c r="C316" t="s">
        <v>112</v>
      </c>
      <c r="D316">
        <v>15</v>
      </c>
      <c r="K316">
        <v>51</v>
      </c>
      <c r="L316">
        <v>411</v>
      </c>
      <c r="M316">
        <v>3</v>
      </c>
      <c r="N316" s="196">
        <v>84.6</v>
      </c>
      <c r="O316" s="196">
        <v>88.829688450900846</v>
      </c>
      <c r="P316" s="197">
        <f>(N316-O316)/O316</f>
        <v>-4.7615707368361911E-2</v>
      </c>
      <c r="Q316" s="193" t="b">
        <v>0</v>
      </c>
      <c r="R316" s="193" t="b">
        <v>0</v>
      </c>
      <c r="S316" s="193" t="str">
        <f>IF(Q316,A316&amp;"1",IF(R316,A316&amp;"3",A316&amp;"2"))</f>
        <v>TE2</v>
      </c>
      <c r="T316" s="197">
        <f>AVERAGEIFS(P:P,S:S,S316)</f>
        <v>-0.16622726377639183</v>
      </c>
      <c r="U316" s="197" cm="1">
        <f t="array" ref="U316">STDEV(IF(S:S=S316,P:P))</f>
        <v>0.52828090109169112</v>
      </c>
    </row>
    <row r="317" spans="1:21" x14ac:dyDescent="0.2">
      <c r="A317" s="193" t="s">
        <v>10</v>
      </c>
      <c r="B317" t="s">
        <v>525</v>
      </c>
      <c r="C317" t="s">
        <v>116</v>
      </c>
      <c r="D317">
        <v>2</v>
      </c>
      <c r="K317">
        <v>3</v>
      </c>
      <c r="L317">
        <v>25</v>
      </c>
      <c r="M317"/>
      <c r="N317" s="196">
        <v>4</v>
      </c>
      <c r="O317" s="196">
        <v>86.581473187303459</v>
      </c>
      <c r="P317" s="197">
        <f>(N317-O317)/O317</f>
        <v>-0.9538007398956273</v>
      </c>
      <c r="Q317" s="193" t="b">
        <v>0</v>
      </c>
      <c r="R317" s="193" t="b">
        <v>0</v>
      </c>
      <c r="S317" s="193" t="str">
        <f>IF(Q317,A317&amp;"1",IF(R317,A317&amp;"3",A317&amp;"2"))</f>
        <v>TE2</v>
      </c>
      <c r="T317" s="197">
        <f>AVERAGEIFS(P:P,S:S,S317)</f>
        <v>-0.16622726377639183</v>
      </c>
      <c r="U317" s="197" cm="1">
        <f t="array" ref="U317">STDEV(IF(S:S=S317,P:P))</f>
        <v>0.52828090109169112</v>
      </c>
    </row>
    <row r="318" spans="1:21" x14ac:dyDescent="0.2">
      <c r="A318" s="193" t="s">
        <v>9</v>
      </c>
      <c r="B318" s="195" t="s">
        <v>42</v>
      </c>
      <c r="C318" s="195" t="s">
        <v>115</v>
      </c>
      <c r="D318" s="193">
        <v>17</v>
      </c>
      <c r="E318" s="193">
        <v>4516</v>
      </c>
      <c r="F318" s="193">
        <v>410</v>
      </c>
      <c r="G318" s="193">
        <v>36</v>
      </c>
      <c r="H318" s="193">
        <v>9</v>
      </c>
      <c r="I318" s="193">
        <v>242</v>
      </c>
      <c r="J318" s="193">
        <v>2</v>
      </c>
      <c r="N318" s="196">
        <v>351.84</v>
      </c>
      <c r="O318" s="196">
        <v>306.21396082571579</v>
      </c>
      <c r="P318" s="197">
        <f>(N318-O318)/O318</f>
        <v>0.14900051928152494</v>
      </c>
      <c r="Q318" s="193" t="b">
        <v>0</v>
      </c>
      <c r="R318" s="193" t="b">
        <v>0</v>
      </c>
      <c r="S318" s="193" t="str">
        <f>IF(Q318,A318&amp;"1",IF(R318,A318&amp;"3",A318&amp;"2"))</f>
        <v>QB2</v>
      </c>
      <c r="T318" s="197">
        <f>AVERAGEIFS(P:P,S:S,S318)</f>
        <v>-0.17347833583225605</v>
      </c>
      <c r="U318" s="197" cm="1">
        <f t="array" ref="U318">STDEV(IF(S:S=S318,P:P))</f>
        <v>0.3305635402217636</v>
      </c>
    </row>
    <row r="319" spans="1:21" x14ac:dyDescent="0.2">
      <c r="A319" s="193" t="s">
        <v>9</v>
      </c>
      <c r="B319" s="195" t="s">
        <v>73</v>
      </c>
      <c r="C319" s="195" t="s">
        <v>133</v>
      </c>
      <c r="D319" s="193">
        <v>15</v>
      </c>
      <c r="E319" s="193">
        <v>3070</v>
      </c>
      <c r="F319" s="193">
        <v>297</v>
      </c>
      <c r="G319" s="193">
        <v>26</v>
      </c>
      <c r="H319" s="193">
        <v>8</v>
      </c>
      <c r="I319" s="193">
        <v>341</v>
      </c>
      <c r="J319" s="193">
        <v>3</v>
      </c>
      <c r="N319" s="196">
        <v>270.89999999999998</v>
      </c>
      <c r="O319" s="196">
        <v>296.59318059087798</v>
      </c>
      <c r="P319" s="197">
        <f>(N319-O319)/O319</f>
        <v>-8.6627684897176691E-2</v>
      </c>
      <c r="Q319" s="193" t="b">
        <v>0</v>
      </c>
      <c r="R319" s="193" t="b">
        <v>0</v>
      </c>
      <c r="S319" s="193" t="str">
        <f>IF(Q319,A319&amp;"1",IF(R319,A319&amp;"3",A319&amp;"2"))</f>
        <v>QB2</v>
      </c>
      <c r="T319" s="197">
        <f>AVERAGEIFS(P:P,S:S,S319)</f>
        <v>-0.17347833583225605</v>
      </c>
      <c r="U319" s="197" cm="1">
        <f t="array" ref="U319">STDEV(IF(S:S=S319,P:P))</f>
        <v>0.3305635402217636</v>
      </c>
    </row>
    <row r="320" spans="1:21" x14ac:dyDescent="0.2">
      <c r="A320" s="193" t="s">
        <v>9</v>
      </c>
      <c r="B320" s="195" t="s">
        <v>604</v>
      </c>
      <c r="C320" s="195" t="s">
        <v>111</v>
      </c>
      <c r="D320" s="193">
        <v>16</v>
      </c>
      <c r="E320" s="193">
        <v>2877</v>
      </c>
      <c r="F320" s="193">
        <v>315</v>
      </c>
      <c r="G320" s="193">
        <v>11</v>
      </c>
      <c r="H320" s="193">
        <v>10</v>
      </c>
      <c r="I320" s="193">
        <v>253</v>
      </c>
      <c r="N320" s="196">
        <v>174.38</v>
      </c>
      <c r="O320" s="196">
        <v>294.26252157990365</v>
      </c>
      <c r="P320" s="197">
        <f>(N320-O320)/O320</f>
        <v>-0.40739989902978829</v>
      </c>
      <c r="Q320" s="193" t="b">
        <v>0</v>
      </c>
      <c r="R320" s="193" t="b">
        <v>0</v>
      </c>
      <c r="S320" s="193" t="str">
        <f>IF(Q320,A320&amp;"1",IF(R320,A320&amp;"3",A320&amp;"2"))</f>
        <v>QB2</v>
      </c>
      <c r="T320" s="197">
        <f>AVERAGEIFS(P:P,S:S,S320)</f>
        <v>-0.17347833583225605</v>
      </c>
      <c r="U320" s="197" cm="1">
        <f t="array" ref="U320">STDEV(IF(S:S=S320,P:P))</f>
        <v>0.3305635402217636</v>
      </c>
    </row>
    <row r="321" spans="1:21" x14ac:dyDescent="0.2">
      <c r="A321" s="193" t="s">
        <v>9</v>
      </c>
      <c r="B321" s="195" t="s">
        <v>46</v>
      </c>
      <c r="C321" s="195" t="s">
        <v>711</v>
      </c>
      <c r="D321" s="193">
        <v>15</v>
      </c>
      <c r="E321" s="193">
        <v>3965</v>
      </c>
      <c r="F321" s="193">
        <v>326</v>
      </c>
      <c r="G321" s="193">
        <v>24</v>
      </c>
      <c r="H321" s="193">
        <v>11</v>
      </c>
      <c r="I321" s="193">
        <v>65</v>
      </c>
      <c r="N321" s="196">
        <v>250.1</v>
      </c>
      <c r="O321" s="196">
        <v>287.42028298073348</v>
      </c>
      <c r="P321" s="197">
        <f>(N321-O321)/O321</f>
        <v>-0.12984568310106059</v>
      </c>
      <c r="Q321" s="193" t="b">
        <v>0</v>
      </c>
      <c r="R321" s="193" t="b">
        <v>0</v>
      </c>
      <c r="S321" s="193" t="str">
        <f>IF(Q321,A321&amp;"1",IF(R321,A321&amp;"3",A321&amp;"2"))</f>
        <v>QB2</v>
      </c>
      <c r="T321" s="197">
        <f>AVERAGEIFS(P:P,S:S,S321)</f>
        <v>-0.17347833583225605</v>
      </c>
      <c r="U321" s="197" cm="1">
        <f t="array" ref="U321">STDEV(IF(S:S=S321,P:P))</f>
        <v>0.3305635402217636</v>
      </c>
    </row>
    <row r="322" spans="1:21" x14ac:dyDescent="0.2">
      <c r="A322" s="193" t="s">
        <v>9</v>
      </c>
      <c r="B322" s="195" t="s">
        <v>63</v>
      </c>
      <c r="C322" s="195" t="s">
        <v>117</v>
      </c>
      <c r="D322" s="193">
        <v>17</v>
      </c>
      <c r="E322" s="193">
        <v>4575</v>
      </c>
      <c r="F322" s="193">
        <v>407</v>
      </c>
      <c r="G322" s="193">
        <v>30</v>
      </c>
      <c r="H322" s="193">
        <v>12</v>
      </c>
      <c r="I322" s="193">
        <v>21</v>
      </c>
      <c r="J322" s="193">
        <v>2</v>
      </c>
      <c r="N322" s="196">
        <v>305.10000000000002</v>
      </c>
      <c r="O322" s="196">
        <v>286.03273448914445</v>
      </c>
      <c r="P322" s="197">
        <f>(N322-O322)/O322</f>
        <v>6.6661130744038039E-2</v>
      </c>
      <c r="Q322" s="193" t="b">
        <v>0</v>
      </c>
      <c r="R322" s="193" t="b">
        <v>0</v>
      </c>
      <c r="S322" s="193" t="str">
        <f>IF(Q322,A322&amp;"1",IF(R322,A322&amp;"3",A322&amp;"2"))</f>
        <v>QB2</v>
      </c>
      <c r="T322" s="197">
        <f>AVERAGEIFS(P:P,S:S,S322)</f>
        <v>-0.17347833583225605</v>
      </c>
      <c r="U322" s="197" cm="1">
        <f t="array" ref="U322">STDEV(IF(S:S=S322,P:P))</f>
        <v>0.3305635402217636</v>
      </c>
    </row>
    <row r="323" spans="1:21" x14ac:dyDescent="0.2">
      <c r="A323" s="193" t="s">
        <v>9</v>
      </c>
      <c r="B323" s="195" t="s">
        <v>171</v>
      </c>
      <c r="C323" s="195" t="s">
        <v>118</v>
      </c>
      <c r="D323" s="193">
        <v>17</v>
      </c>
      <c r="E323" s="193">
        <v>4159</v>
      </c>
      <c r="F323" s="193">
        <v>372</v>
      </c>
      <c r="G323" s="193">
        <v>32</v>
      </c>
      <c r="H323" s="193">
        <v>11</v>
      </c>
      <c r="I323" s="193">
        <v>247</v>
      </c>
      <c r="J323" s="193">
        <v>4</v>
      </c>
      <c r="N323" s="196">
        <v>332.06</v>
      </c>
      <c r="O323" s="196">
        <v>284.28893491449384</v>
      </c>
      <c r="P323" s="197">
        <f>(N323-O323)/O323</f>
        <v>0.16803701874599644</v>
      </c>
      <c r="Q323" s="193" t="b">
        <v>0</v>
      </c>
      <c r="R323" s="193" t="b">
        <v>0</v>
      </c>
      <c r="S323" s="193" t="str">
        <f>IF(Q323,A323&amp;"1",IF(R323,A323&amp;"3",A323&amp;"2"))</f>
        <v>QB2</v>
      </c>
      <c r="T323" s="197">
        <f>AVERAGEIFS(P:P,S:S,S323)</f>
        <v>-0.17347833583225605</v>
      </c>
      <c r="U323" s="197" cm="1">
        <f t="array" ref="U323">STDEV(IF(S:S=S323,P:P))</f>
        <v>0.3305635402217636</v>
      </c>
    </row>
    <row r="324" spans="1:21" x14ac:dyDescent="0.2">
      <c r="A324" s="193" t="s">
        <v>9</v>
      </c>
      <c r="B324" s="195" t="s">
        <v>511</v>
      </c>
      <c r="C324" s="195" t="s">
        <v>134</v>
      </c>
      <c r="D324" s="193">
        <v>17</v>
      </c>
      <c r="E324" s="193">
        <v>3946</v>
      </c>
      <c r="F324" s="193">
        <v>388</v>
      </c>
      <c r="G324" s="193">
        <v>21</v>
      </c>
      <c r="H324" s="193">
        <v>21</v>
      </c>
      <c r="I324" s="193">
        <v>263</v>
      </c>
      <c r="J324" s="193">
        <v>5</v>
      </c>
      <c r="N324" s="196">
        <v>277.14</v>
      </c>
      <c r="O324" s="196">
        <v>274.21294636457452</v>
      </c>
      <c r="P324" s="197">
        <f>(N324-O324)/O324</f>
        <v>1.0674381622864219E-2</v>
      </c>
      <c r="Q324" s="193" t="b">
        <v>0</v>
      </c>
      <c r="R324" s="193" t="b">
        <v>0</v>
      </c>
      <c r="S324" s="193" t="str">
        <f>IF(Q324,A324&amp;"1",IF(R324,A324&amp;"3",A324&amp;"2"))</f>
        <v>QB2</v>
      </c>
      <c r="T324" s="197">
        <f>AVERAGEIFS(P:P,S:S,S324)</f>
        <v>-0.17347833583225605</v>
      </c>
      <c r="U324" s="197" cm="1">
        <f t="array" ref="U324">STDEV(IF(S:S=S324,P:P))</f>
        <v>0.3305635402217636</v>
      </c>
    </row>
    <row r="325" spans="1:21" x14ac:dyDescent="0.2">
      <c r="A325" s="193" t="s">
        <v>9</v>
      </c>
      <c r="B325" s="195" t="s">
        <v>11</v>
      </c>
      <c r="C325" s="195" t="s">
        <v>711</v>
      </c>
      <c r="D325" s="193">
        <v>7</v>
      </c>
      <c r="E325" s="193">
        <v>1205</v>
      </c>
      <c r="F325" s="193">
        <v>110</v>
      </c>
      <c r="G325" s="193">
        <v>7</v>
      </c>
      <c r="H325" s="193">
        <v>9</v>
      </c>
      <c r="I325" s="193">
        <v>39</v>
      </c>
      <c r="N325" s="196">
        <v>71.100000000000009</v>
      </c>
      <c r="O325" s="196">
        <v>267.40904968899622</v>
      </c>
      <c r="P325" s="197">
        <f>(N325-O325)/O325</f>
        <v>-0.73411520633766436</v>
      </c>
      <c r="Q325" s="193" t="b">
        <v>0</v>
      </c>
      <c r="R325" s="193" t="b">
        <v>0</v>
      </c>
      <c r="S325" s="193" t="str">
        <f>IF(Q325,A325&amp;"1",IF(R325,A325&amp;"3",A325&amp;"2"))</f>
        <v>QB2</v>
      </c>
      <c r="T325" s="197">
        <f>AVERAGEIFS(P:P,S:S,S325)</f>
        <v>-0.17347833583225605</v>
      </c>
      <c r="U325" s="197" cm="1">
        <f t="array" ref="U325">STDEV(IF(S:S=S325,P:P))</f>
        <v>0.3305635402217636</v>
      </c>
    </row>
    <row r="326" spans="1:21" x14ac:dyDescent="0.2">
      <c r="A326" s="193" t="s">
        <v>9</v>
      </c>
      <c r="B326" s="195" t="s">
        <v>491</v>
      </c>
      <c r="C326" s="195" t="s">
        <v>132</v>
      </c>
      <c r="D326" s="193">
        <v>12</v>
      </c>
      <c r="E326" s="193">
        <v>2070</v>
      </c>
      <c r="F326" s="193">
        <v>201</v>
      </c>
      <c r="G326" s="193">
        <v>6</v>
      </c>
      <c r="H326" s="193">
        <v>4</v>
      </c>
      <c r="I326" s="193">
        <v>54</v>
      </c>
      <c r="J326" s="193">
        <v>1</v>
      </c>
      <c r="N326" s="196">
        <v>114.2</v>
      </c>
      <c r="O326" s="196">
        <v>263.77245388453917</v>
      </c>
      <c r="P326" s="197">
        <f>(N326-O326)/O326</f>
        <v>-0.5670510763417751</v>
      </c>
      <c r="Q326" s="193" t="b">
        <v>0</v>
      </c>
      <c r="R326" s="193" t="b">
        <v>0</v>
      </c>
      <c r="S326" s="193" t="str">
        <f>IF(Q326,A326&amp;"1",IF(R326,A326&amp;"3",A326&amp;"2"))</f>
        <v>QB2</v>
      </c>
      <c r="T326" s="197">
        <f>AVERAGEIFS(P:P,S:S,S326)</f>
        <v>-0.17347833583225605</v>
      </c>
      <c r="U326" s="197" cm="1">
        <f t="array" ref="U326">STDEV(IF(S:S=S326,P:P))</f>
        <v>0.3305635402217636</v>
      </c>
    </row>
    <row r="327" spans="1:21" x14ac:dyDescent="0.2">
      <c r="A327" s="193" t="s">
        <v>9</v>
      </c>
      <c r="B327" s="195" t="s">
        <v>588</v>
      </c>
      <c r="C327" s="195" t="s">
        <v>135</v>
      </c>
      <c r="D327" s="193">
        <v>16</v>
      </c>
      <c r="E327" s="193">
        <v>4280</v>
      </c>
      <c r="F327" s="193">
        <v>308</v>
      </c>
      <c r="G327" s="193">
        <v>31</v>
      </c>
      <c r="H327" s="193">
        <v>11</v>
      </c>
      <c r="I327" s="193">
        <v>144</v>
      </c>
      <c r="J327" s="193">
        <v>2</v>
      </c>
      <c r="N327" s="196">
        <v>310.60000000000002</v>
      </c>
      <c r="O327" s="196">
        <v>260.90182349387231</v>
      </c>
      <c r="P327" s="197">
        <f>(N327-O327)/O327</f>
        <v>0.19048612171656573</v>
      </c>
      <c r="Q327" s="193" t="b">
        <v>0</v>
      </c>
      <c r="R327" s="193" t="b">
        <v>0</v>
      </c>
      <c r="S327" s="193" t="str">
        <f>IF(Q327,A327&amp;"1",IF(R327,A327&amp;"3",A327&amp;"2"))</f>
        <v>QB2</v>
      </c>
      <c r="T327" s="197">
        <f>AVERAGEIFS(P:P,S:S,S327)</f>
        <v>-0.17347833583225605</v>
      </c>
      <c r="U327" s="197" cm="1">
        <f t="array" ref="U327">STDEV(IF(S:S=S327,P:P))</f>
        <v>0.3305635402217636</v>
      </c>
    </row>
    <row r="328" spans="1:21" x14ac:dyDescent="0.2">
      <c r="A328" s="193" t="s">
        <v>9</v>
      </c>
      <c r="B328" s="195" t="s">
        <v>83</v>
      </c>
      <c r="C328" s="195" t="s">
        <v>128</v>
      </c>
      <c r="D328" s="193">
        <v>17</v>
      </c>
      <c r="E328" s="193">
        <v>3878</v>
      </c>
      <c r="F328" s="193">
        <v>375</v>
      </c>
      <c r="G328" s="193">
        <v>25</v>
      </c>
      <c r="H328" s="193">
        <v>8</v>
      </c>
      <c r="I328" s="193">
        <v>40</v>
      </c>
      <c r="N328" s="196">
        <v>251.12</v>
      </c>
      <c r="O328" s="196">
        <v>259.6801634925929</v>
      </c>
      <c r="P328" s="197">
        <f>(N328-O328)/O328</f>
        <v>-3.2964256404733286E-2</v>
      </c>
      <c r="Q328" s="193" t="b">
        <v>0</v>
      </c>
      <c r="R328" s="193" t="b">
        <v>0</v>
      </c>
      <c r="S328" s="193" t="str">
        <f>IF(Q328,A328&amp;"1",IF(R328,A328&amp;"3",A328&amp;"2"))</f>
        <v>QB2</v>
      </c>
      <c r="T328" s="197">
        <f>AVERAGEIFS(P:P,S:S,S328)</f>
        <v>-0.17347833583225605</v>
      </c>
      <c r="U328" s="197" cm="1">
        <f t="array" ref="U328">STDEV(IF(S:S=S328,P:P))</f>
        <v>0.3305635402217636</v>
      </c>
    </row>
    <row r="329" spans="1:21" x14ac:dyDescent="0.2">
      <c r="A329" s="193" t="s">
        <v>9</v>
      </c>
      <c r="B329" s="195" t="s">
        <v>620</v>
      </c>
      <c r="C329" s="195" t="s">
        <v>119</v>
      </c>
      <c r="D329" s="193">
        <v>15</v>
      </c>
      <c r="E329" s="193">
        <v>4108</v>
      </c>
      <c r="F329" s="193">
        <v>319</v>
      </c>
      <c r="G329" s="193">
        <v>23</v>
      </c>
      <c r="H329" s="193">
        <v>5</v>
      </c>
      <c r="I329" s="193">
        <v>167</v>
      </c>
      <c r="J329" s="193">
        <v>3</v>
      </c>
      <c r="N329" s="196">
        <v>286.02</v>
      </c>
      <c r="O329" s="196">
        <v>258.30035640895341</v>
      </c>
      <c r="P329" s="197">
        <f>(N329-O329)/O329</f>
        <v>0.10731554526839103</v>
      </c>
      <c r="Q329" s="193" t="b">
        <v>0</v>
      </c>
      <c r="R329" s="193" t="b">
        <v>0</v>
      </c>
      <c r="S329" s="193" t="str">
        <f>IF(Q329,A329&amp;"1",IF(R329,A329&amp;"3",A329&amp;"2"))</f>
        <v>QB2</v>
      </c>
      <c r="T329" s="197">
        <f>AVERAGEIFS(P:P,S:S,S329)</f>
        <v>-0.17347833583225605</v>
      </c>
      <c r="U329" s="197" cm="1">
        <f t="array" ref="U329">STDEV(IF(S:S=S329,P:P))</f>
        <v>0.3305635402217636</v>
      </c>
    </row>
    <row r="330" spans="1:21" x14ac:dyDescent="0.2">
      <c r="A330" s="193" t="s">
        <v>9</v>
      </c>
      <c r="B330" s="195" t="s">
        <v>145</v>
      </c>
      <c r="C330" s="195" t="s">
        <v>137</v>
      </c>
      <c r="D330" s="193">
        <v>10</v>
      </c>
      <c r="E330" s="193">
        <v>1616</v>
      </c>
      <c r="F330" s="193">
        <v>149</v>
      </c>
      <c r="G330" s="193">
        <v>4</v>
      </c>
      <c r="H330" s="193">
        <v>7</v>
      </c>
      <c r="I330" s="193">
        <v>74</v>
      </c>
      <c r="J330" s="193">
        <v>1</v>
      </c>
      <c r="N330" s="196">
        <v>87.04</v>
      </c>
      <c r="O330" s="196">
        <v>252.82656185119882</v>
      </c>
      <c r="P330" s="197">
        <f>(N330-O330)/O330</f>
        <v>-0.65573237494236303</v>
      </c>
      <c r="Q330" s="193" t="b">
        <v>0</v>
      </c>
      <c r="R330" s="193" t="b">
        <v>0</v>
      </c>
      <c r="S330" s="193" t="str">
        <f>IF(Q330,A330&amp;"1",IF(R330,A330&amp;"3",A330&amp;"2"))</f>
        <v>QB2</v>
      </c>
      <c r="T330" s="197">
        <f>AVERAGEIFS(P:P,S:S,S330)</f>
        <v>-0.17347833583225605</v>
      </c>
      <c r="U330" s="197" cm="1">
        <f t="array" ref="U330">STDEV(IF(S:S=S330,P:P))</f>
        <v>0.3305635402217636</v>
      </c>
    </row>
    <row r="331" spans="1:21" x14ac:dyDescent="0.2">
      <c r="A331" s="193" t="s">
        <v>9</v>
      </c>
      <c r="B331" s="195" t="s">
        <v>210</v>
      </c>
      <c r="C331" s="195" t="s">
        <v>537</v>
      </c>
      <c r="D331" s="193">
        <v>11</v>
      </c>
      <c r="E331" s="193">
        <v>2120</v>
      </c>
      <c r="F331" s="193">
        <v>224</v>
      </c>
      <c r="G331" s="193">
        <v>10</v>
      </c>
      <c r="H331" s="193">
        <v>12</v>
      </c>
      <c r="I331" s="193">
        <v>96</v>
      </c>
      <c r="N331" s="196">
        <v>122.4</v>
      </c>
      <c r="O331" s="196">
        <v>248.34398689298061</v>
      </c>
      <c r="P331" s="197">
        <f>(N331-O331)/O331</f>
        <v>-0.5071352379764037</v>
      </c>
      <c r="Q331" s="193" t="b">
        <v>0</v>
      </c>
      <c r="R331" s="193" t="b">
        <v>0</v>
      </c>
      <c r="S331" s="193" t="str">
        <f>IF(Q331,A331&amp;"1",IF(R331,A331&amp;"3",A331&amp;"2"))</f>
        <v>QB2</v>
      </c>
      <c r="T331" s="197">
        <f>AVERAGEIFS(P:P,S:S,S331)</f>
        <v>-0.17347833583225605</v>
      </c>
      <c r="U331" s="197" cm="1">
        <f t="array" ref="U331">STDEV(IF(S:S=S331,P:P))</f>
        <v>0.3305635402217636</v>
      </c>
    </row>
    <row r="332" spans="1:21" x14ac:dyDescent="0.2">
      <c r="A332" s="193" t="s">
        <v>257</v>
      </c>
      <c r="B332" t="s">
        <v>103</v>
      </c>
      <c r="C332" t="s">
        <v>537</v>
      </c>
      <c r="D332">
        <v>12</v>
      </c>
      <c r="I332">
        <v>6</v>
      </c>
      <c r="J332"/>
      <c r="K332">
        <v>57</v>
      </c>
      <c r="L332">
        <v>787</v>
      </c>
      <c r="M332">
        <v>3</v>
      </c>
      <c r="N332" s="196">
        <v>125.80000000000001</v>
      </c>
      <c r="O332" s="196">
        <v>171.53592071198523</v>
      </c>
      <c r="P332" s="197">
        <f>(N332-O332)/O332</f>
        <v>-0.2666259085686048</v>
      </c>
      <c r="Q332" s="193" t="b">
        <v>0</v>
      </c>
      <c r="R332" s="193" t="b">
        <v>0</v>
      </c>
      <c r="S332" s="193" t="str">
        <f>IF(Q332,A332&amp;"1",IF(R332,A332&amp;"3",A332&amp;"2"))</f>
        <v>WR2</v>
      </c>
      <c r="T332" s="197">
        <f>AVERAGEIFS(P:P,S:S,S332)</f>
        <v>-0.22535173136648642</v>
      </c>
      <c r="U332" s="197" cm="1">
        <f t="array" ref="U332">STDEV(IF(S:S=S332,P:P))</f>
        <v>0.39801560159134025</v>
      </c>
    </row>
    <row r="333" spans="1:21" x14ac:dyDescent="0.2">
      <c r="A333" s="193" t="s">
        <v>257</v>
      </c>
      <c r="B333" t="s">
        <v>169</v>
      </c>
      <c r="C333" t="s">
        <v>114</v>
      </c>
      <c r="D333">
        <v>16</v>
      </c>
      <c r="I333"/>
      <c r="J333"/>
      <c r="K333">
        <v>54</v>
      </c>
      <c r="L333">
        <v>758</v>
      </c>
      <c r="M333">
        <v>2</v>
      </c>
      <c r="N333" s="196">
        <v>114.8</v>
      </c>
      <c r="O333" s="196">
        <v>171.08206155698551</v>
      </c>
      <c r="P333" s="197">
        <f>(N333-O333)/O333</f>
        <v>-0.32897698943286691</v>
      </c>
      <c r="Q333" s="193" t="b">
        <v>0</v>
      </c>
      <c r="R333" s="193" t="b">
        <v>0</v>
      </c>
      <c r="S333" s="193" t="str">
        <f>IF(Q333,A333&amp;"1",IF(R333,A333&amp;"3",A333&amp;"2"))</f>
        <v>WR2</v>
      </c>
      <c r="T333" s="197">
        <f>AVERAGEIFS(P:P,S:S,S333)</f>
        <v>-0.22535173136648642</v>
      </c>
      <c r="U333" s="197" cm="1">
        <f t="array" ref="U333">STDEV(IF(S:S=S333,P:P))</f>
        <v>0.39801560159134025</v>
      </c>
    </row>
    <row r="334" spans="1:21" x14ac:dyDescent="0.2">
      <c r="A334" s="193" t="s">
        <v>257</v>
      </c>
      <c r="B334" t="s">
        <v>509</v>
      </c>
      <c r="C334" t="s">
        <v>133</v>
      </c>
      <c r="D334">
        <v>17</v>
      </c>
      <c r="I334">
        <v>18</v>
      </c>
      <c r="J334"/>
      <c r="K334">
        <v>63</v>
      </c>
      <c r="L334">
        <v>1140</v>
      </c>
      <c r="M334">
        <v>5</v>
      </c>
      <c r="N334" s="196">
        <v>177.3</v>
      </c>
      <c r="O334" s="196">
        <v>169.33579636065119</v>
      </c>
      <c r="P334" s="197">
        <f>(N334-O334)/O334</f>
        <v>4.7032014556371009E-2</v>
      </c>
      <c r="Q334" s="193" t="b">
        <v>0</v>
      </c>
      <c r="R334" s="193" t="b">
        <v>0</v>
      </c>
      <c r="S334" s="193" t="str">
        <f>IF(Q334,A334&amp;"1",IF(R334,A334&amp;"3",A334&amp;"2"))</f>
        <v>WR2</v>
      </c>
      <c r="T334" s="197">
        <f>AVERAGEIFS(P:P,S:S,S334)</f>
        <v>-0.22535173136648642</v>
      </c>
      <c r="U334" s="197" cm="1">
        <f t="array" ref="U334">STDEV(IF(S:S=S334,P:P))</f>
        <v>0.39801560159134025</v>
      </c>
    </row>
    <row r="335" spans="1:21" x14ac:dyDescent="0.2">
      <c r="A335" s="193" t="s">
        <v>257</v>
      </c>
      <c r="B335" t="s">
        <v>520</v>
      </c>
      <c r="C335" t="s">
        <v>122</v>
      </c>
      <c r="D335">
        <v>14</v>
      </c>
      <c r="I335">
        <v>23</v>
      </c>
      <c r="J335"/>
      <c r="K335">
        <v>21</v>
      </c>
      <c r="L335">
        <v>244</v>
      </c>
      <c r="M335">
        <v>1</v>
      </c>
      <c r="N335" s="196">
        <v>43.2</v>
      </c>
      <c r="O335" s="196">
        <v>168.88950711828755</v>
      </c>
      <c r="P335" s="197">
        <f>(N335-O335)/O335</f>
        <v>-0.74421146264733073</v>
      </c>
      <c r="Q335" s="193" t="b">
        <v>0</v>
      </c>
      <c r="R335" s="193" t="b">
        <v>0</v>
      </c>
      <c r="S335" s="193" t="str">
        <f>IF(Q335,A335&amp;"1",IF(R335,A335&amp;"3",A335&amp;"2"))</f>
        <v>WR2</v>
      </c>
      <c r="T335" s="197">
        <f>AVERAGEIFS(P:P,S:S,S335)</f>
        <v>-0.22535173136648642</v>
      </c>
      <c r="U335" s="197" cm="1">
        <f t="array" ref="U335">STDEV(IF(S:S=S335,P:P))</f>
        <v>0.39801560159134025</v>
      </c>
    </row>
    <row r="336" spans="1:21" x14ac:dyDescent="0.2">
      <c r="A336" s="193" t="s">
        <v>257</v>
      </c>
      <c r="B336" t="s">
        <v>184</v>
      </c>
      <c r="C336" t="s">
        <v>135</v>
      </c>
      <c r="D336">
        <v>16</v>
      </c>
      <c r="I336"/>
      <c r="J336"/>
      <c r="K336">
        <v>75</v>
      </c>
      <c r="L336">
        <v>1342</v>
      </c>
      <c r="M336">
        <v>7</v>
      </c>
      <c r="N336" s="196">
        <v>213.70000000000002</v>
      </c>
      <c r="O336" s="196">
        <v>165.73280716151041</v>
      </c>
      <c r="P336" s="197">
        <f>(N336-O336)/O336</f>
        <v>0.28942484991365941</v>
      </c>
      <c r="Q336" s="193" t="b">
        <v>0</v>
      </c>
      <c r="R336" s="193" t="b">
        <v>0</v>
      </c>
      <c r="S336" s="193" t="str">
        <f>IF(Q336,A336&amp;"1",IF(R336,A336&amp;"3",A336&amp;"2"))</f>
        <v>WR2</v>
      </c>
      <c r="T336" s="197">
        <f>AVERAGEIFS(P:P,S:S,S336)</f>
        <v>-0.22535173136648642</v>
      </c>
      <c r="U336" s="197" cm="1">
        <f t="array" ref="U336">STDEV(IF(S:S=S336,P:P))</f>
        <v>0.39801560159134025</v>
      </c>
    </row>
    <row r="337" spans="1:21" x14ac:dyDescent="0.2">
      <c r="A337" s="193" t="s">
        <v>257</v>
      </c>
      <c r="B337" t="s">
        <v>471</v>
      </c>
      <c r="C337" t="s">
        <v>108</v>
      </c>
      <c r="D337">
        <v>16</v>
      </c>
      <c r="I337"/>
      <c r="J337"/>
      <c r="K337">
        <v>69</v>
      </c>
      <c r="L337">
        <v>905</v>
      </c>
      <c r="M337">
        <v>2</v>
      </c>
      <c r="N337" s="196">
        <v>137</v>
      </c>
      <c r="O337" s="196">
        <v>164.56961695199593</v>
      </c>
      <c r="P337" s="197">
        <f>(N337-O337)/O337</f>
        <v>-0.16752555825683083</v>
      </c>
      <c r="Q337" s="193" t="b">
        <v>0</v>
      </c>
      <c r="R337" s="193" t="b">
        <v>0</v>
      </c>
      <c r="S337" s="193" t="str">
        <f>IF(Q337,A337&amp;"1",IF(R337,A337&amp;"3",A337&amp;"2"))</f>
        <v>WR2</v>
      </c>
      <c r="T337" s="197">
        <f>AVERAGEIFS(P:P,S:S,S337)</f>
        <v>-0.22535173136648642</v>
      </c>
      <c r="U337" s="197" cm="1">
        <f t="array" ref="U337">STDEV(IF(S:S=S337,P:P))</f>
        <v>0.39801560159134025</v>
      </c>
    </row>
    <row r="338" spans="1:21" x14ac:dyDescent="0.2">
      <c r="A338" s="193" t="s">
        <v>257</v>
      </c>
      <c r="B338" t="s">
        <v>170</v>
      </c>
      <c r="C338" t="s">
        <v>130</v>
      </c>
      <c r="D338">
        <v>14</v>
      </c>
      <c r="I338"/>
      <c r="J338"/>
      <c r="K338">
        <v>23</v>
      </c>
      <c r="L338">
        <v>311</v>
      </c>
      <c r="M338">
        <v>1</v>
      </c>
      <c r="N338" s="196">
        <v>48.6</v>
      </c>
      <c r="O338" s="196">
        <v>162.96652371193738</v>
      </c>
      <c r="P338" s="197">
        <f>(N338-O338)/O338</f>
        <v>-0.70177924341132636</v>
      </c>
      <c r="Q338" s="193" t="b">
        <v>0</v>
      </c>
      <c r="R338" s="193" t="b">
        <v>0</v>
      </c>
      <c r="S338" s="193" t="str">
        <f>IF(Q338,A338&amp;"1",IF(R338,A338&amp;"3",A338&amp;"2"))</f>
        <v>WR2</v>
      </c>
      <c r="T338" s="197">
        <f>AVERAGEIFS(P:P,S:S,S338)</f>
        <v>-0.22535173136648642</v>
      </c>
      <c r="U338" s="197" cm="1">
        <f t="array" ref="U338">STDEV(IF(S:S=S338,P:P))</f>
        <v>0.39801560159134025</v>
      </c>
    </row>
    <row r="339" spans="1:21" x14ac:dyDescent="0.2">
      <c r="A339" s="193" t="s">
        <v>257</v>
      </c>
      <c r="B339" t="s">
        <v>71</v>
      </c>
      <c r="C339" t="s">
        <v>136</v>
      </c>
      <c r="D339">
        <v>17</v>
      </c>
      <c r="I339"/>
      <c r="J339"/>
      <c r="K339">
        <v>79</v>
      </c>
      <c r="L339">
        <v>1255</v>
      </c>
      <c r="M339">
        <v>13</v>
      </c>
      <c r="N339" s="196">
        <v>243</v>
      </c>
      <c r="O339" s="196">
        <v>162.31074654216576</v>
      </c>
      <c r="P339" s="197">
        <f>(N339-O339)/O339</f>
        <v>0.49712822580649307</v>
      </c>
      <c r="Q339" s="193" t="b">
        <v>0</v>
      </c>
      <c r="R339" s="193" t="b">
        <v>0</v>
      </c>
      <c r="S339" s="193" t="str">
        <f>IF(Q339,A339&amp;"1",IF(R339,A339&amp;"3",A339&amp;"2"))</f>
        <v>WR2</v>
      </c>
      <c r="T339" s="197">
        <f>AVERAGEIFS(P:P,S:S,S339)</f>
        <v>-0.22535173136648642</v>
      </c>
      <c r="U339" s="197" cm="1">
        <f t="array" ref="U339">STDEV(IF(S:S=S339,P:P))</f>
        <v>0.39801560159134025</v>
      </c>
    </row>
    <row r="340" spans="1:21" x14ac:dyDescent="0.2">
      <c r="A340" s="193" t="s">
        <v>257</v>
      </c>
      <c r="B340" t="s">
        <v>72</v>
      </c>
      <c r="C340" t="s">
        <v>136</v>
      </c>
      <c r="D340">
        <v>17</v>
      </c>
      <c r="I340">
        <v>38</v>
      </c>
      <c r="J340">
        <v>1</v>
      </c>
      <c r="K340">
        <v>83</v>
      </c>
      <c r="L340">
        <v>1024</v>
      </c>
      <c r="M340">
        <v>2</v>
      </c>
      <c r="N340" s="196">
        <v>165.7</v>
      </c>
      <c r="O340" s="196">
        <v>161.83878261451261</v>
      </c>
      <c r="P340" s="197">
        <f>(N340-O340)/O340</f>
        <v>2.3858418378519927E-2</v>
      </c>
      <c r="Q340" s="193" t="b">
        <v>0</v>
      </c>
      <c r="R340" s="193" t="b">
        <v>0</v>
      </c>
      <c r="S340" s="193" t="str">
        <f>IF(Q340,A340&amp;"1",IF(R340,A340&amp;"3",A340&amp;"2"))</f>
        <v>WR2</v>
      </c>
      <c r="T340" s="197">
        <f>AVERAGEIFS(P:P,S:S,S340)</f>
        <v>-0.22535173136648642</v>
      </c>
      <c r="U340" s="197" cm="1">
        <f t="array" ref="U340">STDEV(IF(S:S=S340,P:P))</f>
        <v>0.39801560159134025</v>
      </c>
    </row>
    <row r="341" spans="1:21" x14ac:dyDescent="0.2">
      <c r="A341" s="193" t="s">
        <v>257</v>
      </c>
      <c r="B341" t="s">
        <v>95</v>
      </c>
      <c r="C341" t="s">
        <v>128</v>
      </c>
      <c r="D341">
        <v>10</v>
      </c>
      <c r="I341"/>
      <c r="J341"/>
      <c r="K341">
        <v>39</v>
      </c>
      <c r="L341">
        <v>448</v>
      </c>
      <c r="M341">
        <v>1</v>
      </c>
      <c r="N341" s="196">
        <v>70.300000000000011</v>
      </c>
      <c r="O341" s="196">
        <v>161.64076617387752</v>
      </c>
      <c r="P341" s="197">
        <f>(N341-O341)/O341</f>
        <v>-0.5650849617702377</v>
      </c>
      <c r="Q341" s="193" t="b">
        <v>0</v>
      </c>
      <c r="R341" s="193" t="b">
        <v>0</v>
      </c>
      <c r="S341" s="193" t="str">
        <f>IF(Q341,A341&amp;"1",IF(R341,A341&amp;"3",A341&amp;"2"))</f>
        <v>WR2</v>
      </c>
      <c r="T341" s="197">
        <f>AVERAGEIFS(P:P,S:S,S341)</f>
        <v>-0.22535173136648642</v>
      </c>
      <c r="U341" s="197" cm="1">
        <f t="array" ref="U341">STDEV(IF(S:S=S341,P:P))</f>
        <v>0.39801560159134025</v>
      </c>
    </row>
    <row r="342" spans="1:21" x14ac:dyDescent="0.2">
      <c r="A342" s="193" t="s">
        <v>257</v>
      </c>
      <c r="B342" t="s">
        <v>43</v>
      </c>
      <c r="C342" t="s">
        <v>116</v>
      </c>
      <c r="D342">
        <v>16</v>
      </c>
      <c r="I342"/>
      <c r="J342"/>
      <c r="K342">
        <v>59</v>
      </c>
      <c r="L342">
        <v>772</v>
      </c>
      <c r="M342">
        <v>10</v>
      </c>
      <c r="N342" s="196">
        <v>166.7</v>
      </c>
      <c r="O342" s="196">
        <v>153.42312532599362</v>
      </c>
      <c r="P342" s="197">
        <f>(N342-O342)/O342</f>
        <v>8.6537636655462769E-2</v>
      </c>
      <c r="Q342" s="193" t="b">
        <v>0</v>
      </c>
      <c r="R342" s="193" t="b">
        <v>0</v>
      </c>
      <c r="S342" s="193" t="str">
        <f>IF(Q342,A342&amp;"1",IF(R342,A342&amp;"3",A342&amp;"2"))</f>
        <v>WR2</v>
      </c>
      <c r="T342" s="197">
        <f>AVERAGEIFS(P:P,S:S,S342)</f>
        <v>-0.22535173136648642</v>
      </c>
      <c r="U342" s="197" cm="1">
        <f t="array" ref="U342">STDEV(IF(S:S=S342,P:P))</f>
        <v>0.39801560159134025</v>
      </c>
    </row>
    <row r="343" spans="1:21" x14ac:dyDescent="0.2">
      <c r="A343" s="193" t="s">
        <v>257</v>
      </c>
      <c r="B343" t="s">
        <v>646</v>
      </c>
      <c r="C343" t="s">
        <v>134</v>
      </c>
      <c r="D343">
        <v>17</v>
      </c>
      <c r="I343"/>
      <c r="J343"/>
      <c r="K343">
        <v>63</v>
      </c>
      <c r="L343">
        <v>628</v>
      </c>
      <c r="M343">
        <v>4</v>
      </c>
      <c r="N343" s="196">
        <v>118.30000000000001</v>
      </c>
      <c r="O343" s="196">
        <v>153.39600212962807</v>
      </c>
      <c r="P343" s="197">
        <f>(N343-O343)/O343</f>
        <v>-0.2287934603404462</v>
      </c>
      <c r="Q343" s="193" t="b">
        <v>0</v>
      </c>
      <c r="R343" s="193" t="b">
        <v>0</v>
      </c>
      <c r="S343" s="193" t="str">
        <f>IF(Q343,A343&amp;"1",IF(R343,A343&amp;"3",A343&amp;"2"))</f>
        <v>WR2</v>
      </c>
      <c r="T343" s="197">
        <f>AVERAGEIFS(P:P,S:S,S343)</f>
        <v>-0.22535173136648642</v>
      </c>
      <c r="U343" s="197" cm="1">
        <f t="array" ref="U343">STDEV(IF(S:S=S343,P:P))</f>
        <v>0.39801560159134025</v>
      </c>
    </row>
    <row r="344" spans="1:21" x14ac:dyDescent="0.2">
      <c r="A344" s="193" t="s">
        <v>257</v>
      </c>
      <c r="B344" t="s">
        <v>59</v>
      </c>
      <c r="C344" t="s">
        <v>115</v>
      </c>
      <c r="D344">
        <v>16</v>
      </c>
      <c r="I344">
        <v>35</v>
      </c>
      <c r="J344"/>
      <c r="K344">
        <v>54</v>
      </c>
      <c r="L344">
        <v>657</v>
      </c>
      <c r="M344">
        <v>8</v>
      </c>
      <c r="N344" s="196">
        <v>144.19999999999999</v>
      </c>
      <c r="O344" s="196">
        <v>151.57421394837161</v>
      </c>
      <c r="P344" s="197">
        <f>(N344-O344)/O344</f>
        <v>-4.865084737225412E-2</v>
      </c>
      <c r="Q344" s="193" t="b">
        <v>0</v>
      </c>
      <c r="R344" s="193" t="b">
        <v>0</v>
      </c>
      <c r="S344" s="193" t="str">
        <f>IF(Q344,A344&amp;"1",IF(R344,A344&amp;"3",A344&amp;"2"))</f>
        <v>WR2</v>
      </c>
      <c r="T344" s="197">
        <f>AVERAGEIFS(P:P,S:S,S344)</f>
        <v>-0.22535173136648642</v>
      </c>
      <c r="U344" s="197" cm="1">
        <f t="array" ref="U344">STDEV(IF(S:S=S344,P:P))</f>
        <v>0.39801560159134025</v>
      </c>
    </row>
    <row r="345" spans="1:21" x14ac:dyDescent="0.2">
      <c r="A345" s="193" t="s">
        <v>257</v>
      </c>
      <c r="B345" t="s">
        <v>203</v>
      </c>
      <c r="C345" t="s">
        <v>107</v>
      </c>
      <c r="D345">
        <v>9</v>
      </c>
      <c r="I345"/>
      <c r="J345"/>
      <c r="K345">
        <v>34</v>
      </c>
      <c r="L345">
        <v>321</v>
      </c>
      <c r="M345">
        <v>2</v>
      </c>
      <c r="N345" s="196">
        <v>61.1</v>
      </c>
      <c r="O345" s="196">
        <v>150.18755470457839</v>
      </c>
      <c r="P345" s="197">
        <f>(N345-O345)/O345</f>
        <v>-0.59317534585215936</v>
      </c>
      <c r="Q345" s="193" t="b">
        <v>0</v>
      </c>
      <c r="R345" s="193" t="b">
        <v>0</v>
      </c>
      <c r="S345" s="193" t="str">
        <f>IF(Q345,A345&amp;"1",IF(R345,A345&amp;"3",A345&amp;"2"))</f>
        <v>WR2</v>
      </c>
      <c r="T345" s="197">
        <f>AVERAGEIFS(P:P,S:S,S345)</f>
        <v>-0.22535173136648642</v>
      </c>
      <c r="U345" s="197" cm="1">
        <f t="array" ref="U345">STDEV(IF(S:S=S345,P:P))</f>
        <v>0.39801560159134025</v>
      </c>
    </row>
    <row r="346" spans="1:21" x14ac:dyDescent="0.2">
      <c r="A346" s="193" t="s">
        <v>257</v>
      </c>
      <c r="B346" t="s">
        <v>50</v>
      </c>
      <c r="C346" t="s">
        <v>122</v>
      </c>
      <c r="D346">
        <v>16</v>
      </c>
      <c r="I346"/>
      <c r="J346"/>
      <c r="K346">
        <v>21</v>
      </c>
      <c r="L346">
        <v>315</v>
      </c>
      <c r="M346">
        <v>1</v>
      </c>
      <c r="N346" s="196">
        <v>48</v>
      </c>
      <c r="O346" s="196">
        <v>149.61004613929302</v>
      </c>
      <c r="P346" s="197">
        <f>(N346-O346)/O346</f>
        <v>-0.67916593010532156</v>
      </c>
      <c r="Q346" s="193" t="b">
        <v>0</v>
      </c>
      <c r="R346" s="193" t="b">
        <v>0</v>
      </c>
      <c r="S346" s="193" t="str">
        <f>IF(Q346,A346&amp;"1",IF(R346,A346&amp;"3",A346&amp;"2"))</f>
        <v>WR2</v>
      </c>
      <c r="T346" s="197">
        <f>AVERAGEIFS(P:P,S:S,S346)</f>
        <v>-0.22535173136648642</v>
      </c>
      <c r="U346" s="197" cm="1">
        <f t="array" ref="U346">STDEV(IF(S:S=S346,P:P))</f>
        <v>0.39801560159134025</v>
      </c>
    </row>
    <row r="347" spans="1:21" x14ac:dyDescent="0.2">
      <c r="A347" s="193" t="s">
        <v>257</v>
      </c>
      <c r="B347" t="s">
        <v>550</v>
      </c>
      <c r="C347" t="s">
        <v>120</v>
      </c>
      <c r="D347">
        <v>16</v>
      </c>
      <c r="I347"/>
      <c r="J347"/>
      <c r="K347">
        <v>109</v>
      </c>
      <c r="L347">
        <v>1152</v>
      </c>
      <c r="M347">
        <v>4</v>
      </c>
      <c r="N347" s="196">
        <v>193.7</v>
      </c>
      <c r="O347" s="196">
        <v>147.32864579569036</v>
      </c>
      <c r="P347" s="197">
        <f>(N347-O347)/O347</f>
        <v>0.31474771219044267</v>
      </c>
      <c r="Q347" s="193" t="b">
        <v>0</v>
      </c>
      <c r="R347" s="193" t="b">
        <v>0</v>
      </c>
      <c r="S347" s="193" t="str">
        <f>IF(Q347,A347&amp;"1",IF(R347,A347&amp;"3",A347&amp;"2"))</f>
        <v>WR2</v>
      </c>
      <c r="T347" s="197">
        <f>AVERAGEIFS(P:P,S:S,S347)</f>
        <v>-0.22535173136648642</v>
      </c>
      <c r="U347" s="197" cm="1">
        <f t="array" ref="U347">STDEV(IF(S:S=S347,P:P))</f>
        <v>0.39801560159134025</v>
      </c>
    </row>
    <row r="348" spans="1:21" x14ac:dyDescent="0.2">
      <c r="A348" s="193" t="s">
        <v>257</v>
      </c>
      <c r="B348" t="s">
        <v>605</v>
      </c>
      <c r="C348" t="s">
        <v>111</v>
      </c>
      <c r="D348">
        <v>15</v>
      </c>
      <c r="I348"/>
      <c r="J348"/>
      <c r="K348">
        <v>43</v>
      </c>
      <c r="L348">
        <v>418</v>
      </c>
      <c r="M348"/>
      <c r="N348" s="196">
        <v>63.300000000000004</v>
      </c>
      <c r="O348" s="196">
        <v>147.26314162241712</v>
      </c>
      <c r="P348" s="197">
        <f>(N348-O348)/O348</f>
        <v>-0.57015720768540112</v>
      </c>
      <c r="Q348" s="193" t="b">
        <v>0</v>
      </c>
      <c r="R348" s="193" t="b">
        <v>0</v>
      </c>
      <c r="S348" s="193" t="str">
        <f>IF(Q348,A348&amp;"1",IF(R348,A348&amp;"3",A348&amp;"2"))</f>
        <v>WR2</v>
      </c>
      <c r="T348" s="197">
        <f>AVERAGEIFS(P:P,S:S,S348)</f>
        <v>-0.22535173136648642</v>
      </c>
      <c r="U348" s="197" cm="1">
        <f t="array" ref="U348">STDEV(IF(S:S=S348,P:P))</f>
        <v>0.39801560159134025</v>
      </c>
    </row>
    <row r="349" spans="1:21" x14ac:dyDescent="0.2">
      <c r="A349" s="193" t="s">
        <v>257</v>
      </c>
      <c r="B349" t="s">
        <v>101</v>
      </c>
      <c r="C349" t="s">
        <v>111</v>
      </c>
      <c r="D349">
        <v>17</v>
      </c>
      <c r="I349">
        <v>6</v>
      </c>
      <c r="J349"/>
      <c r="K349">
        <v>103</v>
      </c>
      <c r="L349">
        <v>1014</v>
      </c>
      <c r="M349">
        <v>4</v>
      </c>
      <c r="N349" s="196">
        <v>177.5</v>
      </c>
      <c r="O349" s="196">
        <v>146.5873035192601</v>
      </c>
      <c r="P349" s="197">
        <f>(N349-O349)/O349</f>
        <v>0.21088249622299846</v>
      </c>
      <c r="Q349" s="193" t="b">
        <v>0</v>
      </c>
      <c r="R349" s="193" t="b">
        <v>0</v>
      </c>
      <c r="S349" s="193" t="str">
        <f>IF(Q349,A349&amp;"1",IF(R349,A349&amp;"3",A349&amp;"2"))</f>
        <v>WR2</v>
      </c>
      <c r="T349" s="197">
        <f>AVERAGEIFS(P:P,S:S,S349)</f>
        <v>-0.22535173136648642</v>
      </c>
      <c r="U349" s="197" cm="1">
        <f t="array" ref="U349">STDEV(IF(S:S=S349,P:P))</f>
        <v>0.39801560159134025</v>
      </c>
    </row>
    <row r="350" spans="1:21" x14ac:dyDescent="0.2">
      <c r="A350" s="193" t="s">
        <v>257</v>
      </c>
      <c r="B350" t="s">
        <v>490</v>
      </c>
      <c r="C350" t="s">
        <v>137</v>
      </c>
      <c r="D350">
        <v>11</v>
      </c>
      <c r="I350">
        <v>18</v>
      </c>
      <c r="J350"/>
      <c r="K350">
        <v>16</v>
      </c>
      <c r="L350">
        <v>221</v>
      </c>
      <c r="M350"/>
      <c r="N350" s="196">
        <v>31.900000000000002</v>
      </c>
      <c r="O350" s="196">
        <v>146.50792170981475</v>
      </c>
      <c r="P350" s="197">
        <f>(N350-O350)/O350</f>
        <v>-0.78226433337042567</v>
      </c>
      <c r="Q350" s="193" t="b">
        <v>0</v>
      </c>
      <c r="R350" s="193" t="b">
        <v>0</v>
      </c>
      <c r="S350" s="193" t="str">
        <f>IF(Q350,A350&amp;"1",IF(R350,A350&amp;"3",A350&amp;"2"))</f>
        <v>WR2</v>
      </c>
      <c r="T350" s="197">
        <f>AVERAGEIFS(P:P,S:S,S350)</f>
        <v>-0.22535173136648642</v>
      </c>
      <c r="U350" s="197" cm="1">
        <f t="array" ref="U350">STDEV(IF(S:S=S350,P:P))</f>
        <v>0.39801560159134025</v>
      </c>
    </row>
    <row r="351" spans="1:21" x14ac:dyDescent="0.2">
      <c r="A351" s="193" t="s">
        <v>257</v>
      </c>
      <c r="B351" t="s">
        <v>633</v>
      </c>
      <c r="C351" t="s">
        <v>123</v>
      </c>
      <c r="D351">
        <v>17</v>
      </c>
      <c r="I351">
        <v>9</v>
      </c>
      <c r="J351"/>
      <c r="K351">
        <v>38</v>
      </c>
      <c r="L351">
        <v>431</v>
      </c>
      <c r="M351">
        <v>2</v>
      </c>
      <c r="N351" s="196">
        <v>75</v>
      </c>
      <c r="O351" s="196">
        <v>146.30157488677921</v>
      </c>
      <c r="P351" s="197">
        <f>(N351-O351)/O351</f>
        <v>-0.4873602689646952</v>
      </c>
      <c r="Q351" s="193" t="b">
        <v>0</v>
      </c>
      <c r="R351" s="193" t="b">
        <v>0</v>
      </c>
      <c r="S351" s="193" t="str">
        <f>IF(Q351,A351&amp;"1",IF(R351,A351&amp;"3",A351&amp;"2"))</f>
        <v>WR2</v>
      </c>
      <c r="T351" s="197">
        <f>AVERAGEIFS(P:P,S:S,S351)</f>
        <v>-0.22535173136648642</v>
      </c>
      <c r="U351" s="197" cm="1">
        <f t="array" ref="U351">STDEV(IF(S:S=S351,P:P))</f>
        <v>0.39801560159134025</v>
      </c>
    </row>
    <row r="352" spans="1:21" x14ac:dyDescent="0.2">
      <c r="A352" s="193" t="s">
        <v>257</v>
      </c>
      <c r="B352" t="s">
        <v>155</v>
      </c>
      <c r="C352" t="s">
        <v>111</v>
      </c>
      <c r="D352">
        <v>13</v>
      </c>
      <c r="I352"/>
      <c r="J352"/>
      <c r="K352">
        <v>51</v>
      </c>
      <c r="L352">
        <v>717</v>
      </c>
      <c r="M352">
        <v>5</v>
      </c>
      <c r="N352" s="196">
        <v>127.2</v>
      </c>
      <c r="O352" s="196">
        <v>144.91414323693797</v>
      </c>
      <c r="P352" s="197">
        <f>(N352-O352)/O352</f>
        <v>-0.1222388846337444</v>
      </c>
      <c r="Q352" s="193" t="b">
        <v>0</v>
      </c>
      <c r="R352" s="193" t="b">
        <v>0</v>
      </c>
      <c r="S352" s="193" t="str">
        <f>IF(Q352,A352&amp;"1",IF(R352,A352&amp;"3",A352&amp;"2"))</f>
        <v>WR2</v>
      </c>
      <c r="T352" s="197">
        <f>AVERAGEIFS(P:P,S:S,S352)</f>
        <v>-0.22535173136648642</v>
      </c>
      <c r="U352" s="197" cm="1">
        <f t="array" ref="U352">STDEV(IF(S:S=S352,P:P))</f>
        <v>0.39801560159134025</v>
      </c>
    </row>
    <row r="353" spans="1:21" x14ac:dyDescent="0.2">
      <c r="A353" s="193" t="s">
        <v>257</v>
      </c>
      <c r="B353" t="s">
        <v>154</v>
      </c>
      <c r="C353" t="s">
        <v>192</v>
      </c>
      <c r="D353">
        <v>16</v>
      </c>
      <c r="I353">
        <v>24</v>
      </c>
      <c r="J353">
        <v>2</v>
      </c>
      <c r="K353">
        <v>71</v>
      </c>
      <c r="L353">
        <v>807</v>
      </c>
      <c r="M353">
        <v>8</v>
      </c>
      <c r="N353" s="196">
        <v>178.6</v>
      </c>
      <c r="O353" s="196">
        <v>144.71799711264924</v>
      </c>
      <c r="P353" s="197">
        <f>(N353-O353)/O353</f>
        <v>0.23412432153118332</v>
      </c>
      <c r="Q353" s="193" t="b">
        <v>0</v>
      </c>
      <c r="R353" s="193" t="b">
        <v>0</v>
      </c>
      <c r="S353" s="193" t="str">
        <f>IF(Q353,A353&amp;"1",IF(R353,A353&amp;"3",A353&amp;"2"))</f>
        <v>WR2</v>
      </c>
      <c r="T353" s="197">
        <f>AVERAGEIFS(P:P,S:S,S353)</f>
        <v>-0.22535173136648642</v>
      </c>
      <c r="U353" s="197" cm="1">
        <f t="array" ref="U353">STDEV(IF(S:S=S353,P:P))</f>
        <v>0.39801560159134025</v>
      </c>
    </row>
    <row r="354" spans="1:21" x14ac:dyDescent="0.2">
      <c r="A354" s="193" t="s">
        <v>257</v>
      </c>
      <c r="B354" t="s">
        <v>32</v>
      </c>
      <c r="C354" t="s">
        <v>137</v>
      </c>
      <c r="D354">
        <v>17</v>
      </c>
      <c r="I354">
        <v>11</v>
      </c>
      <c r="J354"/>
      <c r="K354">
        <v>67</v>
      </c>
      <c r="L354">
        <v>667</v>
      </c>
      <c r="M354">
        <v>2</v>
      </c>
      <c r="N354" s="196">
        <v>113.30000000000001</v>
      </c>
      <c r="O354" s="196">
        <v>139.21511967372822</v>
      </c>
      <c r="P354" s="197">
        <f>(N354-O354)/O354</f>
        <v>-0.18615161725582849</v>
      </c>
      <c r="Q354" s="193" t="b">
        <v>0</v>
      </c>
      <c r="R354" s="193" t="b">
        <v>0</v>
      </c>
      <c r="S354" s="193" t="str">
        <f>IF(Q354,A354&amp;"1",IF(R354,A354&amp;"3",A354&amp;"2"))</f>
        <v>WR2</v>
      </c>
      <c r="T354" s="197">
        <f>AVERAGEIFS(P:P,S:S,S354)</f>
        <v>-0.22535173136648642</v>
      </c>
      <c r="U354" s="197" cm="1">
        <f t="array" ref="U354">STDEV(IF(S:S=S354,P:P))</f>
        <v>0.39801560159134025</v>
      </c>
    </row>
    <row r="355" spans="1:21" x14ac:dyDescent="0.2">
      <c r="A355" s="193" t="s">
        <v>257</v>
      </c>
      <c r="B355" t="s">
        <v>592</v>
      </c>
      <c r="C355" t="s">
        <v>125</v>
      </c>
      <c r="D355">
        <v>14</v>
      </c>
      <c r="I355"/>
      <c r="J355"/>
      <c r="K355">
        <v>35</v>
      </c>
      <c r="L355">
        <v>565</v>
      </c>
      <c r="M355">
        <v>3</v>
      </c>
      <c r="N355" s="196">
        <v>92</v>
      </c>
      <c r="O355" s="196">
        <v>136.85398142950658</v>
      </c>
      <c r="P355" s="197">
        <f>(N355-O355)/O355</f>
        <v>-0.32775065044498425</v>
      </c>
      <c r="Q355" s="193" t="b">
        <v>0</v>
      </c>
      <c r="R355" s="193" t="b">
        <v>0</v>
      </c>
      <c r="S355" s="193" t="str">
        <f>IF(Q355,A355&amp;"1",IF(R355,A355&amp;"3",A355&amp;"2"))</f>
        <v>WR2</v>
      </c>
      <c r="T355" s="197">
        <f>AVERAGEIFS(P:P,S:S,S355)</f>
        <v>-0.22535173136648642</v>
      </c>
      <c r="U355" s="197" cm="1">
        <f t="array" ref="U355">STDEV(IF(S:S=S355,P:P))</f>
        <v>0.39801560159134025</v>
      </c>
    </row>
    <row r="356" spans="1:21" x14ac:dyDescent="0.2">
      <c r="A356" s="193" t="s">
        <v>257</v>
      </c>
      <c r="B356" t="s">
        <v>189</v>
      </c>
      <c r="C356" t="s">
        <v>117</v>
      </c>
      <c r="D356">
        <v>8</v>
      </c>
      <c r="I356"/>
      <c r="J356"/>
      <c r="K356">
        <v>5</v>
      </c>
      <c r="L356">
        <v>58</v>
      </c>
      <c r="M356"/>
      <c r="N356" s="196">
        <v>8.3000000000000007</v>
      </c>
      <c r="O356" s="196">
        <v>133.57256369839229</v>
      </c>
      <c r="P356" s="197">
        <f>(N356-O356)/O356</f>
        <v>-0.93786149063709334</v>
      </c>
      <c r="Q356" s="193" t="b">
        <v>0</v>
      </c>
      <c r="R356" s="193" t="b">
        <v>0</v>
      </c>
      <c r="S356" s="193" t="str">
        <f>IF(Q356,A356&amp;"1",IF(R356,A356&amp;"3",A356&amp;"2"))</f>
        <v>WR2</v>
      </c>
      <c r="T356" s="197">
        <f>AVERAGEIFS(P:P,S:S,S356)</f>
        <v>-0.22535173136648642</v>
      </c>
      <c r="U356" s="197" cm="1">
        <f t="array" ref="U356">STDEV(IF(S:S=S356,P:P))</f>
        <v>0.39801560159134025</v>
      </c>
    </row>
    <row r="357" spans="1:21" x14ac:dyDescent="0.2">
      <c r="A357" s="193" t="s">
        <v>257</v>
      </c>
      <c r="B357" t="s">
        <v>77</v>
      </c>
      <c r="C357" t="s">
        <v>127</v>
      </c>
      <c r="D357">
        <v>11</v>
      </c>
      <c r="I357"/>
      <c r="J357"/>
      <c r="K357">
        <v>29</v>
      </c>
      <c r="L357">
        <v>260</v>
      </c>
      <c r="M357">
        <v>1</v>
      </c>
      <c r="N357" s="196">
        <v>46.5</v>
      </c>
      <c r="O357" s="196">
        <v>132.92429779365278</v>
      </c>
      <c r="P357" s="197">
        <f>(N357-O357)/O357</f>
        <v>-0.65017682416359246</v>
      </c>
      <c r="Q357" s="193" t="b">
        <v>0</v>
      </c>
      <c r="R357" s="193" t="b">
        <v>0</v>
      </c>
      <c r="S357" s="193" t="str">
        <f>IF(Q357,A357&amp;"1",IF(R357,A357&amp;"3",A357&amp;"2"))</f>
        <v>WR2</v>
      </c>
      <c r="T357" s="197">
        <f>AVERAGEIFS(P:P,S:S,S357)</f>
        <v>-0.22535173136648642</v>
      </c>
      <c r="U357" s="197" cm="1">
        <f t="array" ref="U357">STDEV(IF(S:S=S357,P:P))</f>
        <v>0.39801560159134025</v>
      </c>
    </row>
    <row r="358" spans="1:21" x14ac:dyDescent="0.2">
      <c r="A358" s="193" t="s">
        <v>257</v>
      </c>
      <c r="B358" t="s">
        <v>502</v>
      </c>
      <c r="C358" t="s">
        <v>118</v>
      </c>
      <c r="D358">
        <v>17</v>
      </c>
      <c r="I358"/>
      <c r="J358"/>
      <c r="K358">
        <v>59</v>
      </c>
      <c r="L358">
        <v>674</v>
      </c>
      <c r="M358">
        <v>8</v>
      </c>
      <c r="N358" s="196">
        <v>144.9</v>
      </c>
      <c r="O358" s="196">
        <v>131.5987978749377</v>
      </c>
      <c r="P358" s="197">
        <f>(N358-O358)/O358</f>
        <v>0.10107388775468022</v>
      </c>
      <c r="Q358" s="193" t="b">
        <v>0</v>
      </c>
      <c r="R358" s="193" t="b">
        <v>0</v>
      </c>
      <c r="S358" s="193" t="str">
        <f>IF(Q358,A358&amp;"1",IF(R358,A358&amp;"3",A358&amp;"2"))</f>
        <v>WR2</v>
      </c>
      <c r="T358" s="197">
        <f>AVERAGEIFS(P:P,S:S,S358)</f>
        <v>-0.22535173136648642</v>
      </c>
      <c r="U358" s="197" cm="1">
        <f t="array" ref="U358">STDEV(IF(S:S=S358,P:P))</f>
        <v>0.39801560159134025</v>
      </c>
    </row>
    <row r="359" spans="1:21" x14ac:dyDescent="0.2">
      <c r="A359" s="193" t="s">
        <v>257</v>
      </c>
      <c r="B359" t="s">
        <v>599</v>
      </c>
      <c r="C359" t="s">
        <v>109</v>
      </c>
      <c r="D359">
        <v>16</v>
      </c>
      <c r="I359">
        <v>56</v>
      </c>
      <c r="J359">
        <v>1</v>
      </c>
      <c r="K359">
        <v>77</v>
      </c>
      <c r="L359">
        <v>858</v>
      </c>
      <c r="M359">
        <v>5</v>
      </c>
      <c r="N359" s="196">
        <v>165.9</v>
      </c>
      <c r="O359" s="196">
        <v>130.29209093511014</v>
      </c>
      <c r="P359" s="197">
        <f>(N359-O359)/O359</f>
        <v>0.27329294364171197</v>
      </c>
      <c r="Q359" s="193" t="b">
        <v>0</v>
      </c>
      <c r="R359" s="193" t="b">
        <v>0</v>
      </c>
      <c r="S359" s="193" t="str">
        <f>IF(Q359,A359&amp;"1",IF(R359,A359&amp;"3",A359&amp;"2"))</f>
        <v>WR2</v>
      </c>
      <c r="T359" s="197">
        <f>AVERAGEIFS(P:P,S:S,S359)</f>
        <v>-0.22535173136648642</v>
      </c>
      <c r="U359" s="197" cm="1">
        <f t="array" ref="U359">STDEV(IF(S:S=S359,P:P))</f>
        <v>0.39801560159134025</v>
      </c>
    </row>
    <row r="360" spans="1:21" x14ac:dyDescent="0.2">
      <c r="A360" s="193" t="s">
        <v>256</v>
      </c>
      <c r="B360" t="s">
        <v>5</v>
      </c>
      <c r="C360" t="s">
        <v>135</v>
      </c>
      <c r="D360">
        <v>16</v>
      </c>
      <c r="I360">
        <v>1459</v>
      </c>
      <c r="J360">
        <v>14</v>
      </c>
      <c r="K360">
        <v>67</v>
      </c>
      <c r="L360">
        <v>564</v>
      </c>
      <c r="M360">
        <v>7</v>
      </c>
      <c r="N360" s="196">
        <v>361.79999999999995</v>
      </c>
      <c r="O360" s="196">
        <v>300.48334873167357</v>
      </c>
      <c r="P360" s="197">
        <f>(N360-O360)/O360</f>
        <v>0.20406006365125107</v>
      </c>
      <c r="Q360" s="193" t="b">
        <v>1</v>
      </c>
      <c r="R360" s="193" t="b">
        <v>0</v>
      </c>
      <c r="S360" s="193" t="str">
        <f>IF(Q360,A360&amp;"1",IF(R360,A360&amp;"3",A360&amp;"2"))</f>
        <v>RB1</v>
      </c>
      <c r="T360" s="197">
        <f>AVERAGEIFS(P:P,S:S,S360)</f>
        <v>-0.22834619306062751</v>
      </c>
      <c r="U360" s="197" cm="1">
        <f t="array" ref="U360">STDEV(IF(S:S=S360,P:P))</f>
        <v>0.35812528282698708</v>
      </c>
    </row>
    <row r="361" spans="1:21" x14ac:dyDescent="0.2">
      <c r="A361" s="193" t="s">
        <v>256</v>
      </c>
      <c r="B361" t="s">
        <v>15</v>
      </c>
      <c r="C361" t="s">
        <v>533</v>
      </c>
      <c r="D361">
        <v>14</v>
      </c>
      <c r="I361">
        <v>628</v>
      </c>
      <c r="J361">
        <v>5</v>
      </c>
      <c r="K361">
        <v>51</v>
      </c>
      <c r="L361">
        <v>436</v>
      </c>
      <c r="M361">
        <v>1</v>
      </c>
      <c r="N361" s="196">
        <v>167.9</v>
      </c>
      <c r="O361" s="196">
        <v>273.37297478652124</v>
      </c>
      <c r="P361" s="197">
        <f>(N361-O361)/O361</f>
        <v>-0.38582078154903854</v>
      </c>
      <c r="Q361" s="193" t="b">
        <v>1</v>
      </c>
      <c r="R361" s="193" t="b">
        <v>0</v>
      </c>
      <c r="S361" s="193" t="str">
        <f>IF(Q361,A361&amp;"1",IF(R361,A361&amp;"3",A361&amp;"2"))</f>
        <v>RB1</v>
      </c>
      <c r="T361" s="197">
        <f>AVERAGEIFS(P:P,S:S,S361)</f>
        <v>-0.22834619306062751</v>
      </c>
      <c r="U361" s="197" cm="1">
        <f t="array" ref="U361">STDEV(IF(S:S=S361,P:P))</f>
        <v>0.35812528282698708</v>
      </c>
    </row>
    <row r="362" spans="1:21" x14ac:dyDescent="0.2">
      <c r="A362" s="193" t="s">
        <v>256</v>
      </c>
      <c r="B362" t="s">
        <v>35</v>
      </c>
      <c r="C362" t="s">
        <v>114</v>
      </c>
      <c r="D362">
        <v>2</v>
      </c>
      <c r="I362">
        <v>170</v>
      </c>
      <c r="J362"/>
      <c r="K362">
        <v>4</v>
      </c>
      <c r="L362">
        <v>21</v>
      </c>
      <c r="M362"/>
      <c r="N362" s="196">
        <v>21.1</v>
      </c>
      <c r="O362" s="196">
        <v>265.48568433042442</v>
      </c>
      <c r="P362" s="197">
        <f>(N362-O362)/O362</f>
        <v>-0.92052302159637778</v>
      </c>
      <c r="Q362" s="193" t="b">
        <v>1</v>
      </c>
      <c r="R362" s="193" t="b">
        <v>0</v>
      </c>
      <c r="S362" s="193" t="str">
        <f>IF(Q362,A362&amp;"1",IF(R362,A362&amp;"3",A362&amp;"2"))</f>
        <v>RB1</v>
      </c>
      <c r="T362" s="197">
        <f>AVERAGEIFS(P:P,S:S,S362)</f>
        <v>-0.22834619306062751</v>
      </c>
      <c r="U362" s="197" cm="1">
        <f t="array" ref="U362">STDEV(IF(S:S=S362,P:P))</f>
        <v>0.35812528282698708</v>
      </c>
    </row>
    <row r="363" spans="1:21" x14ac:dyDescent="0.2">
      <c r="A363" s="193" t="s">
        <v>256</v>
      </c>
      <c r="B363" t="s">
        <v>67</v>
      </c>
      <c r="C363" t="s">
        <v>109</v>
      </c>
      <c r="D363">
        <v>17</v>
      </c>
      <c r="I363">
        <v>1167</v>
      </c>
      <c r="J363">
        <v>12</v>
      </c>
      <c r="K363">
        <v>28</v>
      </c>
      <c r="L363">
        <v>214</v>
      </c>
      <c r="M363"/>
      <c r="N363" s="196">
        <v>224.1</v>
      </c>
      <c r="O363" s="196">
        <v>257.94009790393397</v>
      </c>
      <c r="P363" s="197">
        <f>(N363-O363)/O363</f>
        <v>-0.13119363053253252</v>
      </c>
      <c r="Q363" s="193" t="b">
        <v>1</v>
      </c>
      <c r="R363" s="193" t="b">
        <v>0</v>
      </c>
      <c r="S363" s="193" t="str">
        <f>IF(Q363,A363&amp;"1",IF(R363,A363&amp;"3",A363&amp;"2"))</f>
        <v>RB1</v>
      </c>
      <c r="T363" s="197">
        <f>AVERAGEIFS(P:P,S:S,S363)</f>
        <v>-0.22834619306062751</v>
      </c>
      <c r="U363" s="197" cm="1">
        <f t="array" ref="U363">STDEV(IF(S:S=S363,P:P))</f>
        <v>0.35812528282698708</v>
      </c>
    </row>
    <row r="364" spans="1:21" x14ac:dyDescent="0.2">
      <c r="A364" s="193" t="s">
        <v>256</v>
      </c>
      <c r="B364" t="s">
        <v>91</v>
      </c>
      <c r="C364" t="s">
        <v>132</v>
      </c>
      <c r="D364">
        <v>14</v>
      </c>
      <c r="I364">
        <v>962</v>
      </c>
      <c r="J364">
        <v>6</v>
      </c>
      <c r="K364">
        <v>41</v>
      </c>
      <c r="L364">
        <v>280</v>
      </c>
      <c r="M364">
        <v>4</v>
      </c>
      <c r="N364" s="196">
        <v>204.7</v>
      </c>
      <c r="O364" s="196">
        <v>257.43786489805166</v>
      </c>
      <c r="P364" s="197">
        <f>(N364-O364)/O364</f>
        <v>-0.20485667451808795</v>
      </c>
      <c r="Q364" s="193" t="b">
        <v>1</v>
      </c>
      <c r="R364" s="193" t="b">
        <v>0</v>
      </c>
      <c r="S364" s="193" t="str">
        <f>IF(Q364,A364&amp;"1",IF(R364,A364&amp;"3",A364&amp;"2"))</f>
        <v>RB1</v>
      </c>
      <c r="T364" s="197">
        <f>AVERAGEIFS(P:P,S:S,S364)</f>
        <v>-0.22834619306062751</v>
      </c>
      <c r="U364" s="197" cm="1">
        <f t="array" ref="U364">STDEV(IF(S:S=S364,P:P))</f>
        <v>0.35812528282698708</v>
      </c>
    </row>
    <row r="365" spans="1:21" x14ac:dyDescent="0.2">
      <c r="A365" s="193" t="s">
        <v>256</v>
      </c>
      <c r="B365" t="s">
        <v>41</v>
      </c>
      <c r="C365" t="s">
        <v>137</v>
      </c>
      <c r="D365">
        <v>17</v>
      </c>
      <c r="I365">
        <v>1005</v>
      </c>
      <c r="J365">
        <v>6</v>
      </c>
      <c r="K365">
        <v>55</v>
      </c>
      <c r="L365">
        <v>311</v>
      </c>
      <c r="M365"/>
      <c r="N365" s="196">
        <v>195.1</v>
      </c>
      <c r="O365" s="196">
        <v>254.78691973258191</v>
      </c>
      <c r="P365" s="197">
        <f>(N365-O365)/O365</f>
        <v>-0.23426210338909015</v>
      </c>
      <c r="Q365" s="193" t="b">
        <v>1</v>
      </c>
      <c r="R365" s="193" t="b">
        <v>0</v>
      </c>
      <c r="S365" s="193" t="str">
        <f>IF(Q365,A365&amp;"1",IF(R365,A365&amp;"3",A365&amp;"2"))</f>
        <v>RB1</v>
      </c>
      <c r="T365" s="197">
        <f>AVERAGEIFS(P:P,S:S,S365)</f>
        <v>-0.22834619306062751</v>
      </c>
      <c r="U365" s="197" cm="1">
        <f t="array" ref="U365">STDEV(IF(S:S=S365,P:P))</f>
        <v>0.35812528282698708</v>
      </c>
    </row>
    <row r="366" spans="1:21" x14ac:dyDescent="0.2">
      <c r="A366" s="193" t="s">
        <v>256</v>
      </c>
      <c r="B366" t="s">
        <v>598</v>
      </c>
      <c r="C366" t="s">
        <v>108</v>
      </c>
      <c r="D366">
        <v>17</v>
      </c>
      <c r="I366">
        <v>976</v>
      </c>
      <c r="J366">
        <v>4</v>
      </c>
      <c r="K366">
        <v>58</v>
      </c>
      <c r="L366">
        <v>487</v>
      </c>
      <c r="M366">
        <v>4</v>
      </c>
      <c r="N366" s="196">
        <v>223.3</v>
      </c>
      <c r="O366" s="196">
        <v>254.16479553306854</v>
      </c>
      <c r="P366" s="197">
        <f>(N366-O366)/O366</f>
        <v>-0.1214361551069051</v>
      </c>
      <c r="Q366" s="193" t="b">
        <v>1</v>
      </c>
      <c r="R366" s="193" t="b">
        <v>0</v>
      </c>
      <c r="S366" s="193" t="str">
        <f>IF(Q366,A366&amp;"1",IF(R366,A366&amp;"3",A366&amp;"2"))</f>
        <v>RB1</v>
      </c>
      <c r="T366" s="197">
        <f>AVERAGEIFS(P:P,S:S,S366)</f>
        <v>-0.22834619306062751</v>
      </c>
      <c r="U366" s="197" cm="1">
        <f t="array" ref="U366">STDEV(IF(S:S=S366,P:P))</f>
        <v>0.35812528282698708</v>
      </c>
    </row>
    <row r="367" spans="1:21" x14ac:dyDescent="0.2">
      <c r="A367" s="193" t="s">
        <v>256</v>
      </c>
      <c r="B367" t="s">
        <v>86</v>
      </c>
      <c r="C367" t="s">
        <v>118</v>
      </c>
      <c r="D367">
        <v>13</v>
      </c>
      <c r="I367">
        <v>805</v>
      </c>
      <c r="J367">
        <v>6</v>
      </c>
      <c r="K367">
        <v>37</v>
      </c>
      <c r="L367">
        <v>296</v>
      </c>
      <c r="M367"/>
      <c r="N367" s="196">
        <v>164.6</v>
      </c>
      <c r="O367" s="196">
        <v>228.04531439642474</v>
      </c>
      <c r="P367" s="197">
        <f>(N367-O367)/O367</f>
        <v>-0.27821362856916226</v>
      </c>
      <c r="Q367" s="193" t="b">
        <v>1</v>
      </c>
      <c r="R367" s="193" t="b">
        <v>0</v>
      </c>
      <c r="S367" s="193" t="str">
        <f>IF(Q367,A367&amp;"1",IF(R367,A367&amp;"3",A367&amp;"2"))</f>
        <v>RB1</v>
      </c>
      <c r="T367" s="197">
        <f>AVERAGEIFS(P:P,S:S,S367)</f>
        <v>-0.22834619306062751</v>
      </c>
      <c r="U367" s="197" cm="1">
        <f t="array" ref="U367">STDEV(IF(S:S=S367,P:P))</f>
        <v>0.35812528282698708</v>
      </c>
    </row>
    <row r="368" spans="1:21" x14ac:dyDescent="0.2">
      <c r="A368" s="193" t="s">
        <v>256</v>
      </c>
      <c r="B368" t="s">
        <v>231</v>
      </c>
      <c r="C368" t="s">
        <v>127</v>
      </c>
      <c r="D368">
        <v>12</v>
      </c>
      <c r="I368">
        <v>619</v>
      </c>
      <c r="J368">
        <v>4</v>
      </c>
      <c r="K368">
        <v>38</v>
      </c>
      <c r="L368">
        <v>238</v>
      </c>
      <c r="M368"/>
      <c r="N368" s="196">
        <v>128.70000000000002</v>
      </c>
      <c r="O368" s="196">
        <v>219.66601335836557</v>
      </c>
      <c r="P368" s="197">
        <f>(N368-O368)/O368</f>
        <v>-0.41411054886293491</v>
      </c>
      <c r="Q368" s="193" t="b">
        <v>1</v>
      </c>
      <c r="R368" s="193" t="b">
        <v>0</v>
      </c>
      <c r="S368" s="193" t="str">
        <f>IF(Q368,A368&amp;"1",IF(R368,A368&amp;"3",A368&amp;"2"))</f>
        <v>RB1</v>
      </c>
      <c r="T368" s="197">
        <f>AVERAGEIFS(P:P,S:S,S368)</f>
        <v>-0.22834619306062751</v>
      </c>
      <c r="U368" s="197" cm="1">
        <f t="array" ref="U368">STDEV(IF(S:S=S368,P:P))</f>
        <v>0.35812528282698708</v>
      </c>
    </row>
    <row r="369" spans="1:21" x14ac:dyDescent="0.2">
      <c r="A369" s="193" t="s">
        <v>256</v>
      </c>
      <c r="B369" t="s">
        <v>33</v>
      </c>
      <c r="C369" t="s">
        <v>119</v>
      </c>
      <c r="D369">
        <v>17</v>
      </c>
      <c r="I369">
        <v>1034</v>
      </c>
      <c r="J369">
        <v>9</v>
      </c>
      <c r="K369">
        <v>52</v>
      </c>
      <c r="L369">
        <v>376</v>
      </c>
      <c r="M369">
        <v>3</v>
      </c>
      <c r="N369" s="196">
        <v>239</v>
      </c>
      <c r="O369" s="196">
        <v>218.79658404116833</v>
      </c>
      <c r="P369" s="197">
        <f>(N369-O369)/O369</f>
        <v>9.2338808886660836E-2</v>
      </c>
      <c r="Q369" s="193" t="b">
        <v>1</v>
      </c>
      <c r="R369" s="193" t="b">
        <v>0</v>
      </c>
      <c r="S369" s="193" t="str">
        <f>IF(Q369,A369&amp;"1",IF(R369,A369&amp;"3",A369&amp;"2"))</f>
        <v>RB1</v>
      </c>
      <c r="T369" s="197">
        <f>AVERAGEIFS(P:P,S:S,S369)</f>
        <v>-0.22834619306062751</v>
      </c>
      <c r="U369" s="197" cm="1">
        <f t="array" ref="U369">STDEV(IF(S:S=S369,P:P))</f>
        <v>0.35812528282698708</v>
      </c>
    </row>
    <row r="370" spans="1:21" x14ac:dyDescent="0.2">
      <c r="A370" s="193" t="s">
        <v>256</v>
      </c>
      <c r="B370" t="s">
        <v>613</v>
      </c>
      <c r="C370" t="s">
        <v>117</v>
      </c>
      <c r="D370">
        <v>15</v>
      </c>
      <c r="I370">
        <v>945</v>
      </c>
      <c r="J370">
        <v>10</v>
      </c>
      <c r="K370">
        <v>52</v>
      </c>
      <c r="L370">
        <v>316</v>
      </c>
      <c r="M370">
        <v>1</v>
      </c>
      <c r="N370" s="196">
        <v>218.1</v>
      </c>
      <c r="O370" s="196">
        <v>218.44083642233855</v>
      </c>
      <c r="P370" s="197">
        <f>(N370-O370)/O370</f>
        <v>-1.5603145818374991E-3</v>
      </c>
      <c r="Q370" s="193" t="b">
        <v>1</v>
      </c>
      <c r="R370" s="193" t="b">
        <v>0</v>
      </c>
      <c r="S370" s="193" t="str">
        <f>IF(Q370,A370&amp;"1",IF(R370,A370&amp;"3",A370&amp;"2"))</f>
        <v>RB1</v>
      </c>
      <c r="T370" s="197">
        <f>AVERAGEIFS(P:P,S:S,S370)</f>
        <v>-0.22834619306062751</v>
      </c>
      <c r="U370" s="197" cm="1">
        <f t="array" ref="U370">STDEV(IF(S:S=S370,P:P))</f>
        <v>0.35812528282698708</v>
      </c>
    </row>
    <row r="371" spans="1:21" x14ac:dyDescent="0.2">
      <c r="A371" s="193" t="s">
        <v>256</v>
      </c>
      <c r="B371" t="s">
        <v>503</v>
      </c>
      <c r="C371" t="s">
        <v>119</v>
      </c>
      <c r="D371">
        <v>14</v>
      </c>
      <c r="I371">
        <v>416</v>
      </c>
      <c r="J371">
        <v>2</v>
      </c>
      <c r="K371">
        <v>13</v>
      </c>
      <c r="L371">
        <v>101</v>
      </c>
      <c r="M371"/>
      <c r="N371" s="196">
        <v>70.2</v>
      </c>
      <c r="O371" s="196">
        <v>218.07090358355615</v>
      </c>
      <c r="P371" s="197">
        <f>(N371-O371)/O371</f>
        <v>-0.67808635243673321</v>
      </c>
      <c r="Q371" s="193" t="b">
        <v>1</v>
      </c>
      <c r="R371" s="193" t="b">
        <v>0</v>
      </c>
      <c r="S371" s="193" t="str">
        <f>IF(Q371,A371&amp;"1",IF(R371,A371&amp;"3",A371&amp;"2"))</f>
        <v>RB1</v>
      </c>
      <c r="T371" s="197">
        <f>AVERAGEIFS(P:P,S:S,S371)</f>
        <v>-0.22834619306062751</v>
      </c>
      <c r="U371" s="197" cm="1">
        <f t="array" ref="U371">STDEV(IF(S:S=S371,P:P))</f>
        <v>0.35812528282698708</v>
      </c>
    </row>
    <row r="372" spans="1:21" x14ac:dyDescent="0.2">
      <c r="A372" s="193" t="s">
        <v>256</v>
      </c>
      <c r="B372" t="s">
        <v>233</v>
      </c>
      <c r="C372" t="s">
        <v>133</v>
      </c>
      <c r="D372">
        <v>17</v>
      </c>
      <c r="I372">
        <v>1035</v>
      </c>
      <c r="J372">
        <v>8</v>
      </c>
      <c r="K372">
        <v>29</v>
      </c>
      <c r="L372">
        <v>170</v>
      </c>
      <c r="M372"/>
      <c r="N372" s="196">
        <v>183</v>
      </c>
      <c r="O372" s="196">
        <v>216.23753147350604</v>
      </c>
      <c r="P372" s="197">
        <f>(N372-O372)/O372</f>
        <v>-0.15370843001682336</v>
      </c>
      <c r="Q372" s="193" t="b">
        <v>1</v>
      </c>
      <c r="R372" s="193" t="b">
        <v>0</v>
      </c>
      <c r="S372" s="193" t="str">
        <f>IF(Q372,A372&amp;"1",IF(R372,A372&amp;"3",A372&amp;"2"))</f>
        <v>RB1</v>
      </c>
      <c r="T372" s="197">
        <f>AVERAGEIFS(P:P,S:S,S372)</f>
        <v>-0.22834619306062751</v>
      </c>
      <c r="U372" s="197" cm="1">
        <f t="array" ref="U372">STDEV(IF(S:S=S372,P:P))</f>
        <v>0.35812528282698708</v>
      </c>
    </row>
    <row r="373" spans="1:21" x14ac:dyDescent="0.2">
      <c r="A373" s="193" t="s">
        <v>256</v>
      </c>
      <c r="B373" t="s">
        <v>516</v>
      </c>
      <c r="C373" t="s">
        <v>136</v>
      </c>
      <c r="D373">
        <v>17</v>
      </c>
      <c r="I373">
        <v>990</v>
      </c>
      <c r="J373">
        <v>6</v>
      </c>
      <c r="K373">
        <v>64</v>
      </c>
      <c r="L373">
        <v>549</v>
      </c>
      <c r="M373">
        <v>3</v>
      </c>
      <c r="N373" s="196">
        <v>239.9</v>
      </c>
      <c r="O373" s="196">
        <v>206.53143530729474</v>
      </c>
      <c r="P373" s="197">
        <f>(N373-O373)/O373</f>
        <v>0.16156651718929238</v>
      </c>
      <c r="Q373" s="193" t="b">
        <v>1</v>
      </c>
      <c r="R373" s="193" t="b">
        <v>0</v>
      </c>
      <c r="S373" s="193" t="str">
        <f>IF(Q373,A373&amp;"1",IF(R373,A373&amp;"3",A373&amp;"2"))</f>
        <v>RB1</v>
      </c>
      <c r="T373" s="197">
        <f>AVERAGEIFS(P:P,S:S,S373)</f>
        <v>-0.22834619306062751</v>
      </c>
      <c r="U373" s="197" cm="1">
        <f t="array" ref="U373">STDEV(IF(S:S=S373,P:P))</f>
        <v>0.35812528282698708</v>
      </c>
    </row>
    <row r="374" spans="1:21" x14ac:dyDescent="0.2">
      <c r="A374" s="193" t="s">
        <v>256</v>
      </c>
      <c r="B374" t="s">
        <v>48</v>
      </c>
      <c r="C374" t="s">
        <v>126</v>
      </c>
      <c r="D374">
        <v>11</v>
      </c>
      <c r="I374">
        <v>656</v>
      </c>
      <c r="J374">
        <v>2</v>
      </c>
      <c r="K374">
        <v>30</v>
      </c>
      <c r="L374">
        <v>233</v>
      </c>
      <c r="M374">
        <v>1</v>
      </c>
      <c r="N374" s="196">
        <v>121.9</v>
      </c>
      <c r="O374" s="196">
        <v>204.13862350454943</v>
      </c>
      <c r="P374" s="197">
        <f>(N374-O374)/O374</f>
        <v>-0.40285675533967069</v>
      </c>
      <c r="Q374" s="193" t="b">
        <v>1</v>
      </c>
      <c r="R374" s="193" t="b">
        <v>0</v>
      </c>
      <c r="S374" s="193" t="str">
        <f>IF(Q374,A374&amp;"1",IF(R374,A374&amp;"3",A374&amp;"2"))</f>
        <v>RB1</v>
      </c>
      <c r="T374" s="197">
        <f>AVERAGEIFS(P:P,S:S,S374)</f>
        <v>-0.22834619306062751</v>
      </c>
      <c r="U374" s="197" cm="1">
        <f t="array" ref="U374">STDEV(IF(S:S=S374,P:P))</f>
        <v>0.35812528282698708</v>
      </c>
    </row>
    <row r="375" spans="1:21" x14ac:dyDescent="0.2">
      <c r="A375" s="193" t="s">
        <v>256</v>
      </c>
      <c r="B375" t="s">
        <v>483</v>
      </c>
      <c r="C375" t="s">
        <v>126</v>
      </c>
      <c r="D375">
        <v>6</v>
      </c>
      <c r="I375">
        <v>138</v>
      </c>
      <c r="J375">
        <v>1</v>
      </c>
      <c r="K375">
        <v>11</v>
      </c>
      <c r="L375">
        <v>70</v>
      </c>
      <c r="M375"/>
      <c r="N375" s="196">
        <v>32.299999999999997</v>
      </c>
      <c r="O375" s="196">
        <v>198.18796580263299</v>
      </c>
      <c r="P375" s="197">
        <f>(N375-O375)/O375</f>
        <v>-0.83702340417497301</v>
      </c>
      <c r="Q375" s="193" t="b">
        <v>1</v>
      </c>
      <c r="R375" s="193" t="b">
        <v>0</v>
      </c>
      <c r="S375" s="193" t="str">
        <f>IF(Q375,A375&amp;"1",IF(R375,A375&amp;"3",A375&amp;"2"))</f>
        <v>RB1</v>
      </c>
      <c r="T375" s="197">
        <f>AVERAGEIFS(P:P,S:S,S375)</f>
        <v>-0.22834619306062751</v>
      </c>
      <c r="U375" s="197" cm="1">
        <f t="array" ref="U375">STDEV(IF(S:S=S375,P:P))</f>
        <v>0.35812528282698708</v>
      </c>
    </row>
    <row r="376" spans="1:21" x14ac:dyDescent="0.2">
      <c r="A376" s="193" t="s">
        <v>256</v>
      </c>
      <c r="B376" t="s">
        <v>79</v>
      </c>
      <c r="C376" t="s">
        <v>111</v>
      </c>
      <c r="D376">
        <v>16</v>
      </c>
      <c r="I376">
        <v>432</v>
      </c>
      <c r="J376">
        <v>1</v>
      </c>
      <c r="K376">
        <v>27</v>
      </c>
      <c r="L376">
        <v>154</v>
      </c>
      <c r="M376"/>
      <c r="N376" s="196">
        <v>78.100000000000009</v>
      </c>
      <c r="O376" s="196">
        <v>198.17585634036573</v>
      </c>
      <c r="P376" s="197">
        <f>(N376-O376)/O376</f>
        <v>-0.60590557577375226</v>
      </c>
      <c r="Q376" s="193" t="b">
        <v>1</v>
      </c>
      <c r="R376" s="193" t="b">
        <v>0</v>
      </c>
      <c r="S376" s="193" t="str">
        <f>IF(Q376,A376&amp;"1",IF(R376,A376&amp;"3",A376&amp;"2"))</f>
        <v>RB1</v>
      </c>
      <c r="T376" s="197">
        <f>AVERAGEIFS(P:P,S:S,S376)</f>
        <v>-0.22834619306062751</v>
      </c>
      <c r="U376" s="197" cm="1">
        <f t="array" ref="U376">STDEV(IF(S:S=S376,P:P))</f>
        <v>0.35812528282698708</v>
      </c>
    </row>
    <row r="377" spans="1:21" x14ac:dyDescent="0.2">
      <c r="A377" s="193" t="s">
        <v>256</v>
      </c>
      <c r="B377" t="s">
        <v>474</v>
      </c>
      <c r="C377" t="s">
        <v>123</v>
      </c>
      <c r="D377">
        <v>1</v>
      </c>
      <c r="I377">
        <v>22</v>
      </c>
      <c r="J377">
        <v>1</v>
      </c>
      <c r="K377">
        <v>2</v>
      </c>
      <c r="L377">
        <v>15</v>
      </c>
      <c r="M377"/>
      <c r="N377" s="196">
        <v>10.7</v>
      </c>
      <c r="O377" s="196">
        <v>196.46388437581254</v>
      </c>
      <c r="P377" s="197">
        <f>(N377-O377)/O377</f>
        <v>-0.94553706380185309</v>
      </c>
      <c r="Q377" s="193" t="b">
        <v>1</v>
      </c>
      <c r="R377" s="193" t="b">
        <v>0</v>
      </c>
      <c r="S377" s="193" t="str">
        <f>IF(Q377,A377&amp;"1",IF(R377,A377&amp;"3",A377&amp;"2"))</f>
        <v>RB1</v>
      </c>
      <c r="T377" s="197">
        <f>AVERAGEIFS(P:P,S:S,S377)</f>
        <v>-0.22834619306062751</v>
      </c>
      <c r="U377" s="197" cm="1">
        <f t="array" ref="U377">STDEV(IF(S:S=S377,P:P))</f>
        <v>0.35812528282698708</v>
      </c>
    </row>
    <row r="378" spans="1:21" x14ac:dyDescent="0.2">
      <c r="A378" s="193" t="s">
        <v>256</v>
      </c>
      <c r="B378" t="s">
        <v>227</v>
      </c>
      <c r="C378" t="s">
        <v>112</v>
      </c>
      <c r="D378">
        <v>12</v>
      </c>
      <c r="I378">
        <v>611</v>
      </c>
      <c r="J378">
        <v>2</v>
      </c>
      <c r="K378">
        <v>20</v>
      </c>
      <c r="L378">
        <v>134</v>
      </c>
      <c r="M378">
        <v>1</v>
      </c>
      <c r="N378" s="196">
        <v>102.5</v>
      </c>
      <c r="O378" s="196">
        <v>194.00349793430235</v>
      </c>
      <c r="P378" s="197">
        <f>(N378-O378)/O378</f>
        <v>-0.47165901083540895</v>
      </c>
      <c r="Q378" s="193" t="b">
        <v>1</v>
      </c>
      <c r="R378" s="193" t="b">
        <v>0</v>
      </c>
      <c r="S378" s="193" t="str">
        <f>IF(Q378,A378&amp;"1",IF(R378,A378&amp;"3",A378&amp;"2"))</f>
        <v>RB1</v>
      </c>
      <c r="T378" s="197">
        <f>AVERAGEIFS(P:P,S:S,S378)</f>
        <v>-0.22834619306062751</v>
      </c>
      <c r="U378" s="197" cm="1">
        <f t="array" ref="U378">STDEV(IF(S:S=S378,P:P))</f>
        <v>0.35812528282698708</v>
      </c>
    </row>
    <row r="379" spans="1:21" x14ac:dyDescent="0.2">
      <c r="A379" s="193" t="s">
        <v>256</v>
      </c>
      <c r="B379" t="s">
        <v>28</v>
      </c>
      <c r="C379" t="s">
        <v>117</v>
      </c>
      <c r="D379">
        <v>14</v>
      </c>
      <c r="I379">
        <v>1015</v>
      </c>
      <c r="J379">
        <v>13</v>
      </c>
      <c r="K379">
        <v>16</v>
      </c>
      <c r="L379">
        <v>117</v>
      </c>
      <c r="M379"/>
      <c r="N379" s="196">
        <v>199.2</v>
      </c>
      <c r="O379" s="196">
        <v>192.12072685644694</v>
      </c>
      <c r="P379" s="197">
        <f>(N379-O379)/O379</f>
        <v>3.6848044765324578E-2</v>
      </c>
      <c r="Q379" s="193" t="b">
        <v>1</v>
      </c>
      <c r="R379" s="193" t="b">
        <v>0</v>
      </c>
      <c r="S379" s="193" t="str">
        <f>IF(Q379,A379&amp;"1",IF(R379,A379&amp;"3",A379&amp;"2"))</f>
        <v>RB1</v>
      </c>
      <c r="T379" s="197">
        <f>AVERAGEIFS(P:P,S:S,S379)</f>
        <v>-0.22834619306062751</v>
      </c>
      <c r="U379" s="197" cm="1">
        <f t="array" ref="U379">STDEV(IF(S:S=S379,P:P))</f>
        <v>0.35812528282698708</v>
      </c>
    </row>
    <row r="380" spans="1:21" x14ac:dyDescent="0.2">
      <c r="A380" s="193" t="s">
        <v>256</v>
      </c>
      <c r="B380" t="s">
        <v>100</v>
      </c>
      <c r="C380" t="s">
        <v>192</v>
      </c>
      <c r="D380">
        <v>16</v>
      </c>
      <c r="I380">
        <v>700</v>
      </c>
      <c r="J380"/>
      <c r="K380">
        <v>30</v>
      </c>
      <c r="L380">
        <v>192</v>
      </c>
      <c r="M380">
        <v>3</v>
      </c>
      <c r="N380" s="196">
        <v>122.2</v>
      </c>
      <c r="O380" s="196">
        <v>191.99821730314738</v>
      </c>
      <c r="P380" s="197">
        <f>(N380-O380)/O380</f>
        <v>-0.36353575717290371</v>
      </c>
      <c r="Q380" s="193" t="b">
        <v>1</v>
      </c>
      <c r="R380" s="193" t="b">
        <v>0</v>
      </c>
      <c r="S380" s="193" t="str">
        <f>IF(Q380,A380&amp;"1",IF(R380,A380&amp;"3",A380&amp;"2"))</f>
        <v>RB1</v>
      </c>
      <c r="T380" s="197">
        <f>AVERAGEIFS(P:P,S:S,S380)</f>
        <v>-0.22834619306062751</v>
      </c>
      <c r="U380" s="197" cm="1">
        <f t="array" ref="U380">STDEV(IF(S:S=S380,P:P))</f>
        <v>0.35812528282698708</v>
      </c>
    </row>
    <row r="381" spans="1:21" x14ac:dyDescent="0.2">
      <c r="A381" s="193" t="s">
        <v>256</v>
      </c>
      <c r="B381" t="s">
        <v>481</v>
      </c>
      <c r="C381" t="s">
        <v>537</v>
      </c>
      <c r="D381">
        <v>17</v>
      </c>
      <c r="I381">
        <v>1008</v>
      </c>
      <c r="J381">
        <v>11</v>
      </c>
      <c r="K381">
        <v>58</v>
      </c>
      <c r="L381">
        <v>476</v>
      </c>
      <c r="M381">
        <v>1</v>
      </c>
      <c r="N381" s="196">
        <v>249.4</v>
      </c>
      <c r="O381" s="196">
        <v>189.55388505593726</v>
      </c>
      <c r="P381" s="197">
        <f>(N381-O381)/O381</f>
        <v>0.31572085650685655</v>
      </c>
      <c r="Q381" s="193" t="b">
        <v>1</v>
      </c>
      <c r="R381" s="193" t="b">
        <v>0</v>
      </c>
      <c r="S381" s="193" t="str">
        <f>IF(Q381,A381&amp;"1",IF(R381,A381&amp;"3",A381&amp;"2"))</f>
        <v>RB1</v>
      </c>
      <c r="T381" s="197">
        <f>AVERAGEIFS(P:P,S:S,S381)</f>
        <v>-0.22834619306062751</v>
      </c>
      <c r="U381" s="197" cm="1">
        <f t="array" ref="U381">STDEV(IF(S:S=S381,P:P))</f>
        <v>0.35812528282698708</v>
      </c>
    </row>
    <row r="382" spans="1:21" x14ac:dyDescent="0.2">
      <c r="A382" s="193" t="s">
        <v>256</v>
      </c>
      <c r="B382" t="s">
        <v>230</v>
      </c>
      <c r="C382" t="s">
        <v>116</v>
      </c>
      <c r="D382">
        <v>16</v>
      </c>
      <c r="I382">
        <v>774</v>
      </c>
      <c r="J382">
        <v>3</v>
      </c>
      <c r="K382">
        <v>47</v>
      </c>
      <c r="L382">
        <v>228</v>
      </c>
      <c r="M382">
        <v>2</v>
      </c>
      <c r="N382" s="196">
        <v>153.70000000000002</v>
      </c>
      <c r="O382" s="196">
        <v>188.88375102331094</v>
      </c>
      <c r="P382" s="197">
        <f>(N382-O382)/O382</f>
        <v>-0.18627198386677923</v>
      </c>
      <c r="Q382" s="193" t="b">
        <v>1</v>
      </c>
      <c r="R382" s="193" t="b">
        <v>0</v>
      </c>
      <c r="S382" s="193" t="str">
        <f>IF(Q382,A382&amp;"1",IF(R382,A382&amp;"3",A382&amp;"2"))</f>
        <v>RB1</v>
      </c>
      <c r="T382" s="197">
        <f>AVERAGEIFS(P:P,S:S,S382)</f>
        <v>-0.22834619306062751</v>
      </c>
      <c r="U382" s="197" cm="1">
        <f t="array" ref="U382">STDEV(IF(S:S=S382,P:P))</f>
        <v>0.35812528282698708</v>
      </c>
    </row>
    <row r="383" spans="1:21" x14ac:dyDescent="0.2">
      <c r="A383" s="193" t="s">
        <v>256</v>
      </c>
      <c r="B383" t="s">
        <v>228</v>
      </c>
      <c r="C383" t="s">
        <v>116</v>
      </c>
      <c r="D383">
        <v>17</v>
      </c>
      <c r="I383">
        <v>238</v>
      </c>
      <c r="J383">
        <v>1</v>
      </c>
      <c r="K383">
        <v>50</v>
      </c>
      <c r="L383">
        <v>455</v>
      </c>
      <c r="M383"/>
      <c r="N383" s="196">
        <v>100.3</v>
      </c>
      <c r="O383" s="196">
        <v>185.98112900157915</v>
      </c>
      <c r="P383" s="197">
        <f>(N383-O383)/O383</f>
        <v>-0.46069797221658787</v>
      </c>
      <c r="Q383" s="193" t="b">
        <v>1</v>
      </c>
      <c r="R383" s="193" t="b">
        <v>0</v>
      </c>
      <c r="S383" s="193" t="str">
        <f>IF(Q383,A383&amp;"1",IF(R383,A383&amp;"3",A383&amp;"2"))</f>
        <v>RB1</v>
      </c>
      <c r="T383" s="197">
        <f>AVERAGEIFS(P:P,S:S,S383)</f>
        <v>-0.22834619306062751</v>
      </c>
      <c r="U383" s="197" cm="1">
        <f t="array" ref="U383">STDEV(IF(S:S=S383,P:P))</f>
        <v>0.35812528282698708</v>
      </c>
    </row>
    <row r="384" spans="1:21" x14ac:dyDescent="0.2">
      <c r="A384" s="193" t="s">
        <v>256</v>
      </c>
      <c r="B384" t="s">
        <v>78</v>
      </c>
      <c r="C384" t="s">
        <v>107</v>
      </c>
      <c r="D384">
        <v>13</v>
      </c>
      <c r="I384">
        <v>1040</v>
      </c>
      <c r="J384">
        <v>7</v>
      </c>
      <c r="K384">
        <v>27</v>
      </c>
      <c r="L384">
        <v>165</v>
      </c>
      <c r="M384">
        <v>2</v>
      </c>
      <c r="N384" s="196">
        <v>188</v>
      </c>
      <c r="O384" s="196">
        <v>185.87450180481002</v>
      </c>
      <c r="P384" s="197">
        <f>(N384-O384)/O384</f>
        <v>1.1435125176136306E-2</v>
      </c>
      <c r="Q384" s="193" t="b">
        <v>1</v>
      </c>
      <c r="R384" s="193" t="b">
        <v>0</v>
      </c>
      <c r="S384" s="193" t="str">
        <f>IF(Q384,A384&amp;"1",IF(R384,A384&amp;"3",A384&amp;"2"))</f>
        <v>RB1</v>
      </c>
      <c r="T384" s="197">
        <f>AVERAGEIFS(P:P,S:S,S384)</f>
        <v>-0.22834619306062751</v>
      </c>
      <c r="U384" s="197" cm="1">
        <f t="array" ref="U384">STDEV(IF(S:S=S384,P:P))</f>
        <v>0.35812528282698708</v>
      </c>
    </row>
    <row r="385" spans="1:21" x14ac:dyDescent="0.2">
      <c r="A385" s="193" t="s">
        <v>256</v>
      </c>
      <c r="B385" t="s">
        <v>507</v>
      </c>
      <c r="C385" t="s">
        <v>130</v>
      </c>
      <c r="D385">
        <v>17</v>
      </c>
      <c r="I385">
        <v>994</v>
      </c>
      <c r="J385">
        <v>5</v>
      </c>
      <c r="K385">
        <v>76</v>
      </c>
      <c r="L385">
        <v>591</v>
      </c>
      <c r="M385">
        <v>4</v>
      </c>
      <c r="N385" s="196">
        <v>250.5</v>
      </c>
      <c r="O385" s="196">
        <v>184.31202324745902</v>
      </c>
      <c r="P385" s="197">
        <f>(N385-O385)/O385</f>
        <v>0.35910829682378553</v>
      </c>
      <c r="Q385" s="193" t="b">
        <v>1</v>
      </c>
      <c r="R385" s="193" t="b">
        <v>0</v>
      </c>
      <c r="S385" s="193" t="str">
        <f>IF(Q385,A385&amp;"1",IF(R385,A385&amp;"3",A385&amp;"2"))</f>
        <v>RB1</v>
      </c>
      <c r="T385" s="197">
        <f>AVERAGEIFS(P:P,S:S,S385)</f>
        <v>-0.22834619306062751</v>
      </c>
      <c r="U385" s="197" cm="1">
        <f t="array" ref="U385">STDEV(IF(S:S=S385,P:P))</f>
        <v>0.35812528282698708</v>
      </c>
    </row>
    <row r="386" spans="1:21" x14ac:dyDescent="0.2">
      <c r="A386" s="193" t="s">
        <v>256</v>
      </c>
      <c r="B386" t="s">
        <v>529</v>
      </c>
      <c r="C386" t="s">
        <v>110</v>
      </c>
      <c r="D386">
        <v>17</v>
      </c>
      <c r="I386">
        <v>1122</v>
      </c>
      <c r="J386">
        <v>2</v>
      </c>
      <c r="K386">
        <v>44</v>
      </c>
      <c r="L386">
        <v>445</v>
      </c>
      <c r="M386">
        <v>4</v>
      </c>
      <c r="N386" s="196">
        <v>214.7</v>
      </c>
      <c r="O386" s="196">
        <v>182.3763858942709</v>
      </c>
      <c r="P386" s="197">
        <f>(N386-O386)/O386</f>
        <v>0.17723574215615867</v>
      </c>
      <c r="Q386" s="193" t="b">
        <v>1</v>
      </c>
      <c r="R386" s="193" t="b">
        <v>0</v>
      </c>
      <c r="S386" s="193" t="str">
        <f>IF(Q386,A386&amp;"1",IF(R386,A386&amp;"3",A386&amp;"2"))</f>
        <v>RB1</v>
      </c>
      <c r="T386" s="197">
        <f>AVERAGEIFS(P:P,S:S,S386)</f>
        <v>-0.22834619306062751</v>
      </c>
      <c r="U386" s="197" cm="1">
        <f t="array" ref="U386">STDEV(IF(S:S=S386,P:P))</f>
        <v>0.35812528282698708</v>
      </c>
    </row>
    <row r="387" spans="1:21" x14ac:dyDescent="0.2">
      <c r="A387" s="193" t="s">
        <v>256</v>
      </c>
      <c r="B387" t="s">
        <v>94</v>
      </c>
      <c r="C387" t="s">
        <v>128</v>
      </c>
      <c r="D387">
        <v>13</v>
      </c>
      <c r="I387">
        <v>694</v>
      </c>
      <c r="J387">
        <v>5</v>
      </c>
      <c r="K387">
        <v>75</v>
      </c>
      <c r="L387">
        <v>466</v>
      </c>
      <c r="M387">
        <v>1</v>
      </c>
      <c r="N387" s="196">
        <v>189.5</v>
      </c>
      <c r="O387" s="196">
        <v>181.29594105419741</v>
      </c>
      <c r="P387" s="197">
        <f>(N387-O387)/O387</f>
        <v>4.5252303488416371E-2</v>
      </c>
      <c r="Q387" s="193" t="b">
        <v>1</v>
      </c>
      <c r="R387" s="193" t="b">
        <v>0</v>
      </c>
      <c r="S387" s="193" t="str">
        <f>IF(Q387,A387&amp;"1",IF(R387,A387&amp;"3",A387&amp;"2"))</f>
        <v>RB1</v>
      </c>
      <c r="T387" s="197">
        <f>AVERAGEIFS(P:P,S:S,S387)</f>
        <v>-0.22834619306062751</v>
      </c>
      <c r="U387" s="197" cm="1">
        <f t="array" ref="U387">STDEV(IF(S:S=S387,P:P))</f>
        <v>0.35812528282698708</v>
      </c>
    </row>
    <row r="388" spans="1:21" x14ac:dyDescent="0.2">
      <c r="A388" s="193" t="s">
        <v>9</v>
      </c>
      <c r="B388" s="195" t="s">
        <v>27</v>
      </c>
      <c r="C388" s="195" t="s">
        <v>110</v>
      </c>
      <c r="D388" s="193">
        <v>17</v>
      </c>
      <c r="E388" s="193">
        <v>4306</v>
      </c>
      <c r="F388" s="193">
        <v>385</v>
      </c>
      <c r="G388" s="193">
        <v>29</v>
      </c>
      <c r="H388" s="193">
        <v>18</v>
      </c>
      <c r="I388" s="193">
        <v>524</v>
      </c>
      <c r="J388" s="193">
        <v>15</v>
      </c>
      <c r="N388" s="196">
        <v>412.64</v>
      </c>
      <c r="O388" s="196">
        <v>420.77642148998893</v>
      </c>
      <c r="P388" s="197">
        <f>(N388-O388)/O388</f>
        <v>-1.9336685884578559E-2</v>
      </c>
      <c r="Q388" s="193" t="b">
        <v>1</v>
      </c>
      <c r="R388" s="193" t="b">
        <v>0</v>
      </c>
      <c r="S388" s="193" t="str">
        <f>IF(Q388,A388&amp;"1",IF(R388,A388&amp;"3",A388&amp;"2"))</f>
        <v>QB1</v>
      </c>
      <c r="T388" s="197">
        <f>AVERAGEIFS(P:P,S:S,S388)</f>
        <v>-0.34071363701483054</v>
      </c>
      <c r="U388" s="197" cm="1">
        <f t="array" ref="U388">STDEV(IF(S:S=S388,P:P))</f>
        <v>0.2814194987814515</v>
      </c>
    </row>
    <row r="389" spans="1:21" x14ac:dyDescent="0.2">
      <c r="A389" s="193" t="s">
        <v>9</v>
      </c>
      <c r="B389" s="195" t="s">
        <v>53</v>
      </c>
      <c r="C389" s="195" t="s">
        <v>122</v>
      </c>
      <c r="D389" s="193">
        <v>16</v>
      </c>
      <c r="E389" s="193">
        <v>4183</v>
      </c>
      <c r="F389" s="193">
        <v>401</v>
      </c>
      <c r="G389" s="193">
        <v>27</v>
      </c>
      <c r="H389" s="193">
        <v>14</v>
      </c>
      <c r="I389" s="193">
        <v>389</v>
      </c>
      <c r="N389" s="196">
        <v>300.22000000000003</v>
      </c>
      <c r="O389" s="196">
        <v>415.63322982056599</v>
      </c>
      <c r="P389" s="197">
        <f>(N389-O389)/O389</f>
        <v>-0.27768046811461944</v>
      </c>
      <c r="Q389" s="193" t="b">
        <v>1</v>
      </c>
      <c r="R389" s="193" t="b">
        <v>0</v>
      </c>
      <c r="S389" s="193" t="str">
        <f>IF(Q389,A389&amp;"1",IF(R389,A389&amp;"3",A389&amp;"2"))</f>
        <v>QB1</v>
      </c>
      <c r="T389" s="197">
        <f>AVERAGEIFS(P:P,S:S,S389)</f>
        <v>-0.34071363701483054</v>
      </c>
      <c r="U389" s="197" cm="1">
        <f t="array" ref="U389">STDEV(IF(S:S=S389,P:P))</f>
        <v>0.2814194987814515</v>
      </c>
    </row>
    <row r="390" spans="1:21" x14ac:dyDescent="0.2">
      <c r="A390" s="193" t="s">
        <v>9</v>
      </c>
      <c r="B390" s="195" t="s">
        <v>181</v>
      </c>
      <c r="C390" s="195" t="s">
        <v>132</v>
      </c>
      <c r="D390" s="193">
        <v>17</v>
      </c>
      <c r="E390" s="193">
        <v>3858</v>
      </c>
      <c r="F390" s="193">
        <v>352</v>
      </c>
      <c r="G390" s="193">
        <v>23</v>
      </c>
      <c r="H390" s="193">
        <v>15</v>
      </c>
      <c r="I390" s="193">
        <v>605</v>
      </c>
      <c r="J390" s="193">
        <v>15</v>
      </c>
      <c r="N390" s="196">
        <v>381.82</v>
      </c>
      <c r="O390" s="196">
        <v>398.11075336168085</v>
      </c>
      <c r="P390" s="197">
        <f>(N390-O390)/O390</f>
        <v>-4.0920154062959513E-2</v>
      </c>
      <c r="Q390" s="193" t="b">
        <v>1</v>
      </c>
      <c r="R390" s="193" t="b">
        <v>0</v>
      </c>
      <c r="S390" s="193" t="str">
        <f>IF(Q390,A390&amp;"1",IF(R390,A390&amp;"3",A390&amp;"2"))</f>
        <v>QB1</v>
      </c>
      <c r="T390" s="197">
        <f>AVERAGEIFS(P:P,S:S,S390)</f>
        <v>-0.34071363701483054</v>
      </c>
      <c r="U390" s="197" cm="1">
        <f t="array" ref="U390">STDEV(IF(S:S=S390,P:P))</f>
        <v>0.2814194987814515</v>
      </c>
    </row>
    <row r="391" spans="1:21" x14ac:dyDescent="0.2">
      <c r="A391" s="193" t="s">
        <v>9</v>
      </c>
      <c r="B391" s="195" t="s">
        <v>20</v>
      </c>
      <c r="C391" s="195" t="s">
        <v>109</v>
      </c>
      <c r="D391" s="193">
        <v>16</v>
      </c>
      <c r="E391" s="193">
        <v>3678</v>
      </c>
      <c r="F391" s="193">
        <v>307</v>
      </c>
      <c r="G391" s="193">
        <v>24</v>
      </c>
      <c r="H391" s="193">
        <v>7</v>
      </c>
      <c r="I391" s="193">
        <v>821</v>
      </c>
      <c r="J391" s="193">
        <v>5</v>
      </c>
      <c r="N391" s="196">
        <v>348.22</v>
      </c>
      <c r="O391" s="196">
        <v>361.60434219642514</v>
      </c>
      <c r="P391" s="197">
        <f>(N391-O391)/O391</f>
        <v>-3.7013776203922558E-2</v>
      </c>
      <c r="Q391" s="193" t="b">
        <v>1</v>
      </c>
      <c r="R391" s="193" t="b">
        <v>0</v>
      </c>
      <c r="S391" s="193" t="str">
        <f>IF(Q391,A391&amp;"1",IF(R391,A391&amp;"3",A391&amp;"2"))</f>
        <v>QB1</v>
      </c>
      <c r="T391" s="197">
        <f>AVERAGEIFS(P:P,S:S,S391)</f>
        <v>-0.34071363701483054</v>
      </c>
      <c r="U391" s="197" cm="1">
        <f t="array" ref="U391">STDEV(IF(S:S=S391,P:P))</f>
        <v>0.2814194987814515</v>
      </c>
    </row>
    <row r="392" spans="1:21" x14ac:dyDescent="0.2">
      <c r="A392" s="193" t="s">
        <v>9</v>
      </c>
      <c r="B392" s="195" t="s">
        <v>206</v>
      </c>
      <c r="C392" s="195" t="s">
        <v>133</v>
      </c>
      <c r="D392" s="193">
        <v>13</v>
      </c>
      <c r="E392" s="193">
        <v>2562</v>
      </c>
      <c r="F392" s="193">
        <v>227</v>
      </c>
      <c r="G392" s="193">
        <v>16</v>
      </c>
      <c r="H392" s="193">
        <v>9</v>
      </c>
      <c r="I392" s="193">
        <v>657</v>
      </c>
      <c r="J392" s="193">
        <v>4</v>
      </c>
      <c r="N392" s="196">
        <v>247.18</v>
      </c>
      <c r="O392" s="196">
        <v>356.81311597053582</v>
      </c>
      <c r="P392" s="197">
        <f>(N392-O392)/O392</f>
        <v>-0.30725640696343931</v>
      </c>
      <c r="Q392" s="193" t="b">
        <v>1</v>
      </c>
      <c r="R392" s="193" t="b">
        <v>0</v>
      </c>
      <c r="S392" s="193" t="str">
        <f>IF(Q392,A392&amp;"1",IF(R392,A392&amp;"3",A392&amp;"2"))</f>
        <v>QB1</v>
      </c>
      <c r="T392" s="197">
        <f>AVERAGEIFS(P:P,S:S,S392)</f>
        <v>-0.34071363701483054</v>
      </c>
      <c r="U392" s="197" cm="1">
        <f t="array" ref="U392">STDEV(IF(S:S=S392,P:P))</f>
        <v>0.2814194987814515</v>
      </c>
    </row>
    <row r="393" spans="1:21" x14ac:dyDescent="0.2">
      <c r="A393" s="193" t="s">
        <v>9</v>
      </c>
      <c r="B393" s="195" t="s">
        <v>165</v>
      </c>
      <c r="C393" s="195" t="s">
        <v>113</v>
      </c>
      <c r="D393" s="193">
        <v>10</v>
      </c>
      <c r="E393" s="193">
        <v>2309</v>
      </c>
      <c r="F393" s="193">
        <v>244</v>
      </c>
      <c r="G393" s="193">
        <v>15</v>
      </c>
      <c r="H393" s="193">
        <v>6</v>
      </c>
      <c r="I393" s="193">
        <v>88</v>
      </c>
      <c r="N393" s="196">
        <v>155.16000000000003</v>
      </c>
      <c r="O393" s="196">
        <v>349.60554170617019</v>
      </c>
      <c r="P393" s="197">
        <f>(N393-O393)/O393</f>
        <v>-0.55618552485530692</v>
      </c>
      <c r="Q393" s="193" t="b">
        <v>1</v>
      </c>
      <c r="R393" s="193" t="b">
        <v>0</v>
      </c>
      <c r="S393" s="193" t="str">
        <f>IF(Q393,A393&amp;"1",IF(R393,A393&amp;"3",A393&amp;"2"))</f>
        <v>QB1</v>
      </c>
      <c r="T393" s="197">
        <f>AVERAGEIFS(P:P,S:S,S393)</f>
        <v>-0.34071363701483054</v>
      </c>
      <c r="U393" s="197" cm="1">
        <f t="array" ref="U393">STDEV(IF(S:S=S393,P:P))</f>
        <v>0.2814194987814515</v>
      </c>
    </row>
    <row r="394" spans="1:21" x14ac:dyDescent="0.2">
      <c r="A394" s="193" t="s">
        <v>9</v>
      </c>
      <c r="B394" s="195" t="s">
        <v>208</v>
      </c>
      <c r="C394" s="195" t="s">
        <v>537</v>
      </c>
      <c r="D394" s="193">
        <v>16</v>
      </c>
      <c r="E394" s="193">
        <v>4016</v>
      </c>
      <c r="F394" s="193">
        <v>370</v>
      </c>
      <c r="G394" s="193">
        <v>21</v>
      </c>
      <c r="H394" s="193">
        <v>14</v>
      </c>
      <c r="I394" s="193">
        <v>339</v>
      </c>
      <c r="J394" s="193">
        <v>4</v>
      </c>
      <c r="N394" s="196">
        <v>288.54000000000002</v>
      </c>
      <c r="O394" s="196">
        <v>342.58985660825209</v>
      </c>
      <c r="P394" s="197">
        <f>(N394-O394)/O394</f>
        <v>-0.15776840897556846</v>
      </c>
      <c r="Q394" s="193" t="b">
        <v>1</v>
      </c>
      <c r="R394" s="193" t="b">
        <v>0</v>
      </c>
      <c r="S394" s="193" t="str">
        <f>IF(Q394,A394&amp;"1",IF(R394,A394&amp;"3",A394&amp;"2"))</f>
        <v>QB1</v>
      </c>
      <c r="T394" s="197">
        <f>AVERAGEIFS(P:P,S:S,S394)</f>
        <v>-0.34071363701483054</v>
      </c>
      <c r="U394" s="197" cm="1">
        <f t="array" ref="U394">STDEV(IF(S:S=S394,P:P))</f>
        <v>0.2814194987814515</v>
      </c>
    </row>
    <row r="395" spans="1:21" x14ac:dyDescent="0.2">
      <c r="A395" s="193" t="s">
        <v>9</v>
      </c>
      <c r="B395" s="195" t="s">
        <v>175</v>
      </c>
      <c r="C395" s="195" t="s">
        <v>123</v>
      </c>
      <c r="D395" s="193">
        <v>13</v>
      </c>
      <c r="E395" s="193">
        <v>3134</v>
      </c>
      <c r="F395" s="193">
        <v>297</v>
      </c>
      <c r="G395" s="193">
        <v>20</v>
      </c>
      <c r="H395" s="193">
        <v>7</v>
      </c>
      <c r="I395" s="193">
        <v>228</v>
      </c>
      <c r="J395" s="193">
        <v>3</v>
      </c>
      <c r="N395" s="196">
        <v>239.16000000000003</v>
      </c>
      <c r="O395" s="196">
        <v>340.26559345336074</v>
      </c>
      <c r="P395" s="197">
        <f>(N395-O395)/O395</f>
        <v>-0.29713728157830621</v>
      </c>
      <c r="Q395" s="193" t="b">
        <v>1</v>
      </c>
      <c r="R395" s="193" t="b">
        <v>0</v>
      </c>
      <c r="S395" s="193" t="str">
        <f>IF(Q395,A395&amp;"1",IF(R395,A395&amp;"3",A395&amp;"2"))</f>
        <v>QB1</v>
      </c>
      <c r="T395" s="197">
        <f>AVERAGEIFS(P:P,S:S,S395)</f>
        <v>-0.34071363701483054</v>
      </c>
      <c r="U395" s="197" cm="1">
        <f t="array" ref="U395">STDEV(IF(S:S=S395,P:P))</f>
        <v>0.2814194987814515</v>
      </c>
    </row>
    <row r="396" spans="1:21" x14ac:dyDescent="0.2">
      <c r="A396" s="193" t="s">
        <v>9</v>
      </c>
      <c r="B396" s="195" t="s">
        <v>51</v>
      </c>
      <c r="C396" s="195" t="s">
        <v>114</v>
      </c>
      <c r="D396" s="193">
        <v>6</v>
      </c>
      <c r="E396" s="193">
        <v>1115</v>
      </c>
      <c r="F396" s="193">
        <v>105</v>
      </c>
      <c r="G396" s="193">
        <v>7</v>
      </c>
      <c r="H396" s="193">
        <v>4</v>
      </c>
      <c r="I396" s="193">
        <v>142</v>
      </c>
      <c r="J396" s="193">
        <v>1</v>
      </c>
      <c r="N396" s="196">
        <v>88.8</v>
      </c>
      <c r="O396" s="196">
        <v>335.72963468077643</v>
      </c>
      <c r="P396" s="197">
        <f>(N396-O396)/O396</f>
        <v>-0.73550145466177219</v>
      </c>
      <c r="Q396" s="193" t="b">
        <v>1</v>
      </c>
      <c r="R396" s="193" t="b">
        <v>0</v>
      </c>
      <c r="S396" s="193" t="str">
        <f>IF(Q396,A396&amp;"1",IF(R396,A396&amp;"3",A396&amp;"2"))</f>
        <v>QB1</v>
      </c>
      <c r="T396" s="197">
        <f>AVERAGEIFS(P:P,S:S,S396)</f>
        <v>-0.34071363701483054</v>
      </c>
      <c r="U396" s="197" cm="1">
        <f t="array" ref="U396">STDEV(IF(S:S=S396,P:P))</f>
        <v>0.2814194987814515</v>
      </c>
    </row>
    <row r="397" spans="1:21" x14ac:dyDescent="0.2">
      <c r="A397" s="193" t="s">
        <v>9</v>
      </c>
      <c r="B397" s="195" t="s">
        <v>622</v>
      </c>
      <c r="C397" s="195" t="s">
        <v>120</v>
      </c>
      <c r="D397" s="193">
        <v>4</v>
      </c>
      <c r="E397" s="193">
        <v>577</v>
      </c>
      <c r="F397" s="193">
        <v>50</v>
      </c>
      <c r="G397" s="193">
        <v>3</v>
      </c>
      <c r="H397" s="193">
        <v>1</v>
      </c>
      <c r="I397" s="193">
        <v>136</v>
      </c>
      <c r="J397" s="193">
        <v>4</v>
      </c>
      <c r="N397" s="196">
        <v>71.680000000000007</v>
      </c>
      <c r="O397" s="196">
        <v>317.19789503289041</v>
      </c>
      <c r="P397" s="197">
        <f>(N397-O397)/O397</f>
        <v>-0.77402119899765576</v>
      </c>
      <c r="Q397" s="193" t="b">
        <v>1</v>
      </c>
      <c r="R397" s="193" t="b">
        <v>0</v>
      </c>
      <c r="S397" s="193" t="str">
        <f>IF(Q397,A397&amp;"1",IF(R397,A397&amp;"3",A397&amp;"2"))</f>
        <v>QB1</v>
      </c>
      <c r="T397" s="197">
        <f>AVERAGEIFS(P:P,S:S,S397)</f>
        <v>-0.34071363701483054</v>
      </c>
      <c r="U397" s="197" cm="1">
        <f t="array" ref="U397">STDEV(IF(S:S=S397,P:P))</f>
        <v>0.2814194987814515</v>
      </c>
    </row>
    <row r="398" spans="1:21" x14ac:dyDescent="0.2">
      <c r="A398" s="193" t="s">
        <v>9</v>
      </c>
      <c r="B398" s="195" t="s">
        <v>177</v>
      </c>
      <c r="C398" s="195" t="s">
        <v>125</v>
      </c>
      <c r="D398" s="193">
        <v>17</v>
      </c>
      <c r="E398" s="193">
        <v>4624</v>
      </c>
      <c r="F398" s="193">
        <v>388</v>
      </c>
      <c r="G398" s="193">
        <v>29</v>
      </c>
      <c r="H398" s="193">
        <v>14</v>
      </c>
      <c r="I398" s="193">
        <v>74</v>
      </c>
      <c r="N398" s="196">
        <v>294.36</v>
      </c>
      <c r="O398" s="196">
        <v>314.106028120644</v>
      </c>
      <c r="P398" s="197">
        <f>(N398-O398)/O398</f>
        <v>-6.286421256792879E-2</v>
      </c>
      <c r="Q398" s="193" t="b">
        <v>1</v>
      </c>
      <c r="R398" s="193" t="b">
        <v>0</v>
      </c>
      <c r="S398" s="193" t="str">
        <f>IF(Q398,A398&amp;"1",IF(R398,A398&amp;"3",A398&amp;"2"))</f>
        <v>QB1</v>
      </c>
      <c r="T398" s="197">
        <f>AVERAGEIFS(P:P,S:S,S398)</f>
        <v>-0.34071363701483054</v>
      </c>
      <c r="U398" s="197" cm="1">
        <f t="array" ref="U398">STDEV(IF(S:S=S398,P:P))</f>
        <v>0.2814194987814515</v>
      </c>
    </row>
    <row r="399" spans="1:21" x14ac:dyDescent="0.2">
      <c r="A399" s="193" t="s">
        <v>9</v>
      </c>
      <c r="B399" s="195" t="s">
        <v>92</v>
      </c>
      <c r="C399" s="195" t="s">
        <v>129</v>
      </c>
      <c r="D399" s="193">
        <v>6</v>
      </c>
      <c r="E399" s="193">
        <v>909</v>
      </c>
      <c r="F399" s="193">
        <v>108</v>
      </c>
      <c r="G399" s="193">
        <v>2</v>
      </c>
      <c r="H399" s="193">
        <v>6</v>
      </c>
      <c r="I399" s="193">
        <v>206</v>
      </c>
      <c r="J399" s="193">
        <v>1</v>
      </c>
      <c r="N399" s="196">
        <v>64.960000000000008</v>
      </c>
      <c r="O399" s="196">
        <v>313.74877869477359</v>
      </c>
      <c r="P399" s="197">
        <f>(N399-O399)/O399</f>
        <v>-0.79295536935557132</v>
      </c>
      <c r="Q399" s="193" t="b">
        <v>1</v>
      </c>
      <c r="R399" s="193" t="b">
        <v>0</v>
      </c>
      <c r="S399" s="193" t="str">
        <f>IF(Q399,A399&amp;"1",IF(R399,A399&amp;"3",A399&amp;"2"))</f>
        <v>QB1</v>
      </c>
      <c r="T399" s="197">
        <f>AVERAGEIFS(P:P,S:S,S399)</f>
        <v>-0.34071363701483054</v>
      </c>
      <c r="U399" s="197" cm="1">
        <f t="array" ref="U399">STDEV(IF(S:S=S399,P:P))</f>
        <v>0.2814194987814515</v>
      </c>
    </row>
    <row r="400" spans="1:21" x14ac:dyDescent="0.2">
      <c r="A400" s="193" t="s">
        <v>9</v>
      </c>
      <c r="B400" s="195" t="s">
        <v>98</v>
      </c>
      <c r="C400" s="195" t="s">
        <v>108</v>
      </c>
      <c r="D400" s="193">
        <v>8</v>
      </c>
      <c r="E400" s="193">
        <v>2331</v>
      </c>
      <c r="F400" s="193">
        <v>216</v>
      </c>
      <c r="G400" s="193">
        <v>18</v>
      </c>
      <c r="H400" s="193">
        <v>5</v>
      </c>
      <c r="I400" s="193">
        <v>25</v>
      </c>
      <c r="N400" s="196">
        <v>162.74</v>
      </c>
      <c r="O400" s="196">
        <v>313.66400847738322</v>
      </c>
      <c r="P400" s="197">
        <f>(N400-O400)/O400</f>
        <v>-0.48116457227596005</v>
      </c>
      <c r="Q400" s="193" t="b">
        <v>1</v>
      </c>
      <c r="R400" s="193" t="b">
        <v>0</v>
      </c>
      <c r="S400" s="193" t="str">
        <f>IF(Q400,A400&amp;"1",IF(R400,A400&amp;"3",A400&amp;"2"))</f>
        <v>QB1</v>
      </c>
      <c r="T400" s="197">
        <f>AVERAGEIFS(P:P,S:S,S400)</f>
        <v>-0.34071363701483054</v>
      </c>
      <c r="U400" s="197" cm="1">
        <f t="array" ref="U400">STDEV(IF(S:S=S400,P:P))</f>
        <v>0.2814194987814515</v>
      </c>
    </row>
    <row r="401" spans="1:21" x14ac:dyDescent="0.2">
      <c r="A401" s="193" t="s">
        <v>9</v>
      </c>
      <c r="B401" s="195" t="s">
        <v>213</v>
      </c>
      <c r="C401" s="195" t="s">
        <v>134</v>
      </c>
      <c r="D401" s="193">
        <v>15</v>
      </c>
      <c r="E401" s="193">
        <v>3624</v>
      </c>
      <c r="F401" s="193">
        <v>323</v>
      </c>
      <c r="G401" s="193">
        <v>20</v>
      </c>
      <c r="H401" s="193">
        <v>9</v>
      </c>
      <c r="I401" s="193">
        <v>155</v>
      </c>
      <c r="J401" s="193">
        <v>1</v>
      </c>
      <c r="N401" s="196">
        <v>237.46</v>
      </c>
      <c r="O401" s="196">
        <v>308.46388356938525</v>
      </c>
      <c r="P401" s="197">
        <f>(N401-O401)/O401</f>
        <v>-0.23018540371003846</v>
      </c>
      <c r="Q401" s="193" t="b">
        <v>1</v>
      </c>
      <c r="R401" s="193" t="b">
        <v>0</v>
      </c>
      <c r="S401" s="193" t="str">
        <f>IF(Q401,A401&amp;"1",IF(R401,A401&amp;"3",A401&amp;"2"))</f>
        <v>QB1</v>
      </c>
      <c r="T401" s="197">
        <f>AVERAGEIFS(P:P,S:S,S401)</f>
        <v>-0.34071363701483054</v>
      </c>
      <c r="U401" s="197" cm="1">
        <f t="array" ref="U401">STDEV(IF(S:S=S401,P:P))</f>
        <v>0.2814194987814515</v>
      </c>
    </row>
    <row r="402" spans="1:21" x14ac:dyDescent="0.2">
      <c r="B402" s="195"/>
      <c r="C402" s="195"/>
    </row>
    <row r="403" spans="1:21" x14ac:dyDescent="0.2">
      <c r="B403" s="195"/>
      <c r="C403" s="195"/>
    </row>
    <row r="404" spans="1:21" x14ac:dyDescent="0.2">
      <c r="B404" s="195"/>
      <c r="C404" s="195"/>
    </row>
    <row r="405" spans="1:21" x14ac:dyDescent="0.2">
      <c r="B405" s="195"/>
      <c r="C405" s="195"/>
    </row>
    <row r="406" spans="1:21" x14ac:dyDescent="0.2">
      <c r="B406" s="195"/>
      <c r="C406" s="195"/>
    </row>
    <row r="407" spans="1:21" x14ac:dyDescent="0.2">
      <c r="B407" s="195"/>
      <c r="C407" s="195"/>
    </row>
    <row r="408" spans="1:21" x14ac:dyDescent="0.2">
      <c r="B408" s="195"/>
      <c r="C408" s="195"/>
    </row>
    <row r="409" spans="1:21" x14ac:dyDescent="0.2">
      <c r="B409" s="195"/>
      <c r="C409" s="195"/>
    </row>
    <row r="410" spans="1:21" x14ac:dyDescent="0.2">
      <c r="B410" s="195"/>
      <c r="C410" s="195"/>
    </row>
    <row r="411" spans="1:21" x14ac:dyDescent="0.2">
      <c r="B411" s="195"/>
      <c r="C411" s="195"/>
    </row>
    <row r="412" spans="1:21" x14ac:dyDescent="0.2">
      <c r="B412" s="195"/>
      <c r="C412" s="195"/>
    </row>
    <row r="413" spans="1:21" x14ac:dyDescent="0.2">
      <c r="B413" s="195"/>
      <c r="C413" s="195"/>
    </row>
    <row r="414" spans="1:21" x14ac:dyDescent="0.2">
      <c r="B414" s="195"/>
      <c r="C414" s="195"/>
    </row>
    <row r="415" spans="1:21" x14ac:dyDescent="0.2">
      <c r="B415" s="195"/>
      <c r="C415" s="195"/>
    </row>
    <row r="416" spans="1:21" x14ac:dyDescent="0.2">
      <c r="B416" s="195"/>
      <c r="C416" s="195"/>
    </row>
    <row r="417" spans="2:3" x14ac:dyDescent="0.2">
      <c r="B417" s="195"/>
      <c r="C417" s="195"/>
    </row>
    <row r="418" spans="2:3" x14ac:dyDescent="0.2">
      <c r="B418" s="195"/>
      <c r="C418" s="195"/>
    </row>
    <row r="419" spans="2:3" x14ac:dyDescent="0.2">
      <c r="B419" s="195"/>
      <c r="C419" s="195"/>
    </row>
    <row r="420" spans="2:3" x14ac:dyDescent="0.2">
      <c r="B420" s="195"/>
      <c r="C420" s="195"/>
    </row>
    <row r="421" spans="2:3" x14ac:dyDescent="0.2">
      <c r="B421" s="195"/>
      <c r="C421" s="195"/>
    </row>
    <row r="422" spans="2:3" x14ac:dyDescent="0.2">
      <c r="B422" s="195"/>
      <c r="C422" s="195"/>
    </row>
    <row r="423" spans="2:3" x14ac:dyDescent="0.2">
      <c r="B423" s="195"/>
      <c r="C423" s="195"/>
    </row>
    <row r="424" spans="2:3" x14ac:dyDescent="0.2">
      <c r="B424" s="195"/>
      <c r="C424" s="195"/>
    </row>
    <row r="425" spans="2:3" x14ac:dyDescent="0.2">
      <c r="B425" s="195"/>
      <c r="C425" s="195"/>
    </row>
    <row r="426" spans="2:3" x14ac:dyDescent="0.2">
      <c r="B426" s="195"/>
      <c r="C426" s="195"/>
    </row>
    <row r="427" spans="2:3" x14ac:dyDescent="0.2">
      <c r="B427" s="195"/>
      <c r="C427" s="195"/>
    </row>
    <row r="428" spans="2:3" x14ac:dyDescent="0.2">
      <c r="B428" s="195"/>
      <c r="C428" s="195"/>
    </row>
    <row r="429" spans="2:3" x14ac:dyDescent="0.2">
      <c r="B429" s="195"/>
      <c r="C429" s="195"/>
    </row>
    <row r="430" spans="2:3" x14ac:dyDescent="0.2">
      <c r="B430" s="195"/>
      <c r="C430" s="195"/>
    </row>
    <row r="431" spans="2:3" x14ac:dyDescent="0.2">
      <c r="B431" s="195"/>
      <c r="C431" s="195"/>
    </row>
    <row r="432" spans="2:3" x14ac:dyDescent="0.2">
      <c r="B432" s="195"/>
      <c r="C432" s="195"/>
    </row>
    <row r="433" spans="2:3" x14ac:dyDescent="0.2">
      <c r="B433" s="195"/>
      <c r="C433" s="195"/>
    </row>
    <row r="434" spans="2:3" x14ac:dyDescent="0.2">
      <c r="B434" s="195"/>
      <c r="C434" s="195"/>
    </row>
    <row r="435" spans="2:3" x14ac:dyDescent="0.2">
      <c r="B435" s="195"/>
      <c r="C435" s="195"/>
    </row>
    <row r="436" spans="2:3" x14ac:dyDescent="0.2">
      <c r="B436" s="195"/>
      <c r="C436" s="195"/>
    </row>
    <row r="437" spans="2:3" x14ac:dyDescent="0.2">
      <c r="B437" s="195"/>
      <c r="C437" s="195"/>
    </row>
    <row r="438" spans="2:3" x14ac:dyDescent="0.2">
      <c r="B438" s="195"/>
      <c r="C438" s="195"/>
    </row>
    <row r="439" spans="2:3" x14ac:dyDescent="0.2">
      <c r="B439" s="195"/>
      <c r="C439" s="195"/>
    </row>
    <row r="440" spans="2:3" x14ac:dyDescent="0.2">
      <c r="B440" s="195"/>
      <c r="C440" s="195"/>
    </row>
    <row r="441" spans="2:3" x14ac:dyDescent="0.2">
      <c r="B441" s="195"/>
      <c r="C441" s="195"/>
    </row>
    <row r="442" spans="2:3" x14ac:dyDescent="0.2">
      <c r="B442" s="195"/>
      <c r="C442" s="195"/>
    </row>
    <row r="443" spans="2:3" x14ac:dyDescent="0.2">
      <c r="B443" s="195"/>
      <c r="C443" s="195"/>
    </row>
    <row r="444" spans="2:3" x14ac:dyDescent="0.2">
      <c r="B444" s="195"/>
      <c r="C444" s="195"/>
    </row>
    <row r="445" spans="2:3" x14ac:dyDescent="0.2">
      <c r="B445" s="195"/>
      <c r="C445" s="195"/>
    </row>
    <row r="446" spans="2:3" x14ac:dyDescent="0.2">
      <c r="B446" s="195"/>
      <c r="C446" s="195"/>
    </row>
    <row r="447" spans="2:3" x14ac:dyDescent="0.2">
      <c r="B447" s="195"/>
      <c r="C447" s="195"/>
    </row>
    <row r="448" spans="2:3" x14ac:dyDescent="0.2">
      <c r="B448" s="195"/>
      <c r="C448" s="195"/>
    </row>
    <row r="449" spans="2:3" x14ac:dyDescent="0.2">
      <c r="B449" s="195"/>
      <c r="C449" s="195"/>
    </row>
    <row r="450" spans="2:3" x14ac:dyDescent="0.2">
      <c r="B450" s="195"/>
      <c r="C450" s="195"/>
    </row>
    <row r="451" spans="2:3" x14ac:dyDescent="0.2">
      <c r="B451" s="195"/>
      <c r="C451" s="195"/>
    </row>
    <row r="452" spans="2:3" x14ac:dyDescent="0.2">
      <c r="B452" s="195"/>
      <c r="C452" s="195"/>
    </row>
    <row r="453" spans="2:3" x14ac:dyDescent="0.2">
      <c r="B453" s="195"/>
      <c r="C453" s="195"/>
    </row>
    <row r="454" spans="2:3" x14ac:dyDescent="0.2">
      <c r="B454" s="195"/>
      <c r="C454" s="195"/>
    </row>
    <row r="455" spans="2:3" x14ac:dyDescent="0.2">
      <c r="B455" s="195"/>
      <c r="C455" s="195"/>
    </row>
    <row r="456" spans="2:3" x14ac:dyDescent="0.2">
      <c r="B456" s="195"/>
      <c r="C456" s="195"/>
    </row>
    <row r="457" spans="2:3" x14ac:dyDescent="0.2">
      <c r="B457" s="195"/>
      <c r="C457" s="195"/>
    </row>
    <row r="458" spans="2:3" x14ac:dyDescent="0.2">
      <c r="B458" s="195"/>
      <c r="C458" s="195"/>
    </row>
    <row r="459" spans="2:3" x14ac:dyDescent="0.2">
      <c r="B459" s="195"/>
      <c r="C459" s="195"/>
    </row>
    <row r="460" spans="2:3" x14ac:dyDescent="0.2">
      <c r="B460" s="195"/>
      <c r="C460" s="195"/>
    </row>
    <row r="461" spans="2:3" x14ac:dyDescent="0.2">
      <c r="B461" s="195"/>
      <c r="C461" s="195"/>
    </row>
    <row r="462" spans="2:3" x14ac:dyDescent="0.2">
      <c r="B462" s="195"/>
      <c r="C462" s="195"/>
    </row>
    <row r="463" spans="2:3" x14ac:dyDescent="0.2">
      <c r="B463" s="195"/>
      <c r="C463" s="195"/>
    </row>
    <row r="464" spans="2:3" x14ac:dyDescent="0.2">
      <c r="B464" s="195"/>
      <c r="C464" s="195"/>
    </row>
    <row r="465" spans="2:22" x14ac:dyDescent="0.2">
      <c r="B465" s="195"/>
      <c r="C465" s="195"/>
    </row>
    <row r="466" spans="2:22" x14ac:dyDescent="0.2">
      <c r="B466" s="195"/>
      <c r="C466" s="195"/>
    </row>
    <row r="467" spans="2:22" x14ac:dyDescent="0.2">
      <c r="B467" s="195"/>
      <c r="C467" s="195"/>
    </row>
    <row r="468" spans="2:22" x14ac:dyDescent="0.2">
      <c r="B468" s="195"/>
      <c r="C468" s="195"/>
    </row>
    <row r="469" spans="2:22" x14ac:dyDescent="0.2">
      <c r="B469" s="195"/>
      <c r="C469" s="195"/>
    </row>
    <row r="470" spans="2:22" x14ac:dyDescent="0.2">
      <c r="B470" s="195"/>
      <c r="C470" s="195"/>
    </row>
    <row r="471" spans="2:22" x14ac:dyDescent="0.2">
      <c r="B471" s="195"/>
      <c r="C471" s="195"/>
    </row>
    <row r="472" spans="2:22" x14ac:dyDescent="0.2">
      <c r="B472" s="195"/>
      <c r="C472" s="195"/>
    </row>
    <row r="473" spans="2:22" x14ac:dyDescent="0.2">
      <c r="B473" s="195"/>
      <c r="C473" s="195"/>
    </row>
    <row r="474" spans="2:22" x14ac:dyDescent="0.2">
      <c r="B474" s="195"/>
      <c r="C474" s="195"/>
    </row>
    <row r="475" spans="2:22" x14ac:dyDescent="0.2">
      <c r="B475" s="195"/>
      <c r="C475" s="195"/>
    </row>
    <row r="476" spans="2:22" x14ac:dyDescent="0.2">
      <c r="V476" s="194"/>
    </row>
    <row r="477" spans="2:22" x14ac:dyDescent="0.2">
      <c r="V477" s="194"/>
    </row>
    <row r="478" spans="2:22" x14ac:dyDescent="0.2">
      <c r="V478" s="194"/>
    </row>
    <row r="479" spans="2:22" x14ac:dyDescent="0.2">
      <c r="V479" s="194"/>
    </row>
    <row r="480" spans="2:22" x14ac:dyDescent="0.2">
      <c r="V480" s="194"/>
    </row>
    <row r="481" spans="22:22" x14ac:dyDescent="0.2">
      <c r="V481" s="194"/>
    </row>
    <row r="482" spans="22:22" x14ac:dyDescent="0.2">
      <c r="V482" s="194"/>
    </row>
    <row r="483" spans="22:22" x14ac:dyDescent="0.2">
      <c r="V483" s="194"/>
    </row>
    <row r="484" spans="22:22" x14ac:dyDescent="0.2">
      <c r="V484" s="194"/>
    </row>
    <row r="485" spans="22:22" x14ac:dyDescent="0.2">
      <c r="V485" s="194"/>
    </row>
    <row r="486" spans="22:22" x14ac:dyDescent="0.2">
      <c r="V486" s="194"/>
    </row>
    <row r="487" spans="22:22" x14ac:dyDescent="0.2">
      <c r="V487" s="194"/>
    </row>
    <row r="488" spans="22:22" x14ac:dyDescent="0.2">
      <c r="V488" s="194"/>
    </row>
    <row r="489" spans="22:22" x14ac:dyDescent="0.2">
      <c r="V489" s="194"/>
    </row>
    <row r="490" spans="22:22" x14ac:dyDescent="0.2">
      <c r="V490" s="194"/>
    </row>
    <row r="491" spans="22:22" x14ac:dyDescent="0.2">
      <c r="V491" s="194"/>
    </row>
    <row r="492" spans="22:22" x14ac:dyDescent="0.2">
      <c r="V492" s="194"/>
    </row>
    <row r="493" spans="22:22" x14ac:dyDescent="0.2">
      <c r="V493" s="194"/>
    </row>
    <row r="494" spans="22:22" x14ac:dyDescent="0.2">
      <c r="V494" s="194"/>
    </row>
    <row r="495" spans="22:22" x14ac:dyDescent="0.2">
      <c r="V495" s="194"/>
    </row>
    <row r="496" spans="22:22" x14ac:dyDescent="0.2">
      <c r="V496" s="194"/>
    </row>
    <row r="497" spans="22:22" x14ac:dyDescent="0.2">
      <c r="V497" s="194"/>
    </row>
    <row r="498" spans="22:22" x14ac:dyDescent="0.2">
      <c r="V498" s="194"/>
    </row>
    <row r="499" spans="22:22" x14ac:dyDescent="0.2">
      <c r="V499" s="194"/>
    </row>
    <row r="500" spans="22:22" x14ac:dyDescent="0.2">
      <c r="V500" s="194"/>
    </row>
    <row r="501" spans="22:22" x14ac:dyDescent="0.2">
      <c r="V501" s="194"/>
    </row>
    <row r="502" spans="22:22" x14ac:dyDescent="0.2">
      <c r="V502" s="194"/>
    </row>
    <row r="503" spans="22:22" x14ac:dyDescent="0.2">
      <c r="V503" s="194"/>
    </row>
    <row r="504" spans="22:22" x14ac:dyDescent="0.2">
      <c r="V504" s="194"/>
    </row>
    <row r="505" spans="22:22" x14ac:dyDescent="0.2">
      <c r="V505" s="194"/>
    </row>
    <row r="506" spans="22:22" x14ac:dyDescent="0.2">
      <c r="V506" s="194"/>
    </row>
    <row r="507" spans="22:22" x14ac:dyDescent="0.2">
      <c r="V507" s="194"/>
    </row>
    <row r="508" spans="22:22" x14ac:dyDescent="0.2">
      <c r="V508" s="194"/>
    </row>
    <row r="509" spans="22:22" x14ac:dyDescent="0.2">
      <c r="V509" s="194"/>
    </row>
    <row r="510" spans="22:22" x14ac:dyDescent="0.2">
      <c r="V510" s="194"/>
    </row>
    <row r="511" spans="22:22" x14ac:dyDescent="0.2">
      <c r="V511" s="194"/>
    </row>
    <row r="512" spans="22:22" x14ac:dyDescent="0.2">
      <c r="V512" s="194"/>
    </row>
    <row r="513" spans="22:22" x14ac:dyDescent="0.2">
      <c r="V513" s="194"/>
    </row>
    <row r="514" spans="22:22" x14ac:dyDescent="0.2">
      <c r="V514" s="194"/>
    </row>
    <row r="515" spans="22:22" x14ac:dyDescent="0.2">
      <c r="V515" s="194"/>
    </row>
    <row r="516" spans="22:22" x14ac:dyDescent="0.2">
      <c r="V516" s="194"/>
    </row>
    <row r="517" spans="22:22" x14ac:dyDescent="0.2">
      <c r="V517" s="194"/>
    </row>
    <row r="518" spans="22:22" x14ac:dyDescent="0.2">
      <c r="V518" s="194"/>
    </row>
    <row r="519" spans="22:22" x14ac:dyDescent="0.2">
      <c r="V519" s="194"/>
    </row>
    <row r="520" spans="22:22" x14ac:dyDescent="0.2">
      <c r="V520" s="194"/>
    </row>
    <row r="521" spans="22:22" x14ac:dyDescent="0.2">
      <c r="V521" s="194"/>
    </row>
    <row r="522" spans="22:22" x14ac:dyDescent="0.2">
      <c r="V522" s="194"/>
    </row>
    <row r="523" spans="22:22" x14ac:dyDescent="0.2">
      <c r="V523" s="194"/>
    </row>
    <row r="524" spans="22:22" x14ac:dyDescent="0.2">
      <c r="V524" s="194"/>
    </row>
    <row r="525" spans="22:22" x14ac:dyDescent="0.2">
      <c r="V525" s="194"/>
    </row>
    <row r="526" spans="22:22" x14ac:dyDescent="0.2">
      <c r="V526" s="194"/>
    </row>
    <row r="527" spans="22:22" x14ac:dyDescent="0.2">
      <c r="V527" s="194"/>
    </row>
    <row r="528" spans="22:22" x14ac:dyDescent="0.2">
      <c r="V528" s="194"/>
    </row>
    <row r="529" spans="22:22" x14ac:dyDescent="0.2">
      <c r="V529" s="194"/>
    </row>
    <row r="530" spans="22:22" x14ac:dyDescent="0.2">
      <c r="V530" s="194"/>
    </row>
    <row r="531" spans="22:22" x14ac:dyDescent="0.2">
      <c r="V531" s="194"/>
    </row>
    <row r="532" spans="22:22" x14ac:dyDescent="0.2">
      <c r="V532" s="194"/>
    </row>
    <row r="533" spans="22:22" x14ac:dyDescent="0.2">
      <c r="V533" s="194"/>
    </row>
    <row r="534" spans="22:22" x14ac:dyDescent="0.2">
      <c r="V534" s="194"/>
    </row>
    <row r="535" spans="22:22" x14ac:dyDescent="0.2">
      <c r="V535" s="194"/>
    </row>
    <row r="536" spans="22:22" x14ac:dyDescent="0.2">
      <c r="V536" s="194"/>
    </row>
    <row r="537" spans="22:22" x14ac:dyDescent="0.2">
      <c r="V537" s="194"/>
    </row>
    <row r="538" spans="22:22" x14ac:dyDescent="0.2">
      <c r="V538" s="194"/>
    </row>
    <row r="539" spans="22:22" x14ac:dyDescent="0.2">
      <c r="V539" s="194"/>
    </row>
    <row r="540" spans="22:22" x14ac:dyDescent="0.2">
      <c r="V540" s="194"/>
    </row>
    <row r="541" spans="22:22" x14ac:dyDescent="0.2">
      <c r="V541" s="194"/>
    </row>
    <row r="542" spans="22:22" x14ac:dyDescent="0.2">
      <c r="V542" s="194"/>
    </row>
    <row r="543" spans="22:22" x14ac:dyDescent="0.2">
      <c r="V543" s="194"/>
    </row>
    <row r="544" spans="22:22" x14ac:dyDescent="0.2">
      <c r="V544" s="194"/>
    </row>
    <row r="545" spans="22:22" x14ac:dyDescent="0.2">
      <c r="V545" s="194"/>
    </row>
    <row r="546" spans="22:22" x14ac:dyDescent="0.2">
      <c r="V546" s="194"/>
    </row>
    <row r="547" spans="22:22" x14ac:dyDescent="0.2">
      <c r="V547" s="194"/>
    </row>
    <row r="548" spans="22:22" x14ac:dyDescent="0.2">
      <c r="V548" s="194"/>
    </row>
    <row r="549" spans="22:22" x14ac:dyDescent="0.2">
      <c r="V549" s="194"/>
    </row>
    <row r="550" spans="22:22" x14ac:dyDescent="0.2">
      <c r="V550" s="194"/>
    </row>
    <row r="551" spans="22:22" x14ac:dyDescent="0.2">
      <c r="V551" s="194"/>
    </row>
    <row r="552" spans="22:22" x14ac:dyDescent="0.2">
      <c r="V552" s="194"/>
    </row>
    <row r="553" spans="22:22" x14ac:dyDescent="0.2">
      <c r="V553" s="194"/>
    </row>
    <row r="554" spans="22:22" x14ac:dyDescent="0.2">
      <c r="V554" s="194"/>
    </row>
    <row r="555" spans="22:22" x14ac:dyDescent="0.2">
      <c r="V555" s="194"/>
    </row>
    <row r="556" spans="22:22" x14ac:dyDescent="0.2">
      <c r="V556" s="194"/>
    </row>
    <row r="557" spans="22:22" x14ac:dyDescent="0.2">
      <c r="V557" s="194"/>
    </row>
    <row r="558" spans="22:22" x14ac:dyDescent="0.2">
      <c r="V558" s="194"/>
    </row>
    <row r="559" spans="22:22" x14ac:dyDescent="0.2">
      <c r="V559" s="194"/>
    </row>
    <row r="560" spans="22:22" x14ac:dyDescent="0.2">
      <c r="V560" s="194"/>
    </row>
    <row r="561" spans="22:22" x14ac:dyDescent="0.2">
      <c r="V561" s="194"/>
    </row>
    <row r="562" spans="22:22" x14ac:dyDescent="0.2">
      <c r="V562" s="194"/>
    </row>
    <row r="563" spans="22:22" x14ac:dyDescent="0.2">
      <c r="V563" s="194"/>
    </row>
    <row r="564" spans="22:22" x14ac:dyDescent="0.2">
      <c r="V564" s="194"/>
    </row>
    <row r="565" spans="22:22" x14ac:dyDescent="0.2">
      <c r="V565" s="194"/>
    </row>
    <row r="566" spans="22:22" x14ac:dyDescent="0.2">
      <c r="V566" s="194"/>
    </row>
    <row r="567" spans="22:22" x14ac:dyDescent="0.2">
      <c r="V567" s="194"/>
    </row>
    <row r="568" spans="22:22" x14ac:dyDescent="0.2">
      <c r="V568" s="194"/>
    </row>
    <row r="569" spans="22:22" x14ac:dyDescent="0.2">
      <c r="V569" s="194"/>
    </row>
    <row r="570" spans="22:22" x14ac:dyDescent="0.2">
      <c r="V570" s="194"/>
    </row>
    <row r="571" spans="22:22" x14ac:dyDescent="0.2">
      <c r="V571" s="194"/>
    </row>
    <row r="572" spans="22:22" x14ac:dyDescent="0.2">
      <c r="V572" s="194"/>
    </row>
    <row r="573" spans="22:22" x14ac:dyDescent="0.2">
      <c r="V573" s="194"/>
    </row>
    <row r="574" spans="22:22" x14ac:dyDescent="0.2">
      <c r="V574" s="194"/>
    </row>
    <row r="575" spans="22:22" x14ac:dyDescent="0.2">
      <c r="V575" s="194"/>
    </row>
    <row r="576" spans="22:22" x14ac:dyDescent="0.2">
      <c r="V576" s="194"/>
    </row>
    <row r="577" spans="22:22" x14ac:dyDescent="0.2">
      <c r="V577" s="194"/>
    </row>
    <row r="578" spans="22:22" x14ac:dyDescent="0.2">
      <c r="V578" s="194"/>
    </row>
    <row r="579" spans="22:22" x14ac:dyDescent="0.2">
      <c r="V579" s="194"/>
    </row>
    <row r="580" spans="22:22" x14ac:dyDescent="0.2">
      <c r="V580" s="194"/>
    </row>
    <row r="581" spans="22:22" x14ac:dyDescent="0.2">
      <c r="V581" s="194"/>
    </row>
    <row r="582" spans="22:22" x14ac:dyDescent="0.2">
      <c r="V582" s="194"/>
    </row>
    <row r="583" spans="22:22" x14ac:dyDescent="0.2">
      <c r="V583" s="194"/>
    </row>
    <row r="584" spans="22:22" x14ac:dyDescent="0.2">
      <c r="V584" s="194"/>
    </row>
    <row r="585" spans="22:22" x14ac:dyDescent="0.2">
      <c r="V585" s="194"/>
    </row>
    <row r="586" spans="22:22" x14ac:dyDescent="0.2">
      <c r="V586" s="194"/>
    </row>
    <row r="587" spans="22:22" x14ac:dyDescent="0.2">
      <c r="V587" s="194"/>
    </row>
    <row r="588" spans="22:22" x14ac:dyDescent="0.2">
      <c r="V588" s="194"/>
    </row>
    <row r="589" spans="22:22" x14ac:dyDescent="0.2">
      <c r="V589" s="194"/>
    </row>
    <row r="590" spans="22:22" x14ac:dyDescent="0.2">
      <c r="V590" s="194"/>
    </row>
    <row r="591" spans="22:22" x14ac:dyDescent="0.2">
      <c r="V591" s="194"/>
    </row>
    <row r="592" spans="22:22" x14ac:dyDescent="0.2">
      <c r="V592" s="194"/>
    </row>
    <row r="593" spans="22:22" x14ac:dyDescent="0.2">
      <c r="V593" s="194"/>
    </row>
    <row r="594" spans="22:22" x14ac:dyDescent="0.2">
      <c r="V594" s="194"/>
    </row>
    <row r="595" spans="22:22" x14ac:dyDescent="0.2">
      <c r="V595" s="194"/>
    </row>
    <row r="596" spans="22:22" x14ac:dyDescent="0.2">
      <c r="V596" s="194"/>
    </row>
    <row r="597" spans="22:22" x14ac:dyDescent="0.2">
      <c r="V597" s="194"/>
    </row>
    <row r="598" spans="22:22" x14ac:dyDescent="0.2">
      <c r="V598" s="194"/>
    </row>
    <row r="599" spans="22:22" x14ac:dyDescent="0.2">
      <c r="V599" s="194"/>
    </row>
    <row r="600" spans="22:22" x14ac:dyDescent="0.2">
      <c r="V600" s="194"/>
    </row>
    <row r="601" spans="22:22" x14ac:dyDescent="0.2">
      <c r="V601" s="194"/>
    </row>
    <row r="602" spans="22:22" x14ac:dyDescent="0.2">
      <c r="V602" s="194"/>
    </row>
    <row r="603" spans="22:22" x14ac:dyDescent="0.2">
      <c r="V603" s="194"/>
    </row>
    <row r="604" spans="22:22" x14ac:dyDescent="0.2">
      <c r="V604" s="194"/>
    </row>
    <row r="605" spans="22:22" x14ac:dyDescent="0.2">
      <c r="V605" s="194"/>
    </row>
    <row r="606" spans="22:22" x14ac:dyDescent="0.2">
      <c r="V606" s="194"/>
    </row>
    <row r="607" spans="22:22" x14ac:dyDescent="0.2">
      <c r="V607" s="194"/>
    </row>
    <row r="608" spans="22:22" x14ac:dyDescent="0.2">
      <c r="V608" s="194"/>
    </row>
    <row r="609" spans="22:22" x14ac:dyDescent="0.2">
      <c r="V609" s="194"/>
    </row>
    <row r="610" spans="22:22" x14ac:dyDescent="0.2">
      <c r="V610" s="194"/>
    </row>
    <row r="611" spans="22:22" x14ac:dyDescent="0.2">
      <c r="V611" s="194"/>
    </row>
    <row r="612" spans="22:22" x14ac:dyDescent="0.2">
      <c r="V612" s="194"/>
    </row>
    <row r="613" spans="22:22" x14ac:dyDescent="0.2">
      <c r="V613" s="194"/>
    </row>
    <row r="614" spans="22:22" x14ac:dyDescent="0.2">
      <c r="V614" s="194"/>
    </row>
    <row r="615" spans="22:22" x14ac:dyDescent="0.2">
      <c r="V615" s="194"/>
    </row>
    <row r="616" spans="22:22" x14ac:dyDescent="0.2">
      <c r="V616" s="194"/>
    </row>
    <row r="617" spans="22:22" x14ac:dyDescent="0.2">
      <c r="V617" s="194"/>
    </row>
    <row r="618" spans="22:22" x14ac:dyDescent="0.2">
      <c r="V618" s="194"/>
    </row>
    <row r="619" spans="22:22" x14ac:dyDescent="0.2">
      <c r="V619" s="194"/>
    </row>
    <row r="620" spans="22:22" x14ac:dyDescent="0.2">
      <c r="V620" s="194"/>
    </row>
    <row r="621" spans="22:22" x14ac:dyDescent="0.2">
      <c r="V621" s="194"/>
    </row>
    <row r="622" spans="22:22" x14ac:dyDescent="0.2">
      <c r="V622" s="194"/>
    </row>
    <row r="623" spans="22:22" x14ac:dyDescent="0.2">
      <c r="V623" s="194"/>
    </row>
    <row r="624" spans="22:22" x14ac:dyDescent="0.2">
      <c r="V624" s="194"/>
    </row>
    <row r="625" spans="22:22" x14ac:dyDescent="0.2">
      <c r="V625" s="194"/>
    </row>
    <row r="626" spans="22:22" x14ac:dyDescent="0.2">
      <c r="V626" s="194"/>
    </row>
    <row r="627" spans="22:22" x14ac:dyDescent="0.2">
      <c r="V627" s="194"/>
    </row>
    <row r="628" spans="22:22" x14ac:dyDescent="0.2">
      <c r="V628" s="194"/>
    </row>
    <row r="629" spans="22:22" x14ac:dyDescent="0.2">
      <c r="V629" s="194"/>
    </row>
    <row r="630" spans="22:22" x14ac:dyDescent="0.2">
      <c r="V630" s="194"/>
    </row>
    <row r="631" spans="22:22" x14ac:dyDescent="0.2">
      <c r="V631" s="194"/>
    </row>
    <row r="632" spans="22:22" x14ac:dyDescent="0.2">
      <c r="V632" s="194"/>
    </row>
    <row r="633" spans="22:22" x14ac:dyDescent="0.2">
      <c r="V633" s="194"/>
    </row>
    <row r="634" spans="22:22" x14ac:dyDescent="0.2">
      <c r="V634" s="194"/>
    </row>
    <row r="635" spans="22:22" x14ac:dyDescent="0.2">
      <c r="V635" s="194"/>
    </row>
    <row r="636" spans="22:22" x14ac:dyDescent="0.2">
      <c r="V636" s="194"/>
    </row>
    <row r="637" spans="22:22" x14ac:dyDescent="0.2">
      <c r="V637" s="194"/>
    </row>
    <row r="638" spans="22:22" x14ac:dyDescent="0.2">
      <c r="V638" s="194"/>
    </row>
    <row r="639" spans="22:22" x14ac:dyDescent="0.2">
      <c r="V639" s="194"/>
    </row>
    <row r="640" spans="22:22" x14ac:dyDescent="0.2">
      <c r="V640" s="194"/>
    </row>
    <row r="641" spans="22:22" x14ac:dyDescent="0.2">
      <c r="V641" s="194"/>
    </row>
    <row r="642" spans="22:22" x14ac:dyDescent="0.2">
      <c r="V642" s="194"/>
    </row>
    <row r="643" spans="22:22" x14ac:dyDescent="0.2">
      <c r="V643" s="194"/>
    </row>
    <row r="644" spans="22:22" x14ac:dyDescent="0.2">
      <c r="V644" s="194"/>
    </row>
    <row r="645" spans="22:22" x14ac:dyDescent="0.2">
      <c r="V645" s="194"/>
    </row>
    <row r="646" spans="22:22" x14ac:dyDescent="0.2">
      <c r="V646" s="194"/>
    </row>
    <row r="647" spans="22:22" x14ac:dyDescent="0.2">
      <c r="V647" s="194"/>
    </row>
    <row r="648" spans="22:22" x14ac:dyDescent="0.2">
      <c r="V648" s="194"/>
    </row>
    <row r="649" spans="22:22" x14ac:dyDescent="0.2">
      <c r="V649" s="194"/>
    </row>
    <row r="650" spans="22:22" x14ac:dyDescent="0.2">
      <c r="V650" s="194"/>
    </row>
    <row r="651" spans="22:22" x14ac:dyDescent="0.2">
      <c r="V651" s="194"/>
    </row>
    <row r="652" spans="22:22" x14ac:dyDescent="0.2">
      <c r="V652" s="194"/>
    </row>
    <row r="653" spans="22:22" x14ac:dyDescent="0.2">
      <c r="V653" s="194"/>
    </row>
    <row r="654" spans="22:22" x14ac:dyDescent="0.2">
      <c r="V654" s="194"/>
    </row>
    <row r="655" spans="22:22" x14ac:dyDescent="0.2">
      <c r="V655" s="194"/>
    </row>
    <row r="656" spans="22:22" x14ac:dyDescent="0.2">
      <c r="V656" s="194"/>
    </row>
    <row r="657" spans="22:22" x14ac:dyDescent="0.2">
      <c r="V657" s="194"/>
    </row>
    <row r="658" spans="22:22" x14ac:dyDescent="0.2">
      <c r="V658" s="194"/>
    </row>
    <row r="659" spans="22:22" x14ac:dyDescent="0.2">
      <c r="V659" s="194"/>
    </row>
    <row r="660" spans="22:22" x14ac:dyDescent="0.2">
      <c r="V660" s="194"/>
    </row>
    <row r="661" spans="22:22" x14ac:dyDescent="0.2">
      <c r="V661" s="194"/>
    </row>
    <row r="662" spans="22:22" x14ac:dyDescent="0.2">
      <c r="V662" s="194"/>
    </row>
    <row r="663" spans="22:22" x14ac:dyDescent="0.2">
      <c r="V663" s="194"/>
    </row>
    <row r="664" spans="22:22" x14ac:dyDescent="0.2">
      <c r="V664" s="194"/>
    </row>
    <row r="665" spans="22:22" x14ac:dyDescent="0.2">
      <c r="V665" s="194"/>
    </row>
    <row r="666" spans="22:22" x14ac:dyDescent="0.2">
      <c r="V666" s="194"/>
    </row>
    <row r="667" spans="22:22" x14ac:dyDescent="0.2">
      <c r="V667" s="194"/>
    </row>
    <row r="668" spans="22:22" x14ac:dyDescent="0.2">
      <c r="V668" s="194"/>
    </row>
    <row r="669" spans="22:22" x14ac:dyDescent="0.2">
      <c r="V669" s="194"/>
    </row>
    <row r="670" spans="22:22" x14ac:dyDescent="0.2">
      <c r="V670" s="194"/>
    </row>
    <row r="671" spans="22:22" x14ac:dyDescent="0.2">
      <c r="V671" s="194"/>
    </row>
    <row r="672" spans="22:22" x14ac:dyDescent="0.2">
      <c r="V672" s="194"/>
    </row>
    <row r="673" spans="22:22" x14ac:dyDescent="0.2">
      <c r="V673" s="194"/>
    </row>
    <row r="674" spans="22:22" x14ac:dyDescent="0.2">
      <c r="V674" s="194"/>
    </row>
    <row r="675" spans="22:22" x14ac:dyDescent="0.2">
      <c r="V675" s="194"/>
    </row>
    <row r="676" spans="22:22" x14ac:dyDescent="0.2">
      <c r="V676" s="194"/>
    </row>
    <row r="677" spans="22:22" x14ac:dyDescent="0.2">
      <c r="V677" s="194"/>
    </row>
    <row r="678" spans="22:22" x14ac:dyDescent="0.2">
      <c r="V678" s="194"/>
    </row>
    <row r="679" spans="22:22" x14ac:dyDescent="0.2">
      <c r="V679" s="194"/>
    </row>
    <row r="680" spans="22:22" x14ac:dyDescent="0.2">
      <c r="V680" s="194"/>
    </row>
    <row r="681" spans="22:22" x14ac:dyDescent="0.2">
      <c r="V681" s="194"/>
    </row>
    <row r="682" spans="22:22" x14ac:dyDescent="0.2">
      <c r="V682" s="194"/>
    </row>
    <row r="683" spans="22:22" x14ac:dyDescent="0.2">
      <c r="V683" s="194"/>
    </row>
    <row r="684" spans="22:22" x14ac:dyDescent="0.2">
      <c r="V684" s="194"/>
    </row>
    <row r="685" spans="22:22" x14ac:dyDescent="0.2">
      <c r="V685" s="194"/>
    </row>
    <row r="686" spans="22:22" x14ac:dyDescent="0.2">
      <c r="V686" s="194"/>
    </row>
    <row r="687" spans="22:22" x14ac:dyDescent="0.2">
      <c r="V687" s="194"/>
    </row>
    <row r="688" spans="22:22" x14ac:dyDescent="0.2">
      <c r="V688" s="194"/>
    </row>
    <row r="689" spans="22:22" x14ac:dyDescent="0.2">
      <c r="V689" s="194"/>
    </row>
    <row r="690" spans="22:22" x14ac:dyDescent="0.2">
      <c r="V690" s="194"/>
    </row>
    <row r="691" spans="22:22" x14ac:dyDescent="0.2">
      <c r="V691" s="194"/>
    </row>
    <row r="692" spans="22:22" x14ac:dyDescent="0.2">
      <c r="V692" s="194"/>
    </row>
    <row r="693" spans="22:22" x14ac:dyDescent="0.2">
      <c r="V693" s="194"/>
    </row>
    <row r="694" spans="22:22" x14ac:dyDescent="0.2">
      <c r="V694" s="194"/>
    </row>
    <row r="695" spans="22:22" x14ac:dyDescent="0.2">
      <c r="V695" s="194"/>
    </row>
    <row r="696" spans="22:22" x14ac:dyDescent="0.2">
      <c r="V696" s="194"/>
    </row>
    <row r="697" spans="22:22" x14ac:dyDescent="0.2">
      <c r="V697" s="194"/>
    </row>
    <row r="698" spans="22:22" x14ac:dyDescent="0.2">
      <c r="V698" s="194"/>
    </row>
    <row r="699" spans="22:22" x14ac:dyDescent="0.2">
      <c r="V699" s="194"/>
    </row>
    <row r="700" spans="22:22" x14ac:dyDescent="0.2">
      <c r="V700" s="194"/>
    </row>
    <row r="701" spans="22:22" x14ac:dyDescent="0.2">
      <c r="V701" s="194"/>
    </row>
    <row r="702" spans="22:22" x14ac:dyDescent="0.2">
      <c r="V702" s="194"/>
    </row>
    <row r="703" spans="22:22" x14ac:dyDescent="0.2">
      <c r="V703" s="194"/>
    </row>
    <row r="704" spans="22:22" x14ac:dyDescent="0.2">
      <c r="V704" s="194"/>
    </row>
    <row r="705" spans="22:22" x14ac:dyDescent="0.2">
      <c r="V705" s="194"/>
    </row>
    <row r="706" spans="22:22" x14ac:dyDescent="0.2">
      <c r="V706" s="194"/>
    </row>
    <row r="707" spans="22:22" x14ac:dyDescent="0.2">
      <c r="V707" s="194"/>
    </row>
    <row r="708" spans="22:22" x14ac:dyDescent="0.2">
      <c r="V708" s="194"/>
    </row>
    <row r="709" spans="22:22" x14ac:dyDescent="0.2">
      <c r="V709" s="194"/>
    </row>
    <row r="710" spans="22:22" x14ac:dyDescent="0.2">
      <c r="V710" s="194"/>
    </row>
    <row r="711" spans="22:22" x14ac:dyDescent="0.2">
      <c r="V711" s="194"/>
    </row>
    <row r="712" spans="22:22" x14ac:dyDescent="0.2">
      <c r="V712" s="194"/>
    </row>
    <row r="713" spans="22:22" x14ac:dyDescent="0.2">
      <c r="V713" s="194"/>
    </row>
    <row r="714" spans="22:22" x14ac:dyDescent="0.2">
      <c r="V714" s="194"/>
    </row>
    <row r="715" spans="22:22" x14ac:dyDescent="0.2">
      <c r="V715" s="194"/>
    </row>
    <row r="716" spans="22:22" x14ac:dyDescent="0.2">
      <c r="V716" s="194"/>
    </row>
    <row r="717" spans="22:22" x14ac:dyDescent="0.2">
      <c r="V717" s="194"/>
    </row>
    <row r="718" spans="22:22" x14ac:dyDescent="0.2">
      <c r="V718" s="194"/>
    </row>
    <row r="719" spans="22:22" x14ac:dyDescent="0.2">
      <c r="V719" s="194"/>
    </row>
    <row r="720" spans="22:22" x14ac:dyDescent="0.2">
      <c r="V720" s="194"/>
    </row>
    <row r="721" spans="22:22" x14ac:dyDescent="0.2">
      <c r="V721" s="194"/>
    </row>
    <row r="722" spans="22:22" x14ac:dyDescent="0.2">
      <c r="V722" s="194"/>
    </row>
    <row r="723" spans="22:22" x14ac:dyDescent="0.2">
      <c r="V723" s="194"/>
    </row>
    <row r="724" spans="22:22" x14ac:dyDescent="0.2">
      <c r="V724" s="194"/>
    </row>
    <row r="725" spans="22:22" x14ac:dyDescent="0.2">
      <c r="V725" s="194"/>
    </row>
    <row r="726" spans="22:22" x14ac:dyDescent="0.2">
      <c r="V726" s="194"/>
    </row>
    <row r="727" spans="22:22" x14ac:dyDescent="0.2">
      <c r="V727" s="194"/>
    </row>
    <row r="728" spans="22:22" x14ac:dyDescent="0.2">
      <c r="V728" s="194"/>
    </row>
    <row r="729" spans="22:22" x14ac:dyDescent="0.2">
      <c r="V729" s="194"/>
    </row>
    <row r="730" spans="22:22" x14ac:dyDescent="0.2">
      <c r="V730" s="194"/>
    </row>
    <row r="731" spans="22:22" x14ac:dyDescent="0.2">
      <c r="V731" s="194"/>
    </row>
    <row r="732" spans="22:22" x14ac:dyDescent="0.2">
      <c r="V732" s="194"/>
    </row>
    <row r="733" spans="22:22" x14ac:dyDescent="0.2">
      <c r="V733" s="194"/>
    </row>
    <row r="734" spans="22:22" x14ac:dyDescent="0.2">
      <c r="V734" s="194"/>
    </row>
    <row r="735" spans="22:22" x14ac:dyDescent="0.2">
      <c r="V735" s="194"/>
    </row>
    <row r="736" spans="22:22" x14ac:dyDescent="0.2">
      <c r="V736" s="194"/>
    </row>
    <row r="737" spans="22:22" x14ac:dyDescent="0.2">
      <c r="V737" s="194"/>
    </row>
    <row r="738" spans="22:22" x14ac:dyDescent="0.2">
      <c r="V738" s="194"/>
    </row>
    <row r="739" spans="22:22" x14ac:dyDescent="0.2">
      <c r="V739" s="194"/>
    </row>
    <row r="740" spans="22:22" x14ac:dyDescent="0.2">
      <c r="V740" s="194"/>
    </row>
    <row r="741" spans="22:22" x14ac:dyDescent="0.2">
      <c r="V741" s="194"/>
    </row>
    <row r="742" spans="22:22" x14ac:dyDescent="0.2">
      <c r="V742" s="194"/>
    </row>
    <row r="743" spans="22:22" x14ac:dyDescent="0.2">
      <c r="V743" s="194"/>
    </row>
    <row r="744" spans="22:22" x14ac:dyDescent="0.2">
      <c r="V744" s="194"/>
    </row>
    <row r="745" spans="22:22" x14ac:dyDescent="0.2">
      <c r="V745" s="194"/>
    </row>
    <row r="746" spans="22:22" x14ac:dyDescent="0.2">
      <c r="V746" s="194"/>
    </row>
    <row r="747" spans="22:22" x14ac:dyDescent="0.2">
      <c r="V747" s="194"/>
    </row>
    <row r="748" spans="22:22" x14ac:dyDescent="0.2">
      <c r="V748" s="194"/>
    </row>
    <row r="749" spans="22:22" x14ac:dyDescent="0.2">
      <c r="V749" s="194"/>
    </row>
    <row r="750" spans="22:22" x14ac:dyDescent="0.2">
      <c r="V750" s="194"/>
    </row>
    <row r="751" spans="22:22" x14ac:dyDescent="0.2">
      <c r="V751" s="194"/>
    </row>
    <row r="752" spans="22:22" x14ac:dyDescent="0.2">
      <c r="V752" s="194"/>
    </row>
    <row r="753" spans="22:22" x14ac:dyDescent="0.2">
      <c r="V753" s="194"/>
    </row>
    <row r="754" spans="22:22" x14ac:dyDescent="0.2">
      <c r="V754" s="194"/>
    </row>
    <row r="755" spans="22:22" x14ac:dyDescent="0.2">
      <c r="V755" s="194"/>
    </row>
    <row r="756" spans="22:22" x14ac:dyDescent="0.2">
      <c r="V756" s="194"/>
    </row>
    <row r="757" spans="22:22" x14ac:dyDescent="0.2">
      <c r="V757" s="194"/>
    </row>
    <row r="758" spans="22:22" x14ac:dyDescent="0.2">
      <c r="V758" s="194"/>
    </row>
    <row r="759" spans="22:22" x14ac:dyDescent="0.2">
      <c r="V759" s="194"/>
    </row>
    <row r="760" spans="22:22" x14ac:dyDescent="0.2">
      <c r="V760" s="194"/>
    </row>
    <row r="761" spans="22:22" x14ac:dyDescent="0.2">
      <c r="V761" s="194"/>
    </row>
    <row r="762" spans="22:22" x14ac:dyDescent="0.2">
      <c r="V762" s="194"/>
    </row>
    <row r="763" spans="22:22" x14ac:dyDescent="0.2">
      <c r="V763" s="194"/>
    </row>
    <row r="764" spans="22:22" x14ac:dyDescent="0.2">
      <c r="V764" s="194"/>
    </row>
    <row r="765" spans="22:22" x14ac:dyDescent="0.2">
      <c r="V765" s="194"/>
    </row>
    <row r="766" spans="22:22" x14ac:dyDescent="0.2">
      <c r="V766" s="194"/>
    </row>
    <row r="767" spans="22:22" x14ac:dyDescent="0.2">
      <c r="V767" s="194"/>
    </row>
    <row r="768" spans="22:22" x14ac:dyDescent="0.2">
      <c r="V768" s="194"/>
    </row>
    <row r="769" spans="22:22" x14ac:dyDescent="0.2">
      <c r="V769" s="194"/>
    </row>
    <row r="770" spans="22:22" x14ac:dyDescent="0.2">
      <c r="V770" s="194"/>
    </row>
    <row r="771" spans="22:22" x14ac:dyDescent="0.2">
      <c r="V771" s="194"/>
    </row>
    <row r="772" spans="22:22" x14ac:dyDescent="0.2">
      <c r="V772" s="194"/>
    </row>
    <row r="773" spans="22:22" x14ac:dyDescent="0.2">
      <c r="V773" s="194"/>
    </row>
    <row r="774" spans="22:22" x14ac:dyDescent="0.2">
      <c r="V774" s="194"/>
    </row>
    <row r="775" spans="22:22" x14ac:dyDescent="0.2">
      <c r="V775" s="194"/>
    </row>
    <row r="776" spans="22:22" x14ac:dyDescent="0.2">
      <c r="V776" s="194"/>
    </row>
    <row r="777" spans="22:22" x14ac:dyDescent="0.2">
      <c r="V777" s="194"/>
    </row>
    <row r="778" spans="22:22" x14ac:dyDescent="0.2">
      <c r="V778" s="194"/>
    </row>
    <row r="779" spans="22:22" x14ac:dyDescent="0.2">
      <c r="V779" s="194"/>
    </row>
    <row r="780" spans="22:22" x14ac:dyDescent="0.2">
      <c r="V780" s="194"/>
    </row>
    <row r="781" spans="22:22" x14ac:dyDescent="0.2">
      <c r="V781" s="194"/>
    </row>
    <row r="782" spans="22:22" x14ac:dyDescent="0.2">
      <c r="V782" s="194"/>
    </row>
    <row r="783" spans="22:22" x14ac:dyDescent="0.2">
      <c r="V783" s="194"/>
    </row>
    <row r="784" spans="22:22" x14ac:dyDescent="0.2">
      <c r="V784" s="194"/>
    </row>
    <row r="785" spans="22:22" x14ac:dyDescent="0.2">
      <c r="V785" s="194"/>
    </row>
    <row r="786" spans="22:22" x14ac:dyDescent="0.2">
      <c r="V786" s="194"/>
    </row>
    <row r="787" spans="22:22" x14ac:dyDescent="0.2">
      <c r="V787" s="194"/>
    </row>
    <row r="788" spans="22:22" x14ac:dyDescent="0.2">
      <c r="V788" s="194"/>
    </row>
    <row r="789" spans="22:22" x14ac:dyDescent="0.2">
      <c r="V789" s="194"/>
    </row>
    <row r="790" spans="22:22" x14ac:dyDescent="0.2">
      <c r="V790" s="194"/>
    </row>
    <row r="791" spans="22:22" x14ac:dyDescent="0.2">
      <c r="V791" s="194"/>
    </row>
    <row r="792" spans="22:22" x14ac:dyDescent="0.2">
      <c r="V792" s="194"/>
    </row>
    <row r="793" spans="22:22" x14ac:dyDescent="0.2">
      <c r="V793" s="194"/>
    </row>
    <row r="794" spans="22:22" x14ac:dyDescent="0.2">
      <c r="V794" s="194"/>
    </row>
    <row r="795" spans="22:22" x14ac:dyDescent="0.2">
      <c r="V795" s="194"/>
    </row>
    <row r="796" spans="22:22" x14ac:dyDescent="0.2">
      <c r="V796" s="194"/>
    </row>
    <row r="797" spans="22:22" x14ac:dyDescent="0.2">
      <c r="V797" s="194"/>
    </row>
    <row r="798" spans="22:22" x14ac:dyDescent="0.2">
      <c r="V798" s="194"/>
    </row>
    <row r="799" spans="22:22" x14ac:dyDescent="0.2">
      <c r="V799" s="194"/>
    </row>
    <row r="800" spans="22:22" x14ac:dyDescent="0.2">
      <c r="V800" s="194"/>
    </row>
    <row r="801" spans="22:22" x14ac:dyDescent="0.2">
      <c r="V801" s="194"/>
    </row>
    <row r="802" spans="22:22" x14ac:dyDescent="0.2">
      <c r="V802" s="194"/>
    </row>
    <row r="803" spans="22:22" x14ac:dyDescent="0.2">
      <c r="V803" s="194"/>
    </row>
    <row r="804" spans="22:22" x14ac:dyDescent="0.2">
      <c r="V804" s="194"/>
    </row>
    <row r="805" spans="22:22" x14ac:dyDescent="0.2">
      <c r="V805" s="194"/>
    </row>
    <row r="806" spans="22:22" x14ac:dyDescent="0.2">
      <c r="V806" s="194"/>
    </row>
    <row r="807" spans="22:22" x14ac:dyDescent="0.2">
      <c r="V807" s="194"/>
    </row>
    <row r="808" spans="22:22" x14ac:dyDescent="0.2">
      <c r="V808" s="194"/>
    </row>
    <row r="809" spans="22:22" x14ac:dyDescent="0.2">
      <c r="V809" s="194"/>
    </row>
    <row r="810" spans="22:22" x14ac:dyDescent="0.2">
      <c r="V810" s="194"/>
    </row>
    <row r="811" spans="22:22" x14ac:dyDescent="0.2">
      <c r="V811" s="194"/>
    </row>
    <row r="812" spans="22:22" x14ac:dyDescent="0.2">
      <c r="V812" s="194"/>
    </row>
    <row r="813" spans="22:22" x14ac:dyDescent="0.2">
      <c r="V813" s="194"/>
    </row>
    <row r="814" spans="22:22" x14ac:dyDescent="0.2">
      <c r="V814" s="194"/>
    </row>
    <row r="815" spans="22:22" x14ac:dyDescent="0.2">
      <c r="V815" s="194"/>
    </row>
    <row r="816" spans="22:22" x14ac:dyDescent="0.2">
      <c r="V816" s="194"/>
    </row>
    <row r="817" spans="22:22" x14ac:dyDescent="0.2">
      <c r="V817" s="194"/>
    </row>
    <row r="818" spans="22:22" x14ac:dyDescent="0.2">
      <c r="V818" s="194"/>
    </row>
    <row r="819" spans="22:22" x14ac:dyDescent="0.2">
      <c r="V819" s="194"/>
    </row>
    <row r="820" spans="22:22" x14ac:dyDescent="0.2">
      <c r="V820" s="194"/>
    </row>
    <row r="821" spans="22:22" x14ac:dyDescent="0.2">
      <c r="V821" s="194"/>
    </row>
    <row r="822" spans="22:22" x14ac:dyDescent="0.2">
      <c r="V822" s="194"/>
    </row>
    <row r="823" spans="22:22" x14ac:dyDescent="0.2">
      <c r="V823" s="194"/>
    </row>
    <row r="824" spans="22:22" x14ac:dyDescent="0.2">
      <c r="V824" s="194"/>
    </row>
    <row r="825" spans="22:22" x14ac:dyDescent="0.2">
      <c r="V825" s="194"/>
    </row>
    <row r="826" spans="22:22" x14ac:dyDescent="0.2">
      <c r="V826" s="194"/>
    </row>
    <row r="827" spans="22:22" x14ac:dyDescent="0.2">
      <c r="V827" s="194"/>
    </row>
    <row r="828" spans="22:22" x14ac:dyDescent="0.2">
      <c r="V828" s="194"/>
    </row>
    <row r="829" spans="22:22" x14ac:dyDescent="0.2">
      <c r="V829" s="194"/>
    </row>
    <row r="830" spans="22:22" x14ac:dyDescent="0.2">
      <c r="V830" s="194"/>
    </row>
    <row r="831" spans="22:22" x14ac:dyDescent="0.2">
      <c r="V831" s="194"/>
    </row>
    <row r="832" spans="22:22" x14ac:dyDescent="0.2">
      <c r="V832" s="194"/>
    </row>
    <row r="833" spans="22:22" x14ac:dyDescent="0.2">
      <c r="V833" s="194"/>
    </row>
    <row r="834" spans="22:22" x14ac:dyDescent="0.2">
      <c r="V834" s="194"/>
    </row>
    <row r="835" spans="22:22" x14ac:dyDescent="0.2">
      <c r="V835" s="194"/>
    </row>
    <row r="836" spans="22:22" x14ac:dyDescent="0.2">
      <c r="V836" s="194"/>
    </row>
    <row r="837" spans="22:22" x14ac:dyDescent="0.2">
      <c r="V837" s="194"/>
    </row>
    <row r="838" spans="22:22" x14ac:dyDescent="0.2">
      <c r="V838" s="194"/>
    </row>
    <row r="839" spans="22:22" x14ac:dyDescent="0.2">
      <c r="V839" s="194"/>
    </row>
    <row r="840" spans="22:22" x14ac:dyDescent="0.2">
      <c r="V840" s="194"/>
    </row>
    <row r="841" spans="22:22" x14ac:dyDescent="0.2">
      <c r="V841" s="194"/>
    </row>
    <row r="842" spans="22:22" x14ac:dyDescent="0.2">
      <c r="V842" s="194"/>
    </row>
    <row r="843" spans="22:22" x14ac:dyDescent="0.2">
      <c r="V843" s="194"/>
    </row>
    <row r="844" spans="22:22" x14ac:dyDescent="0.2">
      <c r="V844" s="194"/>
    </row>
    <row r="845" spans="22:22" x14ac:dyDescent="0.2">
      <c r="V845" s="194"/>
    </row>
    <row r="846" spans="22:22" x14ac:dyDescent="0.2">
      <c r="V846" s="194"/>
    </row>
    <row r="847" spans="22:22" x14ac:dyDescent="0.2">
      <c r="V847" s="194"/>
    </row>
    <row r="848" spans="22:22" x14ac:dyDescent="0.2">
      <c r="V848" s="194"/>
    </row>
    <row r="849" spans="22:22" x14ac:dyDescent="0.2">
      <c r="V849" s="194"/>
    </row>
    <row r="850" spans="22:22" x14ac:dyDescent="0.2">
      <c r="V850" s="194"/>
    </row>
    <row r="851" spans="22:22" x14ac:dyDescent="0.2">
      <c r="V851" s="194"/>
    </row>
    <row r="852" spans="22:22" x14ac:dyDescent="0.2">
      <c r="V852" s="194"/>
    </row>
    <row r="853" spans="22:22" x14ac:dyDescent="0.2">
      <c r="V853" s="194"/>
    </row>
    <row r="854" spans="22:22" x14ac:dyDescent="0.2">
      <c r="V854" s="194"/>
    </row>
    <row r="855" spans="22:22" x14ac:dyDescent="0.2">
      <c r="V855" s="194"/>
    </row>
    <row r="856" spans="22:22" x14ac:dyDescent="0.2">
      <c r="V856" s="194"/>
    </row>
    <row r="857" spans="22:22" x14ac:dyDescent="0.2">
      <c r="V857" s="194"/>
    </row>
    <row r="858" spans="22:22" x14ac:dyDescent="0.2">
      <c r="V858" s="194"/>
    </row>
    <row r="859" spans="22:22" x14ac:dyDescent="0.2">
      <c r="V859" s="194"/>
    </row>
    <row r="860" spans="22:22" x14ac:dyDescent="0.2">
      <c r="V860" s="194"/>
    </row>
    <row r="861" spans="22:22" x14ac:dyDescent="0.2">
      <c r="V861" s="194"/>
    </row>
    <row r="862" spans="22:22" x14ac:dyDescent="0.2">
      <c r="V862" s="194"/>
    </row>
    <row r="863" spans="22:22" x14ac:dyDescent="0.2">
      <c r="V863" s="194"/>
    </row>
    <row r="864" spans="22:22" x14ac:dyDescent="0.2">
      <c r="V864" s="194"/>
    </row>
    <row r="865" spans="22:22" x14ac:dyDescent="0.2">
      <c r="V865" s="194"/>
    </row>
    <row r="866" spans="22:22" x14ac:dyDescent="0.2">
      <c r="V866" s="194"/>
    </row>
    <row r="867" spans="22:22" x14ac:dyDescent="0.2">
      <c r="V867" s="194"/>
    </row>
    <row r="868" spans="22:22" x14ac:dyDescent="0.2">
      <c r="V868" s="194"/>
    </row>
    <row r="869" spans="22:22" x14ac:dyDescent="0.2">
      <c r="V869" s="194"/>
    </row>
    <row r="870" spans="22:22" x14ac:dyDescent="0.2">
      <c r="V870" s="194"/>
    </row>
    <row r="871" spans="22:22" x14ac:dyDescent="0.2">
      <c r="V871" s="194"/>
    </row>
    <row r="872" spans="22:22" x14ac:dyDescent="0.2">
      <c r="V872" s="194"/>
    </row>
    <row r="873" spans="22:22" x14ac:dyDescent="0.2">
      <c r="V873" s="194"/>
    </row>
    <row r="874" spans="22:22" x14ac:dyDescent="0.2">
      <c r="V874" s="194"/>
    </row>
    <row r="875" spans="22:22" x14ac:dyDescent="0.2">
      <c r="V875" s="194"/>
    </row>
    <row r="876" spans="22:22" x14ac:dyDescent="0.2">
      <c r="V876" s="194"/>
    </row>
    <row r="877" spans="22:22" x14ac:dyDescent="0.2">
      <c r="V877" s="194"/>
    </row>
    <row r="878" spans="22:22" x14ac:dyDescent="0.2">
      <c r="V878" s="194"/>
    </row>
    <row r="879" spans="22:22" x14ac:dyDescent="0.2">
      <c r="V879" s="194"/>
    </row>
    <row r="880" spans="22:22" x14ac:dyDescent="0.2">
      <c r="V880" s="194"/>
    </row>
    <row r="881" spans="22:22" x14ac:dyDescent="0.2">
      <c r="V881" s="194"/>
    </row>
    <row r="882" spans="22:22" x14ac:dyDescent="0.2">
      <c r="V882" s="194"/>
    </row>
    <row r="883" spans="22:22" x14ac:dyDescent="0.2">
      <c r="V883" s="194"/>
    </row>
    <row r="884" spans="22:22" x14ac:dyDescent="0.2">
      <c r="V884" s="194"/>
    </row>
    <row r="885" spans="22:22" x14ac:dyDescent="0.2">
      <c r="V885" s="194"/>
    </row>
    <row r="886" spans="22:22" x14ac:dyDescent="0.2">
      <c r="V886" s="194"/>
    </row>
    <row r="887" spans="22:22" x14ac:dyDescent="0.2">
      <c r="V887" s="194"/>
    </row>
    <row r="888" spans="22:22" x14ac:dyDescent="0.2">
      <c r="V888" s="194"/>
    </row>
    <row r="889" spans="22:22" x14ac:dyDescent="0.2">
      <c r="V889" s="194"/>
    </row>
    <row r="890" spans="22:22" x14ac:dyDescent="0.2">
      <c r="V890" s="194"/>
    </row>
    <row r="891" spans="22:22" x14ac:dyDescent="0.2">
      <c r="V891" s="194"/>
    </row>
    <row r="892" spans="22:22" x14ac:dyDescent="0.2">
      <c r="V892" s="194"/>
    </row>
    <row r="893" spans="22:22" x14ac:dyDescent="0.2">
      <c r="V893" s="194"/>
    </row>
    <row r="894" spans="22:22" x14ac:dyDescent="0.2">
      <c r="V894" s="194"/>
    </row>
    <row r="895" spans="22:22" x14ac:dyDescent="0.2">
      <c r="V895" s="194"/>
    </row>
    <row r="896" spans="22:22" x14ac:dyDescent="0.2">
      <c r="V896" s="194"/>
    </row>
    <row r="897" spans="22:22" x14ac:dyDescent="0.2">
      <c r="V897" s="194"/>
    </row>
    <row r="898" spans="22:22" x14ac:dyDescent="0.2">
      <c r="V898" s="194"/>
    </row>
    <row r="899" spans="22:22" x14ac:dyDescent="0.2">
      <c r="V899" s="194"/>
    </row>
    <row r="900" spans="22:22" x14ac:dyDescent="0.2">
      <c r="V900" s="194"/>
    </row>
    <row r="901" spans="22:22" x14ac:dyDescent="0.2">
      <c r="V901" s="194"/>
    </row>
    <row r="902" spans="22:22" x14ac:dyDescent="0.2">
      <c r="V902" s="194"/>
    </row>
    <row r="903" spans="22:22" x14ac:dyDescent="0.2">
      <c r="V903" s="194"/>
    </row>
    <row r="904" spans="22:22" x14ac:dyDescent="0.2">
      <c r="V904" s="194"/>
    </row>
    <row r="905" spans="22:22" x14ac:dyDescent="0.2">
      <c r="V905" s="194"/>
    </row>
    <row r="906" spans="22:22" x14ac:dyDescent="0.2">
      <c r="V906" s="194"/>
    </row>
    <row r="907" spans="22:22" x14ac:dyDescent="0.2">
      <c r="V907" s="194"/>
    </row>
    <row r="908" spans="22:22" x14ac:dyDescent="0.2">
      <c r="V908" s="194"/>
    </row>
    <row r="909" spans="22:22" x14ac:dyDescent="0.2">
      <c r="V909" s="194"/>
    </row>
    <row r="910" spans="22:22" x14ac:dyDescent="0.2">
      <c r="V910" s="194"/>
    </row>
    <row r="911" spans="22:22" x14ac:dyDescent="0.2">
      <c r="V911" s="194"/>
    </row>
    <row r="912" spans="22:22" x14ac:dyDescent="0.2">
      <c r="V912" s="194"/>
    </row>
    <row r="913" spans="22:22" x14ac:dyDescent="0.2">
      <c r="V913" s="194"/>
    </row>
    <row r="914" spans="22:22" x14ac:dyDescent="0.2">
      <c r="V914" s="194"/>
    </row>
    <row r="915" spans="22:22" x14ac:dyDescent="0.2">
      <c r="V915" s="194"/>
    </row>
    <row r="916" spans="22:22" x14ac:dyDescent="0.2">
      <c r="V916" s="194"/>
    </row>
    <row r="917" spans="22:22" x14ac:dyDescent="0.2">
      <c r="V917" s="194"/>
    </row>
    <row r="918" spans="22:22" x14ac:dyDescent="0.2">
      <c r="V918" s="194"/>
    </row>
    <row r="919" spans="22:22" x14ac:dyDescent="0.2">
      <c r="V919" s="194"/>
    </row>
    <row r="920" spans="22:22" x14ac:dyDescent="0.2">
      <c r="V920" s="194"/>
    </row>
    <row r="921" spans="22:22" x14ac:dyDescent="0.2">
      <c r="V921" s="194"/>
    </row>
    <row r="922" spans="22:22" x14ac:dyDescent="0.2">
      <c r="V922" s="194"/>
    </row>
    <row r="923" spans="22:22" x14ac:dyDescent="0.2">
      <c r="V923" s="194"/>
    </row>
    <row r="924" spans="22:22" x14ac:dyDescent="0.2">
      <c r="V924" s="194"/>
    </row>
    <row r="925" spans="22:22" x14ac:dyDescent="0.2">
      <c r="V925" s="194"/>
    </row>
    <row r="926" spans="22:22" x14ac:dyDescent="0.2">
      <c r="V926" s="194"/>
    </row>
    <row r="927" spans="22:22" x14ac:dyDescent="0.2">
      <c r="V927" s="194"/>
    </row>
    <row r="928" spans="22:22" x14ac:dyDescent="0.2">
      <c r="V928" s="194"/>
    </row>
    <row r="929" spans="22:22" x14ac:dyDescent="0.2">
      <c r="V929" s="194"/>
    </row>
    <row r="930" spans="22:22" x14ac:dyDescent="0.2">
      <c r="V930" s="194"/>
    </row>
    <row r="931" spans="22:22" x14ac:dyDescent="0.2">
      <c r="V931" s="194"/>
    </row>
    <row r="932" spans="22:22" x14ac:dyDescent="0.2">
      <c r="V932" s="194"/>
    </row>
    <row r="933" spans="22:22" x14ac:dyDescent="0.2">
      <c r="V933" s="194"/>
    </row>
    <row r="934" spans="22:22" x14ac:dyDescent="0.2">
      <c r="V934" s="194"/>
    </row>
    <row r="935" spans="22:22" x14ac:dyDescent="0.2">
      <c r="V935" s="194"/>
    </row>
    <row r="936" spans="22:22" x14ac:dyDescent="0.2">
      <c r="V936" s="194"/>
    </row>
    <row r="937" spans="22:22" x14ac:dyDescent="0.2">
      <c r="V937" s="194"/>
    </row>
    <row r="938" spans="22:22" x14ac:dyDescent="0.2">
      <c r="V938" s="194"/>
    </row>
    <row r="939" spans="22:22" x14ac:dyDescent="0.2">
      <c r="V939" s="194"/>
    </row>
    <row r="940" spans="22:22" x14ac:dyDescent="0.2">
      <c r="V940" s="194"/>
    </row>
    <row r="941" spans="22:22" x14ac:dyDescent="0.2">
      <c r="V941" s="194"/>
    </row>
    <row r="942" spans="22:22" x14ac:dyDescent="0.2">
      <c r="V942" s="194"/>
    </row>
    <row r="943" spans="22:22" x14ac:dyDescent="0.2">
      <c r="V943" s="194"/>
    </row>
    <row r="944" spans="22:22" x14ac:dyDescent="0.2">
      <c r="V944" s="194"/>
    </row>
    <row r="945" spans="22:22" x14ac:dyDescent="0.2">
      <c r="V945" s="194"/>
    </row>
    <row r="946" spans="22:22" x14ac:dyDescent="0.2">
      <c r="V946" s="194"/>
    </row>
    <row r="947" spans="22:22" x14ac:dyDescent="0.2">
      <c r="V947" s="194"/>
    </row>
    <row r="948" spans="22:22" x14ac:dyDescent="0.2">
      <c r="V948" s="194"/>
    </row>
    <row r="949" spans="22:22" x14ac:dyDescent="0.2">
      <c r="V949" s="194"/>
    </row>
    <row r="950" spans="22:22" x14ac:dyDescent="0.2">
      <c r="V950" s="194"/>
    </row>
    <row r="951" spans="22:22" x14ac:dyDescent="0.2">
      <c r="V951" s="194"/>
    </row>
    <row r="952" spans="22:22" x14ac:dyDescent="0.2">
      <c r="V952" s="194"/>
    </row>
    <row r="953" spans="22:22" x14ac:dyDescent="0.2">
      <c r="V953" s="194"/>
    </row>
    <row r="954" spans="22:22" x14ac:dyDescent="0.2">
      <c r="V954" s="194"/>
    </row>
    <row r="955" spans="22:22" x14ac:dyDescent="0.2">
      <c r="V955" s="194"/>
    </row>
    <row r="956" spans="22:22" x14ac:dyDescent="0.2">
      <c r="V956" s="194"/>
    </row>
    <row r="957" spans="22:22" x14ac:dyDescent="0.2">
      <c r="V957" s="194"/>
    </row>
    <row r="958" spans="22:22" x14ac:dyDescent="0.2">
      <c r="V958" s="194"/>
    </row>
    <row r="959" spans="22:22" x14ac:dyDescent="0.2">
      <c r="V959" s="194"/>
    </row>
    <row r="960" spans="22:22" x14ac:dyDescent="0.2">
      <c r="V960" s="194"/>
    </row>
    <row r="961" spans="22:22" x14ac:dyDescent="0.2">
      <c r="V961" s="194"/>
    </row>
    <row r="962" spans="22:22" x14ac:dyDescent="0.2">
      <c r="V962" s="194"/>
    </row>
    <row r="963" spans="22:22" x14ac:dyDescent="0.2">
      <c r="V963" s="194"/>
    </row>
    <row r="964" spans="22:22" x14ac:dyDescent="0.2">
      <c r="V964" s="194"/>
    </row>
    <row r="965" spans="22:22" x14ac:dyDescent="0.2">
      <c r="V965" s="194"/>
    </row>
    <row r="966" spans="22:22" x14ac:dyDescent="0.2">
      <c r="V966" s="194"/>
    </row>
    <row r="967" spans="22:22" x14ac:dyDescent="0.2">
      <c r="V967" s="194"/>
    </row>
    <row r="968" spans="22:22" x14ac:dyDescent="0.2">
      <c r="V968" s="194"/>
    </row>
    <row r="969" spans="22:22" x14ac:dyDescent="0.2">
      <c r="V969" s="194"/>
    </row>
    <row r="970" spans="22:22" x14ac:dyDescent="0.2">
      <c r="V970" s="194"/>
    </row>
    <row r="971" spans="22:22" x14ac:dyDescent="0.2">
      <c r="V971" s="194"/>
    </row>
    <row r="972" spans="22:22" x14ac:dyDescent="0.2">
      <c r="V972" s="194"/>
    </row>
    <row r="973" spans="22:22" x14ac:dyDescent="0.2">
      <c r="V973" s="194"/>
    </row>
    <row r="974" spans="22:22" x14ac:dyDescent="0.2">
      <c r="V974" s="194"/>
    </row>
    <row r="975" spans="22:22" x14ac:dyDescent="0.2">
      <c r="V975" s="194"/>
    </row>
    <row r="976" spans="22:22" x14ac:dyDescent="0.2">
      <c r="V976" s="194"/>
    </row>
    <row r="977" spans="22:22" x14ac:dyDescent="0.2">
      <c r="V977" s="194"/>
    </row>
    <row r="978" spans="22:22" x14ac:dyDescent="0.2">
      <c r="V978" s="194"/>
    </row>
    <row r="979" spans="22:22" x14ac:dyDescent="0.2">
      <c r="V979" s="194"/>
    </row>
    <row r="980" spans="22:22" x14ac:dyDescent="0.2">
      <c r="V980" s="194"/>
    </row>
    <row r="981" spans="22:22" x14ac:dyDescent="0.2">
      <c r="V981" s="194"/>
    </row>
    <row r="982" spans="22:22" x14ac:dyDescent="0.2">
      <c r="V982" s="194"/>
    </row>
    <row r="983" spans="22:22" x14ac:dyDescent="0.2">
      <c r="V983" s="194"/>
    </row>
    <row r="984" spans="22:22" x14ac:dyDescent="0.2">
      <c r="V984" s="194"/>
    </row>
    <row r="985" spans="22:22" x14ac:dyDescent="0.2">
      <c r="V985" s="194"/>
    </row>
    <row r="986" spans="22:22" x14ac:dyDescent="0.2">
      <c r="V986" s="194"/>
    </row>
    <row r="987" spans="22:22" x14ac:dyDescent="0.2">
      <c r="V987" s="194"/>
    </row>
    <row r="988" spans="22:22" x14ac:dyDescent="0.2">
      <c r="V988" s="194"/>
    </row>
    <row r="989" spans="22:22" x14ac:dyDescent="0.2">
      <c r="V989" s="194"/>
    </row>
    <row r="990" spans="22:22" x14ac:dyDescent="0.2">
      <c r="V990" s="194"/>
    </row>
    <row r="991" spans="22:22" x14ac:dyDescent="0.2">
      <c r="V991" s="194"/>
    </row>
    <row r="992" spans="22:22" x14ac:dyDescent="0.2">
      <c r="V992" s="194"/>
    </row>
    <row r="993" spans="22:22" x14ac:dyDescent="0.2">
      <c r="V993" s="194"/>
    </row>
    <row r="994" spans="22:22" x14ac:dyDescent="0.2">
      <c r="V994" s="194"/>
    </row>
    <row r="995" spans="22:22" x14ac:dyDescent="0.2">
      <c r="V995" s="194"/>
    </row>
    <row r="996" spans="22:22" x14ac:dyDescent="0.2">
      <c r="V996" s="194"/>
    </row>
    <row r="997" spans="22:22" x14ac:dyDescent="0.2">
      <c r="V997" s="194"/>
    </row>
    <row r="998" spans="22:22" x14ac:dyDescent="0.2">
      <c r="V998" s="194"/>
    </row>
    <row r="999" spans="22:22" x14ac:dyDescent="0.2">
      <c r="V999" s="194"/>
    </row>
    <row r="1000" spans="22:22" x14ac:dyDescent="0.2">
      <c r="V1000" s="194"/>
    </row>
    <row r="1001" spans="22:22" x14ac:dyDescent="0.2">
      <c r="V1001" s="194"/>
    </row>
    <row r="1002" spans="22:22" x14ac:dyDescent="0.2">
      <c r="V1002" s="194"/>
    </row>
    <row r="1003" spans="22:22" x14ac:dyDescent="0.2">
      <c r="V1003" s="194"/>
    </row>
    <row r="1004" spans="22:22" x14ac:dyDescent="0.2">
      <c r="V1004" s="194"/>
    </row>
    <row r="1005" spans="22:22" x14ac:dyDescent="0.2">
      <c r="V1005" s="194"/>
    </row>
    <row r="1006" spans="22:22" x14ac:dyDescent="0.2">
      <c r="V1006" s="194"/>
    </row>
    <row r="1007" spans="22:22" x14ac:dyDescent="0.2">
      <c r="V1007" s="194"/>
    </row>
    <row r="1008" spans="22:22" x14ac:dyDescent="0.2">
      <c r="V1008" s="194"/>
    </row>
    <row r="1009" spans="22:22" x14ac:dyDescent="0.2">
      <c r="V1009" s="194"/>
    </row>
    <row r="1010" spans="22:22" x14ac:dyDescent="0.2">
      <c r="V1010" s="194"/>
    </row>
    <row r="1011" spans="22:22" x14ac:dyDescent="0.2">
      <c r="V1011" s="194"/>
    </row>
    <row r="1012" spans="22:22" x14ac:dyDescent="0.2">
      <c r="V1012" s="194"/>
    </row>
    <row r="1013" spans="22:22" x14ac:dyDescent="0.2">
      <c r="V1013" s="194"/>
    </row>
    <row r="1014" spans="22:22" x14ac:dyDescent="0.2">
      <c r="V1014" s="194"/>
    </row>
    <row r="1015" spans="22:22" x14ac:dyDescent="0.2">
      <c r="V1015" s="194"/>
    </row>
    <row r="1016" spans="22:22" x14ac:dyDescent="0.2">
      <c r="V1016" s="194"/>
    </row>
    <row r="1017" spans="22:22" x14ac:dyDescent="0.2">
      <c r="V1017" s="194"/>
    </row>
    <row r="1018" spans="22:22" x14ac:dyDescent="0.2">
      <c r="V1018" s="194"/>
    </row>
    <row r="1019" spans="22:22" x14ac:dyDescent="0.2">
      <c r="V1019" s="194"/>
    </row>
    <row r="1020" spans="22:22" x14ac:dyDescent="0.2">
      <c r="V1020" s="194"/>
    </row>
    <row r="1021" spans="22:22" x14ac:dyDescent="0.2">
      <c r="V1021" s="194"/>
    </row>
    <row r="1022" spans="22:22" x14ac:dyDescent="0.2">
      <c r="V1022" s="194"/>
    </row>
    <row r="1023" spans="22:22" x14ac:dyDescent="0.2">
      <c r="V1023" s="194"/>
    </row>
    <row r="1024" spans="22:22" x14ac:dyDescent="0.2">
      <c r="V1024" s="194"/>
    </row>
    <row r="1025" spans="22:22" x14ac:dyDescent="0.2">
      <c r="V1025" s="194"/>
    </row>
    <row r="1026" spans="22:22" x14ac:dyDescent="0.2">
      <c r="V1026" s="194"/>
    </row>
    <row r="1027" spans="22:22" x14ac:dyDescent="0.2">
      <c r="V1027" s="194"/>
    </row>
    <row r="1028" spans="22:22" x14ac:dyDescent="0.2">
      <c r="V1028" s="194"/>
    </row>
    <row r="1029" spans="22:22" x14ac:dyDescent="0.2">
      <c r="V1029" s="194"/>
    </row>
    <row r="1030" spans="22:22" x14ac:dyDescent="0.2">
      <c r="V1030" s="194"/>
    </row>
    <row r="1031" spans="22:22" x14ac:dyDescent="0.2">
      <c r="V1031" s="194"/>
    </row>
    <row r="1032" spans="22:22" x14ac:dyDescent="0.2">
      <c r="V1032" s="194"/>
    </row>
    <row r="1033" spans="22:22" x14ac:dyDescent="0.2">
      <c r="V1033" s="194"/>
    </row>
    <row r="1034" spans="22:22" x14ac:dyDescent="0.2">
      <c r="V1034" s="194"/>
    </row>
    <row r="1035" spans="22:22" x14ac:dyDescent="0.2">
      <c r="V1035" s="194"/>
    </row>
    <row r="1036" spans="22:22" x14ac:dyDescent="0.2">
      <c r="V1036" s="194"/>
    </row>
    <row r="1037" spans="22:22" x14ac:dyDescent="0.2">
      <c r="V1037" s="194"/>
    </row>
    <row r="1038" spans="22:22" x14ac:dyDescent="0.2">
      <c r="V1038" s="194"/>
    </row>
    <row r="1039" spans="22:22" x14ac:dyDescent="0.2">
      <c r="V1039" s="194"/>
    </row>
    <row r="1040" spans="22:22" x14ac:dyDescent="0.2">
      <c r="V1040" s="194"/>
    </row>
    <row r="1041" spans="22:22" x14ac:dyDescent="0.2">
      <c r="V1041" s="194"/>
    </row>
    <row r="1042" spans="22:22" x14ac:dyDescent="0.2">
      <c r="V1042" s="194"/>
    </row>
    <row r="1043" spans="22:22" x14ac:dyDescent="0.2">
      <c r="V1043" s="194"/>
    </row>
    <row r="1044" spans="22:22" x14ac:dyDescent="0.2">
      <c r="V1044" s="194"/>
    </row>
    <row r="1045" spans="22:22" x14ac:dyDescent="0.2">
      <c r="V1045" s="194"/>
    </row>
    <row r="1046" spans="22:22" x14ac:dyDescent="0.2">
      <c r="V1046" s="194"/>
    </row>
    <row r="1047" spans="22:22" x14ac:dyDescent="0.2">
      <c r="V1047" s="194"/>
    </row>
    <row r="1048" spans="22:22" x14ac:dyDescent="0.2">
      <c r="V1048" s="194"/>
    </row>
    <row r="1049" spans="22:22" x14ac:dyDescent="0.2">
      <c r="V1049" s="194"/>
    </row>
    <row r="1050" spans="22:22" x14ac:dyDescent="0.2">
      <c r="V1050" s="194"/>
    </row>
    <row r="1051" spans="22:22" x14ac:dyDescent="0.2">
      <c r="V1051" s="194"/>
    </row>
    <row r="1052" spans="22:22" x14ac:dyDescent="0.2">
      <c r="V1052" s="194"/>
    </row>
    <row r="1053" spans="22:22" x14ac:dyDescent="0.2">
      <c r="V1053" s="194"/>
    </row>
    <row r="1054" spans="22:22" x14ac:dyDescent="0.2">
      <c r="V1054" s="194"/>
    </row>
    <row r="1055" spans="22:22" x14ac:dyDescent="0.2">
      <c r="V1055" s="194"/>
    </row>
    <row r="1056" spans="22:22" x14ac:dyDescent="0.2">
      <c r="V1056" s="194"/>
    </row>
    <row r="1057" spans="22:22" x14ac:dyDescent="0.2">
      <c r="V1057" s="194"/>
    </row>
    <row r="1058" spans="22:22" x14ac:dyDescent="0.2">
      <c r="V1058" s="194"/>
    </row>
    <row r="1059" spans="22:22" x14ac:dyDescent="0.2">
      <c r="V1059" s="194"/>
    </row>
    <row r="1060" spans="22:22" x14ac:dyDescent="0.2">
      <c r="V1060" s="194"/>
    </row>
    <row r="1061" spans="22:22" x14ac:dyDescent="0.2">
      <c r="V1061" s="194"/>
    </row>
    <row r="1062" spans="22:22" x14ac:dyDescent="0.2">
      <c r="V1062" s="194"/>
    </row>
    <row r="1063" spans="22:22" x14ac:dyDescent="0.2">
      <c r="V1063" s="194"/>
    </row>
    <row r="1064" spans="22:22" x14ac:dyDescent="0.2">
      <c r="V1064" s="194"/>
    </row>
    <row r="1065" spans="22:22" x14ac:dyDescent="0.2">
      <c r="V1065" s="194"/>
    </row>
    <row r="1066" spans="22:22" x14ac:dyDescent="0.2">
      <c r="V1066" s="194"/>
    </row>
    <row r="1067" spans="22:22" x14ac:dyDescent="0.2">
      <c r="V1067" s="194"/>
    </row>
    <row r="1068" spans="22:22" x14ac:dyDescent="0.2">
      <c r="V1068" s="194"/>
    </row>
    <row r="1069" spans="22:22" x14ac:dyDescent="0.2">
      <c r="V1069" s="194"/>
    </row>
    <row r="1070" spans="22:22" x14ac:dyDescent="0.2">
      <c r="V1070" s="194"/>
    </row>
    <row r="1071" spans="22:22" x14ac:dyDescent="0.2">
      <c r="V1071" s="194"/>
    </row>
    <row r="1072" spans="22:22" x14ac:dyDescent="0.2">
      <c r="V1072" s="194"/>
    </row>
    <row r="1073" spans="22:22" x14ac:dyDescent="0.2">
      <c r="V1073" s="194"/>
    </row>
    <row r="1074" spans="22:22" x14ac:dyDescent="0.2">
      <c r="V1074" s="194"/>
    </row>
  </sheetData>
  <autoFilter ref="A1:U401" xr:uid="{85E23E50-EAEB-E74D-9474-6B02263A7DD4}">
    <sortState xmlns:xlrd2="http://schemas.microsoft.com/office/spreadsheetml/2017/richdata2" ref="A2:U401">
      <sortCondition descending="1" ref="T1:T401"/>
    </sortState>
  </autoFilter>
  <hyperlinks>
    <hyperlink ref="C322" r:id="rId1" display="https://fantasydata.com/nfl/san-francisco-49ers-depth-chart" xr:uid="{F4029C3D-B411-524A-9847-E4A3B68A1899}"/>
    <hyperlink ref="C389" r:id="rId2" display="https://fantasydata.com/nfl/detroit-lions-depth-chart" xr:uid="{6728CCB5-A1B6-1749-944E-BC101161E1EA}"/>
    <hyperlink ref="C398" r:id="rId3" display="https://fantasydata.com/nfl/kansas-city-chiefs-depth-chart" xr:uid="{7FEBB702-5B11-5D4E-A0C2-C5302E22D785}"/>
    <hyperlink ref="C3" r:id="rId4" display="https://fantasydata.com/nfl/houston-texans-depth-chart" xr:uid="{F8F526B4-7A9B-FD4D-AEEA-E6C7F0502C72}"/>
    <hyperlink ref="C329" r:id="rId5" display="https://fantasydata.com/nfl/tampa-bay-buccaneers-depth-chart" xr:uid="{7B48BF4C-A679-104C-A74D-FB968DE19838}"/>
    <hyperlink ref="C324" r:id="rId6" display="https://fantasydata.com/nfl/miami-dolphins-depth-chart" xr:uid="{4C452E46-6304-FE4A-ABB6-376D0DC22C8B}"/>
    <hyperlink ref="C394" r:id="rId7" display="https://fantasydata.com/nfl/dallas-cowboys-depth-chart" xr:uid="{2647DF5C-2817-884E-A914-399D605B05CA}"/>
    <hyperlink ref="C319" r:id="rId8" display="https://fantasydata.com/nfl/jacksonville-jaguars-depth-chart" xr:uid="{C0A7870A-0E4A-F54B-AAE1-A92FA2B8F553}"/>
    <hyperlink ref="C321" r:id="rId9" display="https://fantasydata.com/nfl/miami-dolphins-depth-chart" xr:uid="{403D7ED3-13EB-9E48-8534-DBC28EEE22D6}"/>
    <hyperlink ref="C328" r:id="rId10" display="https://fantasydata.com/nfl/denver-broncos-depth-chart" xr:uid="{4922D1AC-C9D4-3D43-B570-07C9FCF0EC30}"/>
    <hyperlink ref="C395" r:id="rId11" display="https://fantasydata.com/nfl/washington-commanders-depth-chart" xr:uid="{711E05B1-33E0-4943-BAA0-75D770354536}"/>
    <hyperlink ref="C392" r:id="rId12" display="https://fantasydata.com/nfl/los-angeles-rams-depth-chart" xr:uid="{BB34C243-B737-234C-B9D9-5D62473CB153}"/>
    <hyperlink ref="C401" r:id="rId13" display="https://fantasydata.com/nfl/miami-dolphins-depth-chart" xr:uid="{A82D5E2B-6CD4-5A4C-9960-452F2AFD9E5C}"/>
    <hyperlink ref="C13" r:id="rId14" display="https://fantasydata.com/nfl/new-orleans-saints-depth-chart" xr:uid="{2FBFF3F0-8423-2E4B-8A0B-4027382FC1B3}"/>
    <hyperlink ref="C2" r:id="rId15" display="https://fantasydata.com/nfl/los-angeles-chargers-depth-chart" xr:uid="{B05D1B87-9A39-E140-8F87-054C319CC058}"/>
    <hyperlink ref="C320" r:id="rId16" display="https://fantasydata.com/nfl/chicago-bears-depth-chart" xr:uid="{0C43F7C1-98C3-9B40-A0FA-CC636FC19182}"/>
    <hyperlink ref="C400" r:id="rId17" display="https://fantasydata.com/nfl/seattle-seahawks-depth-chart" xr:uid="{0F0CA4FD-1C9D-6E43-9946-8F69D6EF3392}"/>
    <hyperlink ref="C393" r:id="rId18" display="https://fantasydata.com/nfl/jacksonville-jaguars-depth-chart" xr:uid="{45270465-E701-8D48-A285-5317C52A1C8E}"/>
    <hyperlink ref="C6" r:id="rId19" display="https://fantasydata.com/nfl/los-angeles-rams-depth-chart" xr:uid="{CA52971F-1CF2-D449-8174-D7AD622D0470}"/>
    <hyperlink ref="C14" r:id="rId20" display="https://fantasydata.com/nfl/tennessee-titans-depth-chart" xr:uid="{EC252F76-E31A-474C-8FE5-A124147DF7CF}"/>
    <hyperlink ref="C27" r:id="rId21" display="https://fantasydata.com/nfl/new-york-jets-depth-chart" xr:uid="{A649352A-3ADB-3D48-A78C-4BA832E19DD4}"/>
    <hyperlink ref="C331" r:id="rId22" display="https://fantasydata.com/nfl/detroit-lions-depth-chart" xr:uid="{E9854B5D-5944-9D42-B716-4A056F9113F3}"/>
    <hyperlink ref="C326" r:id="rId23" display="https://fantasydata.com/nfl/tampa-bay-buccaneers-depth-chart" xr:uid="{B21DBA86-1EBE-3E4B-A2B5-EBA56901C1E5}"/>
    <hyperlink ref="C37" r:id="rId24" display="https://fantasydata.com/nfl/tampa-bay-buccaneers-depth-chart" xr:uid="{C7DAEC94-6DF9-2942-981A-4C676C8C32A2}"/>
    <hyperlink ref="C17" r:id="rId25" display="https://fantasydata.com/nfl/minnesota-vikings-depth-chart" xr:uid="{B7779A1A-D762-3342-9D88-91E85CE7BAB9}"/>
    <hyperlink ref="C396" r:id="rId26" display="https://fantasydata.com/nfl/los-angeles-rams-depth-chart" xr:uid="{A866B387-A1A9-B349-8DBC-FD5CA8589C50}"/>
    <hyperlink ref="C8" r:id="rId27" display="https://fantasydata.com/nfl/detroit-lions-depth-chart" xr:uid="{8A41B1ED-33DC-0B46-8EFA-1C90E1F922E8}"/>
    <hyperlink ref="C330" r:id="rId28" display="https://fantasydata.com/nfl/chicago-bears-depth-chart" xr:uid="{51CAA64F-F644-0C46-B88D-DF3F43F57DA1}"/>
    <hyperlink ref="C4" r:id="rId29" display="https://fantasydata.com/nfl/detroit-lions-depth-chart" xr:uid="{DD6D582C-AD3B-5444-8C62-F9E45D73CF2E}"/>
    <hyperlink ref="C19" r:id="rId30" display="https://fantasydata.com/nfl/atlanta-falcons-depth-chart" xr:uid="{403FB422-77DE-AB4E-8E0F-A3D852223573}"/>
    <hyperlink ref="C397" r:id="rId31" display="https://fantasydata.com/nfl/los-angeles-chargers-depth-chart" xr:uid="{00CE1B78-46B6-A54E-A97C-2A45BA1F5378}"/>
    <hyperlink ref="C325" r:id="rId32" display="https://fantasydata.com/nfl/san-francisco-49ers-depth-chart" xr:uid="{A5B37227-2590-7949-BE58-C1E381CB71C5}"/>
    <hyperlink ref="C7" r:id="rId33" display="https://fantasydata.com/nfl/philadelphia-eagles-depth-chart" xr:uid="{A599C423-EE4A-C241-9389-7B8729556CF8}"/>
    <hyperlink ref="C29" r:id="rId34" display="https://fantasydata.com/nfl/tampa-bay-buccaneers-depth-chart" xr:uid="{0602AECB-6C70-B74C-88A9-11A8B7758EF9}"/>
    <hyperlink ref="C399" r:id="rId35" display="https://fantasydata.com/nfl/new-york-giants-depth-chart" xr:uid="{02EBC6DE-1684-C447-B13F-01A2216696F7}"/>
    <hyperlink ref="C24" r:id="rId36" display="https://fantasydata.com/nfl/houston-texans-depth-chart" xr:uid="{CCD72BFE-EBC3-C141-9362-F0131844BA4F}"/>
    <hyperlink ref="C16" r:id="rId37" display="https://fantasydata.com/nfl/atlanta-falcons-depth-chart" xr:uid="{249CFCE4-8F40-6140-B2F3-BFD3A8B95B4A}"/>
    <hyperlink ref="C26" r:id="rId38" display="https://fantasydata.com/nfl/arizona-cardinals-depth-chart" xr:uid="{9737B259-FC59-C34B-957E-43FEFAE9FA0A}"/>
    <hyperlink ref="C23" r:id="rId39" display="https://fantasydata.com/nfl/baltimore-ravens-depth-chart" xr:uid="{38546826-ED03-424E-A300-067A26420089}"/>
    <hyperlink ref="C21" r:id="rId40" display="https://fantasydata.com/nfl/new-york-giants-depth-chart" xr:uid="{E380963D-FB67-814F-92BA-F98FD7188227}"/>
    <hyperlink ref="C15" r:id="rId41" display="https://fantasydata.com/nfl/dallas-cowboys-depth-chart" xr:uid="{80FF219C-5949-0E44-A266-EED6DAF6CF88}"/>
    <hyperlink ref="C12" r:id="rId42" display="https://fantasydata.com/nfl/seattle-seahawks-depth-chart" xr:uid="{348D2CBE-988B-F441-BCCC-44A8D6E254BF}"/>
    <hyperlink ref="C11" r:id="rId43" display="https://fantasydata.com/nfl/buffalo-bills-depth-chart" xr:uid="{DB4A2034-96C9-EB42-A4AC-B55BF9FF059C}"/>
    <hyperlink ref="C30" r:id="rId44" display="https://fantasydata.com/nfl/los-angeles-chargers-depth-chart" xr:uid="{2CECF216-5B3C-F84A-BA4B-BA91E20BA540}"/>
    <hyperlink ref="C25" r:id="rId45" display="https://fantasydata.com/nfl/seattle-seahawks-depth-chart" xr:uid="{17D43BC5-E69C-1245-98B1-B0FFA3ED7990}"/>
    <hyperlink ref="C20" r:id="rId46" display="https://fantasydata.com/nfl/denver-broncos-depth-chart" xr:uid="{14F77A63-CEB5-E241-B904-630318A07622}"/>
    <hyperlink ref="C18" r:id="rId47" display="https://fantasydata.com/nfl/dallas-cowboys-depth-chart" xr:uid="{D9CFE65D-C5DE-D74F-BB5F-AB63808993C3}"/>
    <hyperlink ref="C5" r:id="rId48" display="https://fantasydata.com/nfl/buffalo-bills-depth-chart" xr:uid="{B368CE20-FBF5-E241-8667-35710020DB3D}"/>
    <hyperlink ref="C28" r:id="rId49" display="https://fantasydata.com/nfl/pittsburgh-steelers-depth-chart" xr:uid="{0046241C-2043-3449-BDF8-320467454405}"/>
    <hyperlink ref="C9" r:id="rId50" display="https://fantasydata.com/nfl/indianapolis-colts-depth-chart" xr:uid="{112F3151-AEBC-4D43-A647-121CCC3196D6}"/>
    <hyperlink ref="C10" r:id="rId51" display="https://fantasydata.com/nfl/cincinnati-bengals-depth-chart" xr:uid="{FBF8AF31-5569-3940-AC99-80B32E84B7CE}"/>
    <hyperlink ref="C22" r:id="rId52" display="https://fantasydata.com/nfl/las-vegas-raiders-depth-chart" xr:uid="{46234427-9641-884B-AA9C-53FFDC62B241}"/>
    <hyperlink ref="C31" r:id="rId53" display="https://fantasydata.com/nfl/jacksonville-jaguars-depth-chart" xr:uid="{CECB6E2D-9524-AC4F-95CE-F6ECCF183653}"/>
    <hyperlink ref="B322" r:id="rId54" display="https://fantasydata.com/nfl/brock-purdy-fantasy/23241" xr:uid="{F31F96A4-F610-0343-82E7-BB4846227C1E}"/>
    <hyperlink ref="B389" r:id="rId55" display="https://fantasydata.com/nfl/jared-goff-fantasy/17922" xr:uid="{AAE2AAE0-9845-E34E-90CA-61942489A105}"/>
    <hyperlink ref="B398" r:id="rId56" display="https://fantasydata.com/nfl/patrick-mahomes-fantasy/18890" xr:uid="{F5AE18B6-FD17-2749-9500-D94F72A1608D}"/>
    <hyperlink ref="B3" r:id="rId57" display="https://fantasydata.com/nfl/cj-stroud-fantasy/23239" xr:uid="{7C69B929-5869-244F-8EEE-A29EDAEBA53E}"/>
    <hyperlink ref="B329" r:id="rId58" display="https://fantasydata.com/nfl/baker-mayfield-fantasy/19790" xr:uid="{2EC6F6CF-C21B-EC42-ACCE-9529FB26BAA7}"/>
    <hyperlink ref="B324" r:id="rId59" display="https://fantasydata.com/nfl/tua-tagovailoa-fantasy/21677" xr:uid="{EC05E800-4F9F-2D47-890A-11CE20FCFBFF}"/>
    <hyperlink ref="B394" r:id="rId60" display="https://fantasydata.com/nfl/ceedee-lamb-fantasy/21679" xr:uid="{C500AC6C-E122-904A-A419-EAB06E0D7B97}"/>
    <hyperlink ref="B319" r:id="rId61" display="https://fantasydata.com/nfl/trevor-lawrence-fantasy/22490" xr:uid="{F9B74DA1-6353-6149-B02B-C71CD46FA8F7}"/>
    <hyperlink ref="B321" r:id="rId62" display="https://fantasydata.com/nfl/tyreek-hill-fantasy/18082" xr:uid="{41EAC96C-20AB-D743-94C6-A4D5DAA399B1}"/>
    <hyperlink ref="B328" r:id="rId63" display="https://fantasydata.com/nfl/russell-wilson-fantasy/14536" xr:uid="{5CD2EDA1-89BE-EF41-AA08-D0448570FF25}"/>
    <hyperlink ref="B395" r:id="rId64" display="https://fantasydata.com/nfl/sam-howell-fantasy/23185" xr:uid="{28030A74-78FC-B242-87B4-3183EC758576}"/>
    <hyperlink ref="B392" r:id="rId65" display="https://fantasydata.com/nfl/matthew-stafford-fantasy/9038" xr:uid="{C5C04623-6BED-6F40-BB7D-9B837D164C74}"/>
    <hyperlink ref="B401" r:id="rId66" display="https://fantasydata.com/nfl/raheem-mostert-fantasy/17217" xr:uid="{4631A733-1495-7F4A-9F4B-B5CDD1F81AA0}"/>
    <hyperlink ref="B13" r:id="rId67" display="https://fantasydata.com/nfl/derek-carr-fantasy/16311" xr:uid="{B39A4233-BA91-4540-9AB2-3B279C69A638}"/>
    <hyperlink ref="B2" r:id="rId68" display="https://fantasydata.com/nfl/justin-herbert-fantasy/21681" xr:uid="{B89605A4-9DB3-204B-95C8-FCB16AD361EE}"/>
    <hyperlink ref="B320" r:id="rId69" display="https://fantasydata.com/nfl/justin-fields-fantasy/22492" xr:uid="{97892458-721F-8547-9501-3F277DF06FDA}"/>
    <hyperlink ref="B400" r:id="rId70" display="https://fantasydata.com/nfl/geno-smith-fantasy/14895" xr:uid="{910C3F5C-3601-FA40-A525-B2FF5CD2F5D3}"/>
    <hyperlink ref="B393" r:id="rId71" display="https://fantasydata.com/nfl/travis-etienne-jr-fantasy/21696" xr:uid="{0F6B1866-C37E-BB45-988B-FF103CABA703}"/>
    <hyperlink ref="B6" r:id="rId72" display="https://fantasydata.com/nfl/kyren-williams-fantasy/23212" xr:uid="{53EA25AF-6799-AF41-A120-839EE3A8F446}"/>
    <hyperlink ref="B14" r:id="rId73" display="https://fantasydata.com/nfl/derrick-henry-fantasy/17959" xr:uid="{C811F412-866C-174E-9A82-721E36D289BC}"/>
    <hyperlink ref="B27" r:id="rId74" display="https://fantasydata.com/nfl/breece-hall-fantasy/22526" xr:uid="{619574F6-E77E-CB42-8E18-9BD370611CCC}"/>
    <hyperlink ref="B331" r:id="rId75" display="https://fantasydata.com/nfl/amon-ra-st-brown-fantasy/22587" xr:uid="{9A2E3347-775D-224A-8BC5-D4B7D21B05BF}"/>
    <hyperlink ref="B326" r:id="rId76" display="https://fantasydata.com/nfl/rachaad-white-fantasy/23217" xr:uid="{40A9DA79-6E88-2145-B21E-83222513EDAF}"/>
    <hyperlink ref="B37" r:id="rId77" display="https://fantasydata.com/nfl/mike-evans-fantasy/16597" xr:uid="{31FFBB50-06BE-9849-8EA5-05B8870C7789}"/>
    <hyperlink ref="B17" r:id="rId78" display="https://fantasydata.com/nfl/joshua-dobbs-fantasy/19025" xr:uid="{A5AB11F9-CA27-0A4A-84D0-00DA6D775ACB}"/>
    <hyperlink ref="B396" r:id="rId79" display="https://fantasydata.com/nfl/puka-nacua-fantasy/24172" xr:uid="{6A254951-C1D4-194A-A72B-F1B73CF3727E}"/>
    <hyperlink ref="B8" r:id="rId80" display="https://fantasydata.com/nfl/david-montgomery-fantasy/20882" xr:uid="{3FDC5AAC-8483-694F-88DA-306896D7247C}"/>
    <hyperlink ref="B330" r:id="rId81" display="https://fantasydata.com/nfl/dj-moore-fantasy/19844" xr:uid="{2B943C8C-4D2A-B646-8945-1B519984DC4F}"/>
    <hyperlink ref="B4" r:id="rId82" display="https://fantasydata.com/nfl/jahmyr-gibbs-fantasy/23200" xr:uid="{EA64194A-2FBD-4042-A2F5-5C720567C6D3}"/>
    <hyperlink ref="B19" r:id="rId83" display="https://fantasydata.com/nfl/bijan-robinson-fantasy/23189" xr:uid="{0F270148-4BA1-024B-9E16-ADDDA9199FEC}"/>
    <hyperlink ref="B397" r:id="rId84" display="https://fantasydata.com/nfl/khalil-mack-fantasy/16323" xr:uid="{249F0B11-AC6E-C541-BB58-43F5C8B4549E}"/>
    <hyperlink ref="B325" r:id="rId85" display="https://fantasydata.com/nfl/deebo-samuel-sr-fantasy/20932" xr:uid="{95DDCD06-8265-0346-BC4F-C02EF069025D}"/>
    <hyperlink ref="B7" r:id="rId86" display="https://fantasydata.com/nfl/aj-brown-fantasy/21042" xr:uid="{2FC97DA6-67BF-4D4B-A8EC-A2D6638D3153}"/>
    <hyperlink ref="B29" r:id="rId87" display="https://fantasydata.com/nfl/antoine-winfield-jr-fantasy/21940" xr:uid="{0E8833D0-2FB0-F14A-AEF5-7BE95EB9CD23}"/>
    <hyperlink ref="B399" r:id="rId88" display="https://fantasydata.com/nfl/saquon-barkley-fantasy/19766" xr:uid="{8CF76A61-89AC-594B-840A-356051395B36}"/>
    <hyperlink ref="B24" r:id="rId89" display="https://fantasydata.com/nfl/nico-collins-fantasy/21756" xr:uid="{0884C18E-34C8-D34F-AAA7-67FD4C46788A}"/>
    <hyperlink ref="B16" r:id="rId90" display="https://fantasydata.com/nfl/desmond-ridder-fantasy/22502" xr:uid="{72CB8003-913C-3F4A-B9D0-B88B4423E3B8}"/>
    <hyperlink ref="B26" r:id="rId91" display="https://fantasydata.com/nfl/james-conner-fantasy/18983" xr:uid="{04C35DAE-FD08-1B4A-B11B-5A2FDDA8B539}"/>
    <hyperlink ref="B23" r:id="rId92" display="https://fantasydata.com/nfl/baltimore-ravens-depth-chart" xr:uid="{0B4AB304-3607-1540-B64A-7CBA3ABA8E12}"/>
    <hyperlink ref="B21" r:id="rId93" display="https://fantasydata.com/nfl/bobby-okereke-fantasy/20897" xr:uid="{FDF382ED-291F-F143-9FFA-DE7404DE653A}"/>
    <hyperlink ref="B15" r:id="rId94" display="https://fantasydata.com/nfl/dallas-cowboys-depth-chart" xr:uid="{B6D7D85A-2F31-4C4D-9779-9A99A9BD48A9}"/>
    <hyperlink ref="B12" r:id="rId95" display="https://fantasydata.com/nfl/bobby-wagner-fantasy/14534" xr:uid="{2C5E82A4-C214-F14C-B951-3B3C6E205E14}"/>
    <hyperlink ref="B11" r:id="rId96" display="https://fantasydata.com/nfl/terrel-bernard-fantasy/23447" xr:uid="{1D9EBA5E-39FB-3642-B99D-37A03E6EAB33}"/>
    <hyperlink ref="B30" r:id="rId97" display="https://fantasydata.com/nfl/keenan-allen-fantasy/15076" xr:uid="{8A826301-D36A-CF4D-BB1A-1FB06FE83E67}"/>
    <hyperlink ref="B25" r:id="rId98" display="https://fantasydata.com/nfl/kenneth-walker-iii-fantasy/23214" xr:uid="{96CCA4C2-99E6-BE4E-964C-9877BCED6118}"/>
    <hyperlink ref="B20" r:id="rId99" display="https://fantasydata.com/nfl/alex-singleton-fantasy/17085" xr:uid="{704A983C-1EF2-E94A-85EB-6DD64567819B}"/>
    <hyperlink ref="B18" r:id="rId100" display="https://fantasydata.com/nfl/tony-pollard-fantasy/20912" xr:uid="{4511C595-D6FF-DC48-B7ED-F12E12A86664}"/>
    <hyperlink ref="B5" r:id="rId101" display="https://fantasydata.com/nfl/stefon-diggs-fantasy/16906" xr:uid="{6744DB31-0B45-8149-9897-19ADE8B04B30}"/>
    <hyperlink ref="B28" r:id="rId102" display="https://fantasydata.com/nfl/najee-harris-fantasy/21768" xr:uid="{350BFB45-C5DE-0C4F-8BD4-9A2B33DA080A}"/>
    <hyperlink ref="B9" r:id="rId103" display="https://fantasydata.com/nfl/zaire-franklin-fantasy/20024" xr:uid="{1764669D-47B0-B341-9B47-0E7CDA205EEE}"/>
    <hyperlink ref="B10" r:id="rId104" display="https://fantasydata.com/nfl/jamarr-chase-fantasy/22564" xr:uid="{64D1A1A2-03D7-9E4C-AE50-24C8C5F97D2F}"/>
    <hyperlink ref="B22" r:id="rId105" display="https://fantasydata.com/nfl/davante-adams-fantasy/16470" xr:uid="{9C6411CB-CA8F-AB4C-B824-DB906B69B555}"/>
    <hyperlink ref="B31" r:id="rId106" display="https://fantasydata.com/nfl/josh-allen-fantasy/20737" xr:uid="{031D6779-C906-8343-B172-702F003D3825}"/>
    <hyperlink ref="B327" r:id="rId107" display="https://fantasydata.com/nfl/jordan-love-fantasy/21841" xr:uid="{434B393B-CC49-F240-80A8-4FFAFA0828EE}"/>
    <hyperlink ref="B323" r:id="rId108" display="https://fantasydata.com/nfl/christian-mccaffrey-fantasy/18877" xr:uid="{1733A83F-3790-2F4F-A16D-D23F089B6FFB}"/>
    <hyperlink ref="B391" r:id="rId109" display="https://fantasydata.com/nfl/lamar-jackson-fantasy/19781" xr:uid="{61A31290-65F3-CD46-AF5D-8C880FAEED45}"/>
    <hyperlink ref="B318" r:id="rId110" display="https://fantasydata.com/nfl/dak-prescott-fantasy/18055" xr:uid="{9D733885-ED51-B646-A4BD-87EE7637A5DB}"/>
    <hyperlink ref="B390" r:id="rId111" display="https://fantasydata.com/nfl/jalen-hurts-fantasy/21831" xr:uid="{5E320B29-794B-3D4D-8615-32CA4CAD1B92}"/>
    <hyperlink ref="B388" r:id="rId112" display="https://fantasydata.com/nfl/josh-allen-fantasy/19801" xr:uid="{36514647-F27D-744B-ACAE-51C3403E113B}"/>
    <hyperlink ref="C327" r:id="rId113" display="https://fantasydata.com/nfl/green-bay-packers-depth-chart" xr:uid="{53EF3660-8626-D54B-9199-AAAF427B51F2}"/>
    <hyperlink ref="C323" r:id="rId114" display="https://fantasydata.com/nfl/san-francisco-49ers-depth-chart" xr:uid="{56403F28-3804-584D-AB77-59BDFD8F55FF}"/>
    <hyperlink ref="C391" r:id="rId115" display="https://fantasydata.com/nfl/baltimore-ravens-depth-chart" xr:uid="{5884FAEA-509F-B84D-B46A-36008751D452}"/>
    <hyperlink ref="C318" r:id="rId116" display="https://fantasydata.com/nfl/dallas-cowboys-depth-chart" xr:uid="{D1080739-7024-AC47-9CB6-607616623296}"/>
    <hyperlink ref="C390" r:id="rId117" display="https://fantasydata.com/nfl/philadelphia-eagles-depth-chart" xr:uid="{DEDB688A-A889-DF40-BE2A-15CBABA28F89}"/>
    <hyperlink ref="C388" r:id="rId118" display="https://fantasydata.com/nfl/buffalo-bills-depth-chart" xr:uid="{46E8AF3E-9BA7-834A-B1B6-73EB6AB8E5A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84DAD-4A1A-B445-8B12-6B0FD004AF7D}">
  <dimension ref="A1:B9"/>
  <sheetViews>
    <sheetView tabSelected="1" workbookViewId="0">
      <selection activeCell="F15" sqref="F15"/>
    </sheetView>
  </sheetViews>
  <sheetFormatPr baseColWidth="10" defaultRowHeight="14" x14ac:dyDescent="0.2"/>
  <sheetData>
    <row r="1" spans="1:2" x14ac:dyDescent="0.2">
      <c r="A1" t="s">
        <v>723</v>
      </c>
      <c r="B1" t="s">
        <v>733</v>
      </c>
    </row>
    <row r="2" spans="1:2" x14ac:dyDescent="0.2">
      <c r="A2" t="s">
        <v>725</v>
      </c>
      <c r="B2">
        <f>COUNTIF('POS Actual'!S:S,A2)</f>
        <v>14</v>
      </c>
    </row>
    <row r="3" spans="1:2" x14ac:dyDescent="0.2">
      <c r="A3" t="s">
        <v>726</v>
      </c>
      <c r="B3">
        <f>COUNTIF('POS Actual'!S:S,A3)</f>
        <v>28</v>
      </c>
    </row>
    <row r="4" spans="1:2" x14ac:dyDescent="0.2">
      <c r="A4" t="s">
        <v>727</v>
      </c>
      <c r="B4">
        <f>COUNTIF('POS Actual'!S:S,A4)</f>
        <v>14</v>
      </c>
    </row>
    <row r="5" spans="1:2" x14ac:dyDescent="0.2">
      <c r="A5" t="s">
        <v>728</v>
      </c>
      <c r="B5">
        <f>COUNTIF('POS Actual'!S:S,A5)</f>
        <v>14</v>
      </c>
    </row>
    <row r="6" spans="1:2" x14ac:dyDescent="0.2">
      <c r="A6" t="s">
        <v>729</v>
      </c>
      <c r="B6">
        <f>COUNTIF('POS Actual'!S:S,A6)</f>
        <v>14</v>
      </c>
    </row>
    <row r="7" spans="1:2" x14ac:dyDescent="0.2">
      <c r="A7" t="s">
        <v>730</v>
      </c>
      <c r="B7">
        <f>COUNTIF('POS Actual'!S:S,A7)</f>
        <v>28</v>
      </c>
    </row>
    <row r="8" spans="1:2" x14ac:dyDescent="0.2">
      <c r="A8" t="s">
        <v>731</v>
      </c>
      <c r="B8">
        <f>COUNTIF('POS Actual'!S:S,A8)</f>
        <v>28</v>
      </c>
    </row>
    <row r="9" spans="1:2" x14ac:dyDescent="0.2">
      <c r="A9" t="s">
        <v>732</v>
      </c>
      <c r="B9">
        <f>COUNTIF('POS Actual'!S:S,A9)</f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3">
    <tabColor theme="9" tint="0.79998168889431442"/>
  </sheetPr>
  <dimension ref="A1:AG221"/>
  <sheetViews>
    <sheetView showGridLines="0" zoomScale="85" zoomScaleNormal="85" workbookViewId="0">
      <selection activeCell="W2" sqref="W2:Z91"/>
    </sheetView>
  </sheetViews>
  <sheetFormatPr baseColWidth="10" defaultColWidth="9" defaultRowHeight="14" x14ac:dyDescent="0.2"/>
  <cols>
    <col min="1" max="1" width="3.59765625" bestFit="1" customWidth="1"/>
    <col min="2" max="2" width="19.59765625" bestFit="1" customWidth="1"/>
    <col min="3" max="3" width="5.19921875" bestFit="1" customWidth="1"/>
    <col min="4" max="4" width="4.19921875" bestFit="1" customWidth="1"/>
    <col min="5" max="5" width="7.796875" bestFit="1" customWidth="1"/>
    <col min="6" max="6" width="5.796875" bestFit="1" customWidth="1"/>
    <col min="7" max="7" width="5.796875" customWidth="1"/>
    <col min="8" max="8" width="4.19921875" bestFit="1" customWidth="1"/>
    <col min="9" max="9" width="22.19921875" bestFit="1" customWidth="1"/>
    <col min="10" max="10" width="5.19921875" bestFit="1" customWidth="1"/>
    <col min="11" max="11" width="4.19921875" bestFit="1" customWidth="1"/>
    <col min="12" max="12" width="7.796875" bestFit="1" customWidth="1"/>
    <col min="13" max="13" width="5.796875" bestFit="1" customWidth="1"/>
    <col min="14" max="14" width="5.796875" customWidth="1"/>
    <col min="15" max="15" width="4.19921875" bestFit="1" customWidth="1"/>
    <col min="16" max="16" width="25.59765625" bestFit="1" customWidth="1"/>
    <col min="17" max="17" width="5.19921875" bestFit="1" customWidth="1"/>
    <col min="18" max="18" width="4.19921875" bestFit="1" customWidth="1"/>
    <col min="19" max="19" width="7.796875" bestFit="1" customWidth="1"/>
    <col min="20" max="20" width="5.796875" bestFit="1" customWidth="1"/>
    <col min="21" max="21" width="5.796875" customWidth="1"/>
    <col min="22" max="22" width="4.19921875" bestFit="1" customWidth="1"/>
    <col min="23" max="23" width="21.3984375" bestFit="1" customWidth="1"/>
    <col min="24" max="24" width="5.19921875" bestFit="1" customWidth="1"/>
    <col min="25" max="25" width="4.19921875" bestFit="1" customWidth="1"/>
    <col min="26" max="26" width="7.796875" bestFit="1" customWidth="1"/>
    <col min="27" max="27" width="5.796875" bestFit="1" customWidth="1"/>
    <col min="28" max="28" width="5.796875" customWidth="1"/>
    <col min="29" max="29" width="3.59765625" bestFit="1" customWidth="1"/>
    <col min="30" max="30" width="26.59765625" bestFit="1" customWidth="1"/>
    <col min="31" max="31" width="4.19921875" bestFit="1" customWidth="1"/>
    <col min="32" max="32" width="7.796875" bestFit="1" customWidth="1"/>
    <col min="33" max="33" width="5.796875" bestFit="1" customWidth="1"/>
  </cols>
  <sheetData>
    <row r="1" spans="1:33" s="7" customFormat="1" x14ac:dyDescent="0.2">
      <c r="A1" s="7" t="s">
        <v>158</v>
      </c>
      <c r="B1" s="7" t="s">
        <v>405</v>
      </c>
      <c r="C1" s="7" t="s">
        <v>106</v>
      </c>
      <c r="D1" s="7" t="s">
        <v>143</v>
      </c>
      <c r="E1" s="7" t="s">
        <v>138</v>
      </c>
      <c r="F1" s="7" t="s">
        <v>375</v>
      </c>
      <c r="H1" s="7" t="s">
        <v>158</v>
      </c>
      <c r="I1" s="7" t="s">
        <v>405</v>
      </c>
      <c r="J1" s="7" t="s">
        <v>106</v>
      </c>
      <c r="K1" s="7" t="s">
        <v>143</v>
      </c>
      <c r="L1" s="7" t="s">
        <v>138</v>
      </c>
      <c r="M1" s="7" t="s">
        <v>375</v>
      </c>
      <c r="O1" s="7" t="s">
        <v>158</v>
      </c>
      <c r="P1" s="7" t="s">
        <v>405</v>
      </c>
      <c r="Q1" s="7" t="s">
        <v>106</v>
      </c>
      <c r="R1" s="7" t="s">
        <v>143</v>
      </c>
      <c r="S1" s="7" t="s">
        <v>138</v>
      </c>
      <c r="T1" s="7" t="s">
        <v>375</v>
      </c>
      <c r="V1" s="7" t="s">
        <v>158</v>
      </c>
      <c r="W1" s="7" t="s">
        <v>405</v>
      </c>
      <c r="X1" s="7" t="s">
        <v>106</v>
      </c>
      <c r="Y1" s="7" t="s">
        <v>143</v>
      </c>
      <c r="Z1" s="7" t="s">
        <v>138</v>
      </c>
      <c r="AA1" s="7" t="s">
        <v>375</v>
      </c>
      <c r="AC1" s="7" t="s">
        <v>158</v>
      </c>
      <c r="AD1" s="7" t="s">
        <v>405</v>
      </c>
      <c r="AE1" s="7" t="s">
        <v>143</v>
      </c>
      <c r="AF1" s="7" t="s">
        <v>138</v>
      </c>
      <c r="AG1" s="7" t="s">
        <v>375</v>
      </c>
    </row>
    <row r="2" spans="1:33" x14ac:dyDescent="0.2">
      <c r="A2">
        <v>1</v>
      </c>
      <c r="B2" t="str">
        <f>IFERROR(INDEX(TableQBCalcPts[PLAYER],MATCH(TableQBRanks[[#This Row],[RK]],TableQBCalcPts[RK],0)),"")</f>
        <v>Josh Allen</v>
      </c>
      <c r="C2" t="str">
        <f>IFERROR(INDEX(TableQBCalcPts[TM],MATCH(TableQBRanks[[#This Row],[RK]],TableQBCalcPts[RK],0)),"")</f>
        <v>BUF</v>
      </c>
      <c r="D2">
        <f>IFERROR(INDEX(TableQBCalcPts[BYE],MATCH(TableQBRanks[[#This Row],[RK]],TableQBCalcPts[RK],0)),"")</f>
        <v>13</v>
      </c>
      <c r="E2" s="58">
        <f>IFERROR(INDEX(TableQBCalcPts[Custom],MATCH(TableQBRanks[[#This Row],[RK]],TableQBCalcPts[RK],0)),"")</f>
        <v>420.77642148998893</v>
      </c>
      <c r="F2" s="133">
        <f>(((VLOOKUP(TableQBRanks[[#This Row],[Player]],'OVR &amp; VORP Ranks'!$B:$F,5,FALSE)))/('OVR &amp; VORP Ranks'!$BM$6))*(Settings!$E$10*TEAMS)</f>
        <v>29.74088903549006</v>
      </c>
      <c r="H2">
        <v>1</v>
      </c>
      <c r="I2" t="str">
        <f>IFERROR(INDEX(TableRBCalcPts[PLAYER],MATCH(TableRBRanks[[#This Row],[RK]],TableRBCalcPts[RK],0)),"")</f>
        <v>Christian McCaffrey</v>
      </c>
      <c r="J2" t="str">
        <f>IFERROR(INDEX(TableRBCalcPts[TM],MATCH(TableRBRanks[[#This Row],[RK]],TableRBCalcPts[RK],0)),"")</f>
        <v>SF</v>
      </c>
      <c r="K2">
        <f>IFERROR(INDEX(TableRBCalcPts[BYE],MATCH(TableRBRanks[[#This Row],[RK]],TableRBCalcPts[RK],0)),"")</f>
        <v>9</v>
      </c>
      <c r="L2" s="58">
        <f>IFERROR(INDEX(TableRBCalcPts[Custom],MATCH(TableRBRanks[[#This Row],[RK]],TableRBCalcPts[RK],0)),"")</f>
        <v>300.48334873167357</v>
      </c>
      <c r="M2" s="133">
        <f>(((VLOOKUP(TableRBRanks[[#This Row],[Player]],'OVR &amp; VORP Ranks'!$I:$M,5,FALSE)))/('OVR &amp; VORP Ranks'!$BM$6))*(Settings!$E$10*TEAMS)</f>
        <v>64.863856393764181</v>
      </c>
      <c r="O2">
        <v>1</v>
      </c>
      <c r="P2" t="str">
        <f>IFERROR(INDEX(TableWRCalcPts[PLAYER],MATCH(TableWRRanks[[#This Row],[RK]],TableWRCalcPts[RK],0)),"")</f>
        <v>Justin Jefferson</v>
      </c>
      <c r="Q2" t="str">
        <f>IFERROR(INDEX(TableWRCalcPts[TM],MATCH(TableWRRanks[[#This Row],[RK]],TableWRCalcPts[RK],0)),"")</f>
        <v>MIN</v>
      </c>
      <c r="R2">
        <f>IFERROR(INDEX(TableWRCalcPts[BYE],MATCH(TableWRRanks[[#This Row],[RK]],TableWRCalcPts[RK],0)),"")</f>
        <v>13</v>
      </c>
      <c r="S2" s="58">
        <f>IFERROR(INDEX(TableWRCalcPts[Custom],MATCH(TableWRRanks[[#This Row],[RK]],TableWRCalcPts[RK],0)),"")</f>
        <v>277.31918748577561</v>
      </c>
      <c r="T2" s="133">
        <f>(((VLOOKUP(TableWRRanks[[#This Row],[Player]],'OVR &amp; VORP Ranks'!$P:$T,5,FALSE)))/('OVR &amp; VORP Ranks'!$BM$6))*(Settings!$E$10*TEAMS)</f>
        <v>50.352012565327399</v>
      </c>
      <c r="V2">
        <v>1</v>
      </c>
      <c r="W2" t="str">
        <f>IFERROR(INDEX(TableTECalcPts[PLAYER],MATCH(TableTERanks[[#This Row],[RK]],TableTECalcPts[RK],0)),"")</f>
        <v>Travis Kelce</v>
      </c>
      <c r="X2" t="str">
        <f>IFERROR(INDEX(TableTECalcPts[TM],MATCH(TableTERanks[[#This Row],[RK]],TableTECalcPts[RK],0)),"")</f>
        <v>KC</v>
      </c>
      <c r="Y2">
        <f>IFERROR(INDEX(TableTECalcPts[BYE],MATCH(TableTERanks[[#This Row],[RK]],TableTECalcPts[RK],0)),"")</f>
        <v>10</v>
      </c>
      <c r="Z2" s="58">
        <f>IFERROR(INDEX(TableTECalcPts[Custom],MATCH(TableTERanks[[#This Row],[RK]],TableTECalcPts[RK],0)),"")</f>
        <v>224.5527577004236</v>
      </c>
      <c r="AA2" s="133">
        <f>(((VLOOKUP(TableTERanks[[#This Row],[Player]],'OVR &amp; VORP Ranks'!$W:$AA,5,FALSE)))/('OVR &amp; VORP Ranks'!$BM$6))*(Settings!$E$10*TEAMS)</f>
        <v>39.698896925430851</v>
      </c>
      <c r="AC2">
        <v>1</v>
      </c>
      <c r="AD2" t="str">
        <f>IFERROR(INDEX(TableDSTCalcPts[PLAYER],MATCH(TableDSTRanks[[#This Row],[RK]],TableDSTCalcPts[RK],0)),"")</f>
        <v>Dallas Cowboys</v>
      </c>
      <c r="AE2">
        <f>IFERROR(INDEX(TableDSTCalcPts[BYE],MATCH(TableDSTRanks[[#This Row],[RK]],TableDSTCalcPts[RK],0)),"")</f>
        <v>7</v>
      </c>
      <c r="AF2" s="58">
        <f>IFERROR(INDEX(TableDSTCalcPts[Custom],MATCH(TableDSTRanks[[#This Row],[RK]],TableDSTCalcPts[RK],0)),"")</f>
        <v>142.39060322935103</v>
      </c>
      <c r="AG2" s="133">
        <v>2</v>
      </c>
    </row>
    <row r="3" spans="1:33" x14ac:dyDescent="0.2">
      <c r="A3">
        <v>2</v>
      </c>
      <c r="B3" t="str">
        <f>IFERROR(INDEX(TableQBCalcPts[PLAYER],MATCH(TableQBRanks[[#This Row],[RK]],TableQBCalcPts[RK],0)),"")</f>
        <v>Patrick Mahomes</v>
      </c>
      <c r="C3" t="str">
        <f>IFERROR(INDEX(TableQBCalcPts[TM],MATCH(TableQBRanks[[#This Row],[RK]],TableQBCalcPts[RK],0)),"")</f>
        <v>KC</v>
      </c>
      <c r="D3">
        <f>IFERROR(INDEX(TableQBCalcPts[BYE],MATCH(TableQBRanks[[#This Row],[RK]],TableQBCalcPts[RK],0)),"")</f>
        <v>10</v>
      </c>
      <c r="E3" s="58">
        <f>IFERROR(INDEX(TableQBCalcPts[Custom],MATCH(TableQBRanks[[#This Row],[RK]],TableQBCalcPts[RK],0)),"")</f>
        <v>415.63322982056599</v>
      </c>
      <c r="F3" s="133">
        <f>(((VLOOKUP(TableQBRanks[[#This Row],[Player]],'OVR &amp; VORP Ranks'!$B:$F,5,FALSE)))/('OVR &amp; VORP Ranks'!$BM$6))*(Settings!$E$10*TEAMS)</f>
        <v>24.743641536801469</v>
      </c>
      <c r="H3">
        <v>2</v>
      </c>
      <c r="I3" t="str">
        <f>IFERROR(INDEX(TableRBCalcPts[PLAYER],MATCH(TableRBRanks[[#This Row],[RK]],TableRBCalcPts[RK],0)),"")</f>
        <v>Austin Ekeler</v>
      </c>
      <c r="J3" t="str">
        <f>IFERROR(INDEX(TableRBCalcPts[TM],MATCH(TableRBRanks[[#This Row],[RK]],TableRBCalcPts[RK],0)),"")</f>
        <v>LAC</v>
      </c>
      <c r="K3">
        <f>IFERROR(INDEX(TableRBCalcPts[BYE],MATCH(TableRBRanks[[#This Row],[RK]],TableRBCalcPts[RK],0)),"")</f>
        <v>5</v>
      </c>
      <c r="L3" s="58">
        <f>IFERROR(INDEX(TableRBCalcPts[Custom],MATCH(TableRBRanks[[#This Row],[RK]],TableRBCalcPts[RK],0)),"")</f>
        <v>273.37297478652124</v>
      </c>
      <c r="M3" s="133">
        <f>(((VLOOKUP(TableRBRanks[[#This Row],[Player]],'OVR &amp; VORP Ranks'!$I:$M,5,FALSE)))/('OVR &amp; VORP Ranks'!$BM$6))*(Settings!$E$10*TEAMS)</f>
        <v>54.985870081781037</v>
      </c>
      <c r="O3">
        <v>2</v>
      </c>
      <c r="P3" t="str">
        <f>IFERROR(INDEX(TableWRCalcPts[PLAYER],MATCH(TableWRRanks[[#This Row],[RK]],TableWRCalcPts[RK],0)),"")</f>
        <v>Tyreek Hill</v>
      </c>
      <c r="Q3" t="str">
        <f>IFERROR(INDEX(TableWRCalcPts[TM],MATCH(TableWRRanks[[#This Row],[RK]],TableWRCalcPts[RK],0)),"")</f>
        <v>MIA</v>
      </c>
      <c r="R3">
        <f>IFERROR(INDEX(TableWRCalcPts[BYE],MATCH(TableWRRanks[[#This Row],[RK]],TableWRCalcPts[RK],0)),"")</f>
        <v>10</v>
      </c>
      <c r="S3" s="58">
        <f>IFERROR(INDEX(TableWRCalcPts[Custom],MATCH(TableWRRanks[[#This Row],[RK]],TableWRCalcPts[RK],0)),"")</f>
        <v>265.79784894083116</v>
      </c>
      <c r="T3" s="133">
        <f>(((VLOOKUP(TableWRRanks[[#This Row],[Player]],'OVR &amp; VORP Ranks'!$P:$T,5,FALSE)))/('OVR &amp; VORP Ranks'!$BM$6))*(Settings!$E$10*TEAMS)</f>
        <v>46.406327743995682</v>
      </c>
      <c r="V3">
        <v>2</v>
      </c>
      <c r="W3" t="str">
        <f>IFERROR(INDEX(TableTECalcPts[PLAYER],MATCH(TableTERanks[[#This Row],[RK]],TableTECalcPts[RK],0)),"")</f>
        <v>Mark Andrews</v>
      </c>
      <c r="X3" t="str">
        <f>IFERROR(INDEX(TableTECalcPts[TM],MATCH(TableTERanks[[#This Row],[RK]],TableTECalcPts[RK],0)),"")</f>
        <v>BAL</v>
      </c>
      <c r="Y3">
        <f>IFERROR(INDEX(TableTECalcPts[BYE],MATCH(TableTERanks[[#This Row],[RK]],TableTECalcPts[RK],0)),"")</f>
        <v>13</v>
      </c>
      <c r="Z3" s="58">
        <f>IFERROR(INDEX(TableTECalcPts[Custom],MATCH(TableTERanks[[#This Row],[RK]],TableTECalcPts[RK],0)),"")</f>
        <v>182.44202704799619</v>
      </c>
      <c r="AA3" s="133">
        <f>(((VLOOKUP(TableTERanks[[#This Row],[Player]],'OVR &amp; VORP Ranks'!$W:$AA,5,FALSE)))/('OVR &amp; VORP Ranks'!$BM$6))*(Settings!$E$10*TEAMS)</f>
        <v>23.88628901237065</v>
      </c>
      <c r="AC3">
        <v>2</v>
      </c>
      <c r="AD3" t="str">
        <f>IFERROR(INDEX(TableDSTCalcPts[PLAYER],MATCH(TableDSTRanks[[#This Row],[RK]],TableDSTCalcPts[RK],0)),"")</f>
        <v>Philadelphia Eagles</v>
      </c>
      <c r="AE3">
        <f>IFERROR(INDEX(TableDSTCalcPts[BYE],MATCH(TableDSTRanks[[#This Row],[RK]],TableDSTCalcPts[RK],0)),"")</f>
        <v>10</v>
      </c>
      <c r="AF3" s="58">
        <f>IFERROR(INDEX(TableDSTCalcPts[Custom],MATCH(TableDSTRanks[[#This Row],[RK]],TableDSTCalcPts[RK],0)),"")</f>
        <v>135.55508675668193</v>
      </c>
      <c r="AG3" s="133">
        <v>2</v>
      </c>
    </row>
    <row r="4" spans="1:33" x14ac:dyDescent="0.2">
      <c r="A4">
        <v>3</v>
      </c>
      <c r="B4" t="str">
        <f>IFERROR(INDEX(TableQBCalcPts[PLAYER],MATCH(TableQBRanks[[#This Row],[RK]],TableQBCalcPts[RK],0)),"")</f>
        <v>Jalen Hurts</v>
      </c>
      <c r="C4" t="str">
        <f>IFERROR(INDEX(TableQBCalcPts[TM],MATCH(TableQBRanks[[#This Row],[RK]],TableQBCalcPts[RK],0)),"")</f>
        <v>PHI</v>
      </c>
      <c r="D4">
        <f>IFERROR(INDEX(TableQBCalcPts[BYE],MATCH(TableQBRanks[[#This Row],[RK]],TableQBCalcPts[RK],0)),"")</f>
        <v>10</v>
      </c>
      <c r="E4" s="58">
        <f>IFERROR(INDEX(TableQBCalcPts[Custom],MATCH(TableQBRanks[[#This Row],[RK]],TableQBCalcPts[RK],0)),"")</f>
        <v>398.11075336168085</v>
      </c>
      <c r="F4" s="133">
        <f>(((VLOOKUP(TableQBRanks[[#This Row],[Player]],'OVR &amp; VORP Ranks'!$B:$F,5,FALSE)))/('OVR &amp; VORP Ranks'!$BM$6))*(Settings!$E$10*TEAMS)</f>
        <v>21.569272032137302</v>
      </c>
      <c r="H4">
        <v>3</v>
      </c>
      <c r="I4" t="str">
        <f>IFERROR(INDEX(TableRBCalcPts[PLAYER],MATCH(TableRBRanks[[#This Row],[RK]],TableRBCalcPts[RK],0)),"")</f>
        <v>Nick Chubb</v>
      </c>
      <c r="J4" t="str">
        <f>IFERROR(INDEX(TableRBCalcPts[TM],MATCH(TableRBRanks[[#This Row],[RK]],TableRBCalcPts[RK],0)),"")</f>
        <v>CLE</v>
      </c>
      <c r="K4">
        <f>IFERROR(INDEX(TableRBCalcPts[BYE],MATCH(TableRBRanks[[#This Row],[RK]],TableRBCalcPts[RK],0)),"")</f>
        <v>5</v>
      </c>
      <c r="L4" s="58">
        <f>IFERROR(INDEX(TableRBCalcPts[Custom],MATCH(TableRBRanks[[#This Row],[RK]],TableRBCalcPts[RK],0)),"")</f>
        <v>265.48568433042442</v>
      </c>
      <c r="M4" s="133">
        <f>(((VLOOKUP(TableRBRanks[[#This Row],[Player]],'OVR &amp; VORP Ranks'!$I:$M,5,FALSE)))/('OVR &amp; VORP Ranks'!$BM$6))*(Settings!$E$10*TEAMS)</f>
        <v>52.112042250354513</v>
      </c>
      <c r="O4">
        <v>3</v>
      </c>
      <c r="P4" t="str">
        <f>IFERROR(INDEX(TableWRCalcPts[PLAYER],MATCH(TableWRRanks[[#This Row],[RK]],TableWRCalcPts[RK],0)),"")</f>
        <v>Cooper Kupp</v>
      </c>
      <c r="Q4" t="str">
        <f>IFERROR(INDEX(TableWRCalcPts[TM],MATCH(TableWRRanks[[#This Row],[RK]],TableWRCalcPts[RK],0)),"")</f>
        <v>LAR</v>
      </c>
      <c r="R4">
        <f>IFERROR(INDEX(TableWRCalcPts[BYE],MATCH(TableWRRanks[[#This Row],[RK]],TableWRCalcPts[RK],0)),"")</f>
        <v>10</v>
      </c>
      <c r="S4" s="58">
        <f>IFERROR(INDEX(TableWRCalcPts[Custom],MATCH(TableWRRanks[[#This Row],[RK]],TableWRCalcPts[RK],0)),"")</f>
        <v>258.64512105109765</v>
      </c>
      <c r="T4" s="133">
        <f>(((VLOOKUP(TableWRRanks[[#This Row],[Player]],'OVR &amp; VORP Ranks'!$P:$T,5,FALSE)))/('OVR &amp; VORP Ranks'!$BM$6))*(Settings!$E$10*TEAMS)</f>
        <v>43.956750400569597</v>
      </c>
      <c r="V4">
        <v>3</v>
      </c>
      <c r="W4" t="str">
        <f>IFERROR(INDEX(TableTECalcPts[PLAYER],MATCH(TableTERanks[[#This Row],[RK]],TableTECalcPts[RK],0)),"")</f>
        <v>Darren Waller</v>
      </c>
      <c r="X4" t="str">
        <f>IFERROR(INDEX(TableTECalcPts[TM],MATCH(TableTERanks[[#This Row],[RK]],TableTECalcPts[RK],0)),"")</f>
        <v>NYG</v>
      </c>
      <c r="Y4">
        <f>IFERROR(INDEX(TableTECalcPts[BYE],MATCH(TableTERanks[[#This Row],[RK]],TableTECalcPts[RK],0)),"")</f>
        <v>13</v>
      </c>
      <c r="Z4" s="58">
        <f>IFERROR(INDEX(TableTECalcPts[Custom],MATCH(TableTERanks[[#This Row],[RK]],TableTECalcPts[RK],0)),"")</f>
        <v>181.80931561622648</v>
      </c>
      <c r="AA4" s="133">
        <f>(((VLOOKUP(TableTERanks[[#This Row],[Player]],'OVR &amp; VORP Ranks'!$W:$AA,5,FALSE)))/('OVR &amp; VORP Ranks'!$BM$6))*(Settings!$E$10*TEAMS)</f>
        <v>23.648705440732751</v>
      </c>
      <c r="AC4">
        <v>3</v>
      </c>
      <c r="AD4" t="str">
        <f>IFERROR(INDEX(TableDSTCalcPts[PLAYER],MATCH(TableDSTRanks[[#This Row],[RK]],TableDSTCalcPts[RK],0)),"")</f>
        <v>New England Patriots</v>
      </c>
      <c r="AE4">
        <f>IFERROR(INDEX(TableDSTCalcPts[BYE],MATCH(TableDSTRanks[[#This Row],[RK]],TableDSTCalcPts[RK],0)),"")</f>
        <v>11</v>
      </c>
      <c r="AF4" s="58">
        <f>IFERROR(INDEX(TableDSTCalcPts[Custom],MATCH(TableDSTRanks[[#This Row],[RK]],TableDSTCalcPts[RK],0)),"")</f>
        <v>134.76538196635207</v>
      </c>
      <c r="AG4" s="133">
        <v>1</v>
      </c>
    </row>
    <row r="5" spans="1:33" x14ac:dyDescent="0.2">
      <c r="A5">
        <v>4</v>
      </c>
      <c r="B5" t="str">
        <f>IFERROR(INDEX(TableQBCalcPts[PLAYER],MATCH(TableQBRanks[[#This Row],[RK]],TableQBCalcPts[RK],0)),"")</f>
        <v>Lamar Jackson</v>
      </c>
      <c r="C5" t="str">
        <f>IFERROR(INDEX(TableQBCalcPts[TM],MATCH(TableQBRanks[[#This Row],[RK]],TableQBCalcPts[RK],0)),"")</f>
        <v>BAL</v>
      </c>
      <c r="D5">
        <f>IFERROR(INDEX(TableQBCalcPts[BYE],MATCH(TableQBRanks[[#This Row],[RK]],TableQBCalcPts[RK],0)),"")</f>
        <v>13</v>
      </c>
      <c r="E5" s="58">
        <f>IFERROR(INDEX(TableQBCalcPts[Custom],MATCH(TableQBRanks[[#This Row],[RK]],TableQBCalcPts[RK],0)),"")</f>
        <v>361.60434219642514</v>
      </c>
      <c r="F5" s="133">
        <f>(((VLOOKUP(TableQBRanks[[#This Row],[Player]],'OVR &amp; VORP Ranks'!$B:$F,5,FALSE)))/('OVR &amp; VORP Ranks'!$BM$6))*(Settings!$E$10*TEAMS)</f>
        <v>16.412885664211021</v>
      </c>
      <c r="H5">
        <v>4</v>
      </c>
      <c r="I5" t="str">
        <f>IFERROR(INDEX(TableRBCalcPts[PLAYER],MATCH(TableRBRanks[[#This Row],[RK]],TableRBCalcPts[RK],0)),"")</f>
        <v>Derrick Henry</v>
      </c>
      <c r="J5" t="str">
        <f>IFERROR(INDEX(TableRBCalcPts[TM],MATCH(TableRBRanks[[#This Row],[RK]],TableRBCalcPts[RK],0)),"")</f>
        <v>TEN</v>
      </c>
      <c r="K5">
        <f>IFERROR(INDEX(TableRBCalcPts[BYE],MATCH(TableRBRanks[[#This Row],[RK]],TableRBCalcPts[RK],0)),"")</f>
        <v>7</v>
      </c>
      <c r="L5" s="58">
        <f>IFERROR(INDEX(TableRBCalcPts[Custom],MATCH(TableRBRanks[[#This Row],[RK]],TableRBCalcPts[RK],0)),"")</f>
        <v>257.94009790393397</v>
      </c>
      <c r="M5" s="133">
        <f>(((VLOOKUP(TableRBRanks[[#This Row],[Player]],'OVR &amp; VORP Ranks'!$I:$M,5,FALSE)))/('OVR &amp; VORP Ranks'!$BM$6))*(Settings!$E$10*TEAMS)</f>
        <v>49.362718335178997</v>
      </c>
      <c r="O5">
        <v>4</v>
      </c>
      <c r="P5" t="str">
        <f>IFERROR(INDEX(TableWRCalcPts[PLAYER],MATCH(TableWRRanks[[#This Row],[RK]],TableWRCalcPts[RK],0)),"")</f>
        <v>Davante Adams</v>
      </c>
      <c r="Q5" t="str">
        <f>IFERROR(INDEX(TableWRCalcPts[TM],MATCH(TableWRRanks[[#This Row],[RK]],TableWRCalcPts[RK],0)),"")</f>
        <v>LV</v>
      </c>
      <c r="R5">
        <f>IFERROR(INDEX(TableWRCalcPts[BYE],MATCH(TableWRRanks[[#This Row],[RK]],TableWRCalcPts[RK],0)),"")</f>
        <v>13</v>
      </c>
      <c r="S5" s="58">
        <f>IFERROR(INDEX(TableWRCalcPts[Custom],MATCH(TableWRRanks[[#This Row],[RK]],TableWRCalcPts[RK],0)),"")</f>
        <v>254.78207097985711</v>
      </c>
      <c r="T5" s="133">
        <f>(((VLOOKUP(TableWRRanks[[#This Row],[Player]],'OVR &amp; VORP Ranks'!$P:$T,5,FALSE)))/('OVR &amp; VORP Ranks'!$BM$6))*(Settings!$E$10*TEAMS)</f>
        <v>42.633781027637966</v>
      </c>
      <c r="V5">
        <v>4</v>
      </c>
      <c r="W5" t="str">
        <f>IFERROR(INDEX(TableTECalcPts[PLAYER],MATCH(TableTERanks[[#This Row],[RK]],TableTECalcPts[RK],0)),"")</f>
        <v>T.J. Hockenson</v>
      </c>
      <c r="X5" t="str">
        <f>IFERROR(INDEX(TableTECalcPts[TM],MATCH(TableTERanks[[#This Row],[RK]],TableTECalcPts[RK],0)),"")</f>
        <v>MIN</v>
      </c>
      <c r="Y5">
        <f>IFERROR(INDEX(TableTECalcPts[BYE],MATCH(TableTERanks[[#This Row],[RK]],TableTECalcPts[RK],0)),"")</f>
        <v>13</v>
      </c>
      <c r="Z5" s="58">
        <f>IFERROR(INDEX(TableTECalcPts[Custom],MATCH(TableTERanks[[#This Row],[RK]],TableTECalcPts[RK],0)),"")</f>
        <v>173.66456609490382</v>
      </c>
      <c r="AA5" s="133">
        <f>(((VLOOKUP(TableTERanks[[#This Row],[Player]],'OVR &amp; VORP Ranks'!$W:$AA,5,FALSE)))/('OVR &amp; VORP Ranks'!$BM$6))*(Settings!$E$10*TEAMS)</f>
        <v>20.59034647294941</v>
      </c>
      <c r="AC5">
        <v>4</v>
      </c>
      <c r="AD5" t="str">
        <f>IFERROR(INDEX(TableDSTCalcPts[PLAYER],MATCH(TableDSTRanks[[#This Row],[RK]],TableDSTCalcPts[RK],0)),"")</f>
        <v>Kansas City Chiefs</v>
      </c>
      <c r="AE5">
        <f>IFERROR(INDEX(TableDSTCalcPts[BYE],MATCH(TableDSTRanks[[#This Row],[RK]],TableDSTCalcPts[RK],0)),"")</f>
        <v>10</v>
      </c>
      <c r="AF5" s="58">
        <f>IFERROR(INDEX(TableDSTCalcPts[Custom],MATCH(TableDSTRanks[[#This Row],[RK]],TableDSTCalcPts[RK],0)),"")</f>
        <v>129.86857266351205</v>
      </c>
      <c r="AG5" s="133">
        <v>1</v>
      </c>
    </row>
    <row r="6" spans="1:33" x14ac:dyDescent="0.2">
      <c r="A6">
        <v>5</v>
      </c>
      <c r="B6" t="str">
        <f>IFERROR(INDEX(TableQBCalcPts[PLAYER],MATCH(TableQBRanks[[#This Row],[RK]],TableQBCalcPts[RK],0)),"")</f>
        <v>Justin Fields</v>
      </c>
      <c r="C6" t="str">
        <f>IFERROR(INDEX(TableQBCalcPts[TM],MATCH(TableQBRanks[[#This Row],[RK]],TableQBCalcPts[RK],0)),"")</f>
        <v>CHI</v>
      </c>
      <c r="D6">
        <f>IFERROR(INDEX(TableQBCalcPts[BYE],MATCH(TableQBRanks[[#This Row],[RK]],TableQBCalcPts[RK],0)),"")</f>
        <v>13</v>
      </c>
      <c r="E6" s="58">
        <f>IFERROR(INDEX(TableQBCalcPts[Custom],MATCH(TableQBRanks[[#This Row],[RK]],TableQBCalcPts[RK],0)),"")</f>
        <v>356.81311597053582</v>
      </c>
      <c r="F6" s="133">
        <f>(((VLOOKUP(TableQBRanks[[#This Row],[Player]],'OVR &amp; VORP Ranks'!$B:$F,5,FALSE)))/('OVR &amp; VORP Ranks'!$BM$6))*(Settings!$E$10*TEAMS)</f>
        <v>15.816170139592867</v>
      </c>
      <c r="H6">
        <v>5</v>
      </c>
      <c r="I6" t="str">
        <f>IFERROR(INDEX(TableRBCalcPts[PLAYER],MATCH(TableRBRanks[[#This Row],[RK]],TableRBCalcPts[RK],0)),"")</f>
        <v>Saquon Barkley</v>
      </c>
      <c r="J6" t="str">
        <f>IFERROR(INDEX(TableRBCalcPts[TM],MATCH(TableRBRanks[[#This Row],[RK]],TableRBCalcPts[RK],0)),"")</f>
        <v>NYG</v>
      </c>
      <c r="K6">
        <f>IFERROR(INDEX(TableRBCalcPts[BYE],MATCH(TableRBRanks[[#This Row],[RK]],TableRBCalcPts[RK],0)),"")</f>
        <v>13</v>
      </c>
      <c r="L6" s="58">
        <f>IFERROR(INDEX(TableRBCalcPts[Custom],MATCH(TableRBRanks[[#This Row],[RK]],TableRBCalcPts[RK],0)),"")</f>
        <v>257.43786489805166</v>
      </c>
      <c r="M6" s="133">
        <f>(((VLOOKUP(TableRBRanks[[#This Row],[Player]],'OVR &amp; VORP Ranks'!$I:$M,5,FALSE)))/('OVR &amp; VORP Ranks'!$BM$6))*(Settings!$E$10*TEAMS)</f>
        <v>49.179723782334811</v>
      </c>
      <c r="O6">
        <v>5</v>
      </c>
      <c r="P6" t="str">
        <f>IFERROR(INDEX(TableWRCalcPts[PLAYER],MATCH(TableWRRanks[[#This Row],[RK]],TableWRCalcPts[RK],0)),"")</f>
        <v>Ja'Marr Chase</v>
      </c>
      <c r="Q6" t="str">
        <f>IFERROR(INDEX(TableWRCalcPts[TM],MATCH(TableWRRanks[[#This Row],[RK]],TableWRCalcPts[RK],0)),"")</f>
        <v>CIN</v>
      </c>
      <c r="R6">
        <f>IFERROR(INDEX(TableWRCalcPts[BYE],MATCH(TableWRRanks[[#This Row],[RK]],TableWRCalcPts[RK],0)),"")</f>
        <v>7</v>
      </c>
      <c r="S6" s="58">
        <f>IFERROR(INDEX(TableWRCalcPts[Custom],MATCH(TableWRRanks[[#This Row],[RK]],TableWRCalcPts[RK],0)),"")</f>
        <v>251.63020846296595</v>
      </c>
      <c r="T6" s="133">
        <f>(((VLOOKUP(TableWRRanks[[#This Row],[Player]],'OVR &amp; VORP Ranks'!$P:$T,5,FALSE)))/('OVR &amp; VORP Ranks'!$BM$6))*(Settings!$E$10*TEAMS)</f>
        <v>41.554370328672015</v>
      </c>
      <c r="V6">
        <v>5</v>
      </c>
      <c r="W6" t="str">
        <f>IFERROR(INDEX(TableTECalcPts[PLAYER],MATCH(TableTERanks[[#This Row],[RK]],TableTECalcPts[RK],0)),"")</f>
        <v>George Kittle</v>
      </c>
      <c r="X6" t="str">
        <f>IFERROR(INDEX(TableTECalcPts[TM],MATCH(TableTERanks[[#This Row],[RK]],TableTECalcPts[RK],0)),"")</f>
        <v>SF</v>
      </c>
      <c r="Y6">
        <f>IFERROR(INDEX(TableTECalcPts[BYE],MATCH(TableTERanks[[#This Row],[RK]],TableTECalcPts[RK],0)),"")</f>
        <v>9</v>
      </c>
      <c r="Z6" s="58">
        <f>IFERROR(INDEX(TableTECalcPts[Custom],MATCH(TableTERanks[[#This Row],[RK]],TableTECalcPts[RK],0)),"")</f>
        <v>160.72749918287673</v>
      </c>
      <c r="AA6" s="133">
        <f>(((VLOOKUP(TableTERanks[[#This Row],[Player]],'OVR &amp; VORP Ranks'!$W:$AA,5,FALSE)))/('OVR &amp; VORP Ranks'!$BM$6))*(Settings!$E$10*TEAMS)</f>
        <v>15.732469075537956</v>
      </c>
      <c r="AC6">
        <v>5</v>
      </c>
      <c r="AD6" t="str">
        <f>IFERROR(INDEX(TableDSTCalcPts[PLAYER],MATCH(TableDSTRanks[[#This Row],[RK]],TableDSTCalcPts[RK],0)),"")</f>
        <v>Pittsburgh Steelers</v>
      </c>
      <c r="AE6">
        <f>IFERROR(INDEX(TableDSTCalcPts[BYE],MATCH(TableDSTRanks[[#This Row],[RK]],TableDSTCalcPts[RK],0)),"")</f>
        <v>6</v>
      </c>
      <c r="AF6" s="58">
        <f>IFERROR(INDEX(TableDSTCalcPts[Custom],MATCH(TableDSTRanks[[#This Row],[RK]],TableDSTCalcPts[RK],0)),"")</f>
        <v>128.41002471044513</v>
      </c>
      <c r="AG6" s="133">
        <v>1</v>
      </c>
    </row>
    <row r="7" spans="1:33" x14ac:dyDescent="0.2">
      <c r="A7">
        <v>6</v>
      </c>
      <c r="B7" t="str">
        <f>IFERROR(INDEX(TableQBCalcPts[PLAYER],MATCH(TableQBRanks[[#This Row],[RK]],TableQBCalcPts[RK],0)),"")</f>
        <v>Joe Burrow</v>
      </c>
      <c r="C7" t="str">
        <f>IFERROR(INDEX(TableQBCalcPts[TM],MATCH(TableQBRanks[[#This Row],[RK]],TableQBCalcPts[RK],0)),"")</f>
        <v>CIN</v>
      </c>
      <c r="D7">
        <f>IFERROR(INDEX(TableQBCalcPts[BYE],MATCH(TableQBRanks[[#This Row],[RK]],TableQBCalcPts[RK],0)),"")</f>
        <v>7</v>
      </c>
      <c r="E7" s="58">
        <f>IFERROR(INDEX(TableQBCalcPts[Custom],MATCH(TableQBRanks[[#This Row],[RK]],TableQBCalcPts[RK],0)),"")</f>
        <v>349.60554170617019</v>
      </c>
      <c r="F7" s="133">
        <f>(((VLOOKUP(TableQBRanks[[#This Row],[Player]],'OVR &amp; VORP Ranks'!$B:$F,5,FALSE)))/('OVR &amp; VORP Ranks'!$BM$6))*(Settings!$E$10*TEAMS)</f>
        <v>14.607735660791997</v>
      </c>
      <c r="H7">
        <v>6</v>
      </c>
      <c r="I7" t="str">
        <f>IFERROR(INDEX(TableRBCalcPts[PLAYER],MATCH(TableRBRanks[[#This Row],[RK]],TableRBCalcPts[RK],0)),"")</f>
        <v>Tony Pollard</v>
      </c>
      <c r="J7" t="str">
        <f>IFERROR(INDEX(TableRBCalcPts[TM],MATCH(TableRBRanks[[#This Row],[RK]],TableRBCalcPts[RK],0)),"")</f>
        <v>DAL</v>
      </c>
      <c r="K7">
        <f>IFERROR(INDEX(TableRBCalcPts[BYE],MATCH(TableRBRanks[[#This Row],[RK]],TableRBCalcPts[RK],0)),"")</f>
        <v>7</v>
      </c>
      <c r="L7" s="58">
        <f>IFERROR(INDEX(TableRBCalcPts[Custom],MATCH(TableRBRanks[[#This Row],[RK]],TableRBCalcPts[RK],0)),"")</f>
        <v>254.78691973258191</v>
      </c>
      <c r="M7" s="133">
        <f>(((VLOOKUP(TableRBRanks[[#This Row],[Player]],'OVR &amp; VORP Ranks'!$I:$M,5,FALSE)))/('OVR &amp; VORP Ranks'!$BM$6))*(Settings!$E$10*TEAMS)</f>
        <v>48.213820467562925</v>
      </c>
      <c r="O7">
        <v>6</v>
      </c>
      <c r="P7" t="str">
        <f>IFERROR(INDEX(TableWRCalcPts[PLAYER],MATCH(TableWRRanks[[#This Row],[RK]],TableWRCalcPts[RK],0)),"")</f>
        <v>Amon-Ra St. Brown</v>
      </c>
      <c r="Q7" t="str">
        <f>IFERROR(INDEX(TableWRCalcPts[TM],MATCH(TableWRRanks[[#This Row],[RK]],TableWRCalcPts[RK],0)),"")</f>
        <v>DET</v>
      </c>
      <c r="R7">
        <f>IFERROR(INDEX(TableWRCalcPts[BYE],MATCH(TableWRRanks[[#This Row],[RK]],TableWRCalcPts[RK],0)),"")</f>
        <v>9</v>
      </c>
      <c r="S7" s="58">
        <f>IFERROR(INDEX(TableWRCalcPts[Custom],MATCH(TableWRRanks[[#This Row],[RK]],TableWRCalcPts[RK],0)),"")</f>
        <v>235.77471963299024</v>
      </c>
      <c r="T7" s="133">
        <f>(((VLOOKUP(TableWRRanks[[#This Row],[Player]],'OVR &amp; VORP Ranks'!$P:$T,5,FALSE)))/('OVR &amp; VORP Ranks'!$BM$6))*(Settings!$E$10*TEAMS)</f>
        <v>36.124379588691426</v>
      </c>
      <c r="V7">
        <v>6</v>
      </c>
      <c r="W7" t="str">
        <f>IFERROR(INDEX(TableTECalcPts[PLAYER],MATCH(TableTERanks[[#This Row],[RK]],TableTECalcPts[RK],0)),"")</f>
        <v>Dallas Goedert</v>
      </c>
      <c r="X7" t="str">
        <f>IFERROR(INDEX(TableTECalcPts[TM],MATCH(TableTERanks[[#This Row],[RK]],TableTECalcPts[RK],0)),"")</f>
        <v>PHI</v>
      </c>
      <c r="Y7">
        <f>IFERROR(INDEX(TableTECalcPts[BYE],MATCH(TableTERanks[[#This Row],[RK]],TableTECalcPts[RK],0)),"")</f>
        <v>10</v>
      </c>
      <c r="Z7" s="58">
        <f>IFERROR(INDEX(TableTECalcPts[Custom],MATCH(TableTERanks[[#This Row],[RK]],TableTECalcPts[RK],0)),"")</f>
        <v>140.56778839078723</v>
      </c>
      <c r="AA7" s="133">
        <f>(((VLOOKUP(TableTERanks[[#This Row],[Player]],'OVR &amp; VORP Ranks'!$W:$AA,5,FALSE)))/('OVR &amp; VORP Ranks'!$BM$6))*(Settings!$E$10*TEAMS)</f>
        <v>8.1624840038677693</v>
      </c>
      <c r="AC7">
        <v>6</v>
      </c>
      <c r="AD7" t="str">
        <f>IFERROR(INDEX(TableDSTCalcPts[PLAYER],MATCH(TableDSTRanks[[#This Row],[RK]],TableDSTCalcPts[RK],0)),"")</f>
        <v>Baltimore Ravens</v>
      </c>
      <c r="AE7">
        <f>IFERROR(INDEX(TableDSTCalcPts[BYE],MATCH(TableDSTRanks[[#This Row],[RK]],TableDSTCalcPts[RK],0)),"")</f>
        <v>13</v>
      </c>
      <c r="AF7" s="58">
        <f>IFERROR(INDEX(TableDSTCalcPts[Custom],MATCH(TableDSTRanks[[#This Row],[RK]],TableDSTCalcPts[RK],0)),"")</f>
        <v>126.04074293162151</v>
      </c>
      <c r="AG7" s="133">
        <v>1</v>
      </c>
    </row>
    <row r="8" spans="1:33" x14ac:dyDescent="0.2">
      <c r="A8">
        <v>7</v>
      </c>
      <c r="B8" t="str">
        <f>IFERROR(INDEX(TableQBCalcPts[PLAYER],MATCH(TableQBRanks[[#This Row],[RK]],TableQBCalcPts[RK],0)),"")</f>
        <v>Trevor Lawrence</v>
      </c>
      <c r="C8" t="str">
        <f>IFERROR(INDEX(TableQBCalcPts[TM],MATCH(TableQBRanks[[#This Row],[RK]],TableQBCalcPts[RK],0)),"")</f>
        <v>JAX</v>
      </c>
      <c r="D8">
        <f>IFERROR(INDEX(TableQBCalcPts[BYE],MATCH(TableQBRanks[[#This Row],[RK]],TableQBCalcPts[RK],0)),"")</f>
        <v>9</v>
      </c>
      <c r="E8" s="58">
        <f>IFERROR(INDEX(TableQBCalcPts[Custom],MATCH(TableQBRanks[[#This Row],[RK]],TableQBCalcPts[RK],0)),"")</f>
        <v>342.58985660825209</v>
      </c>
      <c r="F8" s="133">
        <f>(((VLOOKUP(TableQBRanks[[#This Row],[Player]],'OVR &amp; VORP Ranks'!$B:$F,5,FALSE)))/('OVR &amp; VORP Ranks'!$BM$6))*(Settings!$E$10*TEAMS)</f>
        <v>13.752552921681017</v>
      </c>
      <c r="H8">
        <v>7</v>
      </c>
      <c r="I8" t="str">
        <f>IFERROR(INDEX(TableRBCalcPts[PLAYER],MATCH(TableRBRanks[[#This Row],[RK]],TableRBCalcPts[RK],0)),"")</f>
        <v>Bijan Robinson</v>
      </c>
      <c r="J8" t="str">
        <f>IFERROR(INDEX(TableRBCalcPts[TM],MATCH(TableRBRanks[[#This Row],[RK]],TableRBCalcPts[RK],0)),"")</f>
        <v>ATL</v>
      </c>
      <c r="K8">
        <f>IFERROR(INDEX(TableRBCalcPts[BYE],MATCH(TableRBRanks[[#This Row],[RK]],TableRBCalcPts[RK],0)),"")</f>
        <v>11</v>
      </c>
      <c r="L8" s="58">
        <f>IFERROR(INDEX(TableRBCalcPts[Custom],MATCH(TableRBRanks[[#This Row],[RK]],TableRBCalcPts[RK],0)),"")</f>
        <v>254.16479553306854</v>
      </c>
      <c r="M8" s="133">
        <f>(((VLOOKUP(TableRBRanks[[#This Row],[Player]],'OVR &amp; VORP Ranks'!$I:$M,5,FALSE)))/('OVR &amp; VORP Ranks'!$BM$6))*(Settings!$E$10*TEAMS)</f>
        <v>47.98714213625037</v>
      </c>
      <c r="O8">
        <v>7</v>
      </c>
      <c r="P8" t="str">
        <f>IFERROR(INDEX(TableWRCalcPts[PLAYER],MATCH(TableWRRanks[[#This Row],[RK]],TableWRCalcPts[RK],0)),"")</f>
        <v>Stefon Diggs</v>
      </c>
      <c r="Q8" t="str">
        <f>IFERROR(INDEX(TableWRCalcPts[TM],MATCH(TableWRRanks[[#This Row],[RK]],TableWRCalcPts[RK],0)),"")</f>
        <v>BUF</v>
      </c>
      <c r="R8">
        <f>IFERROR(INDEX(TableWRCalcPts[BYE],MATCH(TableWRRanks[[#This Row],[RK]],TableWRCalcPts[RK],0)),"")</f>
        <v>13</v>
      </c>
      <c r="S8" s="58">
        <f>IFERROR(INDEX(TableWRCalcPts[Custom],MATCH(TableWRRanks[[#This Row],[RK]],TableWRCalcPts[RK],0)),"")</f>
        <v>230.83501137252614</v>
      </c>
      <c r="T8" s="133">
        <f>(((VLOOKUP(TableWRRanks[[#This Row],[Player]],'OVR &amp; VORP Ranks'!$P:$T,5,FALSE)))/('OVR &amp; VORP Ranks'!$BM$6))*(Settings!$E$10*TEAMS)</f>
        <v>34.432689701349943</v>
      </c>
      <c r="V8">
        <v>7</v>
      </c>
      <c r="W8" t="str">
        <f>IFERROR(INDEX(TableTECalcPts[PLAYER],MATCH(TableTERanks[[#This Row],[RK]],TableTECalcPts[RK],0)),"")</f>
        <v>Kyle Pitts</v>
      </c>
      <c r="X8" t="str">
        <f>IFERROR(INDEX(TableTECalcPts[TM],MATCH(TableTERanks[[#This Row],[RK]],TableTECalcPts[RK],0)),"")</f>
        <v>ATL</v>
      </c>
      <c r="Y8">
        <f>IFERROR(INDEX(TableTECalcPts[BYE],MATCH(TableTERanks[[#This Row],[RK]],TableTECalcPts[RK],0)),"")</f>
        <v>11</v>
      </c>
      <c r="Z8" s="58">
        <f>IFERROR(INDEX(TableTECalcPts[Custom],MATCH(TableTERanks[[#This Row],[RK]],TableTECalcPts[RK],0)),"")</f>
        <v>138.52950994352989</v>
      </c>
      <c r="AA8" s="133">
        <f>(((VLOOKUP(TableTERanks[[#This Row],[Player]],'OVR &amp; VORP Ranks'!$W:$AA,5,FALSE)))/('OVR &amp; VORP Ranks'!$BM$6))*(Settings!$E$10*TEAMS)</f>
        <v>7.3971090648731259</v>
      </c>
      <c r="AC8">
        <v>7</v>
      </c>
      <c r="AD8" t="str">
        <f>IFERROR(INDEX(TableDSTCalcPts[PLAYER],MATCH(TableDSTRanks[[#This Row],[RK]],TableDSTCalcPts[RK],0)),"")</f>
        <v>Buffalo Bills</v>
      </c>
      <c r="AE8">
        <f>IFERROR(INDEX(TableDSTCalcPts[BYE],MATCH(TableDSTRanks[[#This Row],[RK]],TableDSTCalcPts[RK],0)),"")</f>
        <v>13</v>
      </c>
      <c r="AF8" s="58">
        <f>IFERROR(INDEX(TableDSTCalcPts[Custom],MATCH(TableDSTRanks[[#This Row],[RK]],TableDSTCalcPts[RK],0)),"")</f>
        <v>125.60796552181779</v>
      </c>
      <c r="AG8" s="133">
        <v>1</v>
      </c>
    </row>
    <row r="9" spans="1:33" x14ac:dyDescent="0.2">
      <c r="A9">
        <v>8</v>
      </c>
      <c r="B9" t="str">
        <f>IFERROR(INDEX(TableQBCalcPts[PLAYER],MATCH(TableQBRanks[[#This Row],[RK]],TableQBCalcPts[RK],0)),"")</f>
        <v>Justin Herbert</v>
      </c>
      <c r="C9" t="str">
        <f>IFERROR(INDEX(TableQBCalcPts[TM],MATCH(TableQBRanks[[#This Row],[RK]],TableQBCalcPts[RK],0)),"")</f>
        <v>LAC</v>
      </c>
      <c r="D9">
        <f>IFERROR(INDEX(TableQBCalcPts[BYE],MATCH(TableQBRanks[[#This Row],[RK]],TableQBCalcPts[RK],0)),"")</f>
        <v>5</v>
      </c>
      <c r="E9" s="58">
        <f>IFERROR(INDEX(TableQBCalcPts[Custom],MATCH(TableQBRanks[[#This Row],[RK]],TableQBCalcPts[RK],0)),"")</f>
        <v>340.26559345336074</v>
      </c>
      <c r="F9" s="133">
        <f>(((VLOOKUP(TableQBRanks[[#This Row],[Player]],'OVR &amp; VORP Ranks'!$B:$F,5,FALSE)))/('OVR &amp; VORP Ranks'!$BM$6))*(Settings!$E$10*TEAMS)</f>
        <v>9.2204045523835276</v>
      </c>
      <c r="H9">
        <v>8</v>
      </c>
      <c r="I9" t="str">
        <f>IFERROR(INDEX(TableRBCalcPts[PLAYER],MATCH(TableRBRanks[[#This Row],[RK]],TableRBCalcPts[RK],0)),"")</f>
        <v>Josh Jacobs</v>
      </c>
      <c r="J9" t="str">
        <f>IFERROR(INDEX(TableRBCalcPts[TM],MATCH(TableRBRanks[[#This Row],[RK]],TableRBCalcPts[RK],0)),"")</f>
        <v>LV</v>
      </c>
      <c r="K9">
        <f>IFERROR(INDEX(TableRBCalcPts[BYE],MATCH(TableRBRanks[[#This Row],[RK]],TableRBCalcPts[RK],0)),"")</f>
        <v>13</v>
      </c>
      <c r="L9" s="58">
        <f>IFERROR(INDEX(TableRBCalcPts[Custom],MATCH(TableRBRanks[[#This Row],[RK]],TableRBCalcPts[RK],0)),"")</f>
        <v>228.04531439642474</v>
      </c>
      <c r="M9" s="133">
        <f>(((VLOOKUP(TableRBRanks[[#This Row],[Player]],'OVR &amp; VORP Ranks'!$I:$M,5,FALSE)))/('OVR &amp; VORP Ranks'!$BM$6))*(Settings!$E$10*TEAMS)</f>
        <v>38.470199372353001</v>
      </c>
      <c r="O9">
        <v>8</v>
      </c>
      <c r="P9" t="str">
        <f>IFERROR(INDEX(TableWRCalcPts[PLAYER],MATCH(TableWRRanks[[#This Row],[RK]],TableWRCalcPts[RK],0)),"")</f>
        <v>CeeDee Lamb</v>
      </c>
      <c r="Q9" t="str">
        <f>IFERROR(INDEX(TableWRCalcPts[TM],MATCH(TableWRRanks[[#This Row],[RK]],TableWRCalcPts[RK],0)),"")</f>
        <v>DAL</v>
      </c>
      <c r="R9">
        <f>IFERROR(INDEX(TableWRCalcPts[BYE],MATCH(TableWRRanks[[#This Row],[RK]],TableWRCalcPts[RK],0)),"")</f>
        <v>7</v>
      </c>
      <c r="S9" s="58">
        <f>IFERROR(INDEX(TableWRCalcPts[Custom],MATCH(TableWRRanks[[#This Row],[RK]],TableWRCalcPts[RK],0)),"")</f>
        <v>217.43365166733861</v>
      </c>
      <c r="T9" s="133">
        <f>(((VLOOKUP(TableWRRanks[[#This Row],[Player]],'OVR &amp; VORP Ranks'!$P:$T,5,FALSE)))/('OVR &amp; VORP Ranks'!$BM$6))*(Settings!$E$10*TEAMS)</f>
        <v>29.84315860062836</v>
      </c>
      <c r="V9">
        <v>8</v>
      </c>
      <c r="W9" t="str">
        <f>IFERROR(INDEX(TableTECalcPts[PLAYER],MATCH(TableTERanks[[#This Row],[RK]],TableTECalcPts[RK],0)),"")</f>
        <v>Tyler Higbee</v>
      </c>
      <c r="X9" t="str">
        <f>IFERROR(INDEX(TableTECalcPts[TM],MATCH(TableTERanks[[#This Row],[RK]],TableTECalcPts[RK],0)),"")</f>
        <v>LAR</v>
      </c>
      <c r="Y9">
        <f>IFERROR(INDEX(TableTECalcPts[BYE],MATCH(TableTERanks[[#This Row],[RK]],TableTECalcPts[RK],0)),"")</f>
        <v>10</v>
      </c>
      <c r="Z9" s="58">
        <f>IFERROR(INDEX(TableTECalcPts[Custom],MATCH(TableTERanks[[#This Row],[RK]],TableTECalcPts[RK],0)),"")</f>
        <v>138.39001077242881</v>
      </c>
      <c r="AA9" s="133">
        <f>(((VLOOKUP(TableTERanks[[#This Row],[Player]],'OVR &amp; VORP Ranks'!$W:$AA,5,FALSE)))/('OVR &amp; VORP Ranks'!$BM$6))*(Settings!$E$10*TEAMS)</f>
        <v>7.3447270315376123</v>
      </c>
      <c r="AC9">
        <v>8</v>
      </c>
      <c r="AD9" t="str">
        <f>IFERROR(INDEX(TableDSTCalcPts[PLAYER],MATCH(TableDSTRanks[[#This Row],[RK]],TableDSTCalcPts[RK],0)),"")</f>
        <v>San Francisco 49ers</v>
      </c>
      <c r="AE9">
        <f>IFERROR(INDEX(TableDSTCalcPts[BYE],MATCH(TableDSTRanks[[#This Row],[RK]],TableDSTCalcPts[RK],0)),"")</f>
        <v>9</v>
      </c>
      <c r="AF9" s="58">
        <f>IFERROR(INDEX(TableDSTCalcPts[Custom],MATCH(TableDSTRanks[[#This Row],[RK]],TableDSTCalcPts[RK],0)),"")</f>
        <v>125.56987455686365</v>
      </c>
      <c r="AG9" s="133">
        <v>1</v>
      </c>
    </row>
    <row r="10" spans="1:33" x14ac:dyDescent="0.2">
      <c r="A10">
        <v>9</v>
      </c>
      <c r="B10" t="str">
        <f>IFERROR(INDEX(TableQBCalcPts[PLAYER],MATCH(TableQBRanks[[#This Row],[RK]],TableQBCalcPts[RK],0)),"")</f>
        <v>Deshaun Watson</v>
      </c>
      <c r="C10" t="str">
        <f>IFERROR(INDEX(TableQBCalcPts[TM],MATCH(TableQBRanks[[#This Row],[RK]],TableQBCalcPts[RK],0)),"")</f>
        <v>CLE</v>
      </c>
      <c r="D10">
        <f>IFERROR(INDEX(TableQBCalcPts[BYE],MATCH(TableQBRanks[[#This Row],[RK]],TableQBCalcPts[RK],0)),"")</f>
        <v>5</v>
      </c>
      <c r="E10" s="58">
        <f>IFERROR(INDEX(TableQBCalcPts[Custom],MATCH(TableQBRanks[[#This Row],[RK]],TableQBCalcPts[RK],0)),"")</f>
        <v>335.72963468077643</v>
      </c>
      <c r="F10" s="133">
        <f>(((VLOOKUP(TableQBRanks[[#This Row],[Player]],'OVR &amp; VORP Ranks'!$B:$F,5,FALSE)))/('OVR &amp; VORP Ranks'!$BM$6))*(Settings!$E$10*TEAMS)</f>
        <v>7.3595471522134748</v>
      </c>
      <c r="H10">
        <v>9</v>
      </c>
      <c r="I10" t="str">
        <f>IFERROR(INDEX(TableRBCalcPts[PLAYER],MATCH(TableRBRanks[[#This Row],[RK]],TableRBCalcPts[RK],0)),"")</f>
        <v>Rhamondre Stevenson</v>
      </c>
      <c r="J10" t="str">
        <f>IFERROR(INDEX(TableRBCalcPts[TM],MATCH(TableRBRanks[[#This Row],[RK]],TableRBCalcPts[RK],0)),"")</f>
        <v>NE</v>
      </c>
      <c r="K10">
        <f>IFERROR(INDEX(TableRBCalcPts[BYE],MATCH(TableRBRanks[[#This Row],[RK]],TableRBCalcPts[RK],0)),"")</f>
        <v>11</v>
      </c>
      <c r="L10" s="58">
        <f>IFERROR(INDEX(TableRBCalcPts[Custom],MATCH(TableRBRanks[[#This Row],[RK]],TableRBCalcPts[RK],0)),"")</f>
        <v>219.66601335836557</v>
      </c>
      <c r="M10" s="133">
        <f>(((VLOOKUP(TableRBRanks[[#This Row],[Player]],'OVR &amp; VORP Ranks'!$I:$M,5,FALSE)))/('OVR &amp; VORP Ranks'!$BM$6))*(Settings!$E$10*TEAMS)</f>
        <v>35.417101649489062</v>
      </c>
      <c r="O10">
        <v>9</v>
      </c>
      <c r="P10" t="str">
        <f>IFERROR(INDEX(TableWRCalcPts[PLAYER],MATCH(TableWRRanks[[#This Row],[RK]],TableWRCalcPts[RK],0)),"")</f>
        <v>Jaylen Waddle</v>
      </c>
      <c r="Q10" t="str">
        <f>IFERROR(INDEX(TableWRCalcPts[TM],MATCH(TableWRRanks[[#This Row],[RK]],TableWRCalcPts[RK],0)),"")</f>
        <v>MIA</v>
      </c>
      <c r="R10">
        <f>IFERROR(INDEX(TableWRCalcPts[BYE],MATCH(TableWRRanks[[#This Row],[RK]],TableWRCalcPts[RK],0)),"")</f>
        <v>10</v>
      </c>
      <c r="S10" s="58">
        <f>IFERROR(INDEX(TableWRCalcPts[Custom],MATCH(TableWRRanks[[#This Row],[RK]],TableWRCalcPts[RK],0)),"")</f>
        <v>213.97580424242801</v>
      </c>
      <c r="T10" s="133">
        <f>(((VLOOKUP(TableWRRanks[[#This Row],[Player]],'OVR &amp; VORP Ranks'!$P:$T,5,FALSE)))/('OVR &amp; VORP Ranks'!$BM$6))*(Settings!$E$10*TEAMS)</f>
        <v>28.658957993578451</v>
      </c>
      <c r="V10">
        <v>9</v>
      </c>
      <c r="W10" t="str">
        <f>IFERROR(INDEX(TableTECalcPts[PLAYER],MATCH(TableTERanks[[#This Row],[RK]],TableTECalcPts[RK],0)),"")</f>
        <v>David Njoku</v>
      </c>
      <c r="X10" t="str">
        <f>IFERROR(INDEX(TableTECalcPts[TM],MATCH(TableTERanks[[#This Row],[RK]],TableTECalcPts[RK],0)),"")</f>
        <v>CLE</v>
      </c>
      <c r="Y10">
        <f>IFERROR(INDEX(TableTECalcPts[BYE],MATCH(TableTERanks[[#This Row],[RK]],TableTECalcPts[RK],0)),"")</f>
        <v>5</v>
      </c>
      <c r="Z10" s="58">
        <f>IFERROR(INDEX(TableTECalcPts[Custom],MATCH(TableTERanks[[#This Row],[RK]],TableTECalcPts[RK],0)),"")</f>
        <v>132.8430292226715</v>
      </c>
      <c r="AA10" s="133">
        <f>(((VLOOKUP(TableTERanks[[#This Row],[Player]],'OVR &amp; VORP Ranks'!$W:$AA,5,FALSE)))/('OVR &amp; VORP Ranks'!$BM$6))*(Settings!$E$10*TEAMS)</f>
        <v>5.2618316984870264</v>
      </c>
      <c r="AC10">
        <v>9</v>
      </c>
      <c r="AD10" t="str">
        <f>IFERROR(INDEX(TableDSTCalcPts[PLAYER],MATCH(TableDSTRanks[[#This Row],[RK]],TableDSTCalcPts[RK],0)),"")</f>
        <v>Seattle Seahawks</v>
      </c>
      <c r="AE10">
        <f>IFERROR(INDEX(TableDSTCalcPts[BYE],MATCH(TableDSTRanks[[#This Row],[RK]],TableDSTCalcPts[RK],0)),"")</f>
        <v>5</v>
      </c>
      <c r="AF10" s="58">
        <f>IFERROR(INDEX(TableDSTCalcPts[Custom],MATCH(TableDSTRanks[[#This Row],[RK]],TableDSTCalcPts[RK],0)),"")</f>
        <v>125.20347169938162</v>
      </c>
      <c r="AG10" s="133">
        <v>1</v>
      </c>
    </row>
    <row r="11" spans="1:33" x14ac:dyDescent="0.2">
      <c r="A11">
        <v>10</v>
      </c>
      <c r="B11" t="str">
        <f>IFERROR(INDEX(TableQBCalcPts[PLAYER],MATCH(TableQBRanks[[#This Row],[RK]],TableQBCalcPts[RK],0)),"")</f>
        <v>Anthony Richardson</v>
      </c>
      <c r="C11" t="str">
        <f>IFERROR(INDEX(TableQBCalcPts[TM],MATCH(TableQBRanks[[#This Row],[RK]],TableQBCalcPts[RK],0)),"")</f>
        <v>IND</v>
      </c>
      <c r="D11">
        <f>IFERROR(INDEX(TableQBCalcPts[BYE],MATCH(TableQBRanks[[#This Row],[RK]],TableQBCalcPts[RK],0)),"")</f>
        <v>11</v>
      </c>
      <c r="E11" s="58">
        <f>IFERROR(INDEX(TableQBCalcPts[Custom],MATCH(TableQBRanks[[#This Row],[RK]],TableQBCalcPts[RK],0)),"")</f>
        <v>317.19789503289041</v>
      </c>
      <c r="F11" s="133">
        <f>(((VLOOKUP(TableQBRanks[[#This Row],[Player]],'OVR &amp; VORP Ranks'!$B:$F,5,FALSE)))/('OVR &amp; VORP Ranks'!$BM$6))*(Settings!$E$10*TEAMS)</f>
        <v>5.2274953845680132</v>
      </c>
      <c r="H11">
        <v>10</v>
      </c>
      <c r="I11" t="str">
        <f>IFERROR(INDEX(TableRBCalcPts[PLAYER],MATCH(TableRBRanks[[#This Row],[RK]],TableRBCalcPts[RK],0)),"")</f>
        <v>Joe Mixon</v>
      </c>
      <c r="J11" t="str">
        <f>IFERROR(INDEX(TableRBCalcPts[TM],MATCH(TableRBRanks[[#This Row],[RK]],TableRBCalcPts[RK],0)),"")</f>
        <v>CIN</v>
      </c>
      <c r="K11">
        <f>IFERROR(INDEX(TableRBCalcPts[BYE],MATCH(TableRBRanks[[#This Row],[RK]],TableRBCalcPts[RK],0)),"")</f>
        <v>7</v>
      </c>
      <c r="L11" s="58">
        <f>IFERROR(INDEX(TableRBCalcPts[Custom],MATCH(TableRBRanks[[#This Row],[RK]],TableRBCalcPts[RK],0)),"")</f>
        <v>218.79658404116833</v>
      </c>
      <c r="M11" s="133">
        <f>(((VLOOKUP(TableRBRanks[[#This Row],[Player]],'OVR &amp; VORP Ranks'!$I:$M,5,FALSE)))/('OVR &amp; VORP Ranks'!$BM$6))*(Settings!$E$10*TEAMS)</f>
        <v>35.100314765180997</v>
      </c>
      <c r="O11">
        <v>10</v>
      </c>
      <c r="P11" t="str">
        <f>IFERROR(INDEX(TableWRCalcPts[PLAYER],MATCH(TableWRRanks[[#This Row],[RK]],TableWRCalcPts[RK],0)),"")</f>
        <v>Garrett Wilson</v>
      </c>
      <c r="Q11" t="str">
        <f>IFERROR(INDEX(TableWRCalcPts[TM],MATCH(TableWRRanks[[#This Row],[RK]],TableWRCalcPts[RK],0)),"")</f>
        <v>NYJ</v>
      </c>
      <c r="R11">
        <f>IFERROR(INDEX(TableWRCalcPts[BYE],MATCH(TableWRRanks[[#This Row],[RK]],TableWRCalcPts[RK],0)),"")</f>
        <v>7</v>
      </c>
      <c r="S11" s="58">
        <f>IFERROR(INDEX(TableWRCalcPts[Custom],MATCH(TableWRRanks[[#This Row],[RK]],TableWRCalcPts[RK],0)),"")</f>
        <v>207.71072219166814</v>
      </c>
      <c r="T11" s="133">
        <f>(((VLOOKUP(TableWRRanks[[#This Row],[Player]],'OVR &amp; VORP Ranks'!$P:$T,5,FALSE)))/('OVR &amp; VORP Ranks'!$BM$6))*(Settings!$E$10*TEAMS)</f>
        <v>26.513370564162262</v>
      </c>
      <c r="V11">
        <v>10</v>
      </c>
      <c r="W11" t="str">
        <f>IFERROR(INDEX(TableTECalcPts[PLAYER],MATCH(TableTERanks[[#This Row],[RK]],TableTECalcPts[RK],0)),"")</f>
        <v>Evan Engram</v>
      </c>
      <c r="X11" t="str">
        <f>IFERROR(INDEX(TableTECalcPts[TM],MATCH(TableTERanks[[#This Row],[RK]],TableTECalcPts[RK],0)),"")</f>
        <v>JAX</v>
      </c>
      <c r="Y11">
        <f>IFERROR(INDEX(TableTECalcPts[BYE],MATCH(TableTERanks[[#This Row],[RK]],TableTECalcPts[RK],0)),"")</f>
        <v>9</v>
      </c>
      <c r="Z11" s="58">
        <f>IFERROR(INDEX(TableTECalcPts[Custom],MATCH(TableTERanks[[#This Row],[RK]],TableTECalcPts[RK],0)),"")</f>
        <v>132.11341947692489</v>
      </c>
      <c r="AA11" s="133">
        <f>(((VLOOKUP(TableTERanks[[#This Row],[Player]],'OVR &amp; VORP Ranks'!$W:$AA,5,FALSE)))/('OVR &amp; VORP Ranks'!$BM$6))*(Settings!$E$10*TEAMS)</f>
        <v>4.9878627442491421</v>
      </c>
      <c r="AC11">
        <v>10</v>
      </c>
      <c r="AD11" t="str">
        <f>IFERROR(INDEX(TableDSTCalcPts[PLAYER],MATCH(TableDSTRanks[[#This Row],[RK]],TableDSTCalcPts[RK],0)),"")</f>
        <v>Jacksonville Jaguars</v>
      </c>
      <c r="AE11">
        <f>IFERROR(INDEX(TableDSTCalcPts[BYE],MATCH(TableDSTRanks[[#This Row],[RK]],TableDSTCalcPts[RK],0)),"")</f>
        <v>9</v>
      </c>
      <c r="AF11" s="58">
        <f>IFERROR(INDEX(TableDSTCalcPts[Custom],MATCH(TableDSTRanks[[#This Row],[RK]],TableDSTCalcPts[RK],0)),"")</f>
        <v>124.12210959424701</v>
      </c>
      <c r="AG11" s="133">
        <v>1</v>
      </c>
    </row>
    <row r="12" spans="1:33" x14ac:dyDescent="0.2">
      <c r="A12">
        <v>11</v>
      </c>
      <c r="B12" t="str">
        <f>IFERROR(INDEX(TableQBCalcPts[PLAYER],MATCH(TableQBRanks[[#This Row],[RK]],TableQBCalcPts[RK],0)),"")</f>
        <v>Tua Tagovailoa</v>
      </c>
      <c r="C12" t="str">
        <f>IFERROR(INDEX(TableQBCalcPts[TM],MATCH(TableQBRanks[[#This Row],[RK]],TableQBCalcPts[RK],0)),"")</f>
        <v>MIA</v>
      </c>
      <c r="D12">
        <f>IFERROR(INDEX(TableQBCalcPts[BYE],MATCH(TableQBRanks[[#This Row],[RK]],TableQBCalcPts[RK],0)),"")</f>
        <v>10</v>
      </c>
      <c r="E12" s="58">
        <f>IFERROR(INDEX(TableQBCalcPts[Custom],MATCH(TableQBRanks[[#This Row],[RK]],TableQBCalcPts[RK],0)),"")</f>
        <v>314.106028120644</v>
      </c>
      <c r="F12" s="133">
        <f>(((VLOOKUP(TableQBRanks[[#This Row],[Player]],'OVR &amp; VORP Ranks'!$B:$F,5,FALSE)))/('OVR &amp; VORP Ranks'!$BM$6))*(Settings!$E$10*TEAMS)</f>
        <v>4.8372348258666884</v>
      </c>
      <c r="H12">
        <v>11</v>
      </c>
      <c r="I12" t="str">
        <f>IFERROR(INDEX(TableRBCalcPts[PLAYER],MATCH(TableRBRanks[[#This Row],[RK]],TableRBCalcPts[RK],0)),"")</f>
        <v>Jahmyr Gibbs</v>
      </c>
      <c r="J12" t="str">
        <f>IFERROR(INDEX(TableRBCalcPts[TM],MATCH(TableRBRanks[[#This Row],[RK]],TableRBCalcPts[RK],0)),"")</f>
        <v>DET</v>
      </c>
      <c r="K12">
        <f>IFERROR(INDEX(TableRBCalcPts[BYE],MATCH(TableRBRanks[[#This Row],[RK]],TableRBCalcPts[RK],0)),"")</f>
        <v>9</v>
      </c>
      <c r="L12" s="58">
        <f>IFERROR(INDEX(TableRBCalcPts[Custom],MATCH(TableRBRanks[[#This Row],[RK]],TableRBCalcPts[RK],0)),"")</f>
        <v>218.44083642233855</v>
      </c>
      <c r="M12" s="133">
        <f>(((VLOOKUP(TableRBRanks[[#This Row],[Player]],'OVR &amp; VORP Ranks'!$I:$M,5,FALSE)))/('OVR &amp; VORP Ranks'!$BM$6))*(Settings!$E$10*TEAMS)</f>
        <v>34.970693900620795</v>
      </c>
      <c r="O12">
        <v>11</v>
      </c>
      <c r="P12" t="str">
        <f>IFERROR(INDEX(TableWRCalcPts[PLAYER],MATCH(TableWRRanks[[#This Row],[RK]],TableWRCalcPts[RK],0)),"")</f>
        <v>A.J. Brown</v>
      </c>
      <c r="Q12" t="str">
        <f>IFERROR(INDEX(TableWRCalcPts[TM],MATCH(TableWRRanks[[#This Row],[RK]],TableWRCalcPts[RK],0)),"")</f>
        <v>PHI</v>
      </c>
      <c r="R12">
        <f>IFERROR(INDEX(TableWRCalcPts[BYE],MATCH(TableWRRanks[[#This Row],[RK]],TableWRCalcPts[RK],0)),"")</f>
        <v>10</v>
      </c>
      <c r="S12" s="58">
        <f>IFERROR(INDEX(TableWRCalcPts[Custom],MATCH(TableWRRanks[[#This Row],[RK]],TableWRCalcPts[RK],0)),"")</f>
        <v>206.51176008611552</v>
      </c>
      <c r="T12" s="133">
        <f>(((VLOOKUP(TableWRRanks[[#This Row],[Player]],'OVR &amp; VORP Ranks'!$P:$T,5,FALSE)))/('OVR &amp; VORP Ranks'!$BM$6))*(Settings!$E$10*TEAMS)</f>
        <v>26.102764924654629</v>
      </c>
      <c r="V12">
        <v>11</v>
      </c>
      <c r="W12" t="str">
        <f>IFERROR(INDEX(TableTECalcPts[PLAYER],MATCH(TableTERanks[[#This Row],[RK]],TableTECalcPts[RK],0)),"")</f>
        <v>Pat Freiermuth</v>
      </c>
      <c r="X12" t="str">
        <f>IFERROR(INDEX(TableTECalcPts[TM],MATCH(TableTERanks[[#This Row],[RK]],TableTECalcPts[RK],0)),"")</f>
        <v>PIT</v>
      </c>
      <c r="Y12">
        <f>IFERROR(INDEX(TableTECalcPts[BYE],MATCH(TableTERanks[[#This Row],[RK]],TableTECalcPts[RK],0)),"")</f>
        <v>6</v>
      </c>
      <c r="Z12" s="58">
        <f>IFERROR(INDEX(TableTECalcPts[Custom],MATCH(TableTERanks[[#This Row],[RK]],TableTECalcPts[RK],0)),"")</f>
        <v>121.31963431833421</v>
      </c>
      <c r="AA12" s="133">
        <f>(((VLOOKUP(TableTERanks[[#This Row],[Player]],'OVR &amp; VORP Ranks'!$W:$AA,5,FALSE)))/('OVR &amp; VORP Ranks'!$BM$6))*(Settings!$E$10*TEAMS)</f>
        <v>0.93478909849979397</v>
      </c>
      <c r="AC12">
        <v>11</v>
      </c>
      <c r="AD12" t="str">
        <f>IFERROR(INDEX(TableDSTCalcPts[PLAYER],MATCH(TableDSTRanks[[#This Row],[RK]],TableDSTCalcPts[RK],0)),"")</f>
        <v>Los Angeles Chargers</v>
      </c>
      <c r="AE12">
        <f>IFERROR(INDEX(TableDSTCalcPts[BYE],MATCH(TableDSTRanks[[#This Row],[RK]],TableDSTCalcPts[RK],0)),"")</f>
        <v>5</v>
      </c>
      <c r="AF12" s="58">
        <f>IFERROR(INDEX(TableDSTCalcPts[Custom],MATCH(TableDSTRanks[[#This Row],[RK]],TableDSTCalcPts[RK],0)),"")</f>
        <v>123.1372950200647</v>
      </c>
      <c r="AG12" s="133">
        <v>1</v>
      </c>
    </row>
    <row r="13" spans="1:33" x14ac:dyDescent="0.2">
      <c r="A13">
        <v>12</v>
      </c>
      <c r="B13" t="str">
        <f>IFERROR(INDEX(TableQBCalcPts[PLAYER],MATCH(TableQBRanks[[#This Row],[RK]],TableQBCalcPts[RK],0)),"")</f>
        <v>Daniel Jones</v>
      </c>
      <c r="C13" t="str">
        <f>IFERROR(INDEX(TableQBCalcPts[TM],MATCH(TableQBRanks[[#This Row],[RK]],TableQBCalcPts[RK],0)),"")</f>
        <v>NYG</v>
      </c>
      <c r="D13">
        <f>IFERROR(INDEX(TableQBCalcPts[BYE],MATCH(TableQBRanks[[#This Row],[RK]],TableQBCalcPts[RK],0)),"")</f>
        <v>13</v>
      </c>
      <c r="E13" s="58">
        <f>IFERROR(INDEX(TableQBCalcPts[Custom],MATCH(TableQBRanks[[#This Row],[RK]],TableQBCalcPts[RK],0)),"")</f>
        <v>313.74877869477359</v>
      </c>
      <c r="F13" s="133">
        <f>(((VLOOKUP(TableQBRanks[[#This Row],[Player]],'OVR &amp; VORP Ranks'!$B:$F,5,FALSE)))/('OVR &amp; VORP Ranks'!$BM$6))*(Settings!$E$10*TEAMS)</f>
        <v>4.7382266370280046</v>
      </c>
      <c r="H13">
        <v>12</v>
      </c>
      <c r="I13" t="str">
        <f>IFERROR(INDEX(TableRBCalcPts[PLAYER],MATCH(TableRBRanks[[#This Row],[RK]],TableRBCalcPts[RK],0)),"")</f>
        <v>Dameon Pierce</v>
      </c>
      <c r="J13" t="str">
        <f>IFERROR(INDEX(TableRBCalcPts[TM],MATCH(TableRBRanks[[#This Row],[RK]],TableRBCalcPts[RK],0)),"")</f>
        <v>HOU</v>
      </c>
      <c r="K13">
        <f>IFERROR(INDEX(TableRBCalcPts[BYE],MATCH(TableRBRanks[[#This Row],[RK]],TableRBCalcPts[RK],0)),"")</f>
        <v>7</v>
      </c>
      <c r="L13" s="58">
        <f>IFERROR(INDEX(TableRBCalcPts[Custom],MATCH(TableRBRanks[[#This Row],[RK]],TableRBCalcPts[RK],0)),"")</f>
        <v>218.07090358355615</v>
      </c>
      <c r="M13" s="133">
        <f>(((VLOOKUP(TableRBRanks[[#This Row],[Player]],'OVR &amp; VORP Ranks'!$I:$M,5,FALSE)))/('OVR &amp; VORP Ranks'!$BM$6))*(Settings!$E$10*TEAMS)</f>
        <v>34.835904482915282</v>
      </c>
      <c r="O13">
        <v>12</v>
      </c>
      <c r="P13" t="str">
        <f>IFERROR(INDEX(TableWRCalcPts[PLAYER],MATCH(TableWRRanks[[#This Row],[RK]],TableWRCalcPts[RK],0)),"")</f>
        <v>Tee Higgins</v>
      </c>
      <c r="Q13" t="str">
        <f>IFERROR(INDEX(TableWRCalcPts[TM],MATCH(TableWRRanks[[#This Row],[RK]],TableWRCalcPts[RK],0)),"")</f>
        <v>CIN</v>
      </c>
      <c r="R13">
        <f>IFERROR(INDEX(TableWRCalcPts[BYE],MATCH(TableWRRanks[[#This Row],[RK]],TableWRCalcPts[RK],0)),"")</f>
        <v>7</v>
      </c>
      <c r="S13" s="58">
        <f>IFERROR(INDEX(TableWRCalcPts[Custom],MATCH(TableWRRanks[[#This Row],[RK]],TableWRCalcPts[RK],0)),"")</f>
        <v>206.05871828961045</v>
      </c>
      <c r="T13" s="133">
        <f>(((VLOOKUP(TableWRRanks[[#This Row],[Player]],'OVR &amp; VORP Ranks'!$P:$T,5,FALSE)))/('OVR &amp; VORP Ranks'!$BM$6))*(Settings!$E$10*TEAMS)</f>
        <v>25.947612801233753</v>
      </c>
      <c r="V13">
        <v>12</v>
      </c>
      <c r="W13" t="str">
        <f>IFERROR(INDEX(TableTECalcPts[PLAYER],MATCH(TableTERanks[[#This Row],[RK]],TableTECalcPts[RK],0)),"")</f>
        <v>Chigoziem Okonkwo</v>
      </c>
      <c r="X13" t="str">
        <f>IFERROR(INDEX(TableTECalcPts[TM],MATCH(TableTERanks[[#This Row],[RK]],TableTECalcPts[RK],0)),"")</f>
        <v>TEN</v>
      </c>
      <c r="Y13">
        <f>IFERROR(INDEX(TableTECalcPts[BYE],MATCH(TableTERanks[[#This Row],[RK]],TableTECalcPts[RK],0)),"")</f>
        <v>7</v>
      </c>
      <c r="Z13" s="58">
        <f>IFERROR(INDEX(TableTECalcPts[Custom],MATCH(TableTERanks[[#This Row],[RK]],TableTECalcPts[RK],0)),"")</f>
        <v>118.83018715312387</v>
      </c>
      <c r="AA13" s="133">
        <f>(((VLOOKUP(TableTERanks[[#This Row],[Player]],'OVR &amp; VORP Ranks'!$W:$AA,5,FALSE)))/('OVR &amp; VORP Ranks'!$BM$6))*(Settings!$E$10*TEAMS)</f>
        <v>0</v>
      </c>
      <c r="AC13">
        <v>12</v>
      </c>
      <c r="AD13" t="str">
        <f>IFERROR(INDEX(TableDSTCalcPts[PLAYER],MATCH(TableDSTRanks[[#This Row],[RK]],TableDSTCalcPts[RK],0)),"")</f>
        <v>Washington Commanders</v>
      </c>
      <c r="AE13">
        <f>IFERROR(INDEX(TableDSTCalcPts[BYE],MATCH(TableDSTRanks[[#This Row],[RK]],TableDSTCalcPts[RK],0)),"")</f>
        <v>14</v>
      </c>
      <c r="AF13" s="58">
        <f>IFERROR(INDEX(TableDSTCalcPts[Custom],MATCH(TableDSTRanks[[#This Row],[RK]],TableDSTCalcPts[RK],0)),"")</f>
        <v>123.12766690643045</v>
      </c>
      <c r="AG13" s="133">
        <v>0</v>
      </c>
    </row>
    <row r="14" spans="1:33" x14ac:dyDescent="0.2">
      <c r="A14">
        <v>13</v>
      </c>
      <c r="B14" t="str">
        <f>IFERROR(INDEX(TableQBCalcPts[PLAYER],MATCH(TableQBRanks[[#This Row],[RK]],TableQBCalcPts[RK],0)),"")</f>
        <v>Kirk Cousins</v>
      </c>
      <c r="C14" t="str">
        <f>IFERROR(INDEX(TableQBCalcPts[TM],MATCH(TableQBRanks[[#This Row],[RK]],TableQBCalcPts[RK],0)),"")</f>
        <v>MIN</v>
      </c>
      <c r="D14">
        <f>IFERROR(INDEX(TableQBCalcPts[BYE],MATCH(TableQBRanks[[#This Row],[RK]],TableQBCalcPts[RK],0)),"")</f>
        <v>13</v>
      </c>
      <c r="E14" s="58">
        <f>IFERROR(INDEX(TableQBCalcPts[Custom],MATCH(TableQBRanks[[#This Row],[RK]],TableQBCalcPts[RK],0)),"")</f>
        <v>313.66400847738322</v>
      </c>
      <c r="F14" s="133">
        <f>(((VLOOKUP(TableQBRanks[[#This Row],[Player]],'OVR &amp; VORP Ranks'!$B:$F,5,FALSE)))/('OVR &amp; VORP Ranks'!$BM$6))*(Settings!$E$10*TEAMS)</f>
        <v>4.4285211326922749</v>
      </c>
      <c r="H14">
        <v>13</v>
      </c>
      <c r="I14" t="str">
        <f>IFERROR(INDEX(TableRBCalcPts[PLAYER],MATCH(TableRBRanks[[#This Row],[RK]],TableRBCalcPts[RK],0)),"")</f>
        <v>Najee Harris</v>
      </c>
      <c r="J14" t="str">
        <f>IFERROR(INDEX(TableRBCalcPts[TM],MATCH(TableRBRanks[[#This Row],[RK]],TableRBCalcPts[RK],0)),"")</f>
        <v>PIT</v>
      </c>
      <c r="K14">
        <f>IFERROR(INDEX(TableRBCalcPts[BYE],MATCH(TableRBRanks[[#This Row],[RK]],TableRBCalcPts[RK],0)),"")</f>
        <v>6</v>
      </c>
      <c r="L14" s="58">
        <f>IFERROR(INDEX(TableRBCalcPts[Custom],MATCH(TableRBRanks[[#This Row],[RK]],TableRBCalcPts[RK],0)),"")</f>
        <v>216.23753147350604</v>
      </c>
      <c r="M14" s="133">
        <f>(((VLOOKUP(TableRBRanks[[#This Row],[Player]],'OVR &amp; VORP Ranks'!$I:$M,5,FALSE)))/('OVR &amp; VORP Ranks'!$BM$6))*(Settings!$E$10*TEAMS)</f>
        <v>34.167893608388603</v>
      </c>
      <c r="O14">
        <v>13</v>
      </c>
      <c r="P14" t="str">
        <f>IFERROR(INDEX(TableWRCalcPts[PLAYER],MATCH(TableWRRanks[[#This Row],[RK]],TableWRCalcPts[RK],0)),"")</f>
        <v>Calvin Ridley</v>
      </c>
      <c r="Q14" t="str">
        <f>IFERROR(INDEX(TableWRCalcPts[TM],MATCH(TableWRRanks[[#This Row],[RK]],TableWRCalcPts[RK],0)),"")</f>
        <v>JAX</v>
      </c>
      <c r="R14">
        <f>IFERROR(INDEX(TableWRCalcPts[BYE],MATCH(TableWRRanks[[#This Row],[RK]],TableWRCalcPts[RK],0)),"")</f>
        <v>9</v>
      </c>
      <c r="S14" s="58">
        <f>IFERROR(INDEX(TableWRCalcPts[Custom],MATCH(TableWRRanks[[#This Row],[RK]],TableWRCalcPts[RK],0)),"")</f>
        <v>205.85347666981542</v>
      </c>
      <c r="T14" s="133">
        <f>(((VLOOKUP(TableWRRanks[[#This Row],[Player]],'OVR &amp; VORP Ranks'!$P:$T,5,FALSE)))/('OVR &amp; VORP Ranks'!$BM$6))*(Settings!$E$10*TEAMS)</f>
        <v>25.877324202320381</v>
      </c>
      <c r="V14">
        <v>13</v>
      </c>
      <c r="W14" t="str">
        <f>IFERROR(INDEX(TableTECalcPts[PLAYER],MATCH(TableTERanks[[#This Row],[RK]],TableTECalcPts[RK],0)),"")</f>
        <v>Hunter Henry</v>
      </c>
      <c r="X14" t="str">
        <f>IFERROR(INDEX(TableTECalcPts[TM],MATCH(TableTERanks[[#This Row],[RK]],TableTECalcPts[RK],0)),"")</f>
        <v>NE</v>
      </c>
      <c r="Y14">
        <f>IFERROR(INDEX(TableTECalcPts[BYE],MATCH(TableTERanks[[#This Row],[RK]],TableTECalcPts[RK],0)),"")</f>
        <v>11</v>
      </c>
      <c r="Z14" s="58">
        <f>IFERROR(INDEX(TableTECalcPts[Custom],MATCH(TableTERanks[[#This Row],[RK]],TableTECalcPts[RK],0)),"")</f>
        <v>112.32468213400713</v>
      </c>
      <c r="AA14" s="133">
        <f>(((VLOOKUP(TableTERanks[[#This Row],[Player]],'OVR &amp; VORP Ranks'!$W:$AA,5,FALSE)))/('OVR &amp; VORP Ranks'!$BM$6))*(Settings!$E$10*TEAMS)</f>
        <v>-2.4428215457194522</v>
      </c>
      <c r="AC14">
        <v>13</v>
      </c>
      <c r="AD14" t="str">
        <f>IFERROR(INDEX(TableDSTCalcPts[PLAYER],MATCH(TableDSTRanks[[#This Row],[RK]],TableDSTCalcPts[RK],0)),"")</f>
        <v>Green Bay Packers</v>
      </c>
      <c r="AE14">
        <f>IFERROR(INDEX(TableDSTCalcPts[BYE],MATCH(TableDSTRanks[[#This Row],[RK]],TableDSTCalcPts[RK],0)),"")</f>
        <v>6</v>
      </c>
      <c r="AF14" s="58">
        <f>IFERROR(INDEX(TableDSTCalcPts[Custom],MATCH(TableDSTRanks[[#This Row],[RK]],TableDSTCalcPts[RK],0)),"")</f>
        <v>122.15774167187708</v>
      </c>
      <c r="AG14" s="133">
        <v>0</v>
      </c>
    </row>
    <row r="15" spans="1:33" x14ac:dyDescent="0.2">
      <c r="A15">
        <v>14</v>
      </c>
      <c r="B15" t="str">
        <f>IFERROR(INDEX(TableQBCalcPts[PLAYER],MATCH(TableQBRanks[[#This Row],[RK]],TableQBCalcPts[RK],0)),"")</f>
        <v>Geno Smith</v>
      </c>
      <c r="C15" t="str">
        <f>IFERROR(INDEX(TableQBCalcPts[TM],MATCH(TableQBRanks[[#This Row],[RK]],TableQBCalcPts[RK],0)),"")</f>
        <v>SEA</v>
      </c>
      <c r="D15">
        <f>IFERROR(INDEX(TableQBCalcPts[BYE],MATCH(TableQBRanks[[#This Row],[RK]],TableQBCalcPts[RK],0)),"")</f>
        <v>5</v>
      </c>
      <c r="E15" s="58">
        <f>IFERROR(INDEX(TableQBCalcPts[Custom],MATCH(TableQBRanks[[#This Row],[RK]],TableQBCalcPts[RK],0)),"")</f>
        <v>308.46388356938525</v>
      </c>
      <c r="F15" s="133">
        <f>(((VLOOKUP(TableQBRanks[[#This Row],[Player]],'OVR &amp; VORP Ranks'!$B:$F,5,FALSE)))/('OVR &amp; VORP Ranks'!$BM$6))*(Settings!$E$10*TEAMS)</f>
        <v>2.2788162672342485</v>
      </c>
      <c r="H15">
        <v>14</v>
      </c>
      <c r="I15" t="str">
        <f>IFERROR(INDEX(TableRBCalcPts[PLAYER],MATCH(TableRBRanks[[#This Row],[RK]],TableRBCalcPts[RK],0)),"")</f>
        <v>Rachaad White</v>
      </c>
      <c r="J15" t="str">
        <f>IFERROR(INDEX(TableRBCalcPts[TM],MATCH(TableRBRanks[[#This Row],[RK]],TableRBCalcPts[RK],0)),"")</f>
        <v>TB</v>
      </c>
      <c r="K15">
        <f>IFERROR(INDEX(TableRBCalcPts[BYE],MATCH(TableRBRanks[[#This Row],[RK]],TableRBCalcPts[RK],0)),"")</f>
        <v>5</v>
      </c>
      <c r="L15" s="58">
        <f>IFERROR(INDEX(TableRBCalcPts[Custom],MATCH(TableRBRanks[[#This Row],[RK]],TableRBCalcPts[RK],0)),"")</f>
        <v>206.53143530729474</v>
      </c>
      <c r="M15" s="133">
        <f>(((VLOOKUP(TableRBRanks[[#This Row],[Player]],'OVR &amp; VORP Ranks'!$I:$M,5,FALSE)))/('OVR &amp; VORP Ranks'!$BM$6))*(Settings!$E$10*TEAMS)</f>
        <v>30.63136234302879</v>
      </c>
      <c r="O15">
        <v>14</v>
      </c>
      <c r="P15" t="str">
        <f>IFERROR(INDEX(TableWRCalcPts[PLAYER],MATCH(TableWRRanks[[#This Row],[RK]],TableWRCalcPts[RK],0)),"")</f>
        <v>Christian Watson</v>
      </c>
      <c r="Q15" t="str">
        <f>IFERROR(INDEX(TableWRCalcPts[TM],MATCH(TableWRRanks[[#This Row],[RK]],TableWRCalcPts[RK],0)),"")</f>
        <v>GB</v>
      </c>
      <c r="R15">
        <f>IFERROR(INDEX(TableWRCalcPts[BYE],MATCH(TableWRRanks[[#This Row],[RK]],TableWRCalcPts[RK],0)),"")</f>
        <v>6</v>
      </c>
      <c r="S15" s="58">
        <f>IFERROR(INDEX(TableWRCalcPts[Custom],MATCH(TableWRRanks[[#This Row],[RK]],TableWRCalcPts[RK],0)),"")</f>
        <v>194.98899947146739</v>
      </c>
      <c r="T15" s="133">
        <f>(((VLOOKUP(TableWRRanks[[#This Row],[Player]],'OVR &amp; VORP Ranks'!$P:$T,5,FALSE)))/('OVR &amp; VORP Ranks'!$BM$6))*(Settings!$E$10*TEAMS)</f>
        <v>22.156593090566293</v>
      </c>
      <c r="V15">
        <v>14</v>
      </c>
      <c r="W15" t="str">
        <f>IFERROR(INDEX(TableTECalcPts[PLAYER],MATCH(TableTERanks[[#This Row],[RK]],TableTECalcPts[RK],0)),"")</f>
        <v>Cole Kmet</v>
      </c>
      <c r="X15" t="str">
        <f>IFERROR(INDEX(TableTECalcPts[TM],MATCH(TableTERanks[[#This Row],[RK]],TableTECalcPts[RK],0)),"")</f>
        <v>CHI</v>
      </c>
      <c r="Y15">
        <f>IFERROR(INDEX(TableTECalcPts[BYE],MATCH(TableTERanks[[#This Row],[RK]],TableTECalcPts[RK],0)),"")</f>
        <v>13</v>
      </c>
      <c r="Z15" s="58">
        <f>IFERROR(INDEX(TableTECalcPts[Custom],MATCH(TableTERanks[[#This Row],[RK]],TableTECalcPts[RK],0)),"")</f>
        <v>112.27012334528251</v>
      </c>
      <c r="AA15" s="133">
        <f>(((VLOOKUP(TableTERanks[[#This Row],[Player]],'OVR &amp; VORP Ranks'!$W:$AA,5,FALSE)))/('OVR &amp; VORP Ranks'!$BM$6))*(Settings!$E$10*TEAMS)</f>
        <v>-2.4633084078789946</v>
      </c>
      <c r="AC15">
        <v>14</v>
      </c>
      <c r="AD15" t="str">
        <f>IFERROR(INDEX(TableDSTCalcPts[PLAYER],MATCH(TableDSTRanks[[#This Row],[RK]],TableDSTCalcPts[RK],0)),"")</f>
        <v>Miami Dolphins</v>
      </c>
      <c r="AE15">
        <f>IFERROR(INDEX(TableDSTCalcPts[BYE],MATCH(TableDSTRanks[[#This Row],[RK]],TableDSTCalcPts[RK],0)),"")</f>
        <v>10</v>
      </c>
      <c r="AF15" s="58">
        <f>IFERROR(INDEX(TableDSTCalcPts[Custom],MATCH(TableDSTRanks[[#This Row],[RK]],TableDSTCalcPts[RK],0)),"")</f>
        <v>121.10329144290326</v>
      </c>
      <c r="AG15" s="133">
        <v>0</v>
      </c>
    </row>
    <row r="16" spans="1:33" x14ac:dyDescent="0.2">
      <c r="A16">
        <v>15</v>
      </c>
      <c r="B16" t="str">
        <f>IFERROR(INDEX(TableQBCalcPts[PLAYER],MATCH(TableQBRanks[[#This Row],[RK]],TableQBCalcPts[RK],0)),"")</f>
        <v>Dak Prescott</v>
      </c>
      <c r="C16" t="str">
        <f>IFERROR(INDEX(TableQBCalcPts[TM],MATCH(TableQBRanks[[#This Row],[RK]],TableQBCalcPts[RK],0)),"")</f>
        <v>DAL</v>
      </c>
      <c r="D16">
        <f>IFERROR(INDEX(TableQBCalcPts[BYE],MATCH(TableQBRanks[[#This Row],[RK]],TableQBCalcPts[RK],0)),"")</f>
        <v>7</v>
      </c>
      <c r="E16" s="58">
        <f>IFERROR(INDEX(TableQBCalcPts[Custom],MATCH(TableQBRanks[[#This Row],[RK]],TableQBCalcPts[RK],0)),"")</f>
        <v>306.21396082571579</v>
      </c>
      <c r="F16" s="133">
        <f>(((VLOOKUP(TableQBRanks[[#This Row],[Player]],'OVR &amp; VORP Ranks'!$B:$F,5,FALSE)))/('OVR &amp; VORP Ranks'!$BM$6))*(Settings!$E$10*TEAMS)</f>
        <v>1.6449408348223691</v>
      </c>
      <c r="H16">
        <v>15</v>
      </c>
      <c r="I16" t="str">
        <f>IFERROR(INDEX(TableRBCalcPts[PLAYER],MATCH(TableRBRanks[[#This Row],[RK]],TableRBCalcPts[RK],0)),"")</f>
        <v>Aaron Jones</v>
      </c>
      <c r="J16" t="str">
        <f>IFERROR(INDEX(TableRBCalcPts[TM],MATCH(TableRBRanks[[#This Row],[RK]],TableRBCalcPts[RK],0)),"")</f>
        <v>GB</v>
      </c>
      <c r="K16">
        <f>IFERROR(INDEX(TableRBCalcPts[BYE],MATCH(TableRBRanks[[#This Row],[RK]],TableRBCalcPts[RK],0)),"")</f>
        <v>6</v>
      </c>
      <c r="L16" s="58">
        <f>IFERROR(INDEX(TableRBCalcPts[Custom],MATCH(TableRBRanks[[#This Row],[RK]],TableRBCalcPts[RK],0)),"")</f>
        <v>204.13862350454943</v>
      </c>
      <c r="M16" s="133">
        <f>(((VLOOKUP(TableRBRanks[[#This Row],[Player]],'OVR &amp; VORP Ranks'!$I:$M,5,FALSE)))/('OVR &amp; VORP Ranks'!$BM$6))*(Settings!$E$10*TEAMS)</f>
        <v>29.759512980770317</v>
      </c>
      <c r="O16">
        <v>15</v>
      </c>
      <c r="P16" t="str">
        <f>IFERROR(INDEX(TableWRCalcPts[PLAYER],MATCH(TableWRRanks[[#This Row],[RK]],TableWRCalcPts[RK],0)),"")</f>
        <v>Jahan Dotson</v>
      </c>
      <c r="Q16" t="str">
        <f>IFERROR(INDEX(TableWRCalcPts[TM],MATCH(TableWRRanks[[#This Row],[RK]],TableWRCalcPts[RK],0)),"")</f>
        <v>WSH</v>
      </c>
      <c r="R16">
        <f>IFERROR(INDEX(TableWRCalcPts[BYE],MATCH(TableWRRanks[[#This Row],[RK]],TableWRCalcPts[RK],0)),"")</f>
        <v>14</v>
      </c>
      <c r="S16" s="58">
        <f>IFERROR(INDEX(TableWRCalcPts[Custom],MATCH(TableWRRanks[[#This Row],[RK]],TableWRCalcPts[RK],0)),"")</f>
        <v>191.8214704728</v>
      </c>
      <c r="T16" s="133">
        <f>(((VLOOKUP(TableWRRanks[[#This Row],[Player]],'OVR &amp; VORP Ranks'!$P:$T,5,FALSE)))/('OVR &amp; VORP Ranks'!$BM$6))*(Settings!$E$10*TEAMS)</f>
        <v>21.071817129646881</v>
      </c>
      <c r="V16">
        <v>15</v>
      </c>
      <c r="W16" t="str">
        <f>IFERROR(INDEX(TableTECalcPts[PLAYER],MATCH(TableTERanks[[#This Row],[RK]],TableTECalcPts[RK],0)),"")</f>
        <v>Dalton Kincaid</v>
      </c>
      <c r="X16" t="str">
        <f>IFERROR(INDEX(TableTECalcPts[TM],MATCH(TableTERanks[[#This Row],[RK]],TableTECalcPts[RK],0)),"")</f>
        <v>BUF</v>
      </c>
      <c r="Y16">
        <f>IFERROR(INDEX(TableTECalcPts[BYE],MATCH(TableTERanks[[#This Row],[RK]],TableTECalcPts[RK],0)),"")</f>
        <v>13</v>
      </c>
      <c r="Z16" s="58">
        <f>IFERROR(INDEX(TableTECalcPts[Custom],MATCH(TableTERanks[[#This Row],[RK]],TableTECalcPts[RK],0)),"")</f>
        <v>111.19421970139238</v>
      </c>
      <c r="AA16" s="133">
        <f>(((VLOOKUP(TableTERanks[[#This Row],[Player]],'OVR &amp; VORP Ranks'!$W:$AA,5,FALSE)))/('OVR &amp; VORP Ranks'!$BM$6))*(Settings!$E$10*TEAMS)</f>
        <v>-2.8673109556734646</v>
      </c>
      <c r="AC16">
        <v>15</v>
      </c>
      <c r="AD16" t="str">
        <f>IFERROR(INDEX(TableDSTCalcPts[PLAYER],MATCH(TableDSTRanks[[#This Row],[RK]],TableDSTCalcPts[RK],0)),"")</f>
        <v>Indianapolis Colts</v>
      </c>
      <c r="AE16">
        <f>IFERROR(INDEX(TableDSTCalcPts[BYE],MATCH(TableDSTRanks[[#This Row],[RK]],TableDSTCalcPts[RK],0)),"")</f>
        <v>11</v>
      </c>
      <c r="AF16" s="58">
        <f>IFERROR(INDEX(TableDSTCalcPts[Custom],MATCH(TableDSTRanks[[#This Row],[RK]],TableDSTCalcPts[RK],0)),"")</f>
        <v>120.56023535614318</v>
      </c>
      <c r="AG16" s="133">
        <v>0</v>
      </c>
    </row>
    <row r="17" spans="1:33" x14ac:dyDescent="0.2">
      <c r="A17">
        <v>16</v>
      </c>
      <c r="B17" t="str">
        <f>IFERROR(INDEX(TableQBCalcPts[PLAYER],MATCH(TableQBRanks[[#This Row],[RK]],TableQBCalcPts[RK],0)),"")</f>
        <v>Aaron Rodgers</v>
      </c>
      <c r="C17" t="str">
        <f>IFERROR(INDEX(TableQBCalcPts[TM],MATCH(TableQBRanks[[#This Row],[RK]],TableQBCalcPts[RK],0)),"")</f>
        <v>NYJ</v>
      </c>
      <c r="D17">
        <f>IFERROR(INDEX(TableQBCalcPts[BYE],MATCH(TableQBRanks[[#This Row],[RK]],TableQBCalcPts[RK],0)),"")</f>
        <v>7</v>
      </c>
      <c r="E17" s="58">
        <f>IFERROR(INDEX(TableQBCalcPts[Custom],MATCH(TableQBRanks[[#This Row],[RK]],TableQBCalcPts[RK],0)),"")</f>
        <v>305.28497840435239</v>
      </c>
      <c r="F17" s="133">
        <f>(((VLOOKUP(TableQBRanks[[#This Row],[Player]],'OVR &amp; VORP Ranks'!$B:$F,5,FALSE)))/('OVR &amp; VORP Ranks'!$BM$6))*(Settings!$E$10*TEAMS)</f>
        <v>0.56952206366340763</v>
      </c>
      <c r="H17">
        <v>16</v>
      </c>
      <c r="I17" t="str">
        <f>IFERROR(INDEX(TableRBCalcPts[PLAYER],MATCH(TableRBRanks[[#This Row],[RK]],TableRBCalcPts[RK],0)),"")</f>
        <v>Cam Akers</v>
      </c>
      <c r="J17" t="str">
        <f>IFERROR(INDEX(TableRBCalcPts[TM],MATCH(TableRBRanks[[#This Row],[RK]],TableRBCalcPts[RK],0)),"")</f>
        <v>LAR</v>
      </c>
      <c r="K17">
        <f>IFERROR(INDEX(TableRBCalcPts[BYE],MATCH(TableRBRanks[[#This Row],[RK]],TableRBCalcPts[RK],0)),"")</f>
        <v>10</v>
      </c>
      <c r="L17" s="58">
        <f>IFERROR(INDEX(TableRBCalcPts[Custom],MATCH(TableRBRanks[[#This Row],[RK]],TableRBCalcPts[RK],0)),"")</f>
        <v>198.18796580263299</v>
      </c>
      <c r="M17" s="133">
        <f>(((VLOOKUP(TableRBRanks[[#This Row],[Player]],'OVR &amp; VORP Ranks'!$I:$M,5,FALSE)))/('OVR &amp; VORP Ranks'!$BM$6))*(Settings!$E$10*TEAMS)</f>
        <v>27.591320264367809</v>
      </c>
      <c r="O17">
        <v>16</v>
      </c>
      <c r="P17" t="str">
        <f>IFERROR(INDEX(TableWRCalcPts[PLAYER],MATCH(TableWRRanks[[#This Row],[RK]],TableWRCalcPts[RK],0)),"")</f>
        <v>Chris Olave</v>
      </c>
      <c r="Q17" t="str">
        <f>IFERROR(INDEX(TableWRCalcPts[TM],MATCH(TableWRRanks[[#This Row],[RK]],TableWRCalcPts[RK],0)),"")</f>
        <v>NO</v>
      </c>
      <c r="R17">
        <f>IFERROR(INDEX(TableWRCalcPts[BYE],MATCH(TableWRRanks[[#This Row],[RK]],TableWRCalcPts[RK],0)),"")</f>
        <v>11</v>
      </c>
      <c r="S17" s="58">
        <f>IFERROR(INDEX(TableWRCalcPts[Custom],MATCH(TableWRRanks[[#This Row],[RK]],TableWRCalcPts[RK],0)),"")</f>
        <v>191.7746675145101</v>
      </c>
      <c r="T17" s="133">
        <f>(((VLOOKUP(TableWRRanks[[#This Row],[Player]],'OVR &amp; VORP Ranks'!$P:$T,5,FALSE)))/('OVR &amp; VORP Ranks'!$BM$6))*(Settings!$E$10*TEAMS)</f>
        <v>21.055788634225319</v>
      </c>
      <c r="V17">
        <v>16</v>
      </c>
      <c r="W17" t="str">
        <f>IFERROR(INDEX(TableTECalcPts[PLAYER],MATCH(TableTERanks[[#This Row],[RK]],TableTECalcPts[RK],0)),"")</f>
        <v>Dalton Schultz</v>
      </c>
      <c r="X17" t="str">
        <f>IFERROR(INDEX(TableTECalcPts[TM],MATCH(TableTERanks[[#This Row],[RK]],TableTECalcPts[RK],0)),"")</f>
        <v>HOU</v>
      </c>
      <c r="Y17">
        <f>IFERROR(INDEX(TableTECalcPts[BYE],MATCH(TableTERanks[[#This Row],[RK]],TableTECalcPts[RK],0)),"")</f>
        <v>7</v>
      </c>
      <c r="Z17" s="58">
        <f>IFERROR(INDEX(TableTECalcPts[Custom],MATCH(TableTERanks[[#This Row],[RK]],TableTECalcPts[RK],0)),"")</f>
        <v>107.78710020429105</v>
      </c>
      <c r="AA17" s="133">
        <f>(((VLOOKUP(TableTERanks[[#This Row],[Player]],'OVR &amp; VORP Ranks'!$W:$AA,5,FALSE)))/('OVR &amp; VORP Ranks'!$BM$6))*(Settings!$E$10*TEAMS)</f>
        <v>-4.1466866370237172</v>
      </c>
      <c r="AC17">
        <v>16</v>
      </c>
      <c r="AD17" t="str">
        <f>IFERROR(INDEX(TableDSTCalcPts[PLAYER],MATCH(TableDSTRanks[[#This Row],[RK]],TableDSTCalcPts[RK],0)),"")</f>
        <v>New York Giants</v>
      </c>
      <c r="AE17">
        <f>IFERROR(INDEX(TableDSTCalcPts[BYE],MATCH(TableDSTRanks[[#This Row],[RK]],TableDSTCalcPts[RK],0)),"")</f>
        <v>13</v>
      </c>
      <c r="AF17" s="58">
        <f>IFERROR(INDEX(TableDSTCalcPts[Custom],MATCH(TableDSTRanks[[#This Row],[RK]],TableDSTCalcPts[RK],0)),"")</f>
        <v>120.09913128725302</v>
      </c>
      <c r="AG17" s="133">
        <v>0</v>
      </c>
    </row>
    <row r="18" spans="1:33" x14ac:dyDescent="0.2">
      <c r="A18">
        <v>17</v>
      </c>
      <c r="B18" t="str">
        <f>IFERROR(INDEX(TableQBCalcPts[PLAYER],MATCH(TableQBRanks[[#This Row],[RK]],TableQBCalcPts[RK],0)),"")</f>
        <v>Russell Wilson</v>
      </c>
      <c r="C18" t="str">
        <f>IFERROR(INDEX(TableQBCalcPts[TM],MATCH(TableQBRanks[[#This Row],[RK]],TableQBCalcPts[RK],0)),"")</f>
        <v>DEN</v>
      </c>
      <c r="D18">
        <f>IFERROR(INDEX(TableQBCalcPts[BYE],MATCH(TableQBRanks[[#This Row],[RK]],TableQBCalcPts[RK],0)),"")</f>
        <v>9</v>
      </c>
      <c r="E18" s="58">
        <f>IFERROR(INDEX(TableQBCalcPts[Custom],MATCH(TableQBRanks[[#This Row],[RK]],TableQBCalcPts[RK],0)),"")</f>
        <v>296.59318059087798</v>
      </c>
      <c r="F18" s="133">
        <f>(((VLOOKUP(TableQBRanks[[#This Row],[Player]],'OVR &amp; VORP Ranks'!$B:$F,5,FALSE)))/('OVR &amp; VORP Ranks'!$BM$6))*(Settings!$E$10*TEAMS)</f>
        <v>-0.36558206725313086</v>
      </c>
      <c r="H18">
        <v>17</v>
      </c>
      <c r="I18" t="str">
        <f>IFERROR(INDEX(TableRBCalcPts[PLAYER],MATCH(TableRBRanks[[#This Row],[RK]],TableRBCalcPts[RK],0)),"")</f>
        <v>Miles Sanders</v>
      </c>
      <c r="J18" t="str">
        <f>IFERROR(INDEX(TableRBCalcPts[TM],MATCH(TableRBRanks[[#This Row],[RK]],TableRBCalcPts[RK],0)),"")</f>
        <v>CAR</v>
      </c>
      <c r="K18">
        <f>IFERROR(INDEX(TableRBCalcPts[BYE],MATCH(TableRBRanks[[#This Row],[RK]],TableRBCalcPts[RK],0)),"")</f>
        <v>7</v>
      </c>
      <c r="L18" s="58">
        <f>IFERROR(INDEX(TableRBCalcPts[Custom],MATCH(TableRBRanks[[#This Row],[RK]],TableRBCalcPts[RK],0)),"")</f>
        <v>198.17585634036573</v>
      </c>
      <c r="M18" s="133">
        <f>(((VLOOKUP(TableRBRanks[[#This Row],[Player]],'OVR &amp; VORP Ranks'!$I:$M,5,FALSE)))/('OVR &amp; VORP Ranks'!$BM$6))*(Settings!$E$10*TEAMS)</f>
        <v>27.586908038156412</v>
      </c>
      <c r="O18">
        <v>17</v>
      </c>
      <c r="P18" t="str">
        <f>IFERROR(INDEX(TableWRCalcPts[PLAYER],MATCH(TableWRRanks[[#This Row],[RK]],TableWRCalcPts[RK],0)),"")</f>
        <v>DeAndre Hopkins</v>
      </c>
      <c r="Q18" t="str">
        <f>IFERROR(INDEX(TableWRCalcPts[TM],MATCH(TableWRRanks[[#This Row],[RK]],TableWRCalcPts[RK],0)),"")</f>
        <v>TEN</v>
      </c>
      <c r="R18">
        <f>IFERROR(INDEX(TableWRCalcPts[BYE],MATCH(TableWRRanks[[#This Row],[RK]],TableWRCalcPts[RK],0)),"")</f>
        <v>7</v>
      </c>
      <c r="S18" s="58">
        <f>IFERROR(INDEX(TableWRCalcPts[Custom],MATCH(TableWRRanks[[#This Row],[RK]],TableWRCalcPts[RK],0)),"")</f>
        <v>189.24061536009924</v>
      </c>
      <c r="T18" s="133">
        <f>(((VLOOKUP(TableWRRanks[[#This Row],[Player]],'OVR &amp; VORP Ranks'!$P:$T,5,FALSE)))/('OVR &amp; VORP Ranks'!$BM$6))*(Settings!$E$10*TEAMS)</f>
        <v>20.187957949177946</v>
      </c>
      <c r="V18">
        <v>17</v>
      </c>
      <c r="W18" t="str">
        <f>IFERROR(INDEX(TableTECalcPts[PLAYER],MATCH(TableTERanks[[#This Row],[RK]],TableTECalcPts[RK],0)),"")</f>
        <v>Zach Ertz</v>
      </c>
      <c r="X18" t="str">
        <f>IFERROR(INDEX(TableTECalcPts[TM],MATCH(TableTERanks[[#This Row],[RK]],TableTECalcPts[RK],0)),"")</f>
        <v>ARI</v>
      </c>
      <c r="Y18">
        <f>IFERROR(INDEX(TableTECalcPts[BYE],MATCH(TableTERanks[[#This Row],[RK]],TableTECalcPts[RK],0)),"")</f>
        <v>14</v>
      </c>
      <c r="Z18" s="58">
        <f>IFERROR(INDEX(TableTECalcPts[Custom],MATCH(TableTERanks[[#This Row],[RK]],TableTECalcPts[RK],0)),"")</f>
        <v>102.28849844849999</v>
      </c>
      <c r="AA18" s="133">
        <f>(((VLOOKUP(TableTERanks[[#This Row],[Player]],'OVR &amp; VORP Ranks'!$W:$AA,5,FALSE)))/('OVR &amp; VORP Ranks'!$BM$6))*(Settings!$E$10*TEAMS)</f>
        <v>-6.2114153246361807</v>
      </c>
      <c r="AC18">
        <v>17</v>
      </c>
      <c r="AD18" t="str">
        <f>IFERROR(INDEX(TableDSTCalcPts[PLAYER],MATCH(TableDSTRanks[[#This Row],[RK]],TableDSTCalcPts[RK],0)),"")</f>
        <v>Cleveland Browns</v>
      </c>
      <c r="AE18">
        <f>IFERROR(INDEX(TableDSTCalcPts[BYE],MATCH(TableDSTRanks[[#This Row],[RK]],TableDSTCalcPts[RK],0)),"")</f>
        <v>5</v>
      </c>
      <c r="AF18" s="58">
        <f>IFERROR(INDEX(TableDSTCalcPts[Custom],MATCH(TableDSTRanks[[#This Row],[RK]],TableDSTCalcPts[RK],0)),"")</f>
        <v>120.03114799702517</v>
      </c>
      <c r="AG18" s="133">
        <v>0</v>
      </c>
    </row>
    <row r="19" spans="1:33" x14ac:dyDescent="0.2">
      <c r="A19">
        <v>18</v>
      </c>
      <c r="B19" t="str">
        <f>IFERROR(INDEX(TableQBCalcPts[PLAYER],MATCH(TableQBRanks[[#This Row],[RK]],TableQBCalcPts[RK],0)),"")</f>
        <v>Bryce Young</v>
      </c>
      <c r="C19" t="str">
        <f>IFERROR(INDEX(TableQBCalcPts[TM],MATCH(TableQBRanks[[#This Row],[RK]],TableQBCalcPts[RK],0)),"")</f>
        <v>CAR</v>
      </c>
      <c r="D19">
        <f>IFERROR(INDEX(TableQBCalcPts[BYE],MATCH(TableQBRanks[[#This Row],[RK]],TableQBCalcPts[RK],0)),"")</f>
        <v>7</v>
      </c>
      <c r="E19" s="58">
        <f>IFERROR(INDEX(TableQBCalcPts[Custom],MATCH(TableQBRanks[[#This Row],[RK]],TableQBCalcPts[RK],0)),"")</f>
        <v>294.26252157990365</v>
      </c>
      <c r="F19" s="133">
        <f>(((VLOOKUP(TableQBRanks[[#This Row],[Player]],'OVR &amp; VORP Ranks'!$B:$F,5,FALSE)))/('OVR &amp; VORP Ranks'!$BM$6))*(Settings!$E$10*TEAMS)</f>
        <v>-0.89649260897819261</v>
      </c>
      <c r="H19">
        <v>18</v>
      </c>
      <c r="I19" t="str">
        <f>IFERROR(INDEX(TableRBCalcPts[PLAYER],MATCH(TableRBRanks[[#This Row],[RK]],TableRBCalcPts[RK],0)),"")</f>
        <v>J.K. Dobbins</v>
      </c>
      <c r="J19" t="str">
        <f>IFERROR(INDEX(TableRBCalcPts[TM],MATCH(TableRBRanks[[#This Row],[RK]],TableRBCalcPts[RK],0)),"")</f>
        <v>BAL</v>
      </c>
      <c r="K19">
        <f>IFERROR(INDEX(TableRBCalcPts[BYE],MATCH(TableRBRanks[[#This Row],[RK]],TableRBCalcPts[RK],0)),"")</f>
        <v>13</v>
      </c>
      <c r="L19" s="58">
        <f>IFERROR(INDEX(TableRBCalcPts[Custom],MATCH(TableRBRanks[[#This Row],[RK]],TableRBCalcPts[RK],0)),"")</f>
        <v>196.46388437581254</v>
      </c>
      <c r="M19" s="133">
        <f>(((VLOOKUP(TableRBRanks[[#This Row],[Player]],'OVR &amp; VORP Ranks'!$I:$M,5,FALSE)))/('OVR &amp; VORP Ranks'!$BM$6))*(Settings!$E$10*TEAMS)</f>
        <v>26.963130746608613</v>
      </c>
      <c r="O19">
        <v>18</v>
      </c>
      <c r="P19" t="str">
        <f>IFERROR(INDEX(TableWRCalcPts[PLAYER],MATCH(TableWRRanks[[#This Row],[RK]],TableWRCalcPts[RK],0)),"")</f>
        <v>DeVonta Smith</v>
      </c>
      <c r="Q19" t="str">
        <f>IFERROR(INDEX(TableWRCalcPts[TM],MATCH(TableWRRanks[[#This Row],[RK]],TableWRCalcPts[RK],0)),"")</f>
        <v>PHI</v>
      </c>
      <c r="R19">
        <f>IFERROR(INDEX(TableWRCalcPts[BYE],MATCH(TableWRRanks[[#This Row],[RK]],TableWRCalcPts[RK],0)),"")</f>
        <v>10</v>
      </c>
      <c r="S19" s="58">
        <f>IFERROR(INDEX(TableWRCalcPts[Custom],MATCH(TableWRRanks[[#This Row],[RK]],TableWRCalcPts[RK],0)),"")</f>
        <v>189.0966160335829</v>
      </c>
      <c r="T19" s="133">
        <f>(((VLOOKUP(TableWRRanks[[#This Row],[Player]],'OVR &amp; VORP Ranks'!$P:$T,5,FALSE)))/('OVR &amp; VORP Ranks'!$BM$6))*(Settings!$E$10*TEAMS)</f>
        <v>20.138642849660553</v>
      </c>
      <c r="V19">
        <v>18</v>
      </c>
      <c r="W19" t="str">
        <f>IFERROR(INDEX(TableTECalcPts[PLAYER],MATCH(TableTERanks[[#This Row],[RK]],TableTECalcPts[RK],0)),"")</f>
        <v>Dawson Knox</v>
      </c>
      <c r="X19" t="str">
        <f>IFERROR(INDEX(TableTECalcPts[TM],MATCH(TableTERanks[[#This Row],[RK]],TableTECalcPts[RK],0)),"")</f>
        <v>BUF</v>
      </c>
      <c r="Y19">
        <f>IFERROR(INDEX(TableTECalcPts[BYE],MATCH(TableTERanks[[#This Row],[RK]],TableTECalcPts[RK],0)),"")</f>
        <v>13</v>
      </c>
      <c r="Z19" s="58">
        <f>IFERROR(INDEX(TableTECalcPts[Custom],MATCH(TableTERanks[[#This Row],[RK]],TableTECalcPts[RK],0)),"")</f>
        <v>101.98897439520259</v>
      </c>
      <c r="AA19" s="133">
        <f>(((VLOOKUP(TableTERanks[[#This Row],[Player]],'OVR &amp; VORP Ranks'!$W:$AA,5,FALSE)))/('OVR &amp; VORP Ranks'!$BM$6))*(Settings!$E$10*TEAMS)</f>
        <v>-6.3238868097408778</v>
      </c>
      <c r="AC19">
        <v>18</v>
      </c>
      <c r="AD19" t="str">
        <f>IFERROR(INDEX(TableDSTCalcPts[PLAYER],MATCH(TableDSTRanks[[#This Row],[RK]],TableDSTCalcPts[RK],0)),"")</f>
        <v>New Orleans Saints</v>
      </c>
      <c r="AE19">
        <f>IFERROR(INDEX(TableDSTCalcPts[BYE],MATCH(TableDSTRanks[[#This Row],[RK]],TableDSTCalcPts[RK],0)),"")</f>
        <v>11</v>
      </c>
      <c r="AF19" s="58">
        <f>IFERROR(INDEX(TableDSTCalcPts[Custom],MATCH(TableDSTRanks[[#This Row],[RK]],TableDSTCalcPts[RK],0)),"")</f>
        <v>118.91962439572924</v>
      </c>
      <c r="AG19" s="133">
        <v>0</v>
      </c>
    </row>
    <row r="20" spans="1:33" x14ac:dyDescent="0.2">
      <c r="A20">
        <v>19</v>
      </c>
      <c r="B20" t="str">
        <f>IFERROR(INDEX(TableQBCalcPts[PLAYER],MATCH(TableQBRanks[[#This Row],[RK]],TableQBCalcPts[RK],0)),"")</f>
        <v>Matthew Stafford</v>
      </c>
      <c r="C20" t="str">
        <f>IFERROR(INDEX(TableQBCalcPts[TM],MATCH(TableQBRanks[[#This Row],[RK]],TableQBCalcPts[RK],0)),"")</f>
        <v>LAR</v>
      </c>
      <c r="D20">
        <f>IFERROR(INDEX(TableQBCalcPts[BYE],MATCH(TableQBRanks[[#This Row],[RK]],TableQBCalcPts[RK],0)),"")</f>
        <v>10</v>
      </c>
      <c r="E20" s="58">
        <f>IFERROR(INDEX(TableQBCalcPts[Custom],MATCH(TableQBRanks[[#This Row],[RK]],TableQBCalcPts[RK],0)),"")</f>
        <v>287.42028298073348</v>
      </c>
      <c r="F20" s="133">
        <f>(((VLOOKUP(TableQBRanks[[#This Row],[Player]],'OVR &amp; VORP Ranks'!$B:$F,5,FALSE)))/('OVR &amp; VORP Ranks'!$BM$6))*(Settings!$E$10*TEAMS)</f>
        <v>-2.0344614796445053</v>
      </c>
      <c r="H20">
        <v>19</v>
      </c>
      <c r="I20" t="str">
        <f>IFERROR(INDEX(TableRBCalcPts[PLAYER],MATCH(TableRBRanks[[#This Row],[RK]],TableRBCalcPts[RK],0)),"")</f>
        <v>Khalil Herbert</v>
      </c>
      <c r="J20" t="str">
        <f>IFERROR(INDEX(TableRBCalcPts[TM],MATCH(TableRBRanks[[#This Row],[RK]],TableRBCalcPts[RK],0)),"")</f>
        <v>CHI</v>
      </c>
      <c r="K20">
        <f>IFERROR(INDEX(TableRBCalcPts[BYE],MATCH(TableRBRanks[[#This Row],[RK]],TableRBCalcPts[RK],0)),"")</f>
        <v>13</v>
      </c>
      <c r="L20" s="58">
        <f>IFERROR(INDEX(TableRBCalcPts[Custom],MATCH(TableRBRanks[[#This Row],[RK]],TableRBCalcPts[RK],0)),"")</f>
        <v>194.00349793430235</v>
      </c>
      <c r="M20" s="133">
        <f>(((VLOOKUP(TableRBRanks[[#This Row],[Player]],'OVR &amp; VORP Ranks'!$I:$M,5,FALSE)))/('OVR &amp; VORP Ranks'!$BM$6))*(Settings!$E$10*TEAMS)</f>
        <v>26.066659763191122</v>
      </c>
      <c r="O20">
        <v>19</v>
      </c>
      <c r="P20" t="str">
        <f>IFERROR(INDEX(TableWRCalcPts[PLAYER],MATCH(TableWRRanks[[#This Row],[RK]],TableWRCalcPts[RK],0)),"")</f>
        <v>Keenan Allen</v>
      </c>
      <c r="Q20" t="str">
        <f>IFERROR(INDEX(TableWRCalcPts[TM],MATCH(TableWRRanks[[#This Row],[RK]],TableWRCalcPts[RK],0)),"")</f>
        <v>LAC</v>
      </c>
      <c r="R20">
        <f>IFERROR(INDEX(TableWRCalcPts[BYE],MATCH(TableWRRanks[[#This Row],[RK]],TableWRCalcPts[RK],0)),"")</f>
        <v>5</v>
      </c>
      <c r="S20" s="58">
        <f>IFERROR(INDEX(TableWRCalcPts[Custom],MATCH(TableWRRanks[[#This Row],[RK]],TableWRCalcPts[RK],0)),"")</f>
        <v>188.37080588355121</v>
      </c>
      <c r="T20" s="133">
        <f>(((VLOOKUP(TableWRRanks[[#This Row],[Player]],'OVR &amp; VORP Ranks'!$P:$T,5,FALSE)))/('OVR &amp; VORP Ranks'!$BM$6))*(Settings!$E$10*TEAMS)</f>
        <v>19.89007641087596</v>
      </c>
      <c r="V20">
        <v>19</v>
      </c>
      <c r="W20" t="str">
        <f>IFERROR(INDEX(TableTECalcPts[PLAYER],MATCH(TableTERanks[[#This Row],[RK]],TableTECalcPts[RK],0)),"")</f>
        <v>Jake Ferguson</v>
      </c>
      <c r="X20" t="str">
        <f>IFERROR(INDEX(TableTECalcPts[TM],MATCH(TableTERanks[[#This Row],[RK]],TableTECalcPts[RK],0)),"")</f>
        <v>DAL</v>
      </c>
      <c r="Y20">
        <f>IFERROR(INDEX(TableTECalcPts[BYE],MATCH(TableTERanks[[#This Row],[RK]],TableTECalcPts[RK],0)),"")</f>
        <v>7</v>
      </c>
      <c r="Z20" s="58">
        <f>IFERROR(INDEX(TableTECalcPts[Custom],MATCH(TableTERanks[[#This Row],[RK]],TableTECalcPts[RK],0)),"")</f>
        <v>100.82096199922665</v>
      </c>
      <c r="AA20" s="133">
        <f>(((VLOOKUP(TableTERanks[[#This Row],[Player]],'OVR &amp; VORP Ranks'!$W:$AA,5,FALSE)))/('OVR &amp; VORP Ranks'!$BM$6))*(Settings!$E$10*TEAMS)</f>
        <v>-6.7624762563976732</v>
      </c>
      <c r="AC20">
        <v>19</v>
      </c>
      <c r="AD20" t="str">
        <f>IFERROR(INDEX(TableDSTCalcPts[PLAYER],MATCH(TableDSTRanks[[#This Row],[RK]],TableDSTCalcPts[RK],0)),"")</f>
        <v>Houston Texans</v>
      </c>
      <c r="AE20">
        <f>IFERROR(INDEX(TableDSTCalcPts[BYE],MATCH(TableDSTRanks[[#This Row],[RK]],TableDSTCalcPts[RK],0)),"")</f>
        <v>7</v>
      </c>
      <c r="AF20" s="58">
        <f>IFERROR(INDEX(TableDSTCalcPts[Custom],MATCH(TableDSTRanks[[#This Row],[RK]],TableDSTCalcPts[RK],0)),"")</f>
        <v>118.30649072386342</v>
      </c>
      <c r="AG20" s="133">
        <v>0</v>
      </c>
    </row>
    <row r="21" spans="1:33" x14ac:dyDescent="0.2">
      <c r="A21">
        <v>20</v>
      </c>
      <c r="B21" t="str">
        <f>IFERROR(INDEX(TableQBCalcPts[PLAYER],MATCH(TableQBRanks[[#This Row],[RK]],TableQBCalcPts[RK],0)),"")</f>
        <v>Jared Goff</v>
      </c>
      <c r="C21" t="str">
        <f>IFERROR(INDEX(TableQBCalcPts[TM],MATCH(TableQBRanks[[#This Row],[RK]],TableQBCalcPts[RK],0)),"")</f>
        <v>DET</v>
      </c>
      <c r="D21">
        <f>IFERROR(INDEX(TableQBCalcPts[BYE],MATCH(TableQBRanks[[#This Row],[RK]],TableQBCalcPts[RK],0)),"")</f>
        <v>9</v>
      </c>
      <c r="E21" s="58">
        <f>IFERROR(INDEX(TableQBCalcPts[Custom],MATCH(TableQBRanks[[#This Row],[RK]],TableQBCalcPts[RK],0)),"")</f>
        <v>286.03273448914445</v>
      </c>
      <c r="F21" s="133">
        <f>(((VLOOKUP(TableQBRanks[[#This Row],[Player]],'OVR &amp; VORP Ranks'!$B:$F,5,FALSE)))/('OVR &amp; VORP Ranks'!$BM$6))*(Settings!$E$10*TEAMS)</f>
        <v>-2.4921279405533983</v>
      </c>
      <c r="H21">
        <v>20</v>
      </c>
      <c r="I21" t="str">
        <f>IFERROR(INDEX(TableRBCalcPts[PLAYER],MATCH(TableRBRanks[[#This Row],[RK]],TableRBCalcPts[RK],0)),"")</f>
        <v>David Montgomery</v>
      </c>
      <c r="J21" t="str">
        <f>IFERROR(INDEX(TableRBCalcPts[TM],MATCH(TableRBRanks[[#This Row],[RK]],TableRBCalcPts[RK],0)),"")</f>
        <v>DET</v>
      </c>
      <c r="K21">
        <f>IFERROR(INDEX(TableRBCalcPts[BYE],MATCH(TableRBRanks[[#This Row],[RK]],TableRBCalcPts[RK],0)),"")</f>
        <v>9</v>
      </c>
      <c r="L21" s="58">
        <f>IFERROR(INDEX(TableRBCalcPts[Custom],MATCH(TableRBRanks[[#This Row],[RK]],TableRBCalcPts[RK],0)),"")</f>
        <v>192.12072685644694</v>
      </c>
      <c r="M21" s="133">
        <f>(((VLOOKUP(TableRBRanks[[#This Row],[Player]],'OVR &amp; VORP Ranks'!$I:$M,5,FALSE)))/('OVR &amp; VORP Ranks'!$BM$6))*(Settings!$E$10*TEAMS)</f>
        <v>25.380649788807162</v>
      </c>
      <c r="O21">
        <v>20</v>
      </c>
      <c r="P21" t="str">
        <f>IFERROR(INDEX(TableWRCalcPts[PLAYER],MATCH(TableWRRanks[[#This Row],[RK]],TableWRCalcPts[RK],0)),"")</f>
        <v>DK Metcalf</v>
      </c>
      <c r="Q21" t="str">
        <f>IFERROR(INDEX(TableWRCalcPts[TM],MATCH(TableWRRanks[[#This Row],[RK]],TableWRCalcPts[RK],0)),"")</f>
        <v>SEA</v>
      </c>
      <c r="R21">
        <f>IFERROR(INDEX(TableWRCalcPts[BYE],MATCH(TableWRRanks[[#This Row],[RK]],TableWRCalcPts[RK],0)),"")</f>
        <v>5</v>
      </c>
      <c r="S21" s="58">
        <f>IFERROR(INDEX(TableWRCalcPts[Custom],MATCH(TableWRRanks[[#This Row],[RK]],TableWRCalcPts[RK],0)),"")</f>
        <v>188.35721763550663</v>
      </c>
      <c r="T21" s="133">
        <f>(((VLOOKUP(TableWRRanks[[#This Row],[Player]],'OVR &amp; VORP Ranks'!$P:$T,5,FALSE)))/('OVR &amp; VORP Ranks'!$BM$6))*(Settings!$E$10*TEAMS)</f>
        <v>19.885422876579675</v>
      </c>
      <c r="V21">
        <v>20</v>
      </c>
      <c r="W21" t="str">
        <f>IFERROR(INDEX(TableTECalcPts[PLAYER],MATCH(TableTERanks[[#This Row],[RK]],TableTECalcPts[RK],0)),"")</f>
        <v>Sam LaPorta</v>
      </c>
      <c r="X21" t="str">
        <f>IFERROR(INDEX(TableTECalcPts[TM],MATCH(TableTERanks[[#This Row],[RK]],TableTECalcPts[RK],0)),"")</f>
        <v>DET</v>
      </c>
      <c r="Y21">
        <f>IFERROR(INDEX(TableTECalcPts[BYE],MATCH(TableTERanks[[#This Row],[RK]],TableTECalcPts[RK],0)),"")</f>
        <v>9</v>
      </c>
      <c r="Z21" s="58">
        <f>IFERROR(INDEX(TableTECalcPts[Custom],MATCH(TableTERanks[[#This Row],[RK]],TableTECalcPts[RK],0)),"")</f>
        <v>99.61112532514457</v>
      </c>
      <c r="AA21" s="133">
        <f>(((VLOOKUP(TableTERanks[[#This Row],[Player]],'OVR &amp; VORP Ranks'!$W:$AA,5,FALSE)))/('OVR &amp; VORP Ranks'!$BM$6))*(Settings!$E$10*TEAMS)</f>
        <v>-7.2167707478421717</v>
      </c>
      <c r="AC21">
        <v>20</v>
      </c>
      <c r="AD21" t="str">
        <f>IFERROR(INDEX(TableDSTCalcPts[PLAYER],MATCH(TableDSTRanks[[#This Row],[RK]],TableDSTCalcPts[RK],0)),"")</f>
        <v>Minnesota Vikings</v>
      </c>
      <c r="AE21">
        <f>IFERROR(INDEX(TableDSTCalcPts[BYE],MATCH(TableDSTRanks[[#This Row],[RK]],TableDSTCalcPts[RK],0)),"")</f>
        <v>13</v>
      </c>
      <c r="AF21" s="58">
        <f>IFERROR(INDEX(TableDSTCalcPts[Custom],MATCH(TableDSTRanks[[#This Row],[RK]],TableDSTCalcPts[RK],0)),"")</f>
        <v>117.77783568368116</v>
      </c>
      <c r="AG21" s="133">
        <v>0</v>
      </c>
    </row>
    <row r="22" spans="1:33" x14ac:dyDescent="0.2">
      <c r="A22">
        <v>21</v>
      </c>
      <c r="B22" t="str">
        <f>IFERROR(INDEX(TableQBCalcPts[PLAYER],MATCH(TableQBRanks[[#This Row],[RK]],TableQBCalcPts[RK],0)),"")</f>
        <v>Jordan Love</v>
      </c>
      <c r="C22" t="str">
        <f>IFERROR(INDEX(TableQBCalcPts[TM],MATCH(TableQBRanks[[#This Row],[RK]],TableQBCalcPts[RK],0)),"")</f>
        <v>GB</v>
      </c>
      <c r="D22">
        <f>IFERROR(INDEX(TableQBCalcPts[BYE],MATCH(TableQBRanks[[#This Row],[RK]],TableQBCalcPts[RK],0)),"")</f>
        <v>6</v>
      </c>
      <c r="E22" s="58">
        <f>IFERROR(INDEX(TableQBCalcPts[Custom],MATCH(TableQBRanks[[#This Row],[RK]],TableQBCalcPts[RK],0)),"")</f>
        <v>284.28893491449384</v>
      </c>
      <c r="F22" s="133">
        <f>(((VLOOKUP(TableQBRanks[[#This Row],[Player]],'OVR &amp; VORP Ranks'!$B:$F,5,FALSE)))/('OVR &amp; VORP Ranks'!$BM$6))*(Settings!$E$10*TEAMS)</f>
        <v>-2.6994226995342232</v>
      </c>
      <c r="H22">
        <v>21</v>
      </c>
      <c r="I22" t="str">
        <f>IFERROR(INDEX(TableRBCalcPts[PLAYER],MATCH(TableRBRanks[[#This Row],[RK]],TableRBCalcPts[RK],0)),"")</f>
        <v>Alexander Mattison</v>
      </c>
      <c r="J22" t="str">
        <f>IFERROR(INDEX(TableRBCalcPts[TM],MATCH(TableRBRanks[[#This Row],[RK]],TableRBCalcPts[RK],0)),"")</f>
        <v>MIN</v>
      </c>
      <c r="K22">
        <f>IFERROR(INDEX(TableRBCalcPts[BYE],MATCH(TableRBRanks[[#This Row],[RK]],TableRBCalcPts[RK],0)),"")</f>
        <v>13</v>
      </c>
      <c r="L22" s="58">
        <f>IFERROR(INDEX(TableRBCalcPts[Custom],MATCH(TableRBRanks[[#This Row],[RK]],TableRBCalcPts[RK],0)),"")</f>
        <v>191.99821730314738</v>
      </c>
      <c r="M22" s="133">
        <f>(((VLOOKUP(TableRBRanks[[#This Row],[Player]],'OVR &amp; VORP Ranks'!$I:$M,5,FALSE)))/('OVR &amp; VORP Ranks'!$BM$6))*(Settings!$E$10*TEAMS)</f>
        <v>25.336011979936341</v>
      </c>
      <c r="O22">
        <v>21</v>
      </c>
      <c r="P22" t="str">
        <f>IFERROR(INDEX(TableWRCalcPts[PLAYER],MATCH(TableWRRanks[[#This Row],[RK]],TableWRCalcPts[RK],0)),"")</f>
        <v>Deebo Samuel</v>
      </c>
      <c r="Q22" t="str">
        <f>IFERROR(INDEX(TableWRCalcPts[TM],MATCH(TableWRRanks[[#This Row],[RK]],TableWRCalcPts[RK],0)),"")</f>
        <v>SF</v>
      </c>
      <c r="R22">
        <f>IFERROR(INDEX(TableWRCalcPts[BYE],MATCH(TableWRRanks[[#This Row],[RK]],TableWRCalcPts[RK],0)),"")</f>
        <v>9</v>
      </c>
      <c r="S22" s="58">
        <f>IFERROR(INDEX(TableWRCalcPts[Custom],MATCH(TableWRRanks[[#This Row],[RK]],TableWRCalcPts[RK],0)),"")</f>
        <v>187.77475092905638</v>
      </c>
      <c r="T22" s="133">
        <f>(((VLOOKUP(TableWRRanks[[#This Row],[Player]],'OVR &amp; VORP Ranks'!$P:$T,5,FALSE)))/('OVR &amp; VORP Ranks'!$BM$6))*(Settings!$E$10*TEAMS)</f>
        <v>19.685946918677171</v>
      </c>
      <c r="V22">
        <v>21</v>
      </c>
      <c r="W22" t="str">
        <f>IFERROR(INDEX(TableTECalcPts[PLAYER],MATCH(TableTERanks[[#This Row],[RK]],TableTECalcPts[RK],0)),"")</f>
        <v>Juwan Johnson</v>
      </c>
      <c r="X22" t="str">
        <f>IFERROR(INDEX(TableTECalcPts[TM],MATCH(TableTERanks[[#This Row],[RK]],TableTECalcPts[RK],0)),"")</f>
        <v>NO</v>
      </c>
      <c r="Y22">
        <f>IFERROR(INDEX(TableTECalcPts[BYE],MATCH(TableTERanks[[#This Row],[RK]],TableTECalcPts[RK],0)),"")</f>
        <v>11</v>
      </c>
      <c r="Z22" s="58">
        <f>IFERROR(INDEX(TableTECalcPts[Custom],MATCH(TableTERanks[[#This Row],[RK]],TableTECalcPts[RK],0)),"")</f>
        <v>98.079881682801982</v>
      </c>
      <c r="AA22" s="133">
        <f>(((VLOOKUP(TableTERanks[[#This Row],[Player]],'OVR &amp; VORP Ranks'!$W:$AA,5,FALSE)))/('OVR &amp; VORP Ranks'!$BM$6))*(Settings!$E$10*TEAMS)</f>
        <v>-7.7917537737976676</v>
      </c>
      <c r="AC22">
        <v>21</v>
      </c>
      <c r="AD22" t="str">
        <f>IFERROR(INDEX(TableDSTCalcPts[PLAYER],MATCH(TableDSTRanks[[#This Row],[RK]],TableDSTCalcPts[RK],0)),"")</f>
        <v>Cincinnati Bengals</v>
      </c>
      <c r="AE22">
        <f>IFERROR(INDEX(TableDSTCalcPts[BYE],MATCH(TableDSTRanks[[#This Row],[RK]],TableDSTCalcPts[RK],0)),"")</f>
        <v>7</v>
      </c>
      <c r="AF22" s="58">
        <f>IFERROR(INDEX(TableDSTCalcPts[Custom],MATCH(TableDSTRanks[[#This Row],[RK]],TableDSTCalcPts[RK],0)),"")</f>
        <v>117.26749472186731</v>
      </c>
      <c r="AG22" s="133">
        <v>0</v>
      </c>
    </row>
    <row r="23" spans="1:33" x14ac:dyDescent="0.2">
      <c r="A23">
        <v>22</v>
      </c>
      <c r="B23" t="str">
        <f>IFERROR(INDEX(TableQBCalcPts[PLAYER],MATCH(TableQBRanks[[#This Row],[RK]],TableQBCalcPts[RK],0)),"")</f>
        <v>Sam Howell</v>
      </c>
      <c r="C23" t="str">
        <f>IFERROR(INDEX(TableQBCalcPts[TM],MATCH(TableQBRanks[[#This Row],[RK]],TableQBCalcPts[RK],0)),"")</f>
        <v>WSH</v>
      </c>
      <c r="D23">
        <f>IFERROR(INDEX(TableQBCalcPts[BYE],MATCH(TableQBRanks[[#This Row],[RK]],TableQBCalcPts[RK],0)),"")</f>
        <v>14</v>
      </c>
      <c r="E23" s="58">
        <f>IFERROR(INDEX(TableQBCalcPts[Custom],MATCH(TableQBRanks[[#This Row],[RK]],TableQBCalcPts[RK],0)),"")</f>
        <v>274.21294636457452</v>
      </c>
      <c r="F23" s="133">
        <f>(((VLOOKUP(TableQBRanks[[#This Row],[Player]],'OVR &amp; VORP Ranks'!$B:$F,5,FALSE)))/('OVR &amp; VORP Ranks'!$BM$6))*(Settings!$E$10*TEAMS)</f>
        <v>-4.1819224764494907</v>
      </c>
      <c r="H23">
        <v>22</v>
      </c>
      <c r="I23" t="str">
        <f>IFERROR(INDEX(TableRBCalcPts[PLAYER],MATCH(TableRBRanks[[#This Row],[RK]],TableRBCalcPts[RK],0)),"")</f>
        <v>Travis Etienne</v>
      </c>
      <c r="J23" t="str">
        <f>IFERROR(INDEX(TableRBCalcPts[TM],MATCH(TableRBRanks[[#This Row],[RK]],TableRBCalcPts[RK],0)),"")</f>
        <v>JAX</v>
      </c>
      <c r="K23">
        <f>IFERROR(INDEX(TableRBCalcPts[BYE],MATCH(TableRBRanks[[#This Row],[RK]],TableRBCalcPts[RK],0)),"")</f>
        <v>9</v>
      </c>
      <c r="L23" s="58">
        <f>IFERROR(INDEX(TableRBCalcPts[Custom],MATCH(TableRBRanks[[#This Row],[RK]],TableRBCalcPts[RK],0)),"")</f>
        <v>189.55388505593726</v>
      </c>
      <c r="M23" s="133">
        <f>(((VLOOKUP(TableRBRanks[[#This Row],[Player]],'OVR &amp; VORP Ranks'!$I:$M,5,FALSE)))/('OVR &amp; VORP Ranks'!$BM$6))*(Settings!$E$10*TEAMS)</f>
        <v>24.445390532636164</v>
      </c>
      <c r="O23">
        <v>22</v>
      </c>
      <c r="P23" t="str">
        <f>IFERROR(INDEX(TableWRCalcPts[PLAYER],MATCH(TableWRRanks[[#This Row],[RK]],TableWRCalcPts[RK],0)),"")</f>
        <v>Terry McLaurin</v>
      </c>
      <c r="Q23" t="str">
        <f>IFERROR(INDEX(TableWRCalcPts[TM],MATCH(TableWRRanks[[#This Row],[RK]],TableWRCalcPts[RK],0)),"")</f>
        <v>WSH</v>
      </c>
      <c r="R23">
        <f>IFERROR(INDEX(TableWRCalcPts[BYE],MATCH(TableWRRanks[[#This Row],[RK]],TableWRCalcPts[RK],0)),"")</f>
        <v>14</v>
      </c>
      <c r="S23" s="58">
        <f>IFERROR(INDEX(TableWRCalcPts[Custom],MATCH(TableWRRanks[[#This Row],[RK]],TableWRCalcPts[RK],0)),"")</f>
        <v>185.45630681519057</v>
      </c>
      <c r="T23" s="133">
        <f>(((VLOOKUP(TableWRRanks[[#This Row],[Player]],'OVR &amp; VORP Ranks'!$P:$T,5,FALSE)))/('OVR &amp; VORP Ranks'!$BM$6))*(Settings!$E$10*TEAMS)</f>
        <v>18.89195499547305</v>
      </c>
      <c r="V23">
        <v>22</v>
      </c>
      <c r="W23" t="str">
        <f>IFERROR(INDEX(TableTECalcPts[PLAYER],MATCH(TableTERanks[[#This Row],[RK]],TableTECalcPts[RK],0)),"")</f>
        <v>Irv Smith</v>
      </c>
      <c r="X23" t="str">
        <f>IFERROR(INDEX(TableTECalcPts[TM],MATCH(TableTERanks[[#This Row],[RK]],TableTECalcPts[RK],0)),"")</f>
        <v>CIN</v>
      </c>
      <c r="Y23">
        <f>IFERROR(INDEX(TableTECalcPts[BYE],MATCH(TableTERanks[[#This Row],[RK]],TableTECalcPts[RK],0)),"")</f>
        <v>7</v>
      </c>
      <c r="Z23" s="58">
        <f>IFERROR(INDEX(TableTECalcPts[Custom],MATCH(TableTERanks[[#This Row],[RK]],TableTECalcPts[RK],0)),"")</f>
        <v>98.061359137818485</v>
      </c>
      <c r="AA23" s="133">
        <f>(((VLOOKUP(TableTERanks[[#This Row],[Player]],'OVR &amp; VORP Ranks'!$W:$AA,5,FALSE)))/('OVR &amp; VORP Ranks'!$BM$6))*(Settings!$E$10*TEAMS)</f>
        <v>-7.7987090019981347</v>
      </c>
      <c r="AC23">
        <v>22</v>
      </c>
      <c r="AD23" t="str">
        <f>IFERROR(INDEX(TableDSTCalcPts[PLAYER],MATCH(TableDSTRanks[[#This Row],[RK]],TableDSTCalcPts[RK],0)),"")</f>
        <v>Denver Broncos</v>
      </c>
      <c r="AE23">
        <f>IFERROR(INDEX(TableDSTCalcPts[BYE],MATCH(TableDSTRanks[[#This Row],[RK]],TableDSTCalcPts[RK],0)),"")</f>
        <v>9</v>
      </c>
      <c r="AF23" s="58">
        <f>IFERROR(INDEX(TableDSTCalcPts[Custom],MATCH(TableDSTRanks[[#This Row],[RK]],TableDSTCalcPts[RK],0)),"")</f>
        <v>115.43805518278545</v>
      </c>
      <c r="AG23" s="133">
        <v>0</v>
      </c>
    </row>
    <row r="24" spans="1:33" x14ac:dyDescent="0.2">
      <c r="A24">
        <v>23</v>
      </c>
      <c r="B24" t="str">
        <f>IFERROR(INDEX(TableQBCalcPts[PLAYER],MATCH(TableQBRanks[[#This Row],[RK]],TableQBCalcPts[RK],0)),"")</f>
        <v>Jimmy Garoppolo</v>
      </c>
      <c r="C24" t="str">
        <f>IFERROR(INDEX(TableQBCalcPts[TM],MATCH(TableQBRanks[[#This Row],[RK]],TableQBCalcPts[RK],0)),"")</f>
        <v>LV</v>
      </c>
      <c r="D24">
        <f>IFERROR(INDEX(TableQBCalcPts[BYE],MATCH(TableQBRanks[[#This Row],[RK]],TableQBCalcPts[RK],0)),"")</f>
        <v>13</v>
      </c>
      <c r="E24" s="58">
        <f>IFERROR(INDEX(TableQBCalcPts[Custom],MATCH(TableQBRanks[[#This Row],[RK]],TableQBCalcPts[RK],0)),"")</f>
        <v>267.40904968899622</v>
      </c>
      <c r="F24" s="133">
        <f>(((VLOOKUP(TableQBRanks[[#This Row],[Player]],'OVR &amp; VORP Ranks'!$B:$F,5,FALSE)))/('OVR &amp; VORP Ranks'!$BM$6))*(Settings!$E$10*TEAMS)</f>
        <v>-5.0222402378414479</v>
      </c>
      <c r="H24">
        <v>23</v>
      </c>
      <c r="I24" t="str">
        <f>IFERROR(INDEX(TableRBCalcPts[PLAYER],MATCH(TableRBRanks[[#This Row],[RK]],TableRBCalcPts[RK],0)),"")</f>
        <v>Javonte Williams</v>
      </c>
      <c r="J24" t="str">
        <f>IFERROR(INDEX(TableRBCalcPts[TM],MATCH(TableRBRanks[[#This Row],[RK]],TableRBCalcPts[RK],0)),"")</f>
        <v>DEN</v>
      </c>
      <c r="K24">
        <f>IFERROR(INDEX(TableRBCalcPts[BYE],MATCH(TableRBRanks[[#This Row],[RK]],TableRBCalcPts[RK],0)),"")</f>
        <v>9</v>
      </c>
      <c r="L24" s="58">
        <f>IFERROR(INDEX(TableRBCalcPts[Custom],MATCH(TableRBRanks[[#This Row],[RK]],TableRBCalcPts[RK],0)),"")</f>
        <v>188.88375102331094</v>
      </c>
      <c r="M24" s="133">
        <f>(((VLOOKUP(TableRBRanks[[#This Row],[Player]],'OVR &amp; VORP Ranks'!$I:$M,5,FALSE)))/('OVR &amp; VORP Ranks'!$BM$6))*(Settings!$E$10*TEAMS)</f>
        <v>24.201219249168471</v>
      </c>
      <c r="O24">
        <v>23</v>
      </c>
      <c r="P24" t="str">
        <f>IFERROR(INDEX(TableWRCalcPts[PLAYER],MATCH(TableWRRanks[[#This Row],[RK]],TableWRCalcPts[RK],0)),"")</f>
        <v>Mike Williams</v>
      </c>
      <c r="Q24" t="str">
        <f>IFERROR(INDEX(TableWRCalcPts[TM],MATCH(TableWRRanks[[#This Row],[RK]],TableWRCalcPts[RK],0)),"")</f>
        <v>LAC</v>
      </c>
      <c r="R24">
        <f>IFERROR(INDEX(TableWRCalcPts[BYE],MATCH(TableWRRanks[[#This Row],[RK]],TableWRCalcPts[RK],0)),"")</f>
        <v>5</v>
      </c>
      <c r="S24" s="58">
        <f>IFERROR(INDEX(TableWRCalcPts[Custom],MATCH(TableWRRanks[[#This Row],[RK]],TableWRCalcPts[RK],0)),"")</f>
        <v>184.79340105256802</v>
      </c>
      <c r="T24" s="133">
        <f>(((VLOOKUP(TableWRRanks[[#This Row],[Player]],'OVR &amp; VORP Ranks'!$P:$T,5,FALSE)))/('OVR &amp; VORP Ranks'!$BM$6))*(Settings!$E$10*TEAMS)</f>
        <v>18.664931269423366</v>
      </c>
      <c r="V24">
        <v>23</v>
      </c>
      <c r="W24" t="str">
        <f>IFERROR(INDEX(TableTECalcPts[PLAYER],MATCH(TableTERanks[[#This Row],[RK]],TableTECalcPts[RK],0)),"")</f>
        <v>Luke Musgrave</v>
      </c>
      <c r="X24" t="str">
        <f>IFERROR(INDEX(TableTECalcPts[TM],MATCH(TableTERanks[[#This Row],[RK]],TableTECalcPts[RK],0)),"")</f>
        <v>GB</v>
      </c>
      <c r="Y24">
        <f>IFERROR(INDEX(TableTECalcPts[BYE],MATCH(TableTERanks[[#This Row],[RK]],TableTECalcPts[RK],0)),"")</f>
        <v>6</v>
      </c>
      <c r="Z24" s="58">
        <f>IFERROR(INDEX(TableTECalcPts[Custom],MATCH(TableTERanks[[#This Row],[RK]],TableTECalcPts[RK],0)),"")</f>
        <v>97.802786851182233</v>
      </c>
      <c r="AA24" s="133">
        <f>(((VLOOKUP(TableTERanks[[#This Row],[Player]],'OVR &amp; VORP Ranks'!$W:$AA,5,FALSE)))/('OVR &amp; VORP Ranks'!$BM$6))*(Settings!$E$10*TEAMS)</f>
        <v>-7.8958030709543285</v>
      </c>
      <c r="AC24">
        <v>23</v>
      </c>
      <c r="AD24" t="str">
        <f>IFERROR(INDEX(TableDSTCalcPts[PLAYER],MATCH(TableDSTRanks[[#This Row],[RK]],TableDSTCalcPts[RK],0)),"")</f>
        <v>Tennessee Titans</v>
      </c>
      <c r="AE24">
        <f>IFERROR(INDEX(TableDSTCalcPts[BYE],MATCH(TableDSTRanks[[#This Row],[RK]],TableDSTCalcPts[RK],0)),"")</f>
        <v>7</v>
      </c>
      <c r="AF24" s="58">
        <f>IFERROR(INDEX(TableDSTCalcPts[Custom],MATCH(TableDSTRanks[[#This Row],[RK]],TableDSTCalcPts[RK],0)),"")</f>
        <v>115.05220801870578</v>
      </c>
      <c r="AG24" s="133">
        <v>0</v>
      </c>
    </row>
    <row r="25" spans="1:33" x14ac:dyDescent="0.2">
      <c r="A25">
        <v>24</v>
      </c>
      <c r="B25" t="str">
        <f>IFERROR(INDEX(TableQBCalcPts[PLAYER],MATCH(TableQBRanks[[#This Row],[RK]],TableQBCalcPts[RK],0)),"")</f>
        <v>Kenny Pickett</v>
      </c>
      <c r="C25" t="str">
        <f>IFERROR(INDEX(TableQBCalcPts[TM],MATCH(TableQBRanks[[#This Row],[RK]],TableQBCalcPts[RK],0)),"")</f>
        <v>PIT</v>
      </c>
      <c r="D25">
        <f>IFERROR(INDEX(TableQBCalcPts[BYE],MATCH(TableQBRanks[[#This Row],[RK]],TableQBCalcPts[RK],0)),"")</f>
        <v>6</v>
      </c>
      <c r="E25" s="58">
        <f>IFERROR(INDEX(TableQBCalcPts[Custom],MATCH(TableQBRanks[[#This Row],[RK]],TableQBCalcPts[RK],0)),"")</f>
        <v>263.77245388453917</v>
      </c>
      <c r="F25" s="133">
        <f>(((VLOOKUP(TableQBRanks[[#This Row],[Player]],'OVR &amp; VORP Ranks'!$B:$F,5,FALSE)))/('OVR &amp; VORP Ranks'!$BM$6))*(Settings!$E$10*TEAMS)</f>
        <v>-5.8885735898821094</v>
      </c>
      <c r="H25">
        <v>24</v>
      </c>
      <c r="I25" t="str">
        <f>IFERROR(INDEX(TableRBCalcPts[PLAYER],MATCH(TableRBRanks[[#This Row],[RK]],TableRBCalcPts[RK],0)),"")</f>
        <v>Samaje Perine</v>
      </c>
      <c r="J25" t="str">
        <f>IFERROR(INDEX(TableRBCalcPts[TM],MATCH(TableRBRanks[[#This Row],[RK]],TableRBCalcPts[RK],0)),"")</f>
        <v>DEN</v>
      </c>
      <c r="K25">
        <f>IFERROR(INDEX(TableRBCalcPts[BYE],MATCH(TableRBRanks[[#This Row],[RK]],TableRBCalcPts[RK],0)),"")</f>
        <v>9</v>
      </c>
      <c r="L25" s="58">
        <f>IFERROR(INDEX(TableRBCalcPts[Custom],MATCH(TableRBRanks[[#This Row],[RK]],TableRBCalcPts[RK],0)),"")</f>
        <v>185.98112900157915</v>
      </c>
      <c r="M25" s="133">
        <f>(((VLOOKUP(TableRBRanks[[#This Row],[Player]],'OVR &amp; VORP Ranks'!$I:$M,5,FALSE)))/('OVR &amp; VORP Ranks'!$BM$6))*(Settings!$E$10*TEAMS)</f>
        <v>23.143614486595496</v>
      </c>
      <c r="O25">
        <v>24</v>
      </c>
      <c r="P25" t="str">
        <f>IFERROR(INDEX(TableWRCalcPts[PLAYER],MATCH(TableWRRanks[[#This Row],[RK]],TableWRCalcPts[RK],0)),"")</f>
        <v>Amari Cooper</v>
      </c>
      <c r="Q25" t="str">
        <f>IFERROR(INDEX(TableWRCalcPts[TM],MATCH(TableWRRanks[[#This Row],[RK]],TableWRCalcPts[RK],0)),"")</f>
        <v>CLE</v>
      </c>
      <c r="R25">
        <f>IFERROR(INDEX(TableWRCalcPts[BYE],MATCH(TableWRRanks[[#This Row],[RK]],TableWRCalcPts[RK],0)),"")</f>
        <v>5</v>
      </c>
      <c r="S25" s="58">
        <f>IFERROR(INDEX(TableWRCalcPts[Custom],MATCH(TableWRRanks[[#This Row],[RK]],TableWRCalcPts[RK],0)),"")</f>
        <v>183.883298165518</v>
      </c>
      <c r="T25" s="133">
        <f>(((VLOOKUP(TableWRRanks[[#This Row],[Player]],'OVR &amp; VORP Ranks'!$P:$T,5,FALSE)))/('OVR &amp; VORP Ranks'!$BM$6))*(Settings!$E$10*TEAMS)</f>
        <v>18.353250544716328</v>
      </c>
      <c r="V25">
        <v>24</v>
      </c>
      <c r="W25" t="str">
        <f>IFERROR(INDEX(TableTECalcPts[PLAYER],MATCH(TableTERanks[[#This Row],[RK]],TableTECalcPts[RK],0)),"")</f>
        <v>Noah Fant</v>
      </c>
      <c r="X25" t="str">
        <f>IFERROR(INDEX(TableTECalcPts[TM],MATCH(TableTERanks[[#This Row],[RK]],TableTECalcPts[RK],0)),"")</f>
        <v>SEA</v>
      </c>
      <c r="Y25">
        <f>IFERROR(INDEX(TableTECalcPts[BYE],MATCH(TableTERanks[[#This Row],[RK]],TableTECalcPts[RK],0)),"")</f>
        <v>5</v>
      </c>
      <c r="Z25" s="58">
        <f>IFERROR(INDEX(TableTECalcPts[Custom],MATCH(TableTERanks[[#This Row],[RK]],TableTECalcPts[RK],0)),"")</f>
        <v>96.734479211257991</v>
      </c>
      <c r="AA25" s="133">
        <f>(((VLOOKUP(TableTERanks[[#This Row],[Player]],'OVR &amp; VORP Ranks'!$W:$AA,5,FALSE)))/('OVR &amp; VORP Ranks'!$BM$6))*(Settings!$E$10*TEAMS)</f>
        <v>-8.2969533141091567</v>
      </c>
      <c r="AC25">
        <v>24</v>
      </c>
      <c r="AD25" t="str">
        <f>IFERROR(INDEX(TableDSTCalcPts[PLAYER],MATCH(TableDSTRanks[[#This Row],[RK]],TableDSTCalcPts[RK],0)),"")</f>
        <v>Arizona Cardinals</v>
      </c>
      <c r="AE25">
        <f>IFERROR(INDEX(TableDSTCalcPts[BYE],MATCH(TableDSTRanks[[#This Row],[RK]],TableDSTCalcPts[RK],0)),"")</f>
        <v>14</v>
      </c>
      <c r="AF25" s="58">
        <f>IFERROR(INDEX(TableDSTCalcPts[Custom],MATCH(TableDSTRanks[[#This Row],[RK]],TableDSTCalcPts[RK],0)),"")</f>
        <v>114.863439793786</v>
      </c>
      <c r="AG25" s="133">
        <v>0</v>
      </c>
    </row>
    <row r="26" spans="1:33" x14ac:dyDescent="0.2">
      <c r="A26">
        <v>25</v>
      </c>
      <c r="B26" t="str">
        <f>IFERROR(INDEX(TableQBCalcPts[PLAYER],MATCH(TableQBRanks[[#This Row],[RK]],TableQBCalcPts[RK],0)),"")</f>
        <v>Brock Purdy</v>
      </c>
      <c r="C26" t="str">
        <f>IFERROR(INDEX(TableQBCalcPts[TM],MATCH(TableQBRanks[[#This Row],[RK]],TableQBCalcPts[RK],0)),"")</f>
        <v>SF</v>
      </c>
      <c r="D26">
        <f>IFERROR(INDEX(TableQBCalcPts[BYE],MATCH(TableQBRanks[[#This Row],[RK]],TableQBCalcPts[RK],0)),"")</f>
        <v>9</v>
      </c>
      <c r="E26" s="58">
        <f>IFERROR(INDEX(TableQBCalcPts[Custom],MATCH(TableQBRanks[[#This Row],[RK]],TableQBCalcPts[RK],0)),"")</f>
        <v>260.90182349387231</v>
      </c>
      <c r="F26" s="133">
        <f>(((VLOOKUP(TableQBRanks[[#This Row],[Player]],'OVR &amp; VORP Ranks'!$B:$F,5,FALSE)))/('OVR &amp; VORP Ranks'!$BM$6))*(Settings!$E$10*TEAMS)</f>
        <v>-6.2142365387923117</v>
      </c>
      <c r="H26">
        <v>25</v>
      </c>
      <c r="I26" t="str">
        <f>IFERROR(INDEX(TableRBCalcPts[PLAYER],MATCH(TableRBRanks[[#This Row],[RK]],TableRBCalcPts[RK],0)),"")</f>
        <v>James Conner</v>
      </c>
      <c r="J26" t="str">
        <f>IFERROR(INDEX(TableRBCalcPts[TM],MATCH(TableRBRanks[[#This Row],[RK]],TableRBCalcPts[RK],0)),"")</f>
        <v>ARI</v>
      </c>
      <c r="K26">
        <f>IFERROR(INDEX(TableRBCalcPts[BYE],MATCH(TableRBRanks[[#This Row],[RK]],TableRBCalcPts[RK],0)),"")</f>
        <v>14</v>
      </c>
      <c r="L26" s="58">
        <f>IFERROR(INDEX(TableRBCalcPts[Custom],MATCH(TableRBRanks[[#This Row],[RK]],TableRBCalcPts[RK],0)),"")</f>
        <v>185.87450180481002</v>
      </c>
      <c r="M26" s="133">
        <f>(((VLOOKUP(TableRBRanks[[#This Row],[Player]],'OVR &amp; VORP Ranks'!$I:$M,5,FALSE)))/('OVR &amp; VORP Ranks'!$BM$6))*(Settings!$E$10*TEAMS)</f>
        <v>23.104763602712399</v>
      </c>
      <c r="O26">
        <v>25</v>
      </c>
      <c r="P26" t="str">
        <f>IFERROR(INDEX(TableWRCalcPts[PLAYER],MATCH(TableWRRanks[[#This Row],[RK]],TableWRCalcPts[RK],0)),"")</f>
        <v>DJ Moore</v>
      </c>
      <c r="Q26" t="str">
        <f>IFERROR(INDEX(TableWRCalcPts[TM],MATCH(TableWRRanks[[#This Row],[RK]],TableWRCalcPts[RK],0)),"")</f>
        <v>CHI</v>
      </c>
      <c r="R26">
        <f>IFERROR(INDEX(TableWRCalcPts[BYE],MATCH(TableWRRanks[[#This Row],[RK]],TableWRCalcPts[RK],0)),"")</f>
        <v>13</v>
      </c>
      <c r="S26" s="58">
        <f>IFERROR(INDEX(TableWRCalcPts[Custom],MATCH(TableWRRanks[[#This Row],[RK]],TableWRCalcPts[RK],0)),"")</f>
        <v>182.80721027452122</v>
      </c>
      <c r="T26" s="133">
        <f>(((VLOOKUP(TableWRRanks[[#This Row],[Player]],'OVR &amp; VORP Ranks'!$P:$T,5,FALSE)))/('OVR &amp; VORP Ranks'!$BM$6))*(Settings!$E$10*TEAMS)</f>
        <v>17.984725338954718</v>
      </c>
      <c r="V26">
        <v>25</v>
      </c>
      <c r="W26" t="str">
        <f>IFERROR(INDEX(TableTECalcPts[PLAYER],MATCH(TableTERanks[[#This Row],[RK]],TableTECalcPts[RK],0)),"")</f>
        <v>Trey McBride</v>
      </c>
      <c r="X26" t="str">
        <f>IFERROR(INDEX(TableTECalcPts[TM],MATCH(TableTERanks[[#This Row],[RK]],TableTECalcPts[RK],0)),"")</f>
        <v>ARI</v>
      </c>
      <c r="Y26">
        <f>IFERROR(INDEX(TableTECalcPts[BYE],MATCH(TableTERanks[[#This Row],[RK]],TableTECalcPts[RK],0)),"")</f>
        <v>14</v>
      </c>
      <c r="Z26" s="58">
        <f>IFERROR(INDEX(TableTECalcPts[Custom],MATCH(TableTERanks[[#This Row],[RK]],TableTECalcPts[RK],0)),"")</f>
        <v>93.404355072000016</v>
      </c>
      <c r="AA26" s="133">
        <f>(((VLOOKUP(TableTERanks[[#This Row],[Player]],'OVR &amp; VORP Ranks'!$W:$AA,5,FALSE)))/('OVR &amp; VORP Ranks'!$BM$6))*(Settings!$E$10*TEAMS)</f>
        <v>-9.547417186382722</v>
      </c>
      <c r="AC26">
        <v>25</v>
      </c>
      <c r="AD26" t="str">
        <f>IFERROR(INDEX(TableDSTCalcPts[PLAYER],MATCH(TableDSTRanks[[#This Row],[RK]],TableDSTCalcPts[RK],0)),"")</f>
        <v>New York Jets</v>
      </c>
      <c r="AE26">
        <f>IFERROR(INDEX(TableDSTCalcPts[BYE],MATCH(TableDSTRanks[[#This Row],[RK]],TableDSTCalcPts[RK],0)),"")</f>
        <v>7</v>
      </c>
      <c r="AF26" s="58">
        <f>IFERROR(INDEX(TableDSTCalcPts[Custom],MATCH(TableDSTRanks[[#This Row],[RK]],TableDSTCalcPts[RK],0)),"")</f>
        <v>114.78542567326758</v>
      </c>
      <c r="AG26" s="133">
        <v>0</v>
      </c>
    </row>
    <row r="27" spans="1:33" x14ac:dyDescent="0.2">
      <c r="A27">
        <v>26</v>
      </c>
      <c r="B27" t="str">
        <f>IFERROR(INDEX(TableQBCalcPts[PLAYER],MATCH(TableQBRanks[[#This Row],[RK]],TableQBCalcPts[RK],0)),"")</f>
        <v>Derek Carr</v>
      </c>
      <c r="C27" t="str">
        <f>IFERROR(INDEX(TableQBCalcPts[TM],MATCH(TableQBRanks[[#This Row],[RK]],TableQBCalcPts[RK],0)),"")</f>
        <v>NO</v>
      </c>
      <c r="D27">
        <f>IFERROR(INDEX(TableQBCalcPts[BYE],MATCH(TableQBRanks[[#This Row],[RK]],TableQBCalcPts[RK],0)),"")</f>
        <v>11</v>
      </c>
      <c r="E27" s="58">
        <f>IFERROR(INDEX(TableQBCalcPts[Custom],MATCH(TableQBRanks[[#This Row],[RK]],TableQBCalcPts[RK],0)),"")</f>
        <v>259.6801634925929</v>
      </c>
      <c r="F27" s="133">
        <f>(((VLOOKUP(TableQBRanks[[#This Row],[Player]],'OVR &amp; VORP Ranks'!$B:$F,5,FALSE)))/('OVR &amp; VORP Ranks'!$BM$6))*(Settings!$E$10*TEAMS)</f>
        <v>-6.6015777665642545</v>
      </c>
      <c r="H27">
        <v>26</v>
      </c>
      <c r="I27" t="str">
        <f>IFERROR(INDEX(TableRBCalcPts[PLAYER],MATCH(TableRBRanks[[#This Row],[RK]],TableRBCalcPts[RK],0)),"")</f>
        <v>Breece Hall</v>
      </c>
      <c r="J27" t="str">
        <f>IFERROR(INDEX(TableRBCalcPts[TM],MATCH(TableRBRanks[[#This Row],[RK]],TableRBCalcPts[RK],0)),"")</f>
        <v>NYJ</v>
      </c>
      <c r="K27">
        <f>IFERROR(INDEX(TableRBCalcPts[BYE],MATCH(TableRBRanks[[#This Row],[RK]],TableRBCalcPts[RK],0)),"")</f>
        <v>7</v>
      </c>
      <c r="L27" s="58">
        <f>IFERROR(INDEX(TableRBCalcPts[Custom],MATCH(TableRBRanks[[#This Row],[RK]],TableRBCalcPts[RK],0)),"")</f>
        <v>184.31202324745902</v>
      </c>
      <c r="M27" s="133">
        <f>(((VLOOKUP(TableRBRanks[[#This Row],[Player]],'OVR &amp; VORP Ranks'!$I:$M,5,FALSE)))/('OVR &amp; VORP Ranks'!$BM$6))*(Settings!$E$10*TEAMS)</f>
        <v>22.535456007269211</v>
      </c>
      <c r="O27">
        <v>26</v>
      </c>
      <c r="P27" t="str">
        <f>IFERROR(INDEX(TableWRCalcPts[PLAYER],MATCH(TableWRRanks[[#This Row],[RK]],TableWRCalcPts[RK],0)),"")</f>
        <v>Tyler Lockett</v>
      </c>
      <c r="Q27" t="str">
        <f>IFERROR(INDEX(TableWRCalcPts[TM],MATCH(TableWRRanks[[#This Row],[RK]],TableWRCalcPts[RK],0)),"")</f>
        <v>SEA</v>
      </c>
      <c r="R27">
        <f>IFERROR(INDEX(TableWRCalcPts[BYE],MATCH(TableWRRanks[[#This Row],[RK]],TableWRCalcPts[RK],0)),"")</f>
        <v>5</v>
      </c>
      <c r="S27" s="58">
        <f>IFERROR(INDEX(TableWRCalcPts[Custom],MATCH(TableWRRanks[[#This Row],[RK]],TableWRCalcPts[RK],0)),"")</f>
        <v>180.30568338510338</v>
      </c>
      <c r="T27" s="133">
        <f>(((VLOOKUP(TableWRRanks[[#This Row],[Player]],'OVR &amp; VORP Ranks'!$P:$T,5,FALSE)))/('OVR &amp; VORP Ranks'!$BM$6))*(Settings!$E$10*TEAMS)</f>
        <v>17.128033502392011</v>
      </c>
      <c r="V27">
        <v>26</v>
      </c>
      <c r="W27" t="str">
        <f>IFERROR(INDEX(TableTECalcPts[PLAYER],MATCH(TableTERanks[[#This Row],[RK]],TableTECalcPts[RK],0)),"")</f>
        <v>Michael Mayer</v>
      </c>
      <c r="X27" t="str">
        <f>IFERROR(INDEX(TableTECalcPts[TM],MATCH(TableTERanks[[#This Row],[RK]],TableTECalcPts[RK],0)),"")</f>
        <v>LV</v>
      </c>
      <c r="Y27">
        <f>IFERROR(INDEX(TableTECalcPts[BYE],MATCH(TableTERanks[[#This Row],[RK]],TableTECalcPts[RK],0)),"")</f>
        <v>13</v>
      </c>
      <c r="Z27" s="58">
        <f>IFERROR(INDEX(TableTECalcPts[Custom],MATCH(TableTERanks[[#This Row],[RK]],TableTECalcPts[RK],0)),"")</f>
        <v>92.765919307287874</v>
      </c>
      <c r="AA27" s="133">
        <f>(((VLOOKUP(TableTERanks[[#This Row],[Player]],'OVR &amp; VORP Ranks'!$W:$AA,5,FALSE)))/('OVR &amp; VORP Ranks'!$BM$6))*(Settings!$E$10*TEAMS)</f>
        <v>-9.7871502489218738</v>
      </c>
      <c r="AC27">
        <v>26</v>
      </c>
      <c r="AD27" t="str">
        <f>IFERROR(INDEX(TableDSTCalcPts[PLAYER],MATCH(TableDSTRanks[[#This Row],[RK]],TableDSTCalcPts[RK],0)),"")</f>
        <v>Tampa Bay Buccaneers</v>
      </c>
      <c r="AE27">
        <f>IFERROR(INDEX(TableDSTCalcPts[BYE],MATCH(TableDSTRanks[[#This Row],[RK]],TableDSTCalcPts[RK],0)),"")</f>
        <v>5</v>
      </c>
      <c r="AF27" s="58">
        <f>IFERROR(INDEX(TableDSTCalcPts[Custom],MATCH(TableDSTRanks[[#This Row],[RK]],TableDSTCalcPts[RK],0)),"")</f>
        <v>112.98171042061145</v>
      </c>
      <c r="AG27" s="133">
        <v>0</v>
      </c>
    </row>
    <row r="28" spans="1:33" x14ac:dyDescent="0.2">
      <c r="A28">
        <v>27</v>
      </c>
      <c r="B28" t="str">
        <f>IFERROR(INDEX(TableQBCalcPts[PLAYER],MATCH(TableQBRanks[[#This Row],[RK]],TableQBCalcPts[RK],0)),"")</f>
        <v>C.J. Stroud</v>
      </c>
      <c r="C28" t="str">
        <f>IFERROR(INDEX(TableQBCalcPts[TM],MATCH(TableQBRanks[[#This Row],[RK]],TableQBCalcPts[RK],0)),"")</f>
        <v>HOU</v>
      </c>
      <c r="D28">
        <f>IFERROR(INDEX(TableQBCalcPts[BYE],MATCH(TableQBRanks[[#This Row],[RK]],TableQBCalcPts[RK],0)),"")</f>
        <v>7</v>
      </c>
      <c r="E28" s="58">
        <f>IFERROR(INDEX(TableQBCalcPts[Custom],MATCH(TableQBRanks[[#This Row],[RK]],TableQBCalcPts[RK],0)),"")</f>
        <v>258.30035640895341</v>
      </c>
      <c r="F28" s="133">
        <f>(((VLOOKUP(TableQBRanks[[#This Row],[Player]],'OVR &amp; VORP Ranks'!$B:$F,5,FALSE)))/('OVR &amp; VORP Ranks'!$BM$6))*(Settings!$E$10*TEAMS)</f>
        <v>-7.0670812436318888</v>
      </c>
      <c r="H28">
        <v>27</v>
      </c>
      <c r="I28" t="str">
        <f>IFERROR(INDEX(TableRBCalcPts[PLAYER],MATCH(TableRBRanks[[#This Row],[RK]],TableRBCalcPts[RK],0)),"")</f>
        <v>James Cook</v>
      </c>
      <c r="J28" t="str">
        <f>IFERROR(INDEX(TableRBCalcPts[TM],MATCH(TableRBRanks[[#This Row],[RK]],TableRBCalcPts[RK],0)),"")</f>
        <v>BUF</v>
      </c>
      <c r="K28">
        <f>IFERROR(INDEX(TableRBCalcPts[BYE],MATCH(TableRBRanks[[#This Row],[RK]],TableRBCalcPts[RK],0)),"")</f>
        <v>13</v>
      </c>
      <c r="L28" s="58">
        <f>IFERROR(INDEX(TableRBCalcPts[Custom],MATCH(TableRBRanks[[#This Row],[RK]],TableRBCalcPts[RK],0)),"")</f>
        <v>182.3763858942709</v>
      </c>
      <c r="M28" s="133">
        <f>(((VLOOKUP(TableRBRanks[[#This Row],[Player]],'OVR &amp; VORP Ranks'!$I:$M,5,FALSE)))/('OVR &amp; VORP Ranks'!$BM$6))*(Settings!$E$10*TEAMS)</f>
        <v>21.830183578403489</v>
      </c>
      <c r="O28">
        <v>27</v>
      </c>
      <c r="P28" t="str">
        <f>IFERROR(INDEX(TableWRCalcPts[PLAYER],MATCH(TableWRRanks[[#This Row],[RK]],TableWRCalcPts[RK],0)),"")</f>
        <v>Jordan Addison</v>
      </c>
      <c r="Q28" t="str">
        <f>IFERROR(INDEX(TableWRCalcPts[TM],MATCH(TableWRRanks[[#This Row],[RK]],TableWRCalcPts[RK],0)),"")</f>
        <v>MIN</v>
      </c>
      <c r="R28">
        <f>IFERROR(INDEX(TableWRCalcPts[BYE],MATCH(TableWRRanks[[#This Row],[RK]],TableWRCalcPts[RK],0)),"")</f>
        <v>13</v>
      </c>
      <c r="S28" s="58">
        <f>IFERROR(INDEX(TableWRCalcPts[Custom],MATCH(TableWRRanks[[#This Row],[RK]],TableWRCalcPts[RK],0)),"")</f>
        <v>176.77315343207513</v>
      </c>
      <c r="T28" s="133">
        <f>(((VLOOKUP(TableWRRanks[[#This Row],[Player]],'OVR &amp; VORP Ranks'!$P:$T,5,FALSE)))/('OVR &amp; VORP Ranks'!$BM$6))*(Settings!$E$10*TEAMS)</f>
        <v>15.918256551372785</v>
      </c>
      <c r="V28">
        <v>27</v>
      </c>
      <c r="W28" t="str">
        <f>IFERROR(INDEX(TableTECalcPts[PLAYER],MATCH(TableTERanks[[#This Row],[RK]],TableTECalcPts[RK],0)),"")</f>
        <v>Gerald Everett</v>
      </c>
      <c r="X28" t="str">
        <f>IFERROR(INDEX(TableTECalcPts[TM],MATCH(TableTERanks[[#This Row],[RK]],TableTECalcPts[RK],0)),"")</f>
        <v>LAC</v>
      </c>
      <c r="Y28">
        <f>IFERROR(INDEX(TableTECalcPts[BYE],MATCH(TableTERanks[[#This Row],[RK]],TableTECalcPts[RK],0)),"")</f>
        <v>5</v>
      </c>
      <c r="Z28" s="58">
        <f>IFERROR(INDEX(TableTECalcPts[Custom],MATCH(TableTERanks[[#This Row],[RK]],TableTECalcPts[RK],0)),"")</f>
        <v>88.829688450900846</v>
      </c>
      <c r="AA28" s="133">
        <f>(((VLOOKUP(TableTERanks[[#This Row],[Player]],'OVR &amp; VORP Ranks'!$W:$AA,5,FALSE)))/('OVR &amp; VORP Ranks'!$BM$6))*(Settings!$E$10*TEAMS)</f>
        <v>-11.265207604446518</v>
      </c>
      <c r="AC28">
        <v>27</v>
      </c>
      <c r="AD28" t="str">
        <f>IFERROR(INDEX(TableDSTCalcPts[PLAYER],MATCH(TableDSTRanks[[#This Row],[RK]],TableDSTCalcPts[RK],0)),"")</f>
        <v>Detroit Lions</v>
      </c>
      <c r="AE28">
        <f>IFERROR(INDEX(TableDSTCalcPts[BYE],MATCH(TableDSTRanks[[#This Row],[RK]],TableDSTCalcPts[RK],0)),"")</f>
        <v>9</v>
      </c>
      <c r="AF28" s="58">
        <f>IFERROR(INDEX(TableDSTCalcPts[Custom],MATCH(TableDSTRanks[[#This Row],[RK]],TableDSTCalcPts[RK],0)),"")</f>
        <v>112.09987663154347</v>
      </c>
      <c r="AG28" s="133">
        <v>0</v>
      </c>
    </row>
    <row r="29" spans="1:33" x14ac:dyDescent="0.2">
      <c r="A29">
        <v>28</v>
      </c>
      <c r="B29" t="str">
        <f>IFERROR(INDEX(TableQBCalcPts[PLAYER],MATCH(TableQBRanks[[#This Row],[RK]],TableQBCalcPts[RK],0)),"")</f>
        <v>Ryan Tannehill</v>
      </c>
      <c r="C29" t="str">
        <f>IFERROR(INDEX(TableQBCalcPts[TM],MATCH(TableQBRanks[[#This Row],[RK]],TableQBCalcPts[RK],0)),"")</f>
        <v>TEN</v>
      </c>
      <c r="D29">
        <f>IFERROR(INDEX(TableQBCalcPts[BYE],MATCH(TableQBRanks[[#This Row],[RK]],TableQBCalcPts[RK],0)),"")</f>
        <v>7</v>
      </c>
      <c r="E29" s="58">
        <f>IFERROR(INDEX(TableQBCalcPts[Custom],MATCH(TableQBRanks[[#This Row],[RK]],TableQBCalcPts[RK],0)),"")</f>
        <v>252.82656185119882</v>
      </c>
      <c r="F29" s="133">
        <f>(((VLOOKUP(TableQBRanks[[#This Row],[Player]],'OVR &amp; VORP Ranks'!$B:$F,5,FALSE)))/('OVR &amp; VORP Ranks'!$BM$6))*(Settings!$E$10*TEAMS)</f>
        <v>-7.8318799828824321</v>
      </c>
      <c r="H29">
        <v>28</v>
      </c>
      <c r="I29" t="str">
        <f>IFERROR(INDEX(TableRBCalcPts[PLAYER],MATCH(TableRBRanks[[#This Row],[RK]],TableRBCalcPts[RK],0)),"")</f>
        <v>Alvin Kamara</v>
      </c>
      <c r="J29" t="str">
        <f>IFERROR(INDEX(TableRBCalcPts[TM],MATCH(TableRBRanks[[#This Row],[RK]],TableRBCalcPts[RK],0)),"")</f>
        <v>NO</v>
      </c>
      <c r="K29">
        <f>IFERROR(INDEX(TableRBCalcPts[BYE],MATCH(TableRBRanks[[#This Row],[RK]],TableRBCalcPts[RK],0)),"")</f>
        <v>11</v>
      </c>
      <c r="L29" s="58">
        <f>IFERROR(INDEX(TableRBCalcPts[Custom],MATCH(TableRBRanks[[#This Row],[RK]],TableRBCalcPts[RK],0)),"")</f>
        <v>181.29594105419741</v>
      </c>
      <c r="M29" s="133">
        <f>(((VLOOKUP(TableRBRanks[[#This Row],[Player]],'OVR &amp; VORP Ranks'!$I:$M,5,FALSE)))/('OVR &amp; VORP Ranks'!$BM$6))*(Settings!$E$10*TEAMS)</f>
        <v>21.436510685410912</v>
      </c>
      <c r="O29">
        <v>28</v>
      </c>
      <c r="P29" t="str">
        <f>IFERROR(INDEX(TableWRCalcPts[PLAYER],MATCH(TableWRRanks[[#This Row],[RK]],TableWRCalcPts[RK],0)),"")</f>
        <v>Gabe Davis</v>
      </c>
      <c r="Q29" t="str">
        <f>IFERROR(INDEX(TableWRCalcPts[TM],MATCH(TableWRRanks[[#This Row],[RK]],TableWRCalcPts[RK],0)),"")</f>
        <v>BUF</v>
      </c>
      <c r="R29">
        <f>IFERROR(INDEX(TableWRCalcPts[BYE],MATCH(TableWRRanks[[#This Row],[RK]],TableWRCalcPts[RK],0)),"")</f>
        <v>13</v>
      </c>
      <c r="S29" s="58">
        <f>IFERROR(INDEX(TableWRCalcPts[Custom],MATCH(TableWRRanks[[#This Row],[RK]],TableWRCalcPts[RK],0)),"")</f>
        <v>176.46008169396845</v>
      </c>
      <c r="T29" s="133">
        <f>(((VLOOKUP(TableWRRanks[[#This Row],[Player]],'OVR &amp; VORP Ranks'!$P:$T,5,FALSE)))/('OVR &amp; VORP Ranks'!$BM$6))*(Settings!$E$10*TEAMS)</f>
        <v>15.811039633805724</v>
      </c>
      <c r="V29">
        <v>28</v>
      </c>
      <c r="W29" t="str">
        <f>IFERROR(INDEX(TableTECalcPts[PLAYER],MATCH(TableTERanks[[#This Row],[RK]],TableTECalcPts[RK],0)),"")</f>
        <v>Greg Dulcich</v>
      </c>
      <c r="X29" t="str">
        <f>IFERROR(INDEX(TableTECalcPts[TM],MATCH(TableTERanks[[#This Row],[RK]],TableTECalcPts[RK],0)),"")</f>
        <v>DEN</v>
      </c>
      <c r="Y29">
        <f>IFERROR(INDEX(TableTECalcPts[BYE],MATCH(TableTERanks[[#This Row],[RK]],TableTECalcPts[RK],0)),"")</f>
        <v>9</v>
      </c>
      <c r="Z29" s="58">
        <f>IFERROR(INDEX(TableTECalcPts[Custom],MATCH(TableTERanks[[#This Row],[RK]],TableTECalcPts[RK],0)),"")</f>
        <v>86.581473187303459</v>
      </c>
      <c r="AA29" s="133">
        <f>(((VLOOKUP(TableTERanks[[#This Row],[Player]],'OVR &amp; VORP Ranks'!$W:$AA,5,FALSE)))/('OVR &amp; VORP Ranks'!$BM$6))*(Settings!$E$10*TEAMS)</f>
        <v>-12.10941396032397</v>
      </c>
      <c r="AC29">
        <v>28</v>
      </c>
      <c r="AD29" t="str">
        <f>IFERROR(INDEX(TableDSTCalcPts[PLAYER],MATCH(TableDSTRanks[[#This Row],[RK]],TableDSTCalcPts[RK],0)),"")</f>
        <v>Los Angeles Rams</v>
      </c>
      <c r="AE29">
        <f>IFERROR(INDEX(TableDSTCalcPts[BYE],MATCH(TableDSTRanks[[#This Row],[RK]],TableDSTCalcPts[RK],0)),"")</f>
        <v>10</v>
      </c>
      <c r="AF29" s="58">
        <f>IFERROR(INDEX(TableDSTCalcPts[Custom],MATCH(TableDSTRanks[[#This Row],[RK]],TableDSTCalcPts[RK],0)),"")</f>
        <v>111.47647194295098</v>
      </c>
      <c r="AG29" s="133">
        <v>0</v>
      </c>
    </row>
    <row r="30" spans="1:33" x14ac:dyDescent="0.2">
      <c r="A30">
        <v>29</v>
      </c>
      <c r="B30" t="str">
        <f>IFERROR(INDEX(TableQBCalcPts[PLAYER],MATCH(TableQBRanks[[#This Row],[RK]],TableQBCalcPts[RK],0)),"")</f>
        <v>Mac Jones</v>
      </c>
      <c r="C30" t="str">
        <f>IFERROR(INDEX(TableQBCalcPts[TM],MATCH(TableQBRanks[[#This Row],[RK]],TableQBCalcPts[RK],0)),"")</f>
        <v>NE</v>
      </c>
      <c r="D30">
        <f>IFERROR(INDEX(TableQBCalcPts[BYE],MATCH(TableQBRanks[[#This Row],[RK]],TableQBCalcPts[RK],0)),"")</f>
        <v>11</v>
      </c>
      <c r="E30" s="58">
        <f>IFERROR(INDEX(TableQBCalcPts[Custom],MATCH(TableQBRanks[[#This Row],[RK]],TableQBCalcPts[RK],0)),"")</f>
        <v>248.34398689298061</v>
      </c>
      <c r="F30" s="133">
        <f>(((VLOOKUP(TableQBRanks[[#This Row],[Player]],'OVR &amp; VORP Ranks'!$B:$F,5,FALSE)))/('OVR &amp; VORP Ranks'!$BM$6))*(Settings!$E$10*TEAMS)</f>
        <v>-9.7310108743950234</v>
      </c>
      <c r="H30">
        <v>29</v>
      </c>
      <c r="I30" t="str">
        <f>IFERROR(INDEX(TableRBCalcPts[PLAYER],MATCH(TableRBRanks[[#This Row],[RK]],TableRBCalcPts[RK],0)),"")</f>
        <v>Brian Robinson</v>
      </c>
      <c r="J30" t="str">
        <f>IFERROR(INDEX(TableRBCalcPts[TM],MATCH(TableRBRanks[[#This Row],[RK]],TableRBCalcPts[RK],0)),"")</f>
        <v>WSH</v>
      </c>
      <c r="K30">
        <f>IFERROR(INDEX(TableRBCalcPts[BYE],MATCH(TableRBRanks[[#This Row],[RK]],TableRBCalcPts[RK],0)),"")</f>
        <v>14</v>
      </c>
      <c r="L30" s="58">
        <f>IFERROR(INDEX(TableRBCalcPts[Custom],MATCH(TableRBRanks[[#This Row],[RK]],TableRBCalcPts[RK],0)),"")</f>
        <v>172.64825861373072</v>
      </c>
      <c r="M30" s="133">
        <f>(((VLOOKUP(TableRBRanks[[#This Row],[Player]],'OVR &amp; VORP Ranks'!$I:$M,5,FALSE)))/('OVR &amp; VORP Ranks'!$BM$6))*(Settings!$E$10*TEAMS)</f>
        <v>18.285625015219654</v>
      </c>
      <c r="O30">
        <v>29</v>
      </c>
      <c r="P30" t="str">
        <f>IFERROR(INDEX(TableWRCalcPts[PLAYER],MATCH(TableWRRanks[[#This Row],[RK]],TableWRCalcPts[RK],0)),"")</f>
        <v>Christian Kirk</v>
      </c>
      <c r="Q30" t="str">
        <f>IFERROR(INDEX(TableWRCalcPts[TM],MATCH(TableWRRanks[[#This Row],[RK]],TableWRCalcPts[RK],0)),"")</f>
        <v>JAX</v>
      </c>
      <c r="R30">
        <f>IFERROR(INDEX(TableWRCalcPts[BYE],MATCH(TableWRRanks[[#This Row],[RK]],TableWRCalcPts[RK],0)),"")</f>
        <v>9</v>
      </c>
      <c r="S30" s="58">
        <f>IFERROR(INDEX(TableWRCalcPts[Custom],MATCH(TableWRRanks[[#This Row],[RK]],TableWRCalcPts[RK],0)),"")</f>
        <v>171.53592071198523</v>
      </c>
      <c r="T30" s="133">
        <f>(((VLOOKUP(TableWRRanks[[#This Row],[Player]],'OVR &amp; VORP Ranks'!$P:$T,5,FALSE)))/('OVR &amp; VORP Ranks'!$BM$6))*(Settings!$E$10*TEAMS)</f>
        <v>14.124674185154744</v>
      </c>
      <c r="V30">
        <v>29</v>
      </c>
      <c r="W30" t="str">
        <f>IFERROR(INDEX(TableTECalcPts[PLAYER],MATCH(TableTERanks[[#This Row],[RK]],TableTECalcPts[RK],0)),"")</f>
        <v>Mike Gesicki</v>
      </c>
      <c r="X30" t="str">
        <f>IFERROR(INDEX(TableTECalcPts[TM],MATCH(TableTERanks[[#This Row],[RK]],TableTECalcPts[RK],0)),"")</f>
        <v>NE</v>
      </c>
      <c r="Y30">
        <f>IFERROR(INDEX(TableTECalcPts[BYE],MATCH(TableTERanks[[#This Row],[RK]],TableTECalcPts[RK],0)),"")</f>
        <v>11</v>
      </c>
      <c r="Z30" s="58">
        <f>IFERROR(INDEX(TableTECalcPts[Custom],MATCH(TableTERanks[[#This Row],[RK]],TableTECalcPts[RK],0)),"")</f>
        <v>84.395870962075392</v>
      </c>
      <c r="AA30" s="133">
        <f>(((VLOOKUP(TableTERanks[[#This Row],[Player]],'OVR &amp; VORP Ranks'!$W:$AA,5,FALSE)))/('OVR &amp; VORP Ranks'!$BM$6))*(Settings!$E$10*TEAMS)</f>
        <v>-12.930109077839134</v>
      </c>
      <c r="AC30">
        <v>29</v>
      </c>
      <c r="AD30" t="str">
        <f>IFERROR(INDEX(TableDSTCalcPts[PLAYER],MATCH(TableDSTRanks[[#This Row],[RK]],TableDSTCalcPts[RK],0)),"")</f>
        <v>Carolina Panthers</v>
      </c>
      <c r="AE30">
        <f>IFERROR(INDEX(TableDSTCalcPts[BYE],MATCH(TableDSTRanks[[#This Row],[RK]],TableDSTCalcPts[RK],0)),"")</f>
        <v>7</v>
      </c>
      <c r="AF30" s="58">
        <f>IFERROR(INDEX(TableDSTCalcPts[Custom],MATCH(TableDSTRanks[[#This Row],[RK]],TableDSTCalcPts[RK],0)),"")</f>
        <v>105.2932094200759</v>
      </c>
      <c r="AG30" s="133">
        <v>0</v>
      </c>
    </row>
    <row r="31" spans="1:33" x14ac:dyDescent="0.2">
      <c r="A31">
        <v>30</v>
      </c>
      <c r="B31" t="str">
        <f>IFERROR(INDEX(TableQBCalcPts[PLAYER],MATCH(TableQBRanks[[#This Row],[RK]],TableQBCalcPts[RK],0)),"")</f>
        <v>Desmond Ridder</v>
      </c>
      <c r="C31" t="str">
        <f>IFERROR(INDEX(TableQBCalcPts[TM],MATCH(TableQBRanks[[#This Row],[RK]],TableQBCalcPts[RK],0)),"")</f>
        <v>ATL</v>
      </c>
      <c r="D31">
        <f>IFERROR(INDEX(TableQBCalcPts[BYE],MATCH(TableQBRanks[[#This Row],[RK]],TableQBCalcPts[RK],0)),"")</f>
        <v>11</v>
      </c>
      <c r="E31" s="58">
        <f>IFERROR(INDEX(TableQBCalcPts[Custom],MATCH(TableQBRanks[[#This Row],[RK]],TableQBCalcPts[RK],0)),"")</f>
        <v>211.34298839932205</v>
      </c>
      <c r="F31" s="133">
        <f>(((VLOOKUP(TableQBRanks[[#This Row],[Player]],'OVR &amp; VORP Ranks'!$B:$F,5,FALSE)))/('OVR &amp; VORP Ranks'!$BM$6))*(Settings!$E$10*TEAMS)</f>
        <v>-14.258729516628103</v>
      </c>
      <c r="H31">
        <v>30</v>
      </c>
      <c r="I31" t="str">
        <f>IFERROR(INDEX(TableRBCalcPts[PLAYER],MATCH(TableRBRanks[[#This Row],[RK]],TableRBCalcPts[RK],0)),"")</f>
        <v>Isiah Pacheco</v>
      </c>
      <c r="J31" t="str">
        <f>IFERROR(INDEX(TableRBCalcPts[TM],MATCH(TableRBRanks[[#This Row],[RK]],TableRBCalcPts[RK],0)),"")</f>
        <v>KC</v>
      </c>
      <c r="K31">
        <f>IFERROR(INDEX(TableRBCalcPts[BYE],MATCH(TableRBRanks[[#This Row],[RK]],TableRBCalcPts[RK],0)),"")</f>
        <v>10</v>
      </c>
      <c r="L31" s="58">
        <f>IFERROR(INDEX(TableRBCalcPts[Custom],MATCH(TableRBRanks[[#This Row],[RK]],TableRBCalcPts[RK],0)),"")</f>
        <v>169.26071656943054</v>
      </c>
      <c r="M31" s="133">
        <f>(((VLOOKUP(TableRBRanks[[#This Row],[Player]],'OVR &amp; VORP Ranks'!$I:$M,5,FALSE)))/('OVR &amp; VORP Ranks'!$BM$6))*(Settings!$E$10*TEAMS)</f>
        <v>17.051333890627919</v>
      </c>
      <c r="O31">
        <v>30</v>
      </c>
      <c r="P31" t="str">
        <f>IFERROR(INDEX(TableWRCalcPts[PLAYER],MATCH(TableWRRanks[[#This Row],[RK]],TableWRCalcPts[RK],0)),"")</f>
        <v>Jerry Jeudy</v>
      </c>
      <c r="Q31" t="str">
        <f>IFERROR(INDEX(TableWRCalcPts[TM],MATCH(TableWRRanks[[#This Row],[RK]],TableWRCalcPts[RK],0)),"")</f>
        <v>DEN</v>
      </c>
      <c r="R31">
        <f>IFERROR(INDEX(TableWRCalcPts[BYE],MATCH(TableWRRanks[[#This Row],[RK]],TableWRCalcPts[RK],0)),"")</f>
        <v>9</v>
      </c>
      <c r="S31" s="58">
        <f>IFERROR(INDEX(TableWRCalcPts[Custom],MATCH(TableWRRanks[[#This Row],[RK]],TableWRCalcPts[RK],0)),"")</f>
        <v>171.08206155698551</v>
      </c>
      <c r="T31" s="133">
        <f>(((VLOOKUP(TableWRRanks[[#This Row],[Player]],'OVR &amp; VORP Ranks'!$P:$T,5,FALSE)))/('OVR &amp; VORP Ranks'!$BM$6))*(Settings!$E$10*TEAMS)</f>
        <v>13.969242142955913</v>
      </c>
      <c r="V31">
        <v>30</v>
      </c>
      <c r="W31" t="str">
        <f>IFERROR(INDEX(TableTECalcPts[PLAYER],MATCH(TableTERanks[[#This Row],[RK]],TableTECalcPts[RK],0)),"")</f>
        <v>Hayden Hurst</v>
      </c>
      <c r="X31" t="str">
        <f>IFERROR(INDEX(TableTECalcPts[TM],MATCH(TableTERanks[[#This Row],[RK]],TableTECalcPts[RK],0)),"")</f>
        <v>CAR</v>
      </c>
      <c r="Y31">
        <f>IFERROR(INDEX(TableTECalcPts[BYE],MATCH(TableTERanks[[#This Row],[RK]],TableTECalcPts[RK],0)),"")</f>
        <v>7</v>
      </c>
      <c r="Z31" s="58">
        <f>IFERROR(INDEX(TableTECalcPts[Custom],MATCH(TableTERanks[[#This Row],[RK]],TableTECalcPts[RK],0)),"")</f>
        <v>84.191268201874024</v>
      </c>
      <c r="AA31" s="133">
        <f>(((VLOOKUP(TableTERanks[[#This Row],[Player]],'OVR &amp; VORP Ranks'!$W:$AA,5,FALSE)))/('OVR &amp; VORP Ranks'!$BM$6))*(Settings!$E$10*TEAMS)</f>
        <v>-13.00693755302513</v>
      </c>
      <c r="AC31">
        <v>30</v>
      </c>
      <c r="AD31" t="str">
        <f>IFERROR(INDEX(TableDSTCalcPts[PLAYER],MATCH(TableDSTRanks[[#This Row],[RK]],TableDSTCalcPts[RK],0)),"")</f>
        <v>Chicago Bears</v>
      </c>
      <c r="AE31">
        <f>IFERROR(INDEX(TableDSTCalcPts[BYE],MATCH(TableDSTRanks[[#This Row],[RK]],TableDSTCalcPts[RK],0)),"")</f>
        <v>13</v>
      </c>
      <c r="AF31" s="58">
        <f>IFERROR(INDEX(TableDSTCalcPts[Custom],MATCH(TableDSTRanks[[#This Row],[RK]],TableDSTCalcPts[RK],0)),"")</f>
        <v>102.36250253363539</v>
      </c>
      <c r="AG31" s="133">
        <v>0</v>
      </c>
    </row>
    <row r="32" spans="1:33" x14ac:dyDescent="0.2">
      <c r="A32">
        <v>31</v>
      </c>
      <c r="B32" t="str">
        <f>IFERROR(INDEX(TableQBCalcPts[PLAYER],MATCH(TableQBRanks[[#This Row],[RK]],TableQBCalcPts[RK],0)),"")</f>
        <v>Baker Mayfield</v>
      </c>
      <c r="C32" t="str">
        <f>IFERROR(INDEX(TableQBCalcPts[TM],MATCH(TableQBRanks[[#This Row],[RK]],TableQBCalcPts[RK],0)),"")</f>
        <v>TB</v>
      </c>
      <c r="D32">
        <f>IFERROR(INDEX(TableQBCalcPts[BYE],MATCH(TableQBRanks[[#This Row],[RK]],TableQBCalcPts[RK],0)),"")</f>
        <v>5</v>
      </c>
      <c r="E32" s="58">
        <f>IFERROR(INDEX(TableQBCalcPts[Custom],MATCH(TableQBRanks[[#This Row],[RK]],TableQBCalcPts[RK],0)),"")</f>
        <v>197.81334754120857</v>
      </c>
      <c r="F32" s="133">
        <f>(((VLOOKUP(TableQBRanks[[#This Row],[Player]],'OVR &amp; VORP Ranks'!$B:$F,5,FALSE)))/('OVR &amp; VORP Ranks'!$BM$6))*(Settings!$E$10*TEAMS)</f>
        <v>-15.873498556815575</v>
      </c>
      <c r="H32">
        <v>31</v>
      </c>
      <c r="I32" t="str">
        <f>IFERROR(INDEX(TableRBCalcPts[PLAYER],MATCH(TableRBRanks[[#This Row],[RK]],TableRBCalcPts[RK],0)),"")</f>
        <v>Kenneth Walker</v>
      </c>
      <c r="J32" t="str">
        <f>IFERROR(INDEX(TableRBCalcPts[TM],MATCH(TableRBRanks[[#This Row],[RK]],TableRBCalcPts[RK],0)),"")</f>
        <v>SEA</v>
      </c>
      <c r="K32">
        <f>IFERROR(INDEX(TableRBCalcPts[BYE],MATCH(TableRBRanks[[#This Row],[RK]],TableRBCalcPts[RK],0)),"")</f>
        <v>5</v>
      </c>
      <c r="L32" s="58">
        <f>IFERROR(INDEX(TableRBCalcPts[Custom],MATCH(TableRBRanks[[#This Row],[RK]],TableRBCalcPts[RK],0)),"")</f>
        <v>168.27099333838893</v>
      </c>
      <c r="M32" s="133">
        <f>(((VLOOKUP(TableRBRanks[[#This Row],[Player]],'OVR &amp; VORP Ranks'!$I:$M,5,FALSE)))/('OVR &amp; VORP Ranks'!$BM$6))*(Settings!$E$10*TEAMS)</f>
        <v>16.690716491964967</v>
      </c>
      <c r="O32">
        <v>31</v>
      </c>
      <c r="P32" t="str">
        <f>IFERROR(INDEX(TableWRCalcPts[PLAYER],MATCH(TableWRRanks[[#This Row],[RK]],TableWRCalcPts[RK],0)),"")</f>
        <v>Marquise Brown</v>
      </c>
      <c r="Q32" t="str">
        <f>IFERROR(INDEX(TableWRCalcPts[TM],MATCH(TableWRRanks[[#This Row],[RK]],TableWRCalcPts[RK],0)),"")</f>
        <v>ARI</v>
      </c>
      <c r="R32">
        <f>IFERROR(INDEX(TableWRCalcPts[BYE],MATCH(TableWRRanks[[#This Row],[RK]],TableWRCalcPts[RK],0)),"")</f>
        <v>14</v>
      </c>
      <c r="S32" s="58">
        <f>IFERROR(INDEX(TableWRCalcPts[Custom],MATCH(TableWRRanks[[#This Row],[RK]],TableWRCalcPts[RK],0)),"")</f>
        <v>169.79884257105002</v>
      </c>
      <c r="T32" s="133">
        <f>(((VLOOKUP(TableWRRanks[[#This Row],[Player]],'OVR &amp; VORP Ranks'!$P:$T,5,FALSE)))/('OVR &amp; VORP Ranks'!$BM$6))*(Settings!$E$10*TEAMS)</f>
        <v>13.529781254318797</v>
      </c>
      <c r="V32">
        <v>31</v>
      </c>
      <c r="W32" t="str">
        <f>IFERROR(INDEX(TableTECalcPts[PLAYER],MATCH(TableTERanks[[#This Row],[RK]],TableTECalcPts[RK],0)),"")</f>
        <v>Cade Otton</v>
      </c>
      <c r="X32" t="str">
        <f>IFERROR(INDEX(TableTECalcPts[TM],MATCH(TableTERanks[[#This Row],[RK]],TableTECalcPts[RK],0)),"")</f>
        <v>TB</v>
      </c>
      <c r="Y32">
        <f>IFERROR(INDEX(TableTECalcPts[BYE],MATCH(TableTERanks[[#This Row],[RK]],TableTECalcPts[RK],0)),"")</f>
        <v>5</v>
      </c>
      <c r="Z32" s="58">
        <f>IFERROR(INDEX(TableTECalcPts[Custom],MATCH(TableTERanks[[#This Row],[RK]],TableTECalcPts[RK],0)),"")</f>
        <v>82.115765388526086</v>
      </c>
      <c r="AA32" s="133">
        <f>(((VLOOKUP(TableTERanks[[#This Row],[Player]],'OVR &amp; VORP Ranks'!$W:$AA,5,FALSE)))/('OVR &amp; VORP Ranks'!$BM$6))*(Settings!$E$10*TEAMS)</f>
        <v>-13.786290266726679</v>
      </c>
      <c r="AC32">
        <v>31</v>
      </c>
      <c r="AD32" t="str">
        <f>IFERROR(INDEX(TableDSTCalcPts[PLAYER],MATCH(TableDSTRanks[[#This Row],[RK]],TableDSTCalcPts[RK],0)),"")</f>
        <v>Atlanta Falcons</v>
      </c>
      <c r="AE32">
        <f>IFERROR(INDEX(TableDSTCalcPts[BYE],MATCH(TableDSTRanks[[#This Row],[RK]],TableDSTCalcPts[RK],0)),"")</f>
        <v>11</v>
      </c>
      <c r="AF32" s="58">
        <f>IFERROR(INDEX(TableDSTCalcPts[Custom],MATCH(TableDSTRanks[[#This Row],[RK]],TableDSTCalcPts[RK],0)),"")</f>
        <v>101.78507690188333</v>
      </c>
      <c r="AG32" s="133">
        <v>0</v>
      </c>
    </row>
    <row r="33" spans="1:33" x14ac:dyDescent="0.2">
      <c r="A33">
        <v>32</v>
      </c>
      <c r="B33" t="str">
        <f>IFERROR(INDEX(TableQBCalcPts[PLAYER],MATCH(TableQBRanks[[#This Row],[RK]],TableQBCalcPts[RK],0)),"")</f>
        <v>Joshua Dobbs</v>
      </c>
      <c r="C33" t="str">
        <f>IFERROR(INDEX(TableQBCalcPts[TM],MATCH(TableQBRanks[[#This Row],[RK]],TableQBCalcPts[RK],0)),"")</f>
        <v>ARI</v>
      </c>
      <c r="D33">
        <f>IFERROR(INDEX(TableQBCalcPts[BYE],MATCH(TableQBRanks[[#This Row],[RK]],TableQBCalcPts[RK],0)),"")</f>
        <v>14</v>
      </c>
      <c r="E33" s="58">
        <f>IFERROR(INDEX(TableQBCalcPts[Custom],MATCH(TableQBRanks[[#This Row],[RK]],TableQBCalcPts[RK],0)),"")</f>
        <v>120.88669071620204</v>
      </c>
      <c r="F33" s="133">
        <f>(((VLOOKUP(TableQBRanks[[#This Row],[Player]],'OVR &amp; VORP Ranks'!$B:$F,5,FALSE)))/('OVR &amp; VORP Ranks'!$BM$6))*(Settings!$E$10*TEAMS)</f>
        <v>-24.149791413024747</v>
      </c>
      <c r="H33">
        <v>32</v>
      </c>
      <c r="I33" t="str">
        <f>IFERROR(INDEX(TableRBCalcPts[PLAYER],MATCH(TableRBRanks[[#This Row],[RK]],TableRBCalcPts[RK],0)),"")</f>
        <v>AJ Dillon</v>
      </c>
      <c r="J33" t="str">
        <f>IFERROR(INDEX(TableRBCalcPts[TM],MATCH(TableRBRanks[[#This Row],[RK]],TableRBCalcPts[RK],0)),"")</f>
        <v>GB</v>
      </c>
      <c r="K33">
        <f>IFERROR(INDEX(TableRBCalcPts[BYE],MATCH(TableRBRanks[[#This Row],[RK]],TableRBCalcPts[RK],0)),"")</f>
        <v>6</v>
      </c>
      <c r="L33" s="58">
        <f>IFERROR(INDEX(TableRBCalcPts[Custom],MATCH(TableRBRanks[[#This Row],[RK]],TableRBCalcPts[RK],0)),"")</f>
        <v>168.16281556267418</v>
      </c>
      <c r="M33" s="133">
        <f>(((VLOOKUP(TableRBRanks[[#This Row],[Player]],'OVR &amp; VORP Ranks'!$I:$M,5,FALSE)))/('OVR &amp; VORP Ranks'!$BM$6))*(Settings!$E$10*TEAMS)</f>
        <v>16.651300636251097</v>
      </c>
      <c r="O33">
        <v>32</v>
      </c>
      <c r="P33" t="str">
        <f>IFERROR(INDEX(TableWRCalcPts[PLAYER],MATCH(TableWRRanks[[#This Row],[RK]],TableWRCalcPts[RK],0)),"")</f>
        <v>George Pickens</v>
      </c>
      <c r="Q33" t="str">
        <f>IFERROR(INDEX(TableWRCalcPts[TM],MATCH(TableWRRanks[[#This Row],[RK]],TableWRCalcPts[RK],0)),"")</f>
        <v>PIT</v>
      </c>
      <c r="R33">
        <f>IFERROR(INDEX(TableWRCalcPts[BYE],MATCH(TableWRRanks[[#This Row],[RK]],TableWRCalcPts[RK],0)),"")</f>
        <v>6</v>
      </c>
      <c r="S33" s="58">
        <f>IFERROR(INDEX(TableWRCalcPts[Custom],MATCH(TableWRRanks[[#This Row],[RK]],TableWRCalcPts[RK],0)),"")</f>
        <v>169.33579636065119</v>
      </c>
      <c r="T33" s="133">
        <f>(((VLOOKUP(TableWRRanks[[#This Row],[Player]],'OVR &amp; VORP Ranks'!$P:$T,5,FALSE)))/('OVR &amp; VORP Ranks'!$BM$6))*(Settings!$E$10*TEAMS)</f>
        <v>13.371202943576638</v>
      </c>
      <c r="V33">
        <v>32</v>
      </c>
      <c r="W33" t="str">
        <f>IFERROR(INDEX(TableTECalcPts[PLAYER],MATCH(TableTERanks[[#This Row],[RK]],TableTECalcPts[RK],0)),"")</f>
        <v>Tyler Conklin</v>
      </c>
      <c r="X33" t="str">
        <f>IFERROR(INDEX(TableTECalcPts[TM],MATCH(TableTERanks[[#This Row],[RK]],TableTECalcPts[RK],0)),"")</f>
        <v>NYJ</v>
      </c>
      <c r="Y33">
        <f>IFERROR(INDEX(TableTECalcPts[BYE],MATCH(TableTERanks[[#This Row],[RK]],TableTECalcPts[RK],0)),"")</f>
        <v>7</v>
      </c>
      <c r="Z33" s="58">
        <f>IFERROR(INDEX(TableTECalcPts[Custom],MATCH(TableTERanks[[#This Row],[RK]],TableTECalcPts[RK],0)),"")</f>
        <v>80.821451672672566</v>
      </c>
      <c r="AA33" s="133">
        <f>(((VLOOKUP(TableTERanks[[#This Row],[Player]],'OVR &amp; VORP Ranks'!$W:$AA,5,FALSE)))/('OVR &amp; VORP Ranks'!$BM$6))*(Settings!$E$10*TEAMS)</f>
        <v>-14.272305944635793</v>
      </c>
      <c r="AC33">
        <v>32</v>
      </c>
      <c r="AD33" t="str">
        <f>IFERROR(INDEX(TableDSTCalcPts[PLAYER],MATCH(TableDSTRanks[[#This Row],[RK]],TableDSTCalcPts[RK],0)),"")</f>
        <v>Las Vegas Raiders</v>
      </c>
      <c r="AE33">
        <f>IFERROR(INDEX(TableDSTCalcPts[BYE],MATCH(TableDSTRanks[[#This Row],[RK]],TableDSTCalcPts[RK],0)),"")</f>
        <v>13</v>
      </c>
      <c r="AF33" s="58">
        <f>IFERROR(INDEX(TableDSTCalcPts[Custom],MATCH(TableDSTRanks[[#This Row],[RK]],TableDSTCalcPts[RK],0)),"")</f>
        <v>98.871645338315005</v>
      </c>
      <c r="AG33" s="133">
        <v>0</v>
      </c>
    </row>
    <row r="34" spans="1:33" x14ac:dyDescent="0.2">
      <c r="A34">
        <v>33</v>
      </c>
      <c r="B34" t="str">
        <f>IFERROR(INDEX(TableQBCalcPts[PLAYER],MATCH(TableQBRanks[[#This Row],[RK]],TableQBCalcPts[RK],0)),"")</f>
        <v>Clayton Tune</v>
      </c>
      <c r="C34" t="str">
        <f>IFERROR(INDEX(TableQBCalcPts[TM],MATCH(TableQBRanks[[#This Row],[RK]],TableQBCalcPts[RK],0)),"")</f>
        <v>ARI</v>
      </c>
      <c r="D34">
        <f>IFERROR(INDEX(TableQBCalcPts[BYE],MATCH(TableQBRanks[[#This Row],[RK]],TableQBCalcPts[RK],0)),"")</f>
        <v>14</v>
      </c>
      <c r="E34" s="58">
        <f>IFERROR(INDEX(TableQBCalcPts[Custom],MATCH(TableQBRanks[[#This Row],[RK]],TableQBCalcPts[RK],0)),"")</f>
        <v>98.596722720000017</v>
      </c>
      <c r="F34" s="133">
        <f>(((VLOOKUP(TableQBRanks[[#This Row],[Player]],'OVR &amp; VORP Ranks'!$B:$F,5,FALSE)))/('OVR &amp; VORP Ranks'!$BM$6))*(Settings!$E$10*TEAMS)</f>
        <v>-27.858516677405483</v>
      </c>
      <c r="H34">
        <v>33</v>
      </c>
      <c r="I34" t="str">
        <f>IFERROR(INDEX(TableRBCalcPts[PLAYER],MATCH(TableRBRanks[[#This Row],[RK]],TableRBCalcPts[RK],0)),"")</f>
        <v>Dalvin Cook</v>
      </c>
      <c r="J34" t="str">
        <f>IFERROR(INDEX(TableRBCalcPts[TM],MATCH(TableRBRanks[[#This Row],[RK]],TableRBCalcPts[RK],0)),"")</f>
        <v>NYJ</v>
      </c>
      <c r="K34">
        <f>IFERROR(INDEX(TableRBCalcPts[BYE],MATCH(TableRBRanks[[#This Row],[RK]],TableRBCalcPts[RK],0)),"")</f>
        <v>7</v>
      </c>
      <c r="L34" s="58">
        <f>IFERROR(INDEX(TableRBCalcPts[Custom],MATCH(TableRBRanks[[#This Row],[RK]],TableRBCalcPts[RK],0)),"")</f>
        <v>160.13808023888697</v>
      </c>
      <c r="M34" s="133">
        <f>(((VLOOKUP(TableRBRanks[[#This Row],[Player]],'OVR &amp; VORP Ranks'!$I:$M,5,FALSE)))/('OVR &amp; VORP Ranks'!$BM$6))*(Settings!$E$10*TEAMS)</f>
        <v>13.727393137002762</v>
      </c>
      <c r="O34">
        <v>33</v>
      </c>
      <c r="P34" t="str">
        <f>IFERROR(INDEX(TableWRCalcPts[PLAYER],MATCH(TableWRRanks[[#This Row],[RK]],TableWRCalcPts[RK],0)),"")</f>
        <v>Skyy Moore</v>
      </c>
      <c r="Q34" t="str">
        <f>IFERROR(INDEX(TableWRCalcPts[TM],MATCH(TableWRRanks[[#This Row],[RK]],TableWRCalcPts[RK],0)),"")</f>
        <v>KC</v>
      </c>
      <c r="R34">
        <f>IFERROR(INDEX(TableWRCalcPts[BYE],MATCH(TableWRRanks[[#This Row],[RK]],TableWRCalcPts[RK],0)),"")</f>
        <v>10</v>
      </c>
      <c r="S34" s="58">
        <f>IFERROR(INDEX(TableWRCalcPts[Custom],MATCH(TableWRRanks[[#This Row],[RK]],TableWRCalcPts[RK],0)),"")</f>
        <v>168.88950711828755</v>
      </c>
      <c r="T34" s="133">
        <f>(((VLOOKUP(TableWRRanks[[#This Row],[Player]],'OVR &amp; VORP Ranks'!$P:$T,5,FALSE)))/('OVR &amp; VORP Ranks'!$BM$6))*(Settings!$E$10*TEAMS)</f>
        <v>13.218363350967797</v>
      </c>
      <c r="V34">
        <v>33</v>
      </c>
      <c r="W34" t="str">
        <f>IFERROR(INDEX(TableTECalcPts[PLAYER],MATCH(TableTERanks[[#This Row],[RK]],TableTECalcPts[RK],0)),"")</f>
        <v>Austin Hooper</v>
      </c>
      <c r="X34" t="str">
        <f>IFERROR(INDEX(TableTECalcPts[TM],MATCH(TableTERanks[[#This Row],[RK]],TableTECalcPts[RK],0)),"")</f>
        <v>LV</v>
      </c>
      <c r="Y34">
        <f>IFERROR(INDEX(TableTECalcPts[BYE],MATCH(TableTERanks[[#This Row],[RK]],TableTECalcPts[RK],0)),"")</f>
        <v>13</v>
      </c>
      <c r="Z34" s="58">
        <f>IFERROR(INDEX(TableTECalcPts[Custom],MATCH(TableTERanks[[#This Row],[RK]],TableTECalcPts[RK],0)),"")</f>
        <v>74.709928956497578</v>
      </c>
      <c r="AA34" s="133">
        <f>(((VLOOKUP(TableTERanks[[#This Row],[Player]],'OVR &amp; VORP Ranks'!$W:$AA,5,FALSE)))/('OVR &amp; VORP Ranks'!$BM$6))*(Settings!$E$10*TEAMS)</f>
        <v>-16.567186868461921</v>
      </c>
    </row>
    <row r="35" spans="1:33" x14ac:dyDescent="0.2">
      <c r="A35">
        <v>34</v>
      </c>
      <c r="B35" t="str">
        <f>IFERROR(INDEX(TableQBCalcPts[PLAYER],MATCH(TableQBRanks[[#This Row],[RK]],TableQBCalcPts[RK],0)),"")</f>
        <v>Kyler Murray</v>
      </c>
      <c r="C35" t="str">
        <f>IFERROR(INDEX(TableQBCalcPts[TM],MATCH(TableQBRanks[[#This Row],[RK]],TableQBCalcPts[RK],0)),"")</f>
        <v>ARI</v>
      </c>
      <c r="D35">
        <f>IFERROR(INDEX(TableQBCalcPts[BYE],MATCH(TableQBRanks[[#This Row],[RK]],TableQBCalcPts[RK],0)),"")</f>
        <v>14</v>
      </c>
      <c r="E35" s="58">
        <f>IFERROR(INDEX(TableQBCalcPts[Custom],MATCH(TableQBRanks[[#This Row],[RK]],TableQBCalcPts[RK],0)),"")</f>
        <v>67.952044360939965</v>
      </c>
      <c r="F35" s="133">
        <f>(((VLOOKUP(TableQBRanks[[#This Row],[Player]],'OVR &amp; VORP Ranks'!$B:$F,5,FALSE)))/('OVR &amp; VORP Ranks'!$BM$6))*(Settings!$E$10*TEAMS)</f>
        <v>-31.407357102114638</v>
      </c>
      <c r="H35">
        <v>34</v>
      </c>
      <c r="I35" t="str">
        <f>IFERROR(INDEX(TableRBCalcPts[PLAYER],MATCH(TableRBRanks[[#This Row],[RK]],TableRBCalcPts[RK],0)),"")</f>
        <v>D'Andre Swift</v>
      </c>
      <c r="J35" t="str">
        <f>IFERROR(INDEX(TableRBCalcPts[TM],MATCH(TableRBRanks[[#This Row],[RK]],TableRBCalcPts[RK],0)),"")</f>
        <v>PHI</v>
      </c>
      <c r="K35">
        <f>IFERROR(INDEX(TableRBCalcPts[BYE],MATCH(TableRBRanks[[#This Row],[RK]],TableRBCalcPts[RK],0)),"")</f>
        <v>10</v>
      </c>
      <c r="L35" s="58">
        <f>IFERROR(INDEX(TableRBCalcPts[Custom],MATCH(TableRBRanks[[#This Row],[RK]],TableRBCalcPts[RK],0)),"")</f>
        <v>158.55879954993404</v>
      </c>
      <c r="M35" s="133">
        <f>(((VLOOKUP(TableRBRanks[[#This Row],[Player]],'OVR &amp; VORP Ranks'!$I:$M,5,FALSE)))/('OVR &amp; VORP Ranks'!$BM$6))*(Settings!$E$10*TEAMS)</f>
        <v>13.151963485614797</v>
      </c>
      <c r="O35">
        <v>34</v>
      </c>
      <c r="P35" t="str">
        <f>IFERROR(INDEX(TableWRCalcPts[PLAYER],MATCH(TableWRRanks[[#This Row],[RK]],TableWRCalcPts[RK],0)),"")</f>
        <v>Brandon Aiyuk</v>
      </c>
      <c r="Q35" t="str">
        <f>IFERROR(INDEX(TableWRCalcPts[TM],MATCH(TableWRRanks[[#This Row],[RK]],TableWRCalcPts[RK],0)),"")</f>
        <v>SF</v>
      </c>
      <c r="R35">
        <f>IFERROR(INDEX(TableWRCalcPts[BYE],MATCH(TableWRRanks[[#This Row],[RK]],TableWRCalcPts[RK],0)),"")</f>
        <v>9</v>
      </c>
      <c r="S35" s="58">
        <f>IFERROR(INDEX(TableWRCalcPts[Custom],MATCH(TableWRRanks[[#This Row],[RK]],TableWRCalcPts[RK],0)),"")</f>
        <v>165.73280716151041</v>
      </c>
      <c r="T35" s="133">
        <f>(((VLOOKUP(TableWRRanks[[#This Row],[Player]],'OVR &amp; VORP Ranks'!$P:$T,5,FALSE)))/('OVR &amp; VORP Ranks'!$BM$6))*(Settings!$E$10*TEAMS)</f>
        <v>12.137295985716259</v>
      </c>
      <c r="V35">
        <v>34</v>
      </c>
      <c r="W35" t="str">
        <f>IFERROR(INDEX(TableTECalcPts[PLAYER],MATCH(TableTERanks[[#This Row],[RK]],TableTECalcPts[RK],0)),"")</f>
        <v>Taysom Hill</v>
      </c>
      <c r="X35" t="str">
        <f>IFERROR(INDEX(TableTECalcPts[TM],MATCH(TableTERanks[[#This Row],[RK]],TableTECalcPts[RK],0)),"")</f>
        <v>NO</v>
      </c>
      <c r="Y35">
        <f>IFERROR(INDEX(TableTECalcPts[BYE],MATCH(TableTERanks[[#This Row],[RK]],TableTECalcPts[RK],0)),"")</f>
        <v>11</v>
      </c>
      <c r="Z35" s="58">
        <f>IFERROR(INDEX(TableTECalcPts[Custom],MATCH(TableTERanks[[#This Row],[RK]],TableTECalcPts[RK],0)),"")</f>
        <v>71.977671055054685</v>
      </c>
      <c r="AA35" s="133">
        <f>(((VLOOKUP(TableTERanks[[#This Row],[Player]],'OVR &amp; VORP Ranks'!$W:$AA,5,FALSE)))/('OVR &amp; VORP Ranks'!$BM$6))*(Settings!$E$10*TEAMS)</f>
        <v>-17.593151563054242</v>
      </c>
    </row>
    <row r="36" spans="1:33" x14ac:dyDescent="0.2">
      <c r="A36">
        <v>35</v>
      </c>
      <c r="B36" t="str">
        <f>IFERROR(INDEX(TableQBCalcPts[PLAYER],MATCH(TableQBRanks[[#This Row],[RK]],TableQBCalcPts[RK],0)),"")</f>
        <v>Kyle Trask</v>
      </c>
      <c r="C36" t="str">
        <f>IFERROR(INDEX(TableQBCalcPts[TM],MATCH(TableQBRanks[[#This Row],[RK]],TableQBCalcPts[RK],0)),"")</f>
        <v>TB</v>
      </c>
      <c r="D36">
        <f>IFERROR(INDEX(TableQBCalcPts[BYE],MATCH(TableQBRanks[[#This Row],[RK]],TableQBCalcPts[RK],0)),"")</f>
        <v>5</v>
      </c>
      <c r="E36" s="58">
        <f>IFERROR(INDEX(TableQBCalcPts[Custom],MATCH(TableQBRanks[[#This Row],[RK]],TableQBCalcPts[RK],0)),"")</f>
        <v>47.169748582619611</v>
      </c>
      <c r="F36" s="133">
        <f>(((VLOOKUP(TableQBRanks[[#This Row],[Player]],'OVR &amp; VORP Ranks'!$B:$F,5,FALSE)))/('OVR &amp; VORP Ranks'!$BM$6))*(Settings!$E$10*TEAMS)</f>
        <v>-34.299155951115978</v>
      </c>
      <c r="H36">
        <v>35</v>
      </c>
      <c r="I36" t="str">
        <f>IFERROR(INDEX(TableRBCalcPts[PLAYER],MATCH(TableRBRanks[[#This Row],[RK]],TableRBCalcPts[RK],0)),"")</f>
        <v>Antonio Gibson</v>
      </c>
      <c r="J36" t="str">
        <f>IFERROR(INDEX(TableRBCalcPts[TM],MATCH(TableRBRanks[[#This Row],[RK]],TableRBCalcPts[RK],0)),"")</f>
        <v>WSH</v>
      </c>
      <c r="K36">
        <f>IFERROR(INDEX(TableRBCalcPts[BYE],MATCH(TableRBRanks[[#This Row],[RK]],TableRBCalcPts[RK],0)),"")</f>
        <v>14</v>
      </c>
      <c r="L36" s="58">
        <f>IFERROR(INDEX(TableRBCalcPts[Custom],MATCH(TableRBRanks[[#This Row],[RK]],TableRBCalcPts[RK],0)),"")</f>
        <v>154.52928913426035</v>
      </c>
      <c r="M36" s="133">
        <f>(((VLOOKUP(TableRBRanks[[#This Row],[Player]],'OVR &amp; VORP Ranks'!$I:$M,5,FALSE)))/('OVR &amp; VORP Ranks'!$BM$6))*(Settings!$E$10*TEAMS)</f>
        <v>11.683763570315014</v>
      </c>
      <c r="O36">
        <v>35</v>
      </c>
      <c r="P36" t="str">
        <f>IFERROR(INDEX(TableWRCalcPts[PLAYER],MATCH(TableWRRanks[[#This Row],[RK]],TableWRCalcPts[RK],0)),"")</f>
        <v>Drake London</v>
      </c>
      <c r="Q36" t="str">
        <f>IFERROR(INDEX(TableWRCalcPts[TM],MATCH(TableWRRanks[[#This Row],[RK]],TableWRCalcPts[RK],0)),"")</f>
        <v>ATL</v>
      </c>
      <c r="R36">
        <f>IFERROR(INDEX(TableWRCalcPts[BYE],MATCH(TableWRRanks[[#This Row],[RK]],TableWRCalcPts[RK],0)),"")</f>
        <v>11</v>
      </c>
      <c r="S36" s="58">
        <f>IFERROR(INDEX(TableWRCalcPts[Custom],MATCH(TableWRRanks[[#This Row],[RK]],TableWRCalcPts[RK],0)),"")</f>
        <v>164.56961695199593</v>
      </c>
      <c r="T36" s="133">
        <f>(((VLOOKUP(TableWRRanks[[#This Row],[Player]],'OVR &amp; VORP Ranks'!$P:$T,5,FALSE)))/('OVR &amp; VORP Ranks'!$BM$6))*(Settings!$E$10*TEAMS)</f>
        <v>11.738941060539892</v>
      </c>
      <c r="V36">
        <v>35</v>
      </c>
      <c r="W36" t="str">
        <f>IFERROR(INDEX(TableTECalcPts[PLAYER],MATCH(TableTERanks[[#This Row],[RK]],TableTECalcPts[RK],0)),"")</f>
        <v>Logan Thomas</v>
      </c>
      <c r="X36" t="str">
        <f>IFERROR(INDEX(TableTECalcPts[TM],MATCH(TableTERanks[[#This Row],[RK]],TableTECalcPts[RK],0)),"")</f>
        <v>WSH</v>
      </c>
      <c r="Y36">
        <f>IFERROR(INDEX(TableTECalcPts[BYE],MATCH(TableTERanks[[#This Row],[RK]],TableTECalcPts[RK],0)),"")</f>
        <v>14</v>
      </c>
      <c r="Z36" s="58">
        <f>IFERROR(INDEX(TableTECalcPts[Custom],MATCH(TableTERanks[[#This Row],[RK]],TableTECalcPts[RK],0)),"")</f>
        <v>66.78321520699437</v>
      </c>
      <c r="AA36" s="133">
        <f>(((VLOOKUP(TableTERanks[[#This Row],[Player]],'OVR &amp; VORP Ranks'!$W:$AA,5,FALSE)))/('OVR &amp; VORP Ranks'!$BM$6))*(Settings!$E$10*TEAMS)</f>
        <v>-19.543673256088454</v>
      </c>
    </row>
    <row r="37" spans="1:33" x14ac:dyDescent="0.2">
      <c r="A37">
        <v>36</v>
      </c>
      <c r="B37" t="str">
        <f>IFERROR(INDEX(TableQBCalcPts[PLAYER],MATCH(TableQBRanks[[#This Row],[RK]],TableQBCalcPts[RK],0)),"")</f>
        <v>Taylor Heinicke</v>
      </c>
      <c r="C37" t="str">
        <f>IFERROR(INDEX(TableQBCalcPts[TM],MATCH(TableQBRanks[[#This Row],[RK]],TableQBCalcPts[RK],0)),"")</f>
        <v>ATL</v>
      </c>
      <c r="D37">
        <f>IFERROR(INDEX(TableQBCalcPts[BYE],MATCH(TableQBRanks[[#This Row],[RK]],TableQBCalcPts[RK],0)),"")</f>
        <v>11</v>
      </c>
      <c r="E37" s="58">
        <f>IFERROR(INDEX(TableQBCalcPts[Custom],MATCH(TableQBRanks[[#This Row],[RK]],TableQBCalcPts[RK],0)),"")</f>
        <v>35.980127097215657</v>
      </c>
      <c r="F37" s="133">
        <f>(((VLOOKUP(TableQBRanks[[#This Row],[Player]],'OVR &amp; VORP Ranks'!$B:$F,5,FALSE)))/('OVR &amp; VORP Ranks'!$BM$6))*(Settings!$E$10*TEAMS)</f>
        <v>-35.513334024132845</v>
      </c>
      <c r="H37">
        <v>36</v>
      </c>
      <c r="I37" t="str">
        <f>IFERROR(INDEX(TableRBCalcPts[PLAYER],MATCH(TableRBRanks[[#This Row],[RK]],TableRBCalcPts[RK],0)),"")</f>
        <v>Zach Charbonnet</v>
      </c>
      <c r="J37" t="str">
        <f>IFERROR(INDEX(TableRBCalcPts[TM],MATCH(TableRBRanks[[#This Row],[RK]],TableRBCalcPts[RK],0)),"")</f>
        <v>SEA</v>
      </c>
      <c r="K37">
        <f>IFERROR(INDEX(TableRBCalcPts[BYE],MATCH(TableRBRanks[[#This Row],[RK]],TableRBCalcPts[RK],0)),"")</f>
        <v>5</v>
      </c>
      <c r="L37" s="58">
        <f>IFERROR(INDEX(TableRBCalcPts[Custom],MATCH(TableRBRanks[[#This Row],[RK]],TableRBCalcPts[RK],0)),"")</f>
        <v>154.45059742536267</v>
      </c>
      <c r="M37" s="133">
        <f>(((VLOOKUP(TableRBRanks[[#This Row],[Player]],'OVR &amp; VORP Ranks'!$I:$M,5,FALSE)))/('OVR &amp; VORP Ranks'!$BM$6))*(Settings!$E$10*TEAMS)</f>
        <v>11.655091312789889</v>
      </c>
      <c r="O37">
        <v>36</v>
      </c>
      <c r="P37" t="str">
        <f>IFERROR(INDEX(TableWRCalcPts[PLAYER],MATCH(TableWRRanks[[#This Row],[RK]],TableWRCalcPts[RK],0)),"")</f>
        <v>Allen Lazard</v>
      </c>
      <c r="Q37" t="str">
        <f>IFERROR(INDEX(TableWRCalcPts[TM],MATCH(TableWRRanks[[#This Row],[RK]],TableWRCalcPts[RK],0)),"")</f>
        <v>NYJ</v>
      </c>
      <c r="R37">
        <f>IFERROR(INDEX(TableWRCalcPts[BYE],MATCH(TableWRRanks[[#This Row],[RK]],TableWRCalcPts[RK],0)),"")</f>
        <v>7</v>
      </c>
      <c r="S37" s="58">
        <f>IFERROR(INDEX(TableWRCalcPts[Custom],MATCH(TableWRRanks[[#This Row],[RK]],TableWRCalcPts[RK],0)),"")</f>
        <v>162.96652371193738</v>
      </c>
      <c r="T37" s="133">
        <f>(((VLOOKUP(TableWRRanks[[#This Row],[Player]],'OVR &amp; VORP Ranks'!$P:$T,5,FALSE)))/('OVR &amp; VORP Ranks'!$BM$6))*(Settings!$E$10*TEAMS)</f>
        <v>11.189933613201752</v>
      </c>
      <c r="V37">
        <v>36</v>
      </c>
      <c r="W37" t="str">
        <f>IFERROR(INDEX(TableTECalcPts[PLAYER],MATCH(TableTERanks[[#This Row],[RK]],TableTECalcPts[RK],0)),"")</f>
        <v>Adam Trautman</v>
      </c>
      <c r="X37" t="str">
        <f>IFERROR(INDEX(TableTECalcPts[TM],MATCH(TableTERanks[[#This Row],[RK]],TableTECalcPts[RK],0)),"")</f>
        <v>DEN</v>
      </c>
      <c r="Y37">
        <f>IFERROR(INDEX(TableTECalcPts[BYE],MATCH(TableTERanks[[#This Row],[RK]],TableTECalcPts[RK],0)),"")</f>
        <v>9</v>
      </c>
      <c r="Z37" s="58">
        <f>IFERROR(INDEX(TableTECalcPts[Custom],MATCH(TableTERanks[[#This Row],[RK]],TableTECalcPts[RK],0)),"")</f>
        <v>66.361537245636754</v>
      </c>
      <c r="AA37" s="133">
        <f>(((VLOOKUP(TableTERanks[[#This Row],[Player]],'OVR &amp; VORP Ranks'!$W:$AA,5,FALSE)))/('OVR &amp; VORP Ranks'!$BM$6))*(Settings!$E$10*TEAMS)</f>
        <v>-19.702013616495904</v>
      </c>
    </row>
    <row r="38" spans="1:33" x14ac:dyDescent="0.2">
      <c r="A38">
        <v>37</v>
      </c>
      <c r="B38" t="str">
        <f>IFERROR(INDEX(TableQBCalcPts[PLAYER],MATCH(TableQBRanks[[#This Row],[RK]],TableQBCalcPts[RK],0)),"")</f>
        <v>Tyrod Taylor</v>
      </c>
      <c r="C38" t="str">
        <f>IFERROR(INDEX(TableQBCalcPts[TM],MATCH(TableQBRanks[[#This Row],[RK]],TableQBCalcPts[RK],0)),"")</f>
        <v>NYG</v>
      </c>
      <c r="D38">
        <f>IFERROR(INDEX(TableQBCalcPts[BYE],MATCH(TableQBRanks[[#This Row],[RK]],TableQBCalcPts[RK],0)),"")</f>
        <v>13</v>
      </c>
      <c r="E38" s="58">
        <f>IFERROR(INDEX(TableQBCalcPts[Custom],MATCH(TableQBRanks[[#This Row],[RK]],TableQBCalcPts[RK],0)),"")</f>
        <v>23.9509264864007</v>
      </c>
      <c r="F38" s="133">
        <f>(((VLOOKUP(TableQBRanks[[#This Row],[Player]],'OVR &amp; VORP Ranks'!$B:$F,5,FALSE)))/('OVR &amp; VORP Ranks'!$BM$6))*(Settings!$E$10*TEAMS)</f>
        <v>-37.828543051468593</v>
      </c>
      <c r="H38">
        <v>37</v>
      </c>
      <c r="I38" t="str">
        <f>IFERROR(INDEX(TableRBCalcPts[PLAYER],MATCH(TableRBRanks[[#This Row],[RK]],TableRBCalcPts[RK],0)),"")</f>
        <v>Raheem Mostert</v>
      </c>
      <c r="J38" t="str">
        <f>IFERROR(INDEX(TableRBCalcPts[TM],MATCH(TableRBRanks[[#This Row],[RK]],TableRBCalcPts[RK],0)),"")</f>
        <v>MIA</v>
      </c>
      <c r="K38">
        <f>IFERROR(INDEX(TableRBCalcPts[BYE],MATCH(TableRBRanks[[#This Row],[RK]],TableRBCalcPts[RK],0)),"")</f>
        <v>10</v>
      </c>
      <c r="L38" s="58">
        <f>IFERROR(INDEX(TableRBCalcPts[Custom],MATCH(TableRBRanks[[#This Row],[RK]],TableRBCalcPts[RK],0)),"")</f>
        <v>148.20650311068127</v>
      </c>
      <c r="M38" s="133">
        <f>(((VLOOKUP(TableRBRanks[[#This Row],[Player]],'OVR &amp; VORP Ranks'!$I:$M,5,FALSE)))/('OVR &amp; VORP Ranks'!$BM$6))*(Settings!$E$10*TEAMS)</f>
        <v>9.3799814859782362</v>
      </c>
      <c r="O38">
        <v>37</v>
      </c>
      <c r="P38" t="str">
        <f>IFERROR(INDEX(TableWRCalcPts[PLAYER],MATCH(TableWRRanks[[#This Row],[RK]],TableWRCalcPts[RK],0)),"")</f>
        <v>Mike Evans</v>
      </c>
      <c r="Q38" t="str">
        <f>IFERROR(INDEX(TableWRCalcPts[TM],MATCH(TableWRRanks[[#This Row],[RK]],TableWRCalcPts[RK],0)),"")</f>
        <v>TB</v>
      </c>
      <c r="R38">
        <f>IFERROR(INDEX(TableWRCalcPts[BYE],MATCH(TableWRRanks[[#This Row],[RK]],TableWRCalcPts[RK],0)),"")</f>
        <v>5</v>
      </c>
      <c r="S38" s="58">
        <f>IFERROR(INDEX(TableWRCalcPts[Custom],MATCH(TableWRRanks[[#This Row],[RK]],TableWRCalcPts[RK],0)),"")</f>
        <v>162.31074654216576</v>
      </c>
      <c r="T38" s="133">
        <f>(((VLOOKUP(TableWRRanks[[#This Row],[Player]],'OVR &amp; VORP Ranks'!$P:$T,5,FALSE)))/('OVR &amp; VORP Ranks'!$BM$6))*(Settings!$E$10*TEAMS)</f>
        <v>10.965351199027388</v>
      </c>
      <c r="V38">
        <v>37</v>
      </c>
      <c r="W38" t="str">
        <f>IFERROR(INDEX(TableTECalcPts[PLAYER],MATCH(TableTERanks[[#This Row],[RK]],TableTECalcPts[RK],0)),"")</f>
        <v>Jelani Woods</v>
      </c>
      <c r="X38" t="str">
        <f>IFERROR(INDEX(TableTECalcPts[TM],MATCH(TableTERanks[[#This Row],[RK]],TableTECalcPts[RK],0)),"")</f>
        <v>IND</v>
      </c>
      <c r="Y38">
        <f>IFERROR(INDEX(TableTECalcPts[BYE],MATCH(TableTERanks[[#This Row],[RK]],TableTECalcPts[RK],0)),"")</f>
        <v>11</v>
      </c>
      <c r="Z38" s="58">
        <f>IFERROR(INDEX(TableTECalcPts[Custom],MATCH(TableTERanks[[#This Row],[RK]],TableTECalcPts[RK],0)),"")</f>
        <v>64.887841835586016</v>
      </c>
      <c r="AA38" s="133">
        <f>(((VLOOKUP(TableTERanks[[#This Row],[Player]],'OVR &amp; VORP Ranks'!$W:$AA,5,FALSE)))/('OVR &amp; VORP Ranks'!$BM$6))*(Settings!$E$10*TEAMS)</f>
        <v>-20.255387242205376</v>
      </c>
    </row>
    <row r="39" spans="1:33" x14ac:dyDescent="0.2">
      <c r="A39">
        <v>38</v>
      </c>
      <c r="B39" t="str">
        <f>IFERROR(INDEX(TableQBCalcPts[PLAYER],MATCH(TableQBRanks[[#This Row],[RK]],TableQBCalcPts[RK],0)),"")</f>
        <v>Brian Hoyer</v>
      </c>
      <c r="C39" t="str">
        <f>IFERROR(INDEX(TableQBCalcPts[TM],MATCH(TableQBRanks[[#This Row],[RK]],TableQBCalcPts[RK],0)),"")</f>
        <v>LV</v>
      </c>
      <c r="D39">
        <f>IFERROR(INDEX(TableQBCalcPts[BYE],MATCH(TableQBRanks[[#This Row],[RK]],TableQBCalcPts[RK],0)),"")</f>
        <v>13</v>
      </c>
      <c r="E39" s="58">
        <f>IFERROR(INDEX(TableQBCalcPts[Custom],MATCH(TableQBRanks[[#This Row],[RK]],TableQBCalcPts[RK],0)),"")</f>
        <v>23.338961302415605</v>
      </c>
      <c r="F39" s="133">
        <f>(((VLOOKUP(TableQBRanks[[#This Row],[Player]],'OVR &amp; VORP Ranks'!$B:$F,5,FALSE)))/('OVR &amp; VORP Ranks'!$BM$6))*(Settings!$E$10*TEAMS)</f>
        <v>-40.330019542855638</v>
      </c>
      <c r="H39">
        <v>38</v>
      </c>
      <c r="I39" t="str">
        <f>IFERROR(INDEX(TableRBCalcPts[PLAYER],MATCH(TableRBRanks[[#This Row],[RK]],TableRBCalcPts[RK],0)),"")</f>
        <v>Jonathan Taylor</v>
      </c>
      <c r="J39" t="str">
        <f>IFERROR(INDEX(TableRBCalcPts[TM],MATCH(TableRBRanks[[#This Row],[RK]],TableRBCalcPts[RK],0)),"")</f>
        <v>IND</v>
      </c>
      <c r="K39">
        <f>IFERROR(INDEX(TableRBCalcPts[BYE],MATCH(TableRBRanks[[#This Row],[RK]],TableRBCalcPts[RK],0)),"")</f>
        <v>11</v>
      </c>
      <c r="L39" s="58">
        <f>IFERROR(INDEX(TableRBCalcPts[Custom],MATCH(TableRBRanks[[#This Row],[RK]],TableRBCalcPts[RK],0)),"")</f>
        <v>133.35083061101241</v>
      </c>
      <c r="M39" s="133">
        <f>(((VLOOKUP(TableRBRanks[[#This Row],[Player]],'OVR &amp; VORP Ranks'!$I:$M,5,FALSE)))/('OVR &amp; VORP Ranks'!$BM$6))*(Settings!$E$10*TEAMS)</f>
        <v>3.9671410027036433</v>
      </c>
      <c r="O39">
        <v>38</v>
      </c>
      <c r="P39" t="str">
        <f>IFERROR(INDEX(TableWRCalcPts[PLAYER],MATCH(TableWRRanks[[#This Row],[RK]],TableWRCalcPts[RK],0)),"")</f>
        <v>Chris Godwin</v>
      </c>
      <c r="Q39" t="str">
        <f>IFERROR(INDEX(TableWRCalcPts[TM],MATCH(TableWRRanks[[#This Row],[RK]],TableWRCalcPts[RK],0)),"")</f>
        <v>TB</v>
      </c>
      <c r="R39">
        <f>IFERROR(INDEX(TableWRCalcPts[BYE],MATCH(TableWRRanks[[#This Row],[RK]],TableWRCalcPts[RK],0)),"")</f>
        <v>5</v>
      </c>
      <c r="S39" s="58">
        <f>IFERROR(INDEX(TableWRCalcPts[Custom],MATCH(TableWRRanks[[#This Row],[RK]],TableWRCalcPts[RK],0)),"")</f>
        <v>161.83878261451261</v>
      </c>
      <c r="T39" s="133">
        <f>(((VLOOKUP(TableWRRanks[[#This Row],[Player]],'OVR &amp; VORP Ranks'!$P:$T,5,FALSE)))/('OVR &amp; VORP Ranks'!$BM$6))*(Settings!$E$10*TEAMS)</f>
        <v>10.803718859322011</v>
      </c>
      <c r="V39">
        <v>38</v>
      </c>
      <c r="W39" t="str">
        <f>IFERROR(INDEX(TableTECalcPts[PLAYER],MATCH(TableTERanks[[#This Row],[RK]],TableTECalcPts[RK],0)),"")</f>
        <v>Kylen Granson</v>
      </c>
      <c r="X39" t="str">
        <f>IFERROR(INDEX(TableTECalcPts[TM],MATCH(TableTERanks[[#This Row],[RK]],TableTECalcPts[RK],0)),"")</f>
        <v>IND</v>
      </c>
      <c r="Y39">
        <f>IFERROR(INDEX(TableTECalcPts[BYE],MATCH(TableTERanks[[#This Row],[RK]],TableTECalcPts[RK],0)),"")</f>
        <v>11</v>
      </c>
      <c r="Z39" s="58">
        <f>IFERROR(INDEX(TableTECalcPts[Custom],MATCH(TableTERanks[[#This Row],[RK]],TableTECalcPts[RK],0)),"")</f>
        <v>57.54787370262359</v>
      </c>
      <c r="AA39" s="133">
        <f>(((VLOOKUP(TableTERanks[[#This Row],[Player]],'OVR &amp; VORP Ranks'!$W:$AA,5,FALSE)))/('OVR &amp; VORP Ranks'!$BM$6))*(Settings!$E$10*TEAMS)</f>
        <v>-23.011550252979475</v>
      </c>
    </row>
    <row r="40" spans="1:33" x14ac:dyDescent="0.2">
      <c r="A40">
        <v>39</v>
      </c>
      <c r="B40" t="str">
        <f>IFERROR(INDEX(TableQBCalcPts[PLAYER],MATCH(TableQBRanks[[#This Row],[RK]],TableQBCalcPts[RK],0)),"")</f>
        <v>Malik Willis</v>
      </c>
      <c r="C40" t="str">
        <f>IFERROR(INDEX(TableQBCalcPts[TM],MATCH(TableQBRanks[[#This Row],[RK]],TableQBCalcPts[RK],0)),"")</f>
        <v>TEN</v>
      </c>
      <c r="D40">
        <f>IFERROR(INDEX(TableQBCalcPts[BYE],MATCH(TableQBRanks[[#This Row],[RK]],TableQBCalcPts[RK],0)),"")</f>
        <v>7</v>
      </c>
      <c r="E40" s="58">
        <f>IFERROR(INDEX(TableQBCalcPts[Custom],MATCH(TableQBRanks[[#This Row],[RK]],TableQBCalcPts[RK],0)),"")</f>
        <v>21.063395821755705</v>
      </c>
      <c r="F40" s="133">
        <f>(((VLOOKUP(TableQBRanks[[#This Row],[Player]],'OVR &amp; VORP Ranks'!$B:$F,5,FALSE)))/('OVR &amp; VORP Ranks'!$BM$6))*(Settings!$E$10*TEAMS)</f>
        <v>-40.838402264193014</v>
      </c>
      <c r="H40">
        <v>39</v>
      </c>
      <c r="I40" t="str">
        <f>IFERROR(INDEX(TableRBCalcPts[PLAYER],MATCH(TableRBRanks[[#This Row],[RK]],TableRBCalcPts[RK],0)),"")</f>
        <v>Jamaal Williams</v>
      </c>
      <c r="J40" t="str">
        <f>IFERROR(INDEX(TableRBCalcPts[TM],MATCH(TableRBRanks[[#This Row],[RK]],TableRBCalcPts[RK],0)),"")</f>
        <v>NO</v>
      </c>
      <c r="K40">
        <f>IFERROR(INDEX(TableRBCalcPts[BYE],MATCH(TableRBRanks[[#This Row],[RK]],TableRBCalcPts[RK],0)),"")</f>
        <v>11</v>
      </c>
      <c r="L40" s="58">
        <f>IFERROR(INDEX(TableRBCalcPts[Custom],MATCH(TableRBRanks[[#This Row],[RK]],TableRBCalcPts[RK],0)),"")</f>
        <v>131.74018152559984</v>
      </c>
      <c r="M40" s="133">
        <f>(((VLOOKUP(TableRBRanks[[#This Row],[Player]],'OVR &amp; VORP Ranks'!$I:$M,5,FALSE)))/('OVR &amp; VORP Ranks'!$BM$6))*(Settings!$E$10*TEAMS)</f>
        <v>3.3802819039947347</v>
      </c>
      <c r="O40">
        <v>39</v>
      </c>
      <c r="P40" t="str">
        <f>IFERROR(INDEX(TableWRCalcPts[PLAYER],MATCH(TableWRRanks[[#This Row],[RK]],TableWRCalcPts[RK],0)),"")</f>
        <v>Michael Thomas</v>
      </c>
      <c r="Q40" t="str">
        <f>IFERROR(INDEX(TableWRCalcPts[TM],MATCH(TableWRRanks[[#This Row],[RK]],TableWRCalcPts[RK],0)),"")</f>
        <v>NO</v>
      </c>
      <c r="R40">
        <f>IFERROR(INDEX(TableWRCalcPts[BYE],MATCH(TableWRRanks[[#This Row],[RK]],TableWRCalcPts[RK],0)),"")</f>
        <v>11</v>
      </c>
      <c r="S40" s="58">
        <f>IFERROR(INDEX(TableWRCalcPts[Custom],MATCH(TableWRRanks[[#This Row],[RK]],TableWRCalcPts[RK],0)),"")</f>
        <v>161.64076617387752</v>
      </c>
      <c r="T40" s="133">
        <f>(((VLOOKUP(TableWRRanks[[#This Row],[Player]],'OVR &amp; VORP Ranks'!$P:$T,5,FALSE)))/('OVR &amp; VORP Ranks'!$BM$6))*(Settings!$E$10*TEAMS)</f>
        <v>10.735904649962558</v>
      </c>
      <c r="V40">
        <v>39</v>
      </c>
      <c r="W40" t="str">
        <f>IFERROR(INDEX(TableTECalcPts[PLAYER],MATCH(TableTERanks[[#This Row],[RK]],TableTECalcPts[RK],0)),"")</f>
        <v>Mo Alie-Cox</v>
      </c>
      <c r="X40" t="str">
        <f>IFERROR(INDEX(TableTECalcPts[TM],MATCH(TableTERanks[[#This Row],[RK]],TableTECalcPts[RK],0)),"")</f>
        <v>IND</v>
      </c>
      <c r="Y40">
        <f>IFERROR(INDEX(TableTECalcPts[BYE],MATCH(TableTERanks[[#This Row],[RK]],TableTECalcPts[RK],0)),"")</f>
        <v>11</v>
      </c>
      <c r="Z40" s="58">
        <f>IFERROR(INDEX(TableTECalcPts[Custom],MATCH(TableTERanks[[#This Row],[RK]],TableTECalcPts[RK],0)),"")</f>
        <v>54.929491460862458</v>
      </c>
      <c r="AA40" s="133">
        <f>(((VLOOKUP(TableTERanks[[#This Row],[Player]],'OVR &amp; VORP Ranks'!$W:$AA,5,FALSE)))/('OVR &amp; VORP Ranks'!$BM$6))*(Settings!$E$10*TEAMS)</f>
        <v>-23.994754560148195</v>
      </c>
    </row>
    <row r="41" spans="1:33" x14ac:dyDescent="0.2">
      <c r="A41">
        <v>40</v>
      </c>
      <c r="B41" t="str">
        <f>IFERROR(INDEX(TableQBCalcPts[PLAYER],MATCH(TableQBRanks[[#This Row],[RK]],TableQBCalcPts[RK],0)),"")</f>
        <v>Jacoby Brissett</v>
      </c>
      <c r="C41" t="str">
        <f>IFERROR(INDEX(TableQBCalcPts[TM],MATCH(TableQBRanks[[#This Row],[RK]],TableQBCalcPts[RK],0)),"")</f>
        <v>WSH</v>
      </c>
      <c r="D41">
        <f>IFERROR(INDEX(TableQBCalcPts[BYE],MATCH(TableQBRanks[[#This Row],[RK]],TableQBCalcPts[RK],0)),"")</f>
        <v>14</v>
      </c>
      <c r="E41" s="58">
        <f>IFERROR(INDEX(TableQBCalcPts[Custom],MATCH(TableQBRanks[[#This Row],[RK]],TableQBCalcPts[RK],0)),"")</f>
        <v>14.244298191012943</v>
      </c>
      <c r="F41" s="133">
        <f>(((VLOOKUP(TableQBRanks[[#This Row],[Player]],'OVR &amp; VORP Ranks'!$B:$F,5,FALSE)))/('OVR &amp; VORP Ranks'!$BM$6))*(Settings!$E$10*TEAMS)</f>
        <v>-41.983730322929048</v>
      </c>
      <c r="H41">
        <v>40</v>
      </c>
      <c r="I41" t="str">
        <f>IFERROR(INDEX(TableRBCalcPts[PLAYER],MATCH(TableRBRanks[[#This Row],[RK]],TableRBCalcPts[RK],0)),"")</f>
        <v>Ezekiel Elliott</v>
      </c>
      <c r="J41" t="str">
        <f>IFERROR(INDEX(TableRBCalcPts[TM],MATCH(TableRBRanks[[#This Row],[RK]],TableRBCalcPts[RK],0)),"")</f>
        <v>NE</v>
      </c>
      <c r="K41">
        <f>IFERROR(INDEX(TableRBCalcPts[BYE],MATCH(TableRBRanks[[#This Row],[RK]],TableRBCalcPts[RK],0)),"")</f>
        <v>11</v>
      </c>
      <c r="L41" s="58">
        <f>IFERROR(INDEX(TableRBCalcPts[Custom],MATCH(TableRBRanks[[#This Row],[RK]],TableRBCalcPts[RK],0)),"")</f>
        <v>129.219760046272</v>
      </c>
      <c r="M41" s="133">
        <f>(((VLOOKUP(TableRBRanks[[#This Row],[Player]],'OVR &amp; VORP Ranks'!$I:$M,5,FALSE)))/('OVR &amp; VORP Ranks'!$BM$6))*(Settings!$E$10*TEAMS)</f>
        <v>2.4619364424530468</v>
      </c>
      <c r="O41">
        <v>40</v>
      </c>
      <c r="P41" t="str">
        <f>IFERROR(INDEX(TableWRCalcPts[PLAYER],MATCH(TableWRRanks[[#This Row],[RK]],TableWRCalcPts[RK],0)),"")</f>
        <v>Courtland Sutton</v>
      </c>
      <c r="Q41" t="str">
        <f>IFERROR(INDEX(TableWRCalcPts[TM],MATCH(TableWRRanks[[#This Row],[RK]],TableWRCalcPts[RK],0)),"")</f>
        <v>DEN</v>
      </c>
      <c r="R41">
        <f>IFERROR(INDEX(TableWRCalcPts[BYE],MATCH(TableWRRanks[[#This Row],[RK]],TableWRCalcPts[RK],0)),"")</f>
        <v>9</v>
      </c>
      <c r="S41" s="58">
        <f>IFERROR(INDEX(TableWRCalcPts[Custom],MATCH(TableWRRanks[[#This Row],[RK]],TableWRCalcPts[RK],0)),"")</f>
        <v>153.42312532599362</v>
      </c>
      <c r="T41" s="133">
        <f>(((VLOOKUP(TableWRRanks[[#This Row],[Player]],'OVR &amp; VORP Ranks'!$P:$T,5,FALSE)))/('OVR &amp; VORP Ranks'!$BM$6))*(Settings!$E$10*TEAMS)</f>
        <v>7.9216291528781726</v>
      </c>
      <c r="V41">
        <v>40</v>
      </c>
      <c r="W41" t="str">
        <f>IFERROR(INDEX(TableTECalcPts[PLAYER],MATCH(TableTERanks[[#This Row],[RK]],TableTECalcPts[RK],0)),"")</f>
        <v>Durham Smythe</v>
      </c>
      <c r="X41" t="str">
        <f>IFERROR(INDEX(TableTECalcPts[TM],MATCH(TableTERanks[[#This Row],[RK]],TableTECalcPts[RK],0)),"")</f>
        <v>MIA</v>
      </c>
      <c r="Y41">
        <f>IFERROR(INDEX(TableTECalcPts[BYE],MATCH(TableTERanks[[#This Row],[RK]],TableTECalcPts[RK],0)),"")</f>
        <v>10</v>
      </c>
      <c r="Z41" s="58">
        <f>IFERROR(INDEX(TableTECalcPts[Custom],MATCH(TableTERanks[[#This Row],[RK]],TableTECalcPts[RK],0)),"")</f>
        <v>54.683501545855158</v>
      </c>
      <c r="AA41" s="133">
        <f>(((VLOOKUP(TableTERanks[[#This Row],[Player]],'OVR &amp; VORP Ranks'!$W:$AA,5,FALSE)))/('OVR &amp; VORP Ranks'!$BM$6))*(Settings!$E$10*TEAMS)</f>
        <v>-24.087123940026274</v>
      </c>
    </row>
    <row r="42" spans="1:33" x14ac:dyDescent="0.2">
      <c r="A42">
        <v>41</v>
      </c>
      <c r="B42" t="str">
        <f>IFERROR(INDEX(TableQBCalcPts[PLAYER],MATCH(TableQBRanks[[#This Row],[RK]],TableQBCalcPts[RK],0)),"")</f>
        <v>Andy Dalton</v>
      </c>
      <c r="C42" t="str">
        <f>IFERROR(INDEX(TableQBCalcPts[TM],MATCH(TableQBRanks[[#This Row],[RK]],TableQBCalcPts[RK],0)),"")</f>
        <v>CAR</v>
      </c>
      <c r="D42">
        <f>IFERROR(INDEX(TableQBCalcPts[BYE],MATCH(TableQBRanks[[#This Row],[RK]],TableQBCalcPts[RK],0)),"")</f>
        <v>7</v>
      </c>
      <c r="E42" s="58">
        <f>IFERROR(INDEX(TableQBCalcPts[Custom],MATCH(TableQBRanks[[#This Row],[RK]],TableQBCalcPts[RK],0)),"")</f>
        <v>13.859334107446738</v>
      </c>
      <c r="F42" s="133">
        <f>(((VLOOKUP(TableQBRanks[[#This Row],[Player]],'OVR &amp; VORP Ranks'!$B:$F,5,FALSE)))/('OVR &amp; VORP Ranks'!$BM$6))*(Settings!$E$10*TEAMS)</f>
        <v>-42.235138727657308</v>
      </c>
      <c r="H42">
        <v>41</v>
      </c>
      <c r="I42" t="str">
        <f>IFERROR(INDEX(TableRBCalcPts[PLAYER],MATCH(TableRBRanks[[#This Row],[RK]],TableRBCalcPts[RK],0)),"")</f>
        <v>Jerick McKinnon</v>
      </c>
      <c r="J42" t="str">
        <f>IFERROR(INDEX(TableRBCalcPts[TM],MATCH(TableRBRanks[[#This Row],[RK]],TableRBCalcPts[RK],0)),"")</f>
        <v>KC</v>
      </c>
      <c r="K42">
        <f>IFERROR(INDEX(TableRBCalcPts[BYE],MATCH(TableRBRanks[[#This Row],[RK]],TableRBCalcPts[RK],0)),"")</f>
        <v>10</v>
      </c>
      <c r="L42" s="58">
        <f>IFERROR(INDEX(TableRBCalcPts[Custom],MATCH(TableRBRanks[[#This Row],[RK]],TableRBCalcPts[RK],0)),"")</f>
        <v>127.93849341402913</v>
      </c>
      <c r="M42" s="133">
        <f>(((VLOOKUP(TableRBRanks[[#This Row],[Player]],'OVR &amp; VORP Ranks'!$I:$M,5,FALSE)))/('OVR &amp; VORP Ranks'!$BM$6))*(Settings!$E$10*TEAMS)</f>
        <v>1.995091747470189</v>
      </c>
      <c r="O42">
        <v>41</v>
      </c>
      <c r="P42" t="str">
        <f>IFERROR(INDEX(TableWRCalcPts[PLAYER],MATCH(TableWRRanks[[#This Row],[RK]],TableWRCalcPts[RK],0)),"")</f>
        <v>Jaxon Smith-Njigba</v>
      </c>
      <c r="Q42" t="str">
        <f>IFERROR(INDEX(TableWRCalcPts[TM],MATCH(TableWRRanks[[#This Row],[RK]],TableWRCalcPts[RK],0)),"")</f>
        <v>SEA</v>
      </c>
      <c r="R42">
        <f>IFERROR(INDEX(TableWRCalcPts[BYE],MATCH(TableWRRanks[[#This Row],[RK]],TableWRCalcPts[RK],0)),"")</f>
        <v>5</v>
      </c>
      <c r="S42" s="58">
        <f>IFERROR(INDEX(TableWRCalcPts[Custom],MATCH(TableWRRanks[[#This Row],[RK]],TableWRCalcPts[RK],0)),"")</f>
        <v>153.39600212962807</v>
      </c>
      <c r="T42" s="133">
        <f>(((VLOOKUP(TableWRRanks[[#This Row],[Player]],'OVR &amp; VORP Ranks'!$P:$T,5,FALSE)))/('OVR &amp; VORP Ranks'!$BM$6))*(Settings!$E$10*TEAMS)</f>
        <v>7.9123403377124628</v>
      </c>
      <c r="V42">
        <v>41</v>
      </c>
      <c r="W42" t="str">
        <f>IFERROR(INDEX(TableTECalcPts[PLAYER],MATCH(TableTERanks[[#This Row],[RK]],TableTECalcPts[RK],0)),"")</f>
        <v>Isaiah Likely</v>
      </c>
      <c r="X42" t="str">
        <f>IFERROR(INDEX(TableTECalcPts[TM],MATCH(TableTERanks[[#This Row],[RK]],TableTECalcPts[RK],0)),"")</f>
        <v>BAL</v>
      </c>
      <c r="Y42">
        <f>IFERROR(INDEX(TableTECalcPts[BYE],MATCH(TableTERanks[[#This Row],[RK]],TableTECalcPts[RK],0)),"")</f>
        <v>13</v>
      </c>
      <c r="Z42" s="58">
        <f>IFERROR(INDEX(TableTECalcPts[Custom],MATCH(TableTERanks[[#This Row],[RK]],TableTECalcPts[RK],0)),"")</f>
        <v>53.123189134197595</v>
      </c>
      <c r="AA42" s="133">
        <f>(((VLOOKUP(TableTERanks[[#This Row],[Player]],'OVR &amp; VORP Ranks'!$W:$AA,5,FALSE)))/('OVR &amp; VORP Ranks'!$BM$6))*(Settings!$E$10*TEAMS)</f>
        <v>-24.673022308569543</v>
      </c>
    </row>
    <row r="43" spans="1:33" x14ac:dyDescent="0.2">
      <c r="A43">
        <v>42</v>
      </c>
      <c r="B43" t="str">
        <f>IFERROR(INDEX(TableQBCalcPts[PLAYER],MATCH(TableQBRanks[[#This Row],[RK]],TableQBCalcPts[RK],0)),"")</f>
        <v>Gardner Minshew</v>
      </c>
      <c r="C43" t="str">
        <f>IFERROR(INDEX(TableQBCalcPts[TM],MATCH(TableQBRanks[[#This Row],[RK]],TableQBCalcPts[RK],0)),"")</f>
        <v>IND</v>
      </c>
      <c r="D43">
        <f>IFERROR(INDEX(TableQBCalcPts[BYE],MATCH(TableQBRanks[[#This Row],[RK]],TableQBCalcPts[RK],0)),"")</f>
        <v>11</v>
      </c>
      <c r="E43" s="58">
        <f>IFERROR(INDEX(TableQBCalcPts[Custom],MATCH(TableQBRanks[[#This Row],[RK]],TableQBCalcPts[RK],0)),"")</f>
        <v>13.361714622133919</v>
      </c>
      <c r="F43" s="133">
        <f>(((VLOOKUP(TableQBRanks[[#This Row],[Player]],'OVR &amp; VORP Ranks'!$B:$F,5,FALSE)))/('OVR &amp; VORP Ranks'!$BM$6))*(Settings!$E$10*TEAMS)</f>
        <v>-42.688866405342523</v>
      </c>
      <c r="H43">
        <v>42</v>
      </c>
      <c r="I43" t="str">
        <f>IFERROR(INDEX(TableRBCalcPts[PLAYER],MATCH(TableRBRanks[[#This Row],[RK]],TableRBCalcPts[RK],0)),"")</f>
        <v>Jaylen Warren</v>
      </c>
      <c r="J43" t="str">
        <f>IFERROR(INDEX(TableRBCalcPts[TM],MATCH(TableRBRanks[[#This Row],[RK]],TableRBCalcPts[RK],0)),"")</f>
        <v>PIT</v>
      </c>
      <c r="K43">
        <f>IFERROR(INDEX(TableRBCalcPts[BYE],MATCH(TableRBRanks[[#This Row],[RK]],TableRBCalcPts[RK],0)),"")</f>
        <v>6</v>
      </c>
      <c r="L43" s="58">
        <f>IFERROR(INDEX(TableRBCalcPts[Custom],MATCH(TableRBRanks[[#This Row],[RK]],TableRBCalcPts[RK],0)),"")</f>
        <v>125.49705526529478</v>
      </c>
      <c r="M43" s="133">
        <f>(((VLOOKUP(TableRBRanks[[#This Row],[Player]],'OVR &amp; VORP Ranks'!$I:$M,5,FALSE)))/('OVR &amp; VORP Ranks'!$BM$6))*(Settings!$E$10*TEAMS)</f>
        <v>1.1055247992775148</v>
      </c>
      <c r="O43">
        <v>42</v>
      </c>
      <c r="P43" t="str">
        <f>IFERROR(INDEX(TableWRCalcPts[PLAYER],MATCH(TableWRRanks[[#This Row],[RK]],TableWRCalcPts[RK],0)),"")</f>
        <v>Brandin Cooks</v>
      </c>
      <c r="Q43" t="str">
        <f>IFERROR(INDEX(TableWRCalcPts[TM],MATCH(TableWRRanks[[#This Row],[RK]],TableWRCalcPts[RK],0)),"")</f>
        <v>DAL</v>
      </c>
      <c r="R43">
        <f>IFERROR(INDEX(TableWRCalcPts[BYE],MATCH(TableWRRanks[[#This Row],[RK]],TableWRCalcPts[RK],0)),"")</f>
        <v>7</v>
      </c>
      <c r="S43" s="58">
        <f>IFERROR(INDEX(TableWRCalcPts[Custom],MATCH(TableWRRanks[[#This Row],[RK]],TableWRCalcPts[RK],0)),"")</f>
        <v>151.57421394837161</v>
      </c>
      <c r="T43" s="133">
        <f>(((VLOOKUP(TableWRRanks[[#This Row],[Player]],'OVR &amp; VORP Ranks'!$P:$T,5,FALSE)))/('OVR &amp; VORP Ranks'!$BM$6))*(Settings!$E$10*TEAMS)</f>
        <v>7.2884369651638528</v>
      </c>
      <c r="V43">
        <v>42</v>
      </c>
      <c r="W43" t="str">
        <f>IFERROR(INDEX(TableTECalcPts[PLAYER],MATCH(TableTERanks[[#This Row],[RK]],TableTECalcPts[RK],0)),"")</f>
        <v>Jonnu Smith</v>
      </c>
      <c r="X43" t="str">
        <f>IFERROR(INDEX(TableTECalcPts[TM],MATCH(TableTERanks[[#This Row],[RK]],TableTECalcPts[RK],0)),"")</f>
        <v>ATL</v>
      </c>
      <c r="Y43">
        <f>IFERROR(INDEX(TableTECalcPts[BYE],MATCH(TableTERanks[[#This Row],[RK]],TableTECalcPts[RK],0)),"")</f>
        <v>11</v>
      </c>
      <c r="Z43" s="58">
        <f>IFERROR(INDEX(TableTECalcPts[Custom],MATCH(TableTERanks[[#This Row],[RK]],TableTECalcPts[RK],0)),"")</f>
        <v>43.372279950248007</v>
      </c>
      <c r="AA43" s="133">
        <f>(((VLOOKUP(TableTERanks[[#This Row],[Player]],'OVR &amp; VORP Ranks'!$W:$AA,5,FALSE)))/('OVR &amp; VORP Ranks'!$BM$6))*(Settings!$E$10*TEAMS)</f>
        <v>-28.334495318721768</v>
      </c>
    </row>
    <row r="44" spans="1:33" x14ac:dyDescent="0.2">
      <c r="A44">
        <v>43</v>
      </c>
      <c r="B44" t="str">
        <f>IFERROR(INDEX(TableQBCalcPts[PLAYER],MATCH(TableQBRanks[[#This Row],[RK]],TableQBCalcPts[RK],0)),"")</f>
        <v>Jake Browning</v>
      </c>
      <c r="C44" t="str">
        <f>IFERROR(INDEX(TableQBCalcPts[TM],MATCH(TableQBRanks[[#This Row],[RK]],TableQBCalcPts[RK],0)),"")</f>
        <v>CIN</v>
      </c>
      <c r="D44">
        <f>IFERROR(INDEX(TableQBCalcPts[BYE],MATCH(TableQBRanks[[#This Row],[RK]],TableQBCalcPts[RK],0)),"")</f>
        <v>7</v>
      </c>
      <c r="E44" s="58">
        <f>IFERROR(INDEX(TableQBCalcPts[Custom],MATCH(TableQBRanks[[#This Row],[RK]],TableQBCalcPts[RK],0)),"")</f>
        <v>13.238857219174539</v>
      </c>
      <c r="F44" s="133">
        <f>(((VLOOKUP(TableQBRanks[[#This Row],[Player]],'OVR &amp; VORP Ranks'!$B:$F,5,FALSE)))/('OVR &amp; VORP Ranks'!$BM$6))*(Settings!$E$10*TEAMS)</f>
        <v>-42.754602842696436</v>
      </c>
      <c r="H44">
        <v>43</v>
      </c>
      <c r="I44" t="str">
        <f>IFERROR(INDEX(TableRBCalcPts[PLAYER],MATCH(TableRBRanks[[#This Row],[RK]],TableRBCalcPts[RK],0)),"")</f>
        <v>De'Von Achane</v>
      </c>
      <c r="J44" t="str">
        <f>IFERROR(INDEX(TableRBCalcPts[TM],MATCH(TableRBRanks[[#This Row],[RK]],TableRBCalcPts[RK],0)),"")</f>
        <v>MIA</v>
      </c>
      <c r="K44">
        <f>IFERROR(INDEX(TableRBCalcPts[BYE],MATCH(TableRBRanks[[#This Row],[RK]],TableRBCalcPts[RK],0)),"")</f>
        <v>10</v>
      </c>
      <c r="L44" s="58">
        <f>IFERROR(INDEX(TableRBCalcPts[Custom],MATCH(TableRBRanks[[#This Row],[RK]],TableRBCalcPts[RK],0)),"")</f>
        <v>125.17657453477499</v>
      </c>
      <c r="M44" s="133">
        <f>(((VLOOKUP(TableRBRanks[[#This Row],[Player]],'OVR &amp; VORP Ranks'!$I:$M,5,FALSE)))/('OVR &amp; VORP Ranks'!$BM$6))*(Settings!$E$10*TEAMS)</f>
        <v>0.98875384378522035</v>
      </c>
      <c r="O44">
        <v>43</v>
      </c>
      <c r="P44" t="str">
        <f>IFERROR(INDEX(TableWRCalcPts[PLAYER],MATCH(TableWRRanks[[#This Row],[RK]],TableWRCalcPts[RK],0)),"")</f>
        <v>Zay Jones</v>
      </c>
      <c r="Q44" t="str">
        <f>IFERROR(INDEX(TableWRCalcPts[TM],MATCH(TableWRRanks[[#This Row],[RK]],TableWRCalcPts[RK],0)),"")</f>
        <v>JAX</v>
      </c>
      <c r="R44">
        <f>IFERROR(INDEX(TableWRCalcPts[BYE],MATCH(TableWRRanks[[#This Row],[RK]],TableWRCalcPts[RK],0)),"")</f>
        <v>9</v>
      </c>
      <c r="S44" s="58">
        <f>IFERROR(INDEX(TableWRCalcPts[Custom],MATCH(TableWRRanks[[#This Row],[RK]],TableWRCalcPts[RK],0)),"")</f>
        <v>150.18755470457839</v>
      </c>
      <c r="T44" s="133">
        <f>(((VLOOKUP(TableWRRanks[[#This Row],[Player]],'OVR &amp; VORP Ranks'!$P:$T,5,FALSE)))/('OVR &amp; VORP Ranks'!$BM$6))*(Settings!$E$10*TEAMS)</f>
        <v>6.8135511427178965</v>
      </c>
      <c r="V44">
        <v>43</v>
      </c>
      <c r="W44" t="str">
        <f>IFERROR(INDEX(TableTECalcPts[PLAYER],MATCH(TableTERanks[[#This Row],[RK]],TableTECalcPts[RK],0)),"")</f>
        <v>Will Dissly</v>
      </c>
      <c r="X44" t="str">
        <f>IFERROR(INDEX(TableTECalcPts[TM],MATCH(TableTERanks[[#This Row],[RK]],TableTECalcPts[RK],0)),"")</f>
        <v>SEA</v>
      </c>
      <c r="Y44">
        <f>IFERROR(INDEX(TableTECalcPts[BYE],MATCH(TableTERanks[[#This Row],[RK]],TableTECalcPts[RK],0)),"")</f>
        <v>5</v>
      </c>
      <c r="Z44" s="58">
        <f>IFERROR(INDEX(TableTECalcPts[Custom],MATCH(TableTERanks[[#This Row],[RK]],TableTECalcPts[RK],0)),"")</f>
        <v>42.965516367240703</v>
      </c>
      <c r="AA44" s="133">
        <f>(((VLOOKUP(TableTERanks[[#This Row],[Player]],'OVR &amp; VORP Ranks'!$W:$AA,5,FALSE)))/('OVR &amp; VORP Ranks'!$BM$6))*(Settings!$E$10*TEAMS)</f>
        <v>-28.487235319946016</v>
      </c>
    </row>
    <row r="45" spans="1:33" x14ac:dyDescent="0.2">
      <c r="A45">
        <v>44</v>
      </c>
      <c r="B45" t="str">
        <f>IFERROR(INDEX(TableQBCalcPts[PLAYER],MATCH(TableQBRanks[[#This Row],[RK]],TableQBCalcPts[RK],0)),"")</f>
        <v>Sam Darnold</v>
      </c>
      <c r="C45" t="str">
        <f>IFERROR(INDEX(TableQBCalcPts[TM],MATCH(TableQBRanks[[#This Row],[RK]],TableQBCalcPts[RK],0)),"")</f>
        <v>SF</v>
      </c>
      <c r="D45">
        <f>IFERROR(INDEX(TableQBCalcPts[BYE],MATCH(TableQBRanks[[#This Row],[RK]],TableQBCalcPts[RK],0)),"")</f>
        <v>9</v>
      </c>
      <c r="E45" s="58">
        <f>IFERROR(INDEX(TableQBCalcPts[Custom],MATCH(TableQBRanks[[#This Row],[RK]],TableQBCalcPts[RK],0)),"")</f>
        <v>12.560258565599998</v>
      </c>
      <c r="F45" s="133">
        <f>(((VLOOKUP(TableQBRanks[[#This Row],[Player]],'OVR &amp; VORP Ranks'!$B:$F,5,FALSE)))/('OVR &amp; VORP Ranks'!$BM$6))*(Settings!$E$10*TEAMS)</f>
        <v>-43.27239386427712</v>
      </c>
      <c r="H45">
        <v>44</v>
      </c>
      <c r="I45" t="str">
        <f>IFERROR(INDEX(TableRBCalcPts[PLAYER],MATCH(TableRBRanks[[#This Row],[RK]],TableRBCalcPts[RK],0)),"")</f>
        <v>Deuce Vaughn</v>
      </c>
      <c r="J45" t="str">
        <f>IFERROR(INDEX(TableRBCalcPts[TM],MATCH(TableRBRanks[[#This Row],[RK]],TableRBCalcPts[RK],0)),"")</f>
        <v>DAL</v>
      </c>
      <c r="K45">
        <f>IFERROR(INDEX(TableRBCalcPts[BYE],MATCH(TableRBRanks[[#This Row],[RK]],TableRBCalcPts[RK],0)),"")</f>
        <v>7</v>
      </c>
      <c r="L45" s="58">
        <f>IFERROR(INDEX(TableRBCalcPts[Custom],MATCH(TableRBRanks[[#This Row],[RK]],TableRBCalcPts[RK],0)),"")</f>
        <v>122.46291553605721</v>
      </c>
      <c r="M45" s="133">
        <f>(((VLOOKUP(TableRBRanks[[#This Row],[Player]],'OVR &amp; VORP Ranks'!$I:$M,5,FALSE)))/('OVR &amp; VORP Ranks'!$BM$6))*(Settings!$E$10*TEAMS)</f>
        <v>0</v>
      </c>
      <c r="O45">
        <v>44</v>
      </c>
      <c r="P45" t="str">
        <f>IFERROR(INDEX(TableWRCalcPts[PLAYER],MATCH(TableWRRanks[[#This Row],[RK]],TableWRCalcPts[RK],0)),"")</f>
        <v>Marquez Valdes-Scantling</v>
      </c>
      <c r="Q45" t="str">
        <f>IFERROR(INDEX(TableWRCalcPts[TM],MATCH(TableWRRanks[[#This Row],[RK]],TableWRCalcPts[RK],0)),"")</f>
        <v>KC</v>
      </c>
      <c r="R45">
        <f>IFERROR(INDEX(TableWRCalcPts[BYE],MATCH(TableWRRanks[[#This Row],[RK]],TableWRCalcPts[RK],0)),"")</f>
        <v>10</v>
      </c>
      <c r="S45" s="58">
        <f>IFERROR(INDEX(TableWRCalcPts[Custom],MATCH(TableWRRanks[[#This Row],[RK]],TableWRCalcPts[RK],0)),"")</f>
        <v>149.61004613929302</v>
      </c>
      <c r="T45" s="133">
        <f>(((VLOOKUP(TableWRRanks[[#This Row],[Player]],'OVR &amp; VORP Ranks'!$P:$T,5,FALSE)))/('OVR &amp; VORP Ranks'!$BM$6))*(Settings!$E$10*TEAMS)</f>
        <v>6.6157731873747299</v>
      </c>
      <c r="V45">
        <v>44</v>
      </c>
      <c r="W45" t="str">
        <f>IFERROR(INDEX(TableTECalcPts[PLAYER],MATCH(TableTERanks[[#This Row],[RK]],TableTECalcPts[RK],0)),"")</f>
        <v>C.J. Uzomah</v>
      </c>
      <c r="X45" t="str">
        <f>IFERROR(INDEX(TableTECalcPts[TM],MATCH(TableTERanks[[#This Row],[RK]],TableTECalcPts[RK],0)),"")</f>
        <v>NYJ</v>
      </c>
      <c r="Y45">
        <f>IFERROR(INDEX(TableTECalcPts[BYE],MATCH(TableTERanks[[#This Row],[RK]],TableTECalcPts[RK],0)),"")</f>
        <v>7</v>
      </c>
      <c r="Z45" s="58">
        <f>IFERROR(INDEX(TableTECalcPts[Custom],MATCH(TableTERanks[[#This Row],[RK]],TableTECalcPts[RK],0)),"")</f>
        <v>39.827848874302617</v>
      </c>
      <c r="AA45" s="133">
        <f>(((VLOOKUP(TableTERanks[[#This Row],[Player]],'OVR &amp; VORP Ranks'!$W:$AA,5,FALSE)))/('OVR &amp; VORP Ranks'!$BM$6))*(Settings!$E$10*TEAMS)</f>
        <v>-29.665431591031723</v>
      </c>
    </row>
    <row r="46" spans="1:33" x14ac:dyDescent="0.2">
      <c r="A46">
        <v>45</v>
      </c>
      <c r="B46" t="str">
        <f>IFERROR(INDEX(TableQBCalcPts[PLAYER],MATCH(TableQBRanks[[#This Row],[RK]],TableQBCalcPts[RK],0)),"")</f>
        <v>Drew Lock</v>
      </c>
      <c r="C46" t="str">
        <f>IFERROR(INDEX(TableQBCalcPts[TM],MATCH(TableQBRanks[[#This Row],[RK]],TableQBCalcPts[RK],0)),"")</f>
        <v>SEA</v>
      </c>
      <c r="D46">
        <f>IFERROR(INDEX(TableQBCalcPts[BYE],MATCH(TableQBRanks[[#This Row],[RK]],TableQBCalcPts[RK],0)),"")</f>
        <v>5</v>
      </c>
      <c r="E46" s="58">
        <f>IFERROR(INDEX(TableQBCalcPts[Custom],MATCH(TableQBRanks[[#This Row],[RK]],TableQBCalcPts[RK],0)),"")</f>
        <v>11.385994292797822</v>
      </c>
      <c r="F46" s="133">
        <f>(((VLOOKUP(TableQBRanks[[#This Row],[Player]],'OVR &amp; VORP Ranks'!$B:$F,5,FALSE)))/('OVR &amp; VORP Ranks'!$BM$6))*(Settings!$E$10*TEAMS)</f>
        <v>-44.438592409247974</v>
      </c>
      <c r="H46">
        <v>45</v>
      </c>
      <c r="I46" t="str">
        <f>IFERROR(INDEX(TableRBCalcPts[PLAYER],MATCH(TableRBRanks[[#This Row],[RK]],TableRBCalcPts[RK],0)),"")</f>
        <v>Rashaad Penny</v>
      </c>
      <c r="J46" t="str">
        <f>IFERROR(INDEX(TableRBCalcPts[TM],MATCH(TableRBRanks[[#This Row],[RK]],TableRBCalcPts[RK],0)),"")</f>
        <v>PHI</v>
      </c>
      <c r="K46">
        <f>IFERROR(INDEX(TableRBCalcPts[BYE],MATCH(TableRBRanks[[#This Row],[RK]],TableRBCalcPts[RK],0)),"")</f>
        <v>10</v>
      </c>
      <c r="L46" s="58">
        <f>IFERROR(INDEX(TableRBCalcPts[Custom],MATCH(TableRBRanks[[#This Row],[RK]],TableRBCalcPts[RK],0)),"")</f>
        <v>116.11919779473679</v>
      </c>
      <c r="M46" s="133">
        <f>(((VLOOKUP(TableRBRanks[[#This Row],[Player]],'OVR &amp; VORP Ranks'!$I:$M,5,FALSE)))/('OVR &amp; VORP Ranks'!$BM$6))*(Settings!$E$10*TEAMS)</f>
        <v>-2.3114088039738241</v>
      </c>
      <c r="O46">
        <v>45</v>
      </c>
      <c r="P46" t="str">
        <f>IFERROR(INDEX(TableWRCalcPts[PLAYER],MATCH(TableWRRanks[[#This Row],[RK]],TableWRCalcPts[RK],0)),"")</f>
        <v>Michael Pittman</v>
      </c>
      <c r="Q46" t="str">
        <f>IFERROR(INDEX(TableWRCalcPts[TM],MATCH(TableWRRanks[[#This Row],[RK]],TableWRCalcPts[RK],0)),"")</f>
        <v>IND</v>
      </c>
      <c r="R46">
        <f>IFERROR(INDEX(TableWRCalcPts[BYE],MATCH(TableWRRanks[[#This Row],[RK]],TableWRCalcPts[RK],0)),"")</f>
        <v>11</v>
      </c>
      <c r="S46" s="58">
        <f>IFERROR(INDEX(TableWRCalcPts[Custom],MATCH(TableWRRanks[[#This Row],[RK]],TableWRCalcPts[RK],0)),"")</f>
        <v>147.32864579569036</v>
      </c>
      <c r="T46" s="133">
        <f>(((VLOOKUP(TableWRRanks[[#This Row],[Player]],'OVR &amp; VORP Ranks'!$P:$T,5,FALSE)))/('OVR &amp; VORP Ranks'!$BM$6))*(Settings!$E$10*TEAMS)</f>
        <v>5.834467554177805</v>
      </c>
      <c r="V46">
        <v>45</v>
      </c>
      <c r="W46" t="str">
        <f>IFERROR(INDEX(TableTECalcPts[PLAYER],MATCH(TableTERanks[[#This Row],[RK]],TableTECalcPts[RK],0)),"")</f>
        <v>Cole Turner</v>
      </c>
      <c r="X46" t="str">
        <f>IFERROR(INDEX(TableTECalcPts[TM],MATCH(TableTERanks[[#This Row],[RK]],TableTECalcPts[RK],0)),"")</f>
        <v>WSH</v>
      </c>
      <c r="Y46">
        <f>IFERROR(INDEX(TableTECalcPts[BYE],MATCH(TableTERanks[[#This Row],[RK]],TableTECalcPts[RK],0)),"")</f>
        <v>14</v>
      </c>
      <c r="Z46" s="58">
        <f>IFERROR(INDEX(TableTECalcPts[Custom],MATCH(TableTERanks[[#This Row],[RK]],TableTECalcPts[RK],0)),"")</f>
        <v>38.146037279319202</v>
      </c>
      <c r="AA46" s="133">
        <f>(((VLOOKUP(TableTERanks[[#This Row],[Player]],'OVR &amp; VORP Ranks'!$W:$AA,5,FALSE)))/('OVR &amp; VORP Ranks'!$BM$6))*(Settings!$E$10*TEAMS)</f>
        <v>-30.296952985296066</v>
      </c>
    </row>
    <row r="47" spans="1:33" x14ac:dyDescent="0.2">
      <c r="A47">
        <v>46</v>
      </c>
      <c r="B47" t="str">
        <f>IFERROR(INDEX(TableQBCalcPts[PLAYER],MATCH(TableQBRanks[[#This Row],[RK]],TableQBCalcPts[RK],0)),"")</f>
        <v>Will Levis</v>
      </c>
      <c r="C47" t="str">
        <f>IFERROR(INDEX(TableQBCalcPts[TM],MATCH(TableQBRanks[[#This Row],[RK]],TableQBCalcPts[RK],0)),"")</f>
        <v>TEN</v>
      </c>
      <c r="D47">
        <f>IFERROR(INDEX(TableQBCalcPts[BYE],MATCH(TableQBRanks[[#This Row],[RK]],TableQBCalcPts[RK],0)),"")</f>
        <v>7</v>
      </c>
      <c r="E47" s="58">
        <f>IFERROR(INDEX(TableQBCalcPts[Custom],MATCH(TableQBRanks[[#This Row],[RK]],TableQBCalcPts[RK],0)),"")</f>
        <v>11.103596077020001</v>
      </c>
      <c r="F47" s="133">
        <f>(((VLOOKUP(TableQBRanks[[#This Row],[Player]],'OVR &amp; VORP Ranks'!$B:$F,5,FALSE)))/('OVR &amp; VORP Ranks'!$BM$6))*(Settings!$E$10*TEAMS)</f>
        <v>-44.760077870538872</v>
      </c>
      <c r="H47">
        <v>46</v>
      </c>
      <c r="I47" t="str">
        <f>IFERROR(INDEX(TableRBCalcPts[PLAYER],MATCH(TableRBRanks[[#This Row],[RK]],TableRBCalcPts[RK],0)),"")</f>
        <v>Keaontay Ingram</v>
      </c>
      <c r="J47" t="str">
        <f>IFERROR(INDEX(TableRBCalcPts[TM],MATCH(TableRBRanks[[#This Row],[RK]],TableRBCalcPts[RK],0)),"")</f>
        <v>ARI</v>
      </c>
      <c r="K47">
        <f>IFERROR(INDEX(TableRBCalcPts[BYE],MATCH(TableRBRanks[[#This Row],[RK]],TableRBCalcPts[RK],0)),"")</f>
        <v>14</v>
      </c>
      <c r="L47" s="58">
        <f>IFERROR(INDEX(TableRBCalcPts[Custom],MATCH(TableRBRanks[[#This Row],[RK]],TableRBCalcPts[RK],0)),"")</f>
        <v>114.34337921125001</v>
      </c>
      <c r="M47" s="133">
        <f>(((VLOOKUP(TableRBRanks[[#This Row],[Player]],'OVR &amp; VORP Ranks'!$I:$M,5,FALSE)))/('OVR &amp; VORP Ranks'!$BM$6))*(Settings!$E$10*TEAMS)</f>
        <v>-2.9584493684358408</v>
      </c>
      <c r="O47">
        <v>46</v>
      </c>
      <c r="P47" t="str">
        <f>IFERROR(INDEX(TableWRCalcPts[PLAYER],MATCH(TableWRRanks[[#This Row],[RK]],TableWRCalcPts[RK],0)),"")</f>
        <v>Jonathan Mingo</v>
      </c>
      <c r="Q47" t="str">
        <f>IFERROR(INDEX(TableWRCalcPts[TM],MATCH(TableWRRanks[[#This Row],[RK]],TableWRCalcPts[RK],0)),"")</f>
        <v>CAR</v>
      </c>
      <c r="R47">
        <f>IFERROR(INDEX(TableWRCalcPts[BYE],MATCH(TableWRRanks[[#This Row],[RK]],TableWRCalcPts[RK],0)),"")</f>
        <v>7</v>
      </c>
      <c r="S47" s="58">
        <f>IFERROR(INDEX(TableWRCalcPts[Custom],MATCH(TableWRRanks[[#This Row],[RK]],TableWRCalcPts[RK],0)),"")</f>
        <v>147.26314162241712</v>
      </c>
      <c r="T47" s="133">
        <f>(((VLOOKUP(TableWRRanks[[#This Row],[Player]],'OVR &amp; VORP Ranks'!$P:$T,5,FALSE)))/('OVR &amp; VORP Ranks'!$BM$6))*(Settings!$E$10*TEAMS)</f>
        <v>5.8120344990939827</v>
      </c>
      <c r="V47">
        <v>46</v>
      </c>
      <c r="W47" t="str">
        <f>IFERROR(INDEX(TableTECalcPts[PLAYER],MATCH(TableTERanks[[#This Row],[RK]],TableTECalcPts[RK],0)),"")</f>
        <v>Teagan Quitoriano</v>
      </c>
      <c r="X47" t="str">
        <f>IFERROR(INDEX(TableTECalcPts[TM],MATCH(TableTERanks[[#This Row],[RK]],TableTECalcPts[RK],0)),"")</f>
        <v>HOU</v>
      </c>
      <c r="Y47">
        <f>IFERROR(INDEX(TableTECalcPts[BYE],MATCH(TableTERanks[[#This Row],[RK]],TableTECalcPts[RK],0)),"")</f>
        <v>7</v>
      </c>
      <c r="Z47" s="58">
        <f>IFERROR(INDEX(TableTECalcPts[Custom],MATCH(TableTERanks[[#This Row],[RK]],TableTECalcPts[RK],0)),"")</f>
        <v>36.024327486654819</v>
      </c>
      <c r="AA47" s="133">
        <f>(((VLOOKUP(TableTERanks[[#This Row],[Player]],'OVR &amp; VORP Ranks'!$W:$AA,5,FALSE)))/('OVR &amp; VORP Ranks'!$BM$6))*(Settings!$E$10*TEAMS)</f>
        <v>-31.093656451061463</v>
      </c>
    </row>
    <row r="48" spans="1:33" x14ac:dyDescent="0.2">
      <c r="A48">
        <v>47</v>
      </c>
      <c r="B48" t="str">
        <f>IFERROR(INDEX(TableQBCalcPts[PLAYER],MATCH(TableQBRanks[[#This Row],[RK]],TableQBCalcPts[RK],0)),"")</f>
        <v>Mitch Trubisky</v>
      </c>
      <c r="C48" t="str">
        <f>IFERROR(INDEX(TableQBCalcPts[TM],MATCH(TableQBRanks[[#This Row],[RK]],TableQBCalcPts[RK],0)),"")</f>
        <v>PIT</v>
      </c>
      <c r="D48">
        <f>IFERROR(INDEX(TableQBCalcPts[BYE],MATCH(TableQBRanks[[#This Row],[RK]],TableQBCalcPts[RK],0)),"")</f>
        <v>6</v>
      </c>
      <c r="E48" s="58">
        <f>IFERROR(INDEX(TableQBCalcPts[Custom],MATCH(TableQBRanks[[#This Row],[RK]],TableQBCalcPts[RK],0)),"")</f>
        <v>10.816911422719926</v>
      </c>
      <c r="F48" s="133">
        <f>(((VLOOKUP(TableQBRanks[[#This Row],[Player]],'OVR &amp; VORP Ranks'!$B:$F,5,FALSE)))/('OVR &amp; VORP Ranks'!$BM$6))*(Settings!$E$10*TEAMS)</f>
        <v>-44.991731549796796</v>
      </c>
      <c r="H48">
        <v>47</v>
      </c>
      <c r="I48" t="str">
        <f>IFERROR(INDEX(TableRBCalcPts[PLAYER],MATCH(TableRBRanks[[#This Row],[RK]],TableRBCalcPts[RK],0)),"")</f>
        <v>Roschon Johnson</v>
      </c>
      <c r="J48" t="str">
        <f>IFERROR(INDEX(TableRBCalcPts[TM],MATCH(TableRBRanks[[#This Row],[RK]],TableRBCalcPts[RK],0)),"")</f>
        <v>CHI</v>
      </c>
      <c r="K48">
        <f>IFERROR(INDEX(TableRBCalcPts[BYE],MATCH(TableRBRanks[[#This Row],[RK]],TableRBCalcPts[RK],0)),"")</f>
        <v>13</v>
      </c>
      <c r="L48" s="58">
        <f>IFERROR(INDEX(TableRBCalcPts[Custom],MATCH(TableRBRanks[[#This Row],[RK]],TableRBCalcPts[RK],0)),"")</f>
        <v>113.11824613203741</v>
      </c>
      <c r="M48" s="133">
        <f>(((VLOOKUP(TableRBRanks[[#This Row],[Player]],'OVR &amp; VORP Ranks'!$I:$M,5,FALSE)))/('OVR &amp; VORP Ranks'!$BM$6))*(Settings!$E$10*TEAMS)</f>
        <v>-3.4048411375535719</v>
      </c>
      <c r="O48">
        <v>47</v>
      </c>
      <c r="P48" t="str">
        <f>IFERROR(INDEX(TableWRCalcPts[PLAYER],MATCH(TableWRRanks[[#This Row],[RK]],TableWRCalcPts[RK],0)),"")</f>
        <v>Adam Thielen</v>
      </c>
      <c r="Q48" t="str">
        <f>IFERROR(INDEX(TableWRCalcPts[TM],MATCH(TableWRRanks[[#This Row],[RK]],TableWRCalcPts[RK],0)),"")</f>
        <v>CAR</v>
      </c>
      <c r="R48">
        <f>IFERROR(INDEX(TableWRCalcPts[BYE],MATCH(TableWRRanks[[#This Row],[RK]],TableWRCalcPts[RK],0)),"")</f>
        <v>7</v>
      </c>
      <c r="S48" s="58">
        <f>IFERROR(INDEX(TableWRCalcPts[Custom],MATCH(TableWRRanks[[#This Row],[RK]],TableWRCalcPts[RK],0)),"")</f>
        <v>146.5873035192601</v>
      </c>
      <c r="T48" s="133">
        <f>(((VLOOKUP(TableWRRanks[[#This Row],[Player]],'OVR &amp; VORP Ranks'!$P:$T,5,FALSE)))/('OVR &amp; VORP Ranks'!$BM$6))*(Settings!$E$10*TEAMS)</f>
        <v>5.5805818657995285</v>
      </c>
      <c r="V48">
        <v>47</v>
      </c>
      <c r="W48" t="str">
        <f>IFERROR(INDEX(TableTECalcPts[PLAYER],MATCH(TableTERanks[[#This Row],[RK]],TableTECalcPts[RK],0)),"")</f>
        <v>Tucker Kraft</v>
      </c>
      <c r="X48" t="str">
        <f>IFERROR(INDEX(TableTECalcPts[TM],MATCH(TableTERanks[[#This Row],[RK]],TableTECalcPts[RK],0)),"")</f>
        <v>GB</v>
      </c>
      <c r="Y48">
        <f>IFERROR(INDEX(TableTECalcPts[BYE],MATCH(TableTERanks[[#This Row],[RK]],TableTECalcPts[RK],0)),"")</f>
        <v>6</v>
      </c>
      <c r="Z48" s="58">
        <f>IFERROR(INDEX(TableTECalcPts[Custom],MATCH(TableTERanks[[#This Row],[RK]],TableTECalcPts[RK],0)),"")</f>
        <v>35.669760428570214</v>
      </c>
      <c r="AA48" s="133">
        <f>(((VLOOKUP(TableTERanks[[#This Row],[Player]],'OVR &amp; VORP Ranks'!$W:$AA,5,FALSE)))/('OVR &amp; VORP Ranks'!$BM$6))*(Settings!$E$10*TEAMS)</f>
        <v>-31.226796621785528</v>
      </c>
    </row>
    <row r="49" spans="1:27" x14ac:dyDescent="0.2">
      <c r="A49">
        <v>48</v>
      </c>
      <c r="B49" t="str">
        <f>IFERROR(INDEX(TableQBCalcPts[PLAYER],MATCH(TableQBRanks[[#This Row],[RK]],TableQBCalcPts[RK],0)),"")</f>
        <v>Trey Lance</v>
      </c>
      <c r="C49" t="str">
        <f>IFERROR(INDEX(TableQBCalcPts[TM],MATCH(TableQBRanks[[#This Row],[RK]],TableQBCalcPts[RK],0)),"")</f>
        <v>DAL</v>
      </c>
      <c r="D49">
        <f>IFERROR(INDEX(TableQBCalcPts[BYE],MATCH(TableQBRanks[[#This Row],[RK]],TableQBCalcPts[RK],0)),"")</f>
        <v>7</v>
      </c>
      <c r="E49" s="58">
        <f>IFERROR(INDEX(TableQBCalcPts[Custom],MATCH(TableQBRanks[[#This Row],[RK]],TableQBCalcPts[RK],0)),"")</f>
        <v>10.390084375273929</v>
      </c>
      <c r="F49" s="133">
        <f>(((VLOOKUP(TableQBRanks[[#This Row],[Player]],'OVR &amp; VORP Ranks'!$B:$F,5,FALSE)))/('OVR &amp; VORP Ranks'!$BM$6))*(Settings!$E$10*TEAMS)</f>
        <v>-45.539221648701655</v>
      </c>
      <c r="H49">
        <v>48</v>
      </c>
      <c r="I49" t="str">
        <f>IFERROR(INDEX(TableRBCalcPts[PLAYER],MATCH(TableRBRanks[[#This Row],[RK]],TableRBCalcPts[RK],0)),"")</f>
        <v>Tank Bigsby</v>
      </c>
      <c r="J49" t="str">
        <f>IFERROR(INDEX(TableRBCalcPts[TM],MATCH(TableRBRanks[[#This Row],[RK]],TableRBCalcPts[RK],0)),"")</f>
        <v>JAX</v>
      </c>
      <c r="K49">
        <f>IFERROR(INDEX(TableRBCalcPts[BYE],MATCH(TableRBRanks[[#This Row],[RK]],TableRBCalcPts[RK],0)),"")</f>
        <v>9</v>
      </c>
      <c r="L49" s="58">
        <f>IFERROR(INDEX(TableRBCalcPts[Custom],MATCH(TableRBRanks[[#This Row],[RK]],TableRBCalcPts[RK],0)),"")</f>
        <v>110.05860429876311</v>
      </c>
      <c r="M49" s="133">
        <f>(((VLOOKUP(TableRBRanks[[#This Row],[Player]],'OVR &amp; VORP Ranks'!$I:$M,5,FALSE)))/('OVR &amp; VORP Ranks'!$BM$6))*(Settings!$E$10*TEAMS)</f>
        <v>-4.5196579309257183</v>
      </c>
      <c r="O49">
        <v>48</v>
      </c>
      <c r="P49" t="str">
        <f>IFERROR(INDEX(TableWRCalcPts[PLAYER],MATCH(TableWRRanks[[#This Row],[RK]],TableWRCalcPts[RK],0)),"")</f>
        <v>Treylon Burks</v>
      </c>
      <c r="Q49" t="str">
        <f>IFERROR(INDEX(TableWRCalcPts[TM],MATCH(TableWRRanks[[#This Row],[RK]],TableWRCalcPts[RK],0)),"")</f>
        <v>TEN</v>
      </c>
      <c r="R49">
        <f>IFERROR(INDEX(TableWRCalcPts[BYE],MATCH(TableWRRanks[[#This Row],[RK]],TableWRCalcPts[RK],0)),"")</f>
        <v>7</v>
      </c>
      <c r="S49" s="58">
        <f>IFERROR(INDEX(TableWRCalcPts[Custom],MATCH(TableWRRanks[[#This Row],[RK]],TableWRCalcPts[RK],0)),"")</f>
        <v>146.50792170981475</v>
      </c>
      <c r="T49" s="133">
        <f>(((VLOOKUP(TableWRRanks[[#This Row],[Player]],'OVR &amp; VORP Ranks'!$P:$T,5,FALSE)))/('OVR &amp; VORP Ranks'!$BM$6))*(Settings!$E$10*TEAMS)</f>
        <v>5.5533961703704326</v>
      </c>
      <c r="V49">
        <v>48</v>
      </c>
      <c r="W49" t="str">
        <f>IFERROR(INDEX(TableTECalcPts[PLAYER],MATCH(TableTERanks[[#This Row],[RK]],TableTECalcPts[RK],0)),"")</f>
        <v>Donald Parham</v>
      </c>
      <c r="X49" t="str">
        <f>IFERROR(INDEX(TableTECalcPts[TM],MATCH(TableTERanks[[#This Row],[RK]],TableTECalcPts[RK],0)),"")</f>
        <v>LAC</v>
      </c>
      <c r="Y49">
        <f>IFERROR(INDEX(TableTECalcPts[BYE],MATCH(TableTERanks[[#This Row],[RK]],TableTECalcPts[RK],0)),"")</f>
        <v>5</v>
      </c>
      <c r="Z49" s="58">
        <f>IFERROR(INDEX(TableTECalcPts[Custom],MATCH(TableTERanks[[#This Row],[RK]],TableTECalcPts[RK],0)),"")</f>
        <v>32.990479742088795</v>
      </c>
      <c r="AA49" s="133">
        <f>(((VLOOKUP(TableTERanks[[#This Row],[Player]],'OVR &amp; VORP Ranks'!$W:$AA,5,FALSE)))/('OVR &amp; VORP Ranks'!$BM$6))*(Settings!$E$10*TEAMS)</f>
        <v>-32.232868336238745</v>
      </c>
    </row>
    <row r="50" spans="1:27" x14ac:dyDescent="0.2">
      <c r="A50">
        <v>49</v>
      </c>
      <c r="B50" t="str">
        <f>IFERROR(INDEX(TableQBCalcPts[PLAYER],MATCH(TableQBRanks[[#This Row],[RK]],TableQBCalcPts[RK],0)),"")</f>
        <v>Stetson Bennett</v>
      </c>
      <c r="C50" t="str">
        <f>IFERROR(INDEX(TableQBCalcPts[TM],MATCH(TableQBRanks[[#This Row],[RK]],TableQBCalcPts[RK],0)),"")</f>
        <v>LAR</v>
      </c>
      <c r="D50">
        <f>IFERROR(INDEX(TableQBCalcPts[BYE],MATCH(TableQBRanks[[#This Row],[RK]],TableQBCalcPts[RK],0)),"")</f>
        <v>10</v>
      </c>
      <c r="E50" s="58">
        <f>IFERROR(INDEX(TableQBCalcPts[Custom],MATCH(TableQBRanks[[#This Row],[RK]],TableQBCalcPts[RK],0)),"")</f>
        <v>9.3979359768056128</v>
      </c>
      <c r="F50" s="133">
        <f>(((VLOOKUP(TableQBRanks[[#This Row],[Player]],'OVR &amp; VORP Ranks'!$B:$F,5,FALSE)))/('OVR &amp; VORP Ranks'!$BM$6))*(Settings!$E$10*TEAMS)</f>
        <v>-46.127565201336111</v>
      </c>
      <c r="H50">
        <v>49</v>
      </c>
      <c r="I50" t="str">
        <f>IFERROR(INDEX(TableRBCalcPts[PLAYER],MATCH(TableRBRanks[[#This Row],[RK]],TableRBCalcPts[RK],0)),"")</f>
        <v>Ty Chandler</v>
      </c>
      <c r="J50" t="str">
        <f>IFERROR(INDEX(TableRBCalcPts[TM],MATCH(TableRBRanks[[#This Row],[RK]],TableRBCalcPts[RK],0)),"")</f>
        <v>MIN</v>
      </c>
      <c r="K50">
        <f>IFERROR(INDEX(TableRBCalcPts[BYE],MATCH(TableRBRanks[[#This Row],[RK]],TableRBCalcPts[RK],0)),"")</f>
        <v>13</v>
      </c>
      <c r="L50" s="58">
        <f>IFERROR(INDEX(TableRBCalcPts[Custom],MATCH(TableRBRanks[[#This Row],[RK]],TableRBCalcPts[RK],0)),"")</f>
        <v>107.11994911405516</v>
      </c>
      <c r="M50" s="133">
        <f>(((VLOOKUP(TableRBRanks[[#This Row],[Player]],'OVR &amp; VORP Ranks'!$I:$M,5,FALSE)))/('OVR &amp; VORP Ranks'!$BM$6))*(Settings!$E$10*TEAMS)</f>
        <v>-5.5903918038302649</v>
      </c>
      <c r="O50">
        <v>49</v>
      </c>
      <c r="P50" t="str">
        <f>IFERROR(INDEX(TableWRCalcPts[PLAYER],MATCH(TableWRRanks[[#This Row],[RK]],TableWRCalcPts[RK],0)),"")</f>
        <v>Quentin Johnston</v>
      </c>
      <c r="Q50" t="str">
        <f>IFERROR(INDEX(TableWRCalcPts[TM],MATCH(TableWRRanks[[#This Row],[RK]],TableWRCalcPts[RK],0)),"")</f>
        <v>LAC</v>
      </c>
      <c r="R50">
        <f>IFERROR(INDEX(TableWRCalcPts[BYE],MATCH(TableWRRanks[[#This Row],[RK]],TableWRCalcPts[RK],0)),"")</f>
        <v>5</v>
      </c>
      <c r="S50" s="58">
        <f>IFERROR(INDEX(TableWRCalcPts[Custom],MATCH(TableWRRanks[[#This Row],[RK]],TableWRCalcPts[RK],0)),"")</f>
        <v>146.30157488677921</v>
      </c>
      <c r="T50" s="133">
        <f>(((VLOOKUP(TableWRRanks[[#This Row],[Player]],'OVR &amp; VORP Ranks'!$P:$T,5,FALSE)))/('OVR &amp; VORP Ranks'!$BM$6))*(Settings!$E$10*TEAMS)</f>
        <v>5.4827290751882813</v>
      </c>
      <c r="V50">
        <v>49</v>
      </c>
      <c r="W50" t="str">
        <f>IFERROR(INDEX(TableTECalcPts[PLAYER],MATCH(TableTERanks[[#This Row],[RK]],TableTECalcPts[RK],0)),"")</f>
        <v>Julian Hill</v>
      </c>
      <c r="X50" t="str">
        <f>IFERROR(INDEX(TableTECalcPts[TM],MATCH(TableTERanks[[#This Row],[RK]],TableTECalcPts[RK],0)),"")</f>
        <v>MIA</v>
      </c>
      <c r="Y50">
        <f>IFERROR(INDEX(TableTECalcPts[BYE],MATCH(TableTERanks[[#This Row],[RK]],TableTECalcPts[RK],0)),"")</f>
        <v>10</v>
      </c>
      <c r="Z50" s="58">
        <f>IFERROR(INDEX(TableTECalcPts[Custom],MATCH(TableTERanks[[#This Row],[RK]],TableTECalcPts[RK],0)),"")</f>
        <v>31.534379794827011</v>
      </c>
      <c r="AA50" s="133">
        <f>(((VLOOKUP(TableTERanks[[#This Row],[Player]],'OVR &amp; VORP Ranks'!$W:$AA,5,FALSE)))/('OVR &amp; VORP Ranks'!$BM$6))*(Settings!$E$10*TEAMS)</f>
        <v>-32.779634853740411</v>
      </c>
    </row>
    <row r="51" spans="1:27" x14ac:dyDescent="0.2">
      <c r="A51">
        <v>50</v>
      </c>
      <c r="B51" t="str">
        <f>IFERROR(INDEX(TableQBCalcPts[PLAYER],MATCH(TableQBRanks[[#This Row],[RK]],TableQBCalcPts[RK],0)),"")</f>
        <v>Marcus Mariota</v>
      </c>
      <c r="C51" t="str">
        <f>IFERROR(INDEX(TableQBCalcPts[TM],MATCH(TableQBRanks[[#This Row],[RK]],TableQBCalcPts[RK],0)),"")</f>
        <v>PHI</v>
      </c>
      <c r="D51">
        <f>IFERROR(INDEX(TableQBCalcPts[BYE],MATCH(TableQBRanks[[#This Row],[RK]],TableQBCalcPts[RK],0)),"")</f>
        <v>10</v>
      </c>
      <c r="E51" s="58">
        <f>IFERROR(INDEX(TableQBCalcPts[Custom],MATCH(TableQBRanks[[#This Row],[RK]],TableQBCalcPts[RK],0)),"")</f>
        <v>8.783530238899468</v>
      </c>
      <c r="F51" s="133">
        <f>(((VLOOKUP(TableQBRanks[[#This Row],[Player]],'OVR &amp; VORP Ranks'!$B:$F,5,FALSE)))/('OVR &amp; VORP Ranks'!$BM$6))*(Settings!$E$10*TEAMS)</f>
        <v>-46.461986618353471</v>
      </c>
      <c r="H51">
        <v>50</v>
      </c>
      <c r="I51" t="str">
        <f>IFERROR(INDEX(TableRBCalcPts[PLAYER],MATCH(TableRBRanks[[#This Row],[RK]],TableRBCalcPts[RK],0)),"")</f>
        <v>Damien Harris</v>
      </c>
      <c r="J51" t="str">
        <f>IFERROR(INDEX(TableRBCalcPts[TM],MATCH(TableRBRanks[[#This Row],[RK]],TableRBCalcPts[RK],0)),"")</f>
        <v>BUF</v>
      </c>
      <c r="K51">
        <f>IFERROR(INDEX(TableRBCalcPts[BYE],MATCH(TableRBRanks[[#This Row],[RK]],TableRBCalcPts[RK],0)),"")</f>
        <v>13</v>
      </c>
      <c r="L51" s="58">
        <f>IFERROR(INDEX(TableRBCalcPts[Custom],MATCH(TableRBRanks[[#This Row],[RK]],TableRBCalcPts[RK],0)),"")</f>
        <v>105.48261995841824</v>
      </c>
      <c r="M51" s="133">
        <f>(((VLOOKUP(TableRBRanks[[#This Row],[Player]],'OVR &amp; VORP Ranks'!$I:$M,5,FALSE)))/('OVR &amp; VORP Ranks'!$BM$6))*(Settings!$E$10*TEAMS)</f>
        <v>-6.1869721025865054</v>
      </c>
      <c r="O51">
        <v>50</v>
      </c>
      <c r="P51" t="str">
        <f>IFERROR(INDEX(TableWRCalcPts[PLAYER],MATCH(TableWRRanks[[#This Row],[RK]],TableWRCalcPts[RK],0)),"")</f>
        <v>Diontae Johnson</v>
      </c>
      <c r="Q51" t="str">
        <f>IFERROR(INDEX(TableWRCalcPts[TM],MATCH(TableWRRanks[[#This Row],[RK]],TableWRCalcPts[RK],0)),"")</f>
        <v>PIT</v>
      </c>
      <c r="R51">
        <f>IFERROR(INDEX(TableWRCalcPts[BYE],MATCH(TableWRRanks[[#This Row],[RK]],TableWRCalcPts[RK],0)),"")</f>
        <v>6</v>
      </c>
      <c r="S51" s="58">
        <f>IFERROR(INDEX(TableWRCalcPts[Custom],MATCH(TableWRRanks[[#This Row],[RK]],TableWRCalcPts[RK],0)),"")</f>
        <v>144.91414323693797</v>
      </c>
      <c r="T51" s="133">
        <f>(((VLOOKUP(TableWRRanks[[#This Row],[Player]],'OVR &amp; VORP Ranks'!$P:$T,5,FALSE)))/('OVR &amp; VORP Ranks'!$BM$6))*(Settings!$E$10*TEAMS)</f>
        <v>5.0075787287195617</v>
      </c>
      <c r="V51">
        <v>50</v>
      </c>
      <c r="W51" t="str">
        <f>IFERROR(INDEX(TableTECalcPts[PLAYER],MATCH(TableTERanks[[#This Row],[RK]],TableTECalcPts[RK],0)),"")</f>
        <v>Luke Schoonmaker</v>
      </c>
      <c r="X51" t="str">
        <f>IFERROR(INDEX(TableTECalcPts[TM],MATCH(TableTERanks[[#This Row],[RK]],TableTECalcPts[RK],0)),"")</f>
        <v>DAL</v>
      </c>
      <c r="Y51">
        <f>IFERROR(INDEX(TableTECalcPts[BYE],MATCH(TableTERanks[[#This Row],[RK]],TableTECalcPts[RK],0)),"")</f>
        <v>7</v>
      </c>
      <c r="Z51" s="58">
        <f>IFERROR(INDEX(TableTECalcPts[Custom],MATCH(TableTERanks[[#This Row],[RK]],TableTECalcPts[RK],0)),"")</f>
        <v>31.070588099084844</v>
      </c>
      <c r="AA51" s="133">
        <f>(((VLOOKUP(TableTERanks[[#This Row],[Player]],'OVR &amp; VORP Ranks'!$W:$AA,5,FALSE)))/('OVR &amp; VORP Ranks'!$BM$6))*(Settings!$E$10*TEAMS)</f>
        <v>-32.95378894996437</v>
      </c>
    </row>
    <row r="52" spans="1:27" x14ac:dyDescent="0.2">
      <c r="A52">
        <v>51</v>
      </c>
      <c r="B52" t="str">
        <f>IFERROR(INDEX(TableQBCalcPts[PLAYER],MATCH(TableQBRanks[[#This Row],[RK]],TableQBCalcPts[RK],0)),"")</f>
        <v>Nick Mullens</v>
      </c>
      <c r="C52" t="str">
        <f>IFERROR(INDEX(TableQBCalcPts[TM],MATCH(TableQBRanks[[#This Row],[RK]],TableQBCalcPts[RK],0)),"")</f>
        <v>MIN</v>
      </c>
      <c r="D52">
        <f>IFERROR(INDEX(TableQBCalcPts[BYE],MATCH(TableQBRanks[[#This Row],[RK]],TableQBCalcPts[RK],0)),"")</f>
        <v>13</v>
      </c>
      <c r="E52" s="58">
        <f>IFERROR(INDEX(TableQBCalcPts[Custom],MATCH(TableQBRanks[[#This Row],[RK]],TableQBCalcPts[RK],0)),"")</f>
        <v>7.8821260056000071</v>
      </c>
      <c r="F52" s="133">
        <f>(((VLOOKUP(TableQBRanks[[#This Row],[Player]],'OVR &amp; VORP Ranks'!$B:$F,5,FALSE)))/('OVR &amp; VORP Ranks'!$BM$6))*(Settings!$E$10*TEAMS)</f>
        <v>-46.703384127351185</v>
      </c>
      <c r="H52">
        <v>51</v>
      </c>
      <c r="I52" t="str">
        <f>IFERROR(INDEX(TableRBCalcPts[PLAYER],MATCH(TableRBRanks[[#This Row],[RK]],TableRBCalcPts[RK],0)),"")</f>
        <v>Elijah Mitchell</v>
      </c>
      <c r="J52" t="str">
        <f>IFERROR(INDEX(TableRBCalcPts[TM],MATCH(TableRBRanks[[#This Row],[RK]],TableRBCalcPts[RK],0)),"")</f>
        <v>SF</v>
      </c>
      <c r="K52">
        <f>IFERROR(INDEX(TableRBCalcPts[BYE],MATCH(TableRBRanks[[#This Row],[RK]],TableRBCalcPts[RK],0)),"")</f>
        <v>9</v>
      </c>
      <c r="L52" s="58">
        <f>IFERROR(INDEX(TableRBCalcPts[Custom],MATCH(TableRBRanks[[#This Row],[RK]],TableRBCalcPts[RK],0)),"")</f>
        <v>104.6005533109488</v>
      </c>
      <c r="M52" s="133">
        <f>(((VLOOKUP(TableRBRanks[[#This Row],[Player]],'OVR &amp; VORP Ranks'!$I:$M,5,FALSE)))/('OVR &amp; VORP Ranks'!$BM$6))*(Settings!$E$10*TEAMS)</f>
        <v>-6.5083635480747741</v>
      </c>
      <c r="O52">
        <v>51</v>
      </c>
      <c r="P52" t="str">
        <f>IFERROR(INDEX(TableWRCalcPts[PLAYER],MATCH(TableWRRanks[[#This Row],[RK]],TableWRCalcPts[RK],0)),"")</f>
        <v>Jakobi Meyers</v>
      </c>
      <c r="Q52" t="str">
        <f>IFERROR(INDEX(TableWRCalcPts[TM],MATCH(TableWRRanks[[#This Row],[RK]],TableWRCalcPts[RK],0)),"")</f>
        <v>LV</v>
      </c>
      <c r="R52">
        <f>IFERROR(INDEX(TableWRCalcPts[BYE],MATCH(TableWRRanks[[#This Row],[RK]],TableWRCalcPts[RK],0)),"")</f>
        <v>13</v>
      </c>
      <c r="S52" s="58">
        <f>IFERROR(INDEX(TableWRCalcPts[Custom],MATCH(TableWRRanks[[#This Row],[RK]],TableWRCalcPts[RK],0)),"")</f>
        <v>144.71799711264924</v>
      </c>
      <c r="T52" s="133">
        <f>(((VLOOKUP(TableWRRanks[[#This Row],[Player]],'OVR &amp; VORP Ranks'!$P:$T,5,FALSE)))/('OVR &amp; VORP Ranks'!$BM$6))*(Settings!$E$10*TEAMS)</f>
        <v>4.9404050420554642</v>
      </c>
      <c r="V52">
        <v>51</v>
      </c>
      <c r="W52" t="str">
        <f>IFERROR(INDEX(TableTECalcPts[PLAYER],MATCH(TableTERanks[[#This Row],[RK]],TableTECalcPts[RK],0)),"")</f>
        <v>Trevon Wesco</v>
      </c>
      <c r="X52" t="str">
        <f>IFERROR(INDEX(TableTECalcPts[TM],MATCH(TableTERanks[[#This Row],[RK]],TableTECalcPts[RK],0)),"")</f>
        <v>TEN</v>
      </c>
      <c r="Y52">
        <f>IFERROR(INDEX(TableTECalcPts[BYE],MATCH(TableTERanks[[#This Row],[RK]],TableTECalcPts[RK],0)),"")</f>
        <v>7</v>
      </c>
      <c r="Z52" s="58">
        <f>IFERROR(INDEX(TableTECalcPts[Custom],MATCH(TableTERanks[[#This Row],[RK]],TableTECalcPts[RK],0)),"")</f>
        <v>30.596001222191997</v>
      </c>
      <c r="AA52" s="133">
        <f>(((VLOOKUP(TableTERanks[[#This Row],[Player]],'OVR &amp; VORP Ranks'!$W:$AA,5,FALSE)))/('OVR &amp; VORP Ranks'!$BM$6))*(Settings!$E$10*TEAMS)</f>
        <v>-33.131996644030053</v>
      </c>
    </row>
    <row r="53" spans="1:27" x14ac:dyDescent="0.2">
      <c r="A53">
        <v>52</v>
      </c>
      <c r="B53" t="str">
        <f>IFERROR(INDEX(TableQBCalcPts[PLAYER],MATCH(TableQBRanks[[#This Row],[RK]],TableQBCalcPts[RK],0)),"")</f>
        <v>Jameis Winston</v>
      </c>
      <c r="C53" t="str">
        <f>IFERROR(INDEX(TableQBCalcPts[TM],MATCH(TableQBRanks[[#This Row],[RK]],TableQBCalcPts[RK],0)),"")</f>
        <v>NO</v>
      </c>
      <c r="D53">
        <f>IFERROR(INDEX(TableQBCalcPts[BYE],MATCH(TableQBRanks[[#This Row],[RK]],TableQBCalcPts[RK],0)),"")</f>
        <v>11</v>
      </c>
      <c r="E53" s="58">
        <f>IFERROR(INDEX(TableQBCalcPts[Custom],MATCH(TableQBRanks[[#This Row],[RK]],TableQBCalcPts[RK],0)),"")</f>
        <v>7.8369386964400114</v>
      </c>
      <c r="F53" s="133">
        <f>(((VLOOKUP(TableQBRanks[[#This Row],[Player]],'OVR &amp; VORP Ranks'!$B:$F,5,FALSE)))/('OVR &amp; VORP Ranks'!$BM$6))*(Settings!$E$10*TEAMS)</f>
        <v>-47.1763504143345</v>
      </c>
      <c r="H53">
        <v>52</v>
      </c>
      <c r="I53" t="str">
        <f>IFERROR(INDEX(TableRBCalcPts[PLAYER],MATCH(TableRBRanks[[#This Row],[RK]],TableRBCalcPts[RK],0)),"")</f>
        <v>Kyren Williams</v>
      </c>
      <c r="J53" t="str">
        <f>IFERROR(INDEX(TableRBCalcPts[TM],MATCH(TableRBRanks[[#This Row],[RK]],TableRBCalcPts[RK],0)),"")</f>
        <v>LAR</v>
      </c>
      <c r="K53">
        <f>IFERROR(INDEX(TableRBCalcPts[BYE],MATCH(TableRBRanks[[#This Row],[RK]],TableRBCalcPts[RK],0)),"")</f>
        <v>10</v>
      </c>
      <c r="L53" s="58">
        <f>IFERROR(INDEX(TableRBCalcPts[Custom],MATCH(TableRBRanks[[#This Row],[RK]],TableRBCalcPts[RK],0)),"")</f>
        <v>101.74554570819568</v>
      </c>
      <c r="M53" s="133">
        <f>(((VLOOKUP(TableRBRanks[[#This Row],[Player]],'OVR &amp; VORP Ranks'!$I:$M,5,FALSE)))/('OVR &amp; VORP Ranks'!$BM$6))*(Settings!$E$10*TEAMS)</f>
        <v>-7.548619432322579</v>
      </c>
      <c r="O53">
        <v>52</v>
      </c>
      <c r="P53" t="str">
        <f>IFERROR(INDEX(TableWRCalcPts[PLAYER],MATCH(TableWRRanks[[#This Row],[RK]],TableWRCalcPts[RK],0)),"")</f>
        <v>Tyler Boyd</v>
      </c>
      <c r="Q53" t="str">
        <f>IFERROR(INDEX(TableWRCalcPts[TM],MATCH(TableWRRanks[[#This Row],[RK]],TableWRCalcPts[RK],0)),"")</f>
        <v>CIN</v>
      </c>
      <c r="R53">
        <f>IFERROR(INDEX(TableWRCalcPts[BYE],MATCH(TableWRRanks[[#This Row],[RK]],TableWRCalcPts[RK],0)),"")</f>
        <v>7</v>
      </c>
      <c r="S53" s="58">
        <f>IFERROR(INDEX(TableWRCalcPts[Custom],MATCH(TableWRRanks[[#This Row],[RK]],TableWRCalcPts[RK],0)),"")</f>
        <v>139.21511967372822</v>
      </c>
      <c r="T53" s="133">
        <f>(((VLOOKUP(TableWRRanks[[#This Row],[Player]],'OVR &amp; VORP Ranks'!$P:$T,5,FALSE)))/('OVR &amp; VORP Ranks'!$BM$6))*(Settings!$E$10*TEAMS)</f>
        <v>3.055847974341583</v>
      </c>
      <c r="V53">
        <v>52</v>
      </c>
      <c r="W53" t="str">
        <f>IFERROR(INDEX(TableTECalcPts[PLAYER],MATCH(TableTERanks[[#This Row],[RK]],TableTECalcPts[RK],0)),"")</f>
        <v>James Mitchell</v>
      </c>
      <c r="X53" t="str">
        <f>IFERROR(INDEX(TableTECalcPts[TM],MATCH(TableTERanks[[#This Row],[RK]],TableTECalcPts[RK],0)),"")</f>
        <v>DET</v>
      </c>
      <c r="Y53">
        <f>IFERROR(INDEX(TableTECalcPts[BYE],MATCH(TableTERanks[[#This Row],[RK]],TableTECalcPts[RK],0)),"")</f>
        <v>9</v>
      </c>
      <c r="Z53" s="58">
        <f>IFERROR(INDEX(TableTECalcPts[Custom],MATCH(TableTERanks[[#This Row],[RK]],TableTECalcPts[RK],0)),"")</f>
        <v>28.641318240820141</v>
      </c>
      <c r="AA53" s="133">
        <f>(((VLOOKUP(TableTERanks[[#This Row],[Player]],'OVR &amp; VORP Ranks'!$W:$AA,5,FALSE)))/('OVR &amp; VORP Ranks'!$BM$6))*(Settings!$E$10*TEAMS)</f>
        <v>-33.865981428903012</v>
      </c>
    </row>
    <row r="54" spans="1:27" x14ac:dyDescent="0.2">
      <c r="A54">
        <v>53</v>
      </c>
      <c r="B54" t="str">
        <f>IFERROR(INDEX(TableQBCalcPts[PLAYER],MATCH(TableQBRanks[[#This Row],[RK]],TableQBCalcPts[RK],0)),"")</f>
        <v>Tyler Huntley</v>
      </c>
      <c r="C54" t="str">
        <f>IFERROR(INDEX(TableQBCalcPts[TM],MATCH(TableQBRanks[[#This Row],[RK]],TableQBCalcPts[RK],0)),"")</f>
        <v>BAL</v>
      </c>
      <c r="D54">
        <f>IFERROR(INDEX(TableQBCalcPts[BYE],MATCH(TableQBRanks[[#This Row],[RK]],TableQBCalcPts[RK],0)),"")</f>
        <v>13</v>
      </c>
      <c r="E54" s="58">
        <f>IFERROR(INDEX(TableQBCalcPts[Custom],MATCH(TableQBRanks[[#This Row],[RK]],TableQBCalcPts[RK],0)),"")</f>
        <v>7.6206734192034498</v>
      </c>
      <c r="F54" s="133">
        <f>(((VLOOKUP(TableQBRanks[[#This Row],[Player]],'OVR &amp; VORP Ranks'!$B:$F,5,FALSE)))/('OVR &amp; VORP Ranks'!$BM$6))*(Settings!$E$10*TEAMS)</f>
        <v>-47.278426977282308</v>
      </c>
      <c r="H54">
        <v>53</v>
      </c>
      <c r="I54" t="str">
        <f>IFERROR(INDEX(TableRBCalcPts[PLAYER],MATCH(TableRBRanks[[#This Row],[RK]],TableRBCalcPts[RK],0)),"")</f>
        <v>Kenneth Gainwell</v>
      </c>
      <c r="J54" t="str">
        <f>IFERROR(INDEX(TableRBCalcPts[TM],MATCH(TableRBRanks[[#This Row],[RK]],TableRBCalcPts[RK],0)),"")</f>
        <v>PHI</v>
      </c>
      <c r="K54">
        <f>IFERROR(INDEX(TableRBCalcPts[BYE],MATCH(TableRBRanks[[#This Row],[RK]],TableRBCalcPts[RK],0)),"")</f>
        <v>10</v>
      </c>
      <c r="L54" s="58">
        <f>IFERROR(INDEX(TableRBCalcPts[Custom],MATCH(TableRBRanks[[#This Row],[RK]],TableRBCalcPts[RK],0)),"")</f>
        <v>101.2645883177376</v>
      </c>
      <c r="M54" s="133">
        <f>(((VLOOKUP(TableRBRanks[[#This Row],[Player]],'OVR &amp; VORP Ranks'!$I:$M,5,FALSE)))/('OVR &amp; VORP Ranks'!$BM$6))*(Settings!$E$10*TEAMS)</f>
        <v>-7.7238619623298614</v>
      </c>
      <c r="O54">
        <v>53</v>
      </c>
      <c r="P54" t="str">
        <f>IFERROR(INDEX(TableWRCalcPts[PLAYER],MATCH(TableWRRanks[[#This Row],[RK]],TableWRCalcPts[RK],0)),"")</f>
        <v>Odell Beckham</v>
      </c>
      <c r="Q54" t="str">
        <f>IFERROR(INDEX(TableWRCalcPts[TM],MATCH(TableWRRanks[[#This Row],[RK]],TableWRCalcPts[RK],0)),"")</f>
        <v>BAL</v>
      </c>
      <c r="R54">
        <f>IFERROR(INDEX(TableWRCalcPts[BYE],MATCH(TableWRRanks[[#This Row],[RK]],TableWRCalcPts[RK],0)),"")</f>
        <v>13</v>
      </c>
      <c r="S54" s="58">
        <f>IFERROR(INDEX(TableWRCalcPts[Custom],MATCH(TableWRRanks[[#This Row],[RK]],TableWRCalcPts[RK],0)),"")</f>
        <v>136.85398142950658</v>
      </c>
      <c r="T54" s="133">
        <f>(((VLOOKUP(TableWRRanks[[#This Row],[Player]],'OVR &amp; VORP Ranks'!$P:$T,5,FALSE)))/('OVR &amp; VORP Ranks'!$BM$6))*(Settings!$E$10*TEAMS)</f>
        <v>2.2472346960364176</v>
      </c>
      <c r="V54">
        <v>53</v>
      </c>
      <c r="W54" t="str">
        <f>IFERROR(INDEX(TableTECalcPts[PLAYER],MATCH(TableTERanks[[#This Row],[RK]],TableTECalcPts[RK],0)),"")</f>
        <v>Peyton Hendershot</v>
      </c>
      <c r="X54" t="str">
        <f>IFERROR(INDEX(TableTECalcPts[TM],MATCH(TableTERanks[[#This Row],[RK]],TableTECalcPts[RK],0)),"")</f>
        <v>DAL</v>
      </c>
      <c r="Y54">
        <f>IFERROR(INDEX(TableTECalcPts[BYE],MATCH(TableTERanks[[#This Row],[RK]],TableTECalcPts[RK],0)),"")</f>
        <v>7</v>
      </c>
      <c r="Z54" s="58">
        <f>IFERROR(INDEX(TableTECalcPts[Custom],MATCH(TableTERanks[[#This Row],[RK]],TableTECalcPts[RK],0)),"")</f>
        <v>28.504394505953329</v>
      </c>
      <c r="AA54" s="133">
        <f>(((VLOOKUP(TableTERanks[[#This Row],[Player]],'OVR &amp; VORP Ranks'!$W:$AA,5,FALSE)))/('OVR &amp; VORP Ranks'!$BM$6))*(Settings!$E$10*TEAMS)</f>
        <v>-33.91739638418629</v>
      </c>
    </row>
    <row r="55" spans="1:27" x14ac:dyDescent="0.2">
      <c r="A55">
        <v>54</v>
      </c>
      <c r="B55" t="str">
        <f>IFERROR(INDEX(TableQBCalcPts[PLAYER],MATCH(TableQBRanks[[#This Row],[RK]],TableQBCalcPts[RK],0)),"")</f>
        <v>Mike White</v>
      </c>
      <c r="C55" t="str">
        <f>IFERROR(INDEX(TableQBCalcPts[TM],MATCH(TableQBRanks[[#This Row],[RK]],TableQBCalcPts[RK],0)),"")</f>
        <v>MIA</v>
      </c>
      <c r="D55">
        <f>IFERROR(INDEX(TableQBCalcPts[BYE],MATCH(TableQBRanks[[#This Row],[RK]],TableQBCalcPts[RK],0)),"")</f>
        <v>10</v>
      </c>
      <c r="E55" s="58">
        <f>IFERROR(INDEX(TableQBCalcPts[Custom],MATCH(TableQBRanks[[#This Row],[RK]],TableQBCalcPts[RK],0)),"")</f>
        <v>7.1777933223661545</v>
      </c>
      <c r="F55" s="133">
        <f>(((VLOOKUP(TableQBRanks[[#This Row],[Player]],'OVR &amp; VORP Ranks'!$B:$F,5,FALSE)))/('OVR &amp; VORP Ranks'!$BM$6))*(Settings!$E$10*TEAMS)</f>
        <v>-47.689970749351623</v>
      </c>
      <c r="H55">
        <v>54</v>
      </c>
      <c r="I55" t="str">
        <f>IFERROR(INDEX(TableRBCalcPts[PLAYER],MATCH(TableRBRanks[[#This Row],[RK]],TableRBCalcPts[RK],0)),"")</f>
        <v>Jeff Wilson</v>
      </c>
      <c r="J55" t="str">
        <f>IFERROR(INDEX(TableRBCalcPts[TM],MATCH(TableRBRanks[[#This Row],[RK]],TableRBCalcPts[RK],0)),"")</f>
        <v>MIA</v>
      </c>
      <c r="K55">
        <f>IFERROR(INDEX(TableRBCalcPts[BYE],MATCH(TableRBRanks[[#This Row],[RK]],TableRBCalcPts[RK],0)),"")</f>
        <v>10</v>
      </c>
      <c r="L55" s="58">
        <f>IFERROR(INDEX(TableRBCalcPts[Custom],MATCH(TableRBRanks[[#This Row],[RK]],TableRBCalcPts[RK],0)),"")</f>
        <v>99.044586269217561</v>
      </c>
      <c r="M55" s="133">
        <f>(((VLOOKUP(TableRBRanks[[#This Row],[Player]],'OVR &amp; VORP Ranks'!$I:$M,5,FALSE)))/('OVR &amp; VORP Ranks'!$BM$6))*(Settings!$E$10*TEAMS)</f>
        <v>-8.5327460408829996</v>
      </c>
      <c r="O55">
        <v>54</v>
      </c>
      <c r="P55" t="str">
        <f>IFERROR(INDEX(TableWRCalcPts[PLAYER],MATCH(TableWRRanks[[#This Row],[RK]],TableWRCalcPts[RK],0)),"")</f>
        <v>Donovan Peoples-Jones</v>
      </c>
      <c r="Q55" t="str">
        <f>IFERROR(INDEX(TableWRCalcPts[TM],MATCH(TableWRRanks[[#This Row],[RK]],TableWRCalcPts[RK],0)),"")</f>
        <v>CLE</v>
      </c>
      <c r="R55">
        <f>IFERROR(INDEX(TableWRCalcPts[BYE],MATCH(TableWRRanks[[#This Row],[RK]],TableWRCalcPts[RK],0)),"")</f>
        <v>5</v>
      </c>
      <c r="S55" s="58">
        <f>IFERROR(INDEX(TableWRCalcPts[Custom],MATCH(TableWRRanks[[#This Row],[RK]],TableWRCalcPts[RK],0)),"")</f>
        <v>133.57256369839229</v>
      </c>
      <c r="T55" s="133">
        <f>(((VLOOKUP(TableWRRanks[[#This Row],[Player]],'OVR &amp; VORP Ranks'!$P:$T,5,FALSE)))/('OVR &amp; VORP Ranks'!$BM$6))*(Settings!$E$10*TEAMS)</f>
        <v>1.1234555375993336</v>
      </c>
      <c r="V55">
        <v>54</v>
      </c>
      <c r="W55" t="str">
        <f>IFERROR(INDEX(TableTECalcPts[PLAYER],MATCH(TableTERanks[[#This Row],[RK]],TableTECalcPts[RK],0)),"")</f>
        <v>Brenton Strange</v>
      </c>
      <c r="X55" t="str">
        <f>IFERROR(INDEX(TableTECalcPts[TM],MATCH(TableTERanks[[#This Row],[RK]],TableTECalcPts[RK],0)),"")</f>
        <v>JAX</v>
      </c>
      <c r="Y55">
        <f>IFERROR(INDEX(TableTECalcPts[BYE],MATCH(TableTERanks[[#This Row],[RK]],TableTECalcPts[RK],0)),"")</f>
        <v>9</v>
      </c>
      <c r="Z55" s="58">
        <f>IFERROR(INDEX(TableTECalcPts[Custom],MATCH(TableTERanks[[#This Row],[RK]],TableTECalcPts[RK],0)),"")</f>
        <v>27.978221136532827</v>
      </c>
      <c r="AA55" s="133">
        <f>(((VLOOKUP(TableTERanks[[#This Row],[Player]],'OVR &amp; VORP Ranks'!$W:$AA,5,FALSE)))/('OVR &amp; VORP Ranks'!$BM$6))*(Settings!$E$10*TEAMS)</f>
        <v>-34.114974841174202</v>
      </c>
    </row>
    <row r="56" spans="1:27" x14ac:dyDescent="0.2">
      <c r="A56">
        <v>55</v>
      </c>
      <c r="B56" t="str">
        <f>IFERROR(INDEX(TableQBCalcPts[PLAYER],MATCH(TableQBRanks[[#This Row],[RK]],TableQBCalcPts[RK],0)),"")</f>
        <v>Dorian Thompson-Robinson</v>
      </c>
      <c r="C56" t="str">
        <f>IFERROR(INDEX(TableQBCalcPts[TM],MATCH(TableQBRanks[[#This Row],[RK]],TableQBCalcPts[RK],0)),"")</f>
        <v>CLE</v>
      </c>
      <c r="D56">
        <f>IFERROR(INDEX(TableQBCalcPts[BYE],MATCH(TableQBRanks[[#This Row],[RK]],TableQBCalcPts[RK],0)),"")</f>
        <v>5</v>
      </c>
      <c r="E56" s="58">
        <f>IFERROR(INDEX(TableQBCalcPts[Custom],MATCH(TableQBRanks[[#This Row],[RK]],TableQBCalcPts[RK],0)),"")</f>
        <v>6.7185977184000034</v>
      </c>
      <c r="F56" s="133">
        <f>(((VLOOKUP(TableQBRanks[[#This Row],[Player]],'OVR &amp; VORP Ranks'!$B:$F,5,FALSE)))/('OVR &amp; VORP Ranks'!$BM$6))*(Settings!$E$10*TEAMS)</f>
        <v>-47.967228593057492</v>
      </c>
      <c r="H56">
        <v>55</v>
      </c>
      <c r="I56" t="str">
        <f>IFERROR(INDEX(TableRBCalcPts[PLAYER],MATCH(TableRBRanks[[#This Row],[RK]],TableRBCalcPts[RK],0)),"")</f>
        <v>Joshua Kelley</v>
      </c>
      <c r="J56" t="str">
        <f>IFERROR(INDEX(TableRBCalcPts[TM],MATCH(TableRBRanks[[#This Row],[RK]],TableRBCalcPts[RK],0)),"")</f>
        <v>LAC</v>
      </c>
      <c r="K56">
        <f>IFERROR(INDEX(TableRBCalcPts[BYE],MATCH(TableRBRanks[[#This Row],[RK]],TableRBCalcPts[RK],0)),"")</f>
        <v>5</v>
      </c>
      <c r="L56" s="58">
        <f>IFERROR(INDEX(TableRBCalcPts[Custom],MATCH(TableRBRanks[[#This Row],[RK]],TableRBCalcPts[RK],0)),"")</f>
        <v>97.654269176520614</v>
      </c>
      <c r="M56" s="133">
        <f>(((VLOOKUP(TableRBRanks[[#This Row],[Player]],'OVR &amp; VORP Ranks'!$I:$M,5,FALSE)))/('OVR &amp; VORP Ranks'!$BM$6))*(Settings!$E$10*TEAMS)</f>
        <v>-9.0393245646156934</v>
      </c>
      <c r="O56">
        <v>55</v>
      </c>
      <c r="P56" t="str">
        <f>IFERROR(INDEX(TableWRCalcPts[PLAYER],MATCH(TableWRRanks[[#This Row],[RK]],TableWRCalcPts[RK],0)),"")</f>
        <v>JuJu Smith-Schuster</v>
      </c>
      <c r="Q56" t="str">
        <f>IFERROR(INDEX(TableWRCalcPts[TM],MATCH(TableWRRanks[[#This Row],[RK]],TableWRCalcPts[RK],0)),"")</f>
        <v>NE</v>
      </c>
      <c r="R56">
        <f>IFERROR(INDEX(TableWRCalcPts[BYE],MATCH(TableWRRanks[[#This Row],[RK]],TableWRCalcPts[RK],0)),"")</f>
        <v>11</v>
      </c>
      <c r="S56" s="58">
        <f>IFERROR(INDEX(TableWRCalcPts[Custom],MATCH(TableWRRanks[[#This Row],[RK]],TableWRCalcPts[RK],0)),"")</f>
        <v>132.92429779365278</v>
      </c>
      <c r="T56" s="133">
        <f>(((VLOOKUP(TableWRRanks[[#This Row],[Player]],'OVR &amp; VORP Ranks'!$P:$T,5,FALSE)))/('OVR &amp; VORP Ranks'!$BM$6))*(Settings!$E$10*TEAMS)</f>
        <v>0.9014454881125129</v>
      </c>
      <c r="V56">
        <v>55</v>
      </c>
      <c r="W56" t="str">
        <f>IFERROR(INDEX(TableTECalcPts[PLAYER],MATCH(TableTERanks[[#This Row],[RK]],TableTECalcPts[RK],0)),"")</f>
        <v>Tre' McKitty</v>
      </c>
      <c r="X56" t="str">
        <f>IFERROR(INDEX(TableTECalcPts[TM],MATCH(TableTERanks[[#This Row],[RK]],TableTECalcPts[RK],0)),"")</f>
        <v>LAC</v>
      </c>
      <c r="Y56">
        <f>IFERROR(INDEX(TableTECalcPts[BYE],MATCH(TableTERanks[[#This Row],[RK]],TableTECalcPts[RK],0)),"")</f>
        <v>5</v>
      </c>
      <c r="Z56" s="58">
        <f>IFERROR(INDEX(TableTECalcPts[Custom],MATCH(TableTERanks[[#This Row],[RK]],TableTECalcPts[RK],0)),"")</f>
        <v>26.7579091087308</v>
      </c>
      <c r="AA56" s="133">
        <f>(((VLOOKUP(TableTERanks[[#This Row],[Player]],'OVR &amp; VORP Ranks'!$W:$AA,5,FALSE)))/('OVR &amp; VORP Ranks'!$BM$6))*(Settings!$E$10*TEAMS)</f>
        <v>-34.573202835043332</v>
      </c>
    </row>
    <row r="57" spans="1:27" x14ac:dyDescent="0.2">
      <c r="A57">
        <v>56</v>
      </c>
      <c r="B57" t="str">
        <f>IFERROR(INDEX(TableQBCalcPts[PLAYER],MATCH(TableQBRanks[[#This Row],[RK]],TableQBCalcPts[RK],0)),"")</f>
        <v>Tyson Bagent</v>
      </c>
      <c r="C57" t="str">
        <f>IFERROR(INDEX(TableQBCalcPts[TM],MATCH(TableQBRanks[[#This Row],[RK]],TableQBCalcPts[RK],0)),"")</f>
        <v>CHI</v>
      </c>
      <c r="D57">
        <f>IFERROR(INDEX(TableQBCalcPts[BYE],MATCH(TableQBRanks[[#This Row],[RK]],TableQBCalcPts[RK],0)),"")</f>
        <v>13</v>
      </c>
      <c r="E57" s="58">
        <f>IFERROR(INDEX(TableQBCalcPts[Custom],MATCH(TableQBRanks[[#This Row],[RK]],TableQBCalcPts[RK],0)),"")</f>
        <v>6.6868205304145709</v>
      </c>
      <c r="F57" s="133">
        <f>(((VLOOKUP(TableQBRanks[[#This Row],[Player]],'OVR &amp; VORP Ranks'!$B:$F,5,FALSE)))/('OVR &amp; VORP Ranks'!$BM$6))*(Settings!$E$10*TEAMS)</f>
        <v>-48.574860093059726</v>
      </c>
      <c r="H57">
        <v>56</v>
      </c>
      <c r="I57" t="str">
        <f>IFERROR(INDEX(TableRBCalcPts[PLAYER],MATCH(TableRBRanks[[#This Row],[RK]],TableRBCalcPts[RK],0)),"")</f>
        <v>Tyjae Spears</v>
      </c>
      <c r="J57" t="str">
        <f>IFERROR(INDEX(TableRBCalcPts[TM],MATCH(TableRBRanks[[#This Row],[RK]],TableRBCalcPts[RK],0)),"")</f>
        <v>TEN</v>
      </c>
      <c r="K57">
        <f>IFERROR(INDEX(TableRBCalcPts[BYE],MATCH(TableRBRanks[[#This Row],[RK]],TableRBCalcPts[RK],0)),"")</f>
        <v>7</v>
      </c>
      <c r="L57" s="58">
        <f>IFERROR(INDEX(TableRBCalcPts[Custom],MATCH(TableRBRanks[[#This Row],[RK]],TableRBCalcPts[RK],0)),"")</f>
        <v>93.969165711551824</v>
      </c>
      <c r="M57" s="133">
        <f>(((VLOOKUP(TableRBRanks[[#This Row],[Player]],'OVR &amp; VORP Ranks'!$I:$M,5,FALSE)))/('OVR &amp; VORP Ranks'!$BM$6))*(Settings!$E$10*TEAMS)</f>
        <v>-10.382035722301971</v>
      </c>
      <c r="O57">
        <v>56</v>
      </c>
      <c r="P57" t="str">
        <f>IFERROR(INDEX(TableWRCalcPts[PLAYER],MATCH(TableWRRanks[[#This Row],[RK]],TableWRCalcPts[RK],0)),"")</f>
        <v>Romeo Doubs</v>
      </c>
      <c r="Q57" t="str">
        <f>IFERROR(INDEX(TableWRCalcPts[TM],MATCH(TableWRRanks[[#This Row],[RK]],TableWRCalcPts[RK],0)),"")</f>
        <v>GB</v>
      </c>
      <c r="R57">
        <f>IFERROR(INDEX(TableWRCalcPts[BYE],MATCH(TableWRRanks[[#This Row],[RK]],TableWRCalcPts[RK],0)),"")</f>
        <v>6</v>
      </c>
      <c r="S57" s="58">
        <f>IFERROR(INDEX(TableWRCalcPts[Custom],MATCH(TableWRRanks[[#This Row],[RK]],TableWRCalcPts[RK],0)),"")</f>
        <v>131.5987978749377</v>
      </c>
      <c r="T57" s="133">
        <f>(((VLOOKUP(TableWRRanks[[#This Row],[Player]],'OVR &amp; VORP Ranks'!$P:$T,5,FALSE)))/('OVR &amp; VORP Ranks'!$BM$6))*(Settings!$E$10*TEAMS)</f>
        <v>0.44750475114445964</v>
      </c>
      <c r="V57">
        <v>56</v>
      </c>
      <c r="W57" t="str">
        <f>IFERROR(INDEX(TableTECalcPts[PLAYER],MATCH(TableTERanks[[#This Row],[RK]],TableTECalcPts[RK],0)),"")</f>
        <v>Connor Heyward</v>
      </c>
      <c r="X57" t="str">
        <f>IFERROR(INDEX(TableTECalcPts[TM],MATCH(TableTERanks[[#This Row],[RK]],TableTECalcPts[RK],0)),"")</f>
        <v>PIT</v>
      </c>
      <c r="Y57">
        <f>IFERROR(INDEX(TableTECalcPts[BYE],MATCH(TableTERanks[[#This Row],[RK]],TableTECalcPts[RK],0)),"")</f>
        <v>6</v>
      </c>
      <c r="Z57" s="58">
        <f>IFERROR(INDEX(TableTECalcPts[Custom],MATCH(TableTERanks[[#This Row],[RK]],TableTECalcPts[RK],0)),"")</f>
        <v>24.628471667553608</v>
      </c>
      <c r="AA57" s="133">
        <f>(((VLOOKUP(TableTERanks[[#This Row],[Player]],'OVR &amp; VORP Ranks'!$W:$AA,5,FALSE)))/('OVR &amp; VORP Ranks'!$BM$6))*(Settings!$E$10*TEAMS)</f>
        <v>-35.372808038064996</v>
      </c>
    </row>
    <row r="58" spans="1:27" x14ac:dyDescent="0.2">
      <c r="A58">
        <v>57</v>
      </c>
      <c r="B58" t="str">
        <f>IFERROR(INDEX(TableQBCalcPts[PLAYER],MATCH(TableQBRanks[[#This Row],[RK]],TableQBCalcPts[RK],0)),"")</f>
        <v>Davis Mills</v>
      </c>
      <c r="C58" t="str">
        <f>IFERROR(INDEX(TableQBCalcPts[TM],MATCH(TableQBRanks[[#This Row],[RK]],TableQBCalcPts[RK],0)),"")</f>
        <v>HOU</v>
      </c>
      <c r="D58">
        <f>IFERROR(INDEX(TableQBCalcPts[BYE],MATCH(TableQBRanks[[#This Row],[RK]],TableQBCalcPts[RK],0)),"")</f>
        <v>7</v>
      </c>
      <c r="E58" s="58">
        <f>IFERROR(INDEX(TableQBCalcPts[Custom],MATCH(TableQBRanks[[#This Row],[RK]],TableQBCalcPts[RK],0)),"")</f>
        <v>6.0265679597533444</v>
      </c>
      <c r="F58" s="133">
        <f>(((VLOOKUP(TableQBRanks[[#This Row],[Player]],'OVR &amp; VORP Ranks'!$B:$F,5,FALSE)))/('OVR &amp; VORP Ranks'!$BM$6))*(Settings!$E$10*TEAMS)</f>
        <v>-49.748240899537244</v>
      </c>
      <c r="H58">
        <v>57</v>
      </c>
      <c r="I58" t="str">
        <f>IFERROR(INDEX(TableRBCalcPts[PLAYER],MATCH(TableRBRanks[[#This Row],[RK]],TableRBCalcPts[RK],0)),"")</f>
        <v>Gus Edwards</v>
      </c>
      <c r="J58" t="str">
        <f>IFERROR(INDEX(TableRBCalcPts[TM],MATCH(TableRBRanks[[#This Row],[RK]],TableRBCalcPts[RK],0)),"")</f>
        <v>BAL</v>
      </c>
      <c r="K58">
        <f>IFERROR(INDEX(TableRBCalcPts[BYE],MATCH(TableRBRanks[[#This Row],[RK]],TableRBCalcPts[RK],0)),"")</f>
        <v>13</v>
      </c>
      <c r="L58" s="58">
        <f>IFERROR(INDEX(TableRBCalcPts[Custom],MATCH(TableRBRanks[[#This Row],[RK]],TableRBCalcPts[RK],0)),"")</f>
        <v>87.245089713516052</v>
      </c>
      <c r="M58" s="133">
        <f>(((VLOOKUP(TableRBRanks[[#This Row],[Player]],'OVR &amp; VORP Ranks'!$I:$M,5,FALSE)))/('OVR &amp; VORP Ranks'!$BM$6))*(Settings!$E$10*TEAMS)</f>
        <v>-12.832032568664484</v>
      </c>
      <c r="O58">
        <v>57</v>
      </c>
      <c r="P58" t="str">
        <f>IFERROR(INDEX(TableWRCalcPts[PLAYER],MATCH(TableWRRanks[[#This Row],[RK]],TableWRCalcPts[RK],0)),"")</f>
        <v>Zay Flowers</v>
      </c>
      <c r="Q58" t="str">
        <f>IFERROR(INDEX(TableWRCalcPts[TM],MATCH(TableWRRanks[[#This Row],[RK]],TableWRCalcPts[RK],0)),"")</f>
        <v>BAL</v>
      </c>
      <c r="R58">
        <f>IFERROR(INDEX(TableWRCalcPts[BYE],MATCH(TableWRRanks[[#This Row],[RK]],TableWRCalcPts[RK],0)),"")</f>
        <v>13</v>
      </c>
      <c r="S58" s="58">
        <f>IFERROR(INDEX(TableWRCalcPts[Custom],MATCH(TableWRRanks[[#This Row],[RK]],TableWRCalcPts[RK],0)),"")</f>
        <v>130.29209093511014</v>
      </c>
      <c r="T58" s="133">
        <f>(((VLOOKUP(TableWRRanks[[#This Row],[Player]],'OVR &amp; VORP Ranks'!$P:$T,5,FALSE)))/('OVR &amp; VORP Ranks'!$BM$6))*(Settings!$E$10*TEAMS)</f>
        <v>0</v>
      </c>
      <c r="V58">
        <v>57</v>
      </c>
      <c r="W58" t="str">
        <f>IFERROR(INDEX(TableTECalcPts[PLAYER],MATCH(TableTERanks[[#This Row],[RK]],TableTECalcPts[RK],0)),"")</f>
        <v>Daniel Bellinger</v>
      </c>
      <c r="X58" t="str">
        <f>IFERROR(INDEX(TableTECalcPts[TM],MATCH(TableTERanks[[#This Row],[RK]],TableTECalcPts[RK],0)),"")</f>
        <v>NYG</v>
      </c>
      <c r="Y58">
        <f>IFERROR(INDEX(TableTECalcPts[BYE],MATCH(TableTERanks[[#This Row],[RK]],TableTECalcPts[RK],0)),"")</f>
        <v>13</v>
      </c>
      <c r="Z58" s="58">
        <f>IFERROR(INDEX(TableTECalcPts[Custom],MATCH(TableTERanks[[#This Row],[RK]],TableTECalcPts[RK],0)),"")</f>
        <v>23.798835293150606</v>
      </c>
      <c r="AA58" s="133">
        <f>(((VLOOKUP(TableTERanks[[#This Row],[Player]],'OVR &amp; VORP Ranks'!$W:$AA,5,FALSE)))/('OVR &amp; VORP Ranks'!$BM$6))*(Settings!$E$10*TEAMS)</f>
        <v>-35.684337059186156</v>
      </c>
    </row>
    <row r="59" spans="1:27" x14ac:dyDescent="0.2">
      <c r="A59">
        <v>58</v>
      </c>
      <c r="B59" t="str">
        <f>IFERROR(INDEX(TableQBCalcPts[PLAYER],MATCH(TableQBRanks[[#This Row],[RK]],TableQBCalcPts[RK],0)),"")</f>
        <v>Teddy Bridgewater</v>
      </c>
      <c r="C59" t="str">
        <f>IFERROR(INDEX(TableQBCalcPts[TM],MATCH(TableQBRanks[[#This Row],[RK]],TableQBCalcPts[RK],0)),"")</f>
        <v>DET</v>
      </c>
      <c r="D59">
        <f>IFERROR(INDEX(TableQBCalcPts[BYE],MATCH(TableQBRanks[[#This Row],[RK]],TableQBCalcPts[RK],0)),"")</f>
        <v>9</v>
      </c>
      <c r="E59" s="58">
        <f>IFERROR(INDEX(TableQBCalcPts[Custom],MATCH(TableQBRanks[[#This Row],[RK]],TableQBCalcPts[RK],0)),"")</f>
        <v>5.0024858939142973</v>
      </c>
      <c r="F59" s="133">
        <f>(((VLOOKUP(TableQBRanks[[#This Row],[Player]],'OVR &amp; VORP Ranks'!$B:$F,5,FALSE)))/('OVR &amp; VORP Ranks'!$BM$6))*(Settings!$E$10*TEAMS)</f>
        <v>-50.416878346329447</v>
      </c>
      <c r="H59">
        <v>58</v>
      </c>
      <c r="I59" t="str">
        <f>IFERROR(INDEX(TableRBCalcPts[PLAYER],MATCH(TableRBRanks[[#This Row],[RK]],TableRBCalcPts[RK],0)),"")</f>
        <v>Devin Singletary</v>
      </c>
      <c r="J59" t="str">
        <f>IFERROR(INDEX(TableRBCalcPts[TM],MATCH(TableRBRanks[[#This Row],[RK]],TableRBCalcPts[RK],0)),"")</f>
        <v>HOU</v>
      </c>
      <c r="K59">
        <f>IFERROR(INDEX(TableRBCalcPts[BYE],MATCH(TableRBRanks[[#This Row],[RK]],TableRBCalcPts[RK],0)),"")</f>
        <v>7</v>
      </c>
      <c r="L59" s="58">
        <f>IFERROR(INDEX(TableRBCalcPts[Custom],MATCH(TableRBRanks[[#This Row],[RK]],TableRBCalcPts[RK],0)),"")</f>
        <v>83.837635517984992</v>
      </c>
      <c r="M59" s="133">
        <f>(((VLOOKUP(TableRBRanks[[#This Row],[Player]],'OVR &amp; VORP Ranks'!$I:$M,5,FALSE)))/('OVR &amp; VORP Ranks'!$BM$6))*(Settings!$E$10*TEAMS)</f>
        <v>-14.073578921741772</v>
      </c>
      <c r="O59">
        <v>58</v>
      </c>
      <c r="P59" t="str">
        <f>IFERROR(INDEX(TableWRCalcPts[PLAYER],MATCH(TableWRRanks[[#This Row],[RK]],TableWRCalcPts[RK],0)),"")</f>
        <v>Van Jefferson</v>
      </c>
      <c r="Q59" t="str">
        <f>IFERROR(INDEX(TableWRCalcPts[TM],MATCH(TableWRRanks[[#This Row],[RK]],TableWRCalcPts[RK],0)),"")</f>
        <v>LAR</v>
      </c>
      <c r="R59">
        <f>IFERROR(INDEX(TableWRCalcPts[BYE],MATCH(TableWRRanks[[#This Row],[RK]],TableWRCalcPts[RK],0)),"")</f>
        <v>10</v>
      </c>
      <c r="S59" s="58">
        <f>IFERROR(INDEX(TableWRCalcPts[Custom],MATCH(TableWRRanks[[#This Row],[RK]],TableWRCalcPts[RK],0)),"")</f>
        <v>130.16505343713359</v>
      </c>
      <c r="T59" s="133">
        <f>(((VLOOKUP(TableWRRanks[[#This Row],[Player]],'OVR &amp; VORP Ranks'!$P:$T,5,FALSE)))/('OVR &amp; VORP Ranks'!$BM$6))*(Settings!$E$10*TEAMS)</f>
        <v>-4.3506223304753094E-2</v>
      </c>
      <c r="V59">
        <v>58</v>
      </c>
      <c r="W59" t="str">
        <f>IFERROR(INDEX(TableTECalcPts[PLAYER],MATCH(TableTERanks[[#This Row],[RK]],TableTECalcPts[RK],0)),"")</f>
        <v>Noah Gray</v>
      </c>
      <c r="X59" t="str">
        <f>IFERROR(INDEX(TableTECalcPts[TM],MATCH(TableTERanks[[#This Row],[RK]],TableTECalcPts[RK],0)),"")</f>
        <v>KC</v>
      </c>
      <c r="Y59">
        <f>IFERROR(INDEX(TableTECalcPts[BYE],MATCH(TableTERanks[[#This Row],[RK]],TableTECalcPts[RK],0)),"")</f>
        <v>10</v>
      </c>
      <c r="Z59" s="58">
        <f>IFERROR(INDEX(TableTECalcPts[Custom],MATCH(TableTERanks[[#This Row],[RK]],TableTECalcPts[RK],0)),"")</f>
        <v>23.702476663268556</v>
      </c>
      <c r="AA59" s="133">
        <f>(((VLOOKUP(TableTERanks[[#This Row],[Player]],'OVR &amp; VORP Ranks'!$W:$AA,5,FALSE)))/('OVR &amp; VORP Ranks'!$BM$6))*(Settings!$E$10*TEAMS)</f>
        <v>-35.720519790042587</v>
      </c>
    </row>
    <row r="60" spans="1:27" x14ac:dyDescent="0.2">
      <c r="A60">
        <v>59</v>
      </c>
      <c r="B60" t="str">
        <f>IFERROR(INDEX(TableQBCalcPts[PLAYER],MATCH(TableQBRanks[[#This Row],[RK]],TableQBCalcPts[RK],0)),"")</f>
        <v>Jarrett Stidham</v>
      </c>
      <c r="C60" t="str">
        <f>IFERROR(INDEX(TableQBCalcPts[TM],MATCH(TableQBRanks[[#This Row],[RK]],TableQBCalcPts[RK],0)),"")</f>
        <v>DEN</v>
      </c>
      <c r="D60">
        <f>IFERROR(INDEX(TableQBCalcPts[BYE],MATCH(TableQBRanks[[#This Row],[RK]],TableQBCalcPts[RK],0)),"")</f>
        <v>9</v>
      </c>
      <c r="E60" s="58">
        <f>IFERROR(INDEX(TableQBCalcPts[Custom],MATCH(TableQBRanks[[#This Row],[RK]],TableQBCalcPts[RK],0)),"")</f>
        <v>3.0679900639155027</v>
      </c>
      <c r="F60" s="133">
        <f>(((VLOOKUP(TableQBRanks[[#This Row],[Player]],'OVR &amp; VORP Ranks'!$B:$F,5,FALSE)))/('OVR &amp; VORP Ranks'!$BM$6))*(Settings!$E$10*TEAMS)</f>
        <v>-51.060245470896994</v>
      </c>
      <c r="H60">
        <v>59</v>
      </c>
      <c r="I60" t="str">
        <f>IFERROR(INDEX(TableRBCalcPts[PLAYER],MATCH(TableRBRanks[[#This Row],[RK]],TableRBCalcPts[RK],0)),"")</f>
        <v>Zamir White</v>
      </c>
      <c r="J60" t="str">
        <f>IFERROR(INDEX(TableRBCalcPts[TM],MATCH(TableRBRanks[[#This Row],[RK]],TableRBCalcPts[RK],0)),"")</f>
        <v>LV</v>
      </c>
      <c r="K60">
        <f>IFERROR(INDEX(TableRBCalcPts[BYE],MATCH(TableRBRanks[[#This Row],[RK]],TableRBCalcPts[RK],0)),"")</f>
        <v>13</v>
      </c>
      <c r="L60" s="58">
        <f>IFERROR(INDEX(TableRBCalcPts[Custom],MATCH(TableRBRanks[[#This Row],[RK]],TableRBCalcPts[RK],0)),"")</f>
        <v>81.180405652583815</v>
      </c>
      <c r="M60" s="133">
        <f>(((VLOOKUP(TableRBRanks[[#This Row],[Player]],'OVR &amp; VORP Ranks'!$I:$M,5,FALSE)))/('OVR &amp; VORP Ranks'!$BM$6))*(Settings!$E$10*TEAMS)</f>
        <v>-15.041772141478567</v>
      </c>
      <c r="O60">
        <v>59</v>
      </c>
      <c r="P60" t="str">
        <f>IFERROR(INDEX(TableWRCalcPts[PLAYER],MATCH(TableWRRanks[[#This Row],[RK]],TableWRCalcPts[RK],0)),"")</f>
        <v>Marvin Mims</v>
      </c>
      <c r="Q60" t="str">
        <f>IFERROR(INDEX(TableWRCalcPts[TM],MATCH(TableWRRanks[[#This Row],[RK]],TableWRCalcPts[RK],0)),"")</f>
        <v>DEN</v>
      </c>
      <c r="R60">
        <f>IFERROR(INDEX(TableWRCalcPts[BYE],MATCH(TableWRRanks[[#This Row],[RK]],TableWRCalcPts[RK],0)),"")</f>
        <v>9</v>
      </c>
      <c r="S60" s="58">
        <f>IFERROR(INDEX(TableWRCalcPts[Custom],MATCH(TableWRRanks[[#This Row],[RK]],TableWRCalcPts[RK],0)),"")</f>
        <v>129.2891470122569</v>
      </c>
      <c r="T60" s="133">
        <f>(((VLOOKUP(TableWRRanks[[#This Row],[Player]],'OVR &amp; VORP Ranks'!$P:$T,5,FALSE)))/('OVR &amp; VORP Ranks'!$BM$6))*(Settings!$E$10*TEAMS)</f>
        <v>-0.34347576868881735</v>
      </c>
      <c r="V60">
        <v>59</v>
      </c>
      <c r="W60" t="str">
        <f>IFERROR(INDEX(TableTECalcPts[PLAYER],MATCH(TableTERanks[[#This Row],[RK]],TableTECalcPts[RK],0)),"")</f>
        <v>Robert Tonyan</v>
      </c>
      <c r="X60" t="str">
        <f>IFERROR(INDEX(TableTECalcPts[TM],MATCH(TableTERanks[[#This Row],[RK]],TableTECalcPts[RK],0)),"")</f>
        <v>CHI</v>
      </c>
      <c r="Y60">
        <f>IFERROR(INDEX(TableTECalcPts[BYE],MATCH(TableTERanks[[#This Row],[RK]],TableTECalcPts[RK],0)),"")</f>
        <v>13</v>
      </c>
      <c r="Z60" s="58">
        <f>IFERROR(INDEX(TableTECalcPts[Custom],MATCH(TableTERanks[[#This Row],[RK]],TableTECalcPts[RK],0)),"")</f>
        <v>23.028311172227735</v>
      </c>
      <c r="AA60" s="133">
        <f>(((VLOOKUP(TableTERanks[[#This Row],[Player]],'OVR &amp; VORP Ranks'!$W:$AA,5,FALSE)))/('OVR &amp; VORP Ranks'!$BM$6))*(Settings!$E$10*TEAMS)</f>
        <v>-35.973669389044609</v>
      </c>
    </row>
    <row r="61" spans="1:27" x14ac:dyDescent="0.2">
      <c r="A61">
        <v>60</v>
      </c>
      <c r="B61" t="str">
        <f>IFERROR(INDEX(TableQBCalcPts[PLAYER],MATCH(TableQBRanks[[#This Row],[RK]],TableQBCalcPts[RK],0)),"")</f>
        <v>Zach Wilson</v>
      </c>
      <c r="C61" t="str">
        <f>IFERROR(INDEX(TableQBCalcPts[TM],MATCH(TableQBRanks[[#This Row],[RK]],TableQBCalcPts[RK],0)),"")</f>
        <v>NYJ</v>
      </c>
      <c r="D61">
        <f>IFERROR(INDEX(TableQBCalcPts[BYE],MATCH(TableQBRanks[[#This Row],[RK]],TableQBCalcPts[RK],0)),"")</f>
        <v>7</v>
      </c>
      <c r="E61" s="58">
        <f>IFERROR(INDEX(TableQBCalcPts[Custom],MATCH(TableQBRanks[[#This Row],[RK]],TableQBCalcPts[RK],0)),"")</f>
        <v>2.8400780345311172</v>
      </c>
      <c r="F61" s="133">
        <f>(((VLOOKUP(TableQBRanks[[#This Row],[Player]],'OVR &amp; VORP Ranks'!$B:$F,5,FALSE)))/('OVR &amp; VORP Ranks'!$BM$6))*(Settings!$E$10*TEAMS)</f>
        <v>-51.353546373200736</v>
      </c>
      <c r="H61">
        <v>60</v>
      </c>
      <c r="I61" t="str">
        <f>IFERROR(INDEX(TableRBCalcPts[PLAYER],MATCH(TableRBRanks[[#This Row],[RK]],TableRBCalcPts[RK],0)),"")</f>
        <v>Chuba Hubbard</v>
      </c>
      <c r="J61" t="str">
        <f>IFERROR(INDEX(TableRBCalcPts[TM],MATCH(TableRBRanks[[#This Row],[RK]],TableRBCalcPts[RK],0)),"")</f>
        <v>CAR</v>
      </c>
      <c r="K61">
        <f>IFERROR(INDEX(TableRBCalcPts[BYE],MATCH(TableRBRanks[[#This Row],[RK]],TableRBCalcPts[RK],0)),"")</f>
        <v>7</v>
      </c>
      <c r="L61" s="58">
        <f>IFERROR(INDEX(TableRBCalcPts[Custom],MATCH(TableRBRanks[[#This Row],[RK]],TableRBCalcPts[RK],0)),"")</f>
        <v>79.540807738711649</v>
      </c>
      <c r="M61" s="133">
        <f>(((VLOOKUP(TableRBRanks[[#This Row],[Player]],'OVR &amp; VORP Ranks'!$I:$M,5,FALSE)))/('OVR &amp; VORP Ranks'!$BM$6))*(Settings!$E$10*TEAMS)</f>
        <v>-15.63917908920831</v>
      </c>
      <c r="O61">
        <v>60</v>
      </c>
      <c r="P61" t="str">
        <f>IFERROR(INDEX(TableWRCalcPts[PLAYER],MATCH(TableWRRanks[[#This Row],[RK]],TableWRCalcPts[RK],0)),"")</f>
        <v>Curtis Samuel</v>
      </c>
      <c r="Q61" t="str">
        <f>IFERROR(INDEX(TableWRCalcPts[TM],MATCH(TableWRRanks[[#This Row],[RK]],TableWRCalcPts[RK],0)),"")</f>
        <v>WSH</v>
      </c>
      <c r="R61">
        <f>IFERROR(INDEX(TableWRCalcPts[BYE],MATCH(TableWRRanks[[#This Row],[RK]],TableWRCalcPts[RK],0)),"")</f>
        <v>14</v>
      </c>
      <c r="S61" s="58">
        <f>IFERROR(INDEX(TableWRCalcPts[Custom],MATCH(TableWRRanks[[#This Row],[RK]],TableWRCalcPts[RK],0)),"")</f>
        <v>129.28583659160677</v>
      </c>
      <c r="T61" s="133">
        <f>(((VLOOKUP(TableWRRanks[[#This Row],[Player]],'OVR &amp; VORP Ranks'!$P:$T,5,FALSE)))/('OVR &amp; VORP Ranks'!$BM$6))*(Settings!$E$10*TEAMS)</f>
        <v>-0.34460948040647221</v>
      </c>
      <c r="V61">
        <v>60</v>
      </c>
      <c r="W61" t="str">
        <f>IFERROR(INDEX(TableTECalcPts[PLAYER],MATCH(TableTERanks[[#This Row],[RK]],TableTECalcPts[RK],0)),"")</f>
        <v>Jordan Akins</v>
      </c>
      <c r="X61" t="str">
        <f>IFERROR(INDEX(TableTECalcPts[TM],MATCH(TableTERanks[[#This Row],[RK]],TableTECalcPts[RK],0)),"")</f>
        <v>CLE</v>
      </c>
      <c r="Y61">
        <f>IFERROR(INDEX(TableTECalcPts[BYE],MATCH(TableTERanks[[#This Row],[RK]],TableTECalcPts[RK],0)),"")</f>
        <v>5</v>
      </c>
      <c r="Z61" s="58">
        <f>IFERROR(INDEX(TableTECalcPts[Custom],MATCH(TableTERanks[[#This Row],[RK]],TableTECalcPts[RK],0)),"")</f>
        <v>22.879912683379221</v>
      </c>
      <c r="AA61" s="133">
        <f>(((VLOOKUP(TableTERanks[[#This Row],[Player]],'OVR &amp; VORP Ranks'!$W:$AA,5,FALSE)))/('OVR &amp; VORP Ranks'!$BM$6))*(Settings!$E$10*TEAMS)</f>
        <v>-36.029393122228448</v>
      </c>
    </row>
    <row r="62" spans="1:27" x14ac:dyDescent="0.2">
      <c r="A62">
        <v>61</v>
      </c>
      <c r="B62" t="str">
        <f>IFERROR(INDEX(TableQBCalcPts[PLAYER],MATCH(TableQBRanks[[#This Row],[RK]],TableQBCalcPts[RK],0)),"")</f>
        <v>Blaine Gabbert</v>
      </c>
      <c r="C62" t="str">
        <f>IFERROR(INDEX(TableQBCalcPts[TM],MATCH(TableQBRanks[[#This Row],[RK]],TableQBCalcPts[RK],0)),"")</f>
        <v>KC</v>
      </c>
      <c r="D62">
        <f>IFERROR(INDEX(TableQBCalcPts[BYE],MATCH(TableQBRanks[[#This Row],[RK]],TableQBCalcPts[RK],0)),"")</f>
        <v>10</v>
      </c>
      <c r="E62" s="58">
        <f>IFERROR(INDEX(TableQBCalcPts[Custom],MATCH(TableQBRanks[[#This Row],[RK]],TableQBCalcPts[RK],0)),"")</f>
        <v>2.7295891675666519</v>
      </c>
      <c r="F62" s="133">
        <f>(((VLOOKUP(TableQBRanks[[#This Row],[Player]],'OVR &amp; VORP Ranks'!$B:$F,5,FALSE)))/('OVR &amp; VORP Ranks'!$BM$6))*(Settings!$E$10*TEAMS)</f>
        <v>-52.092588214272709</v>
      </c>
      <c r="H62">
        <v>61</v>
      </c>
      <c r="I62" t="str">
        <f>IFERROR(INDEX(TableRBCalcPts[PLAYER],MATCH(TableRBRanks[[#This Row],[RK]],TableRBCalcPts[RK],0)),"")</f>
        <v>Cordarrelle Patterson</v>
      </c>
      <c r="J62" t="str">
        <f>IFERROR(INDEX(TableRBCalcPts[TM],MATCH(TableRBRanks[[#This Row],[RK]],TableRBCalcPts[RK],0)),"")</f>
        <v>ATL</v>
      </c>
      <c r="K62">
        <f>IFERROR(INDEX(TableRBCalcPts[BYE],MATCH(TableRBRanks[[#This Row],[RK]],TableRBCalcPts[RK],0)),"")</f>
        <v>11</v>
      </c>
      <c r="L62" s="58">
        <f>IFERROR(INDEX(TableRBCalcPts[Custom],MATCH(TableRBRanks[[#This Row],[RK]],TableRBCalcPts[RK],0)),"")</f>
        <v>75.105777315267275</v>
      </c>
      <c r="M62" s="133">
        <f>(((VLOOKUP(TableRBRanks[[#This Row],[Player]],'OVR &amp; VORP Ranks'!$I:$M,5,FALSE)))/('OVR &amp; VORP Ranks'!$BM$6))*(Settings!$E$10*TEAMS)</f>
        <v>-17.255135029345606</v>
      </c>
      <c r="O62">
        <v>61</v>
      </c>
      <c r="P62" t="str">
        <f>IFERROR(INDEX(TableWRCalcPts[PLAYER],MATCH(TableWRRanks[[#This Row],[RK]],TableWRCalcPts[RK],0)),"")</f>
        <v>Darius Slayton</v>
      </c>
      <c r="Q62" t="str">
        <f>IFERROR(INDEX(TableWRCalcPts[TM],MATCH(TableWRRanks[[#This Row],[RK]],TableWRCalcPts[RK],0)),"")</f>
        <v>NYG</v>
      </c>
      <c r="R62">
        <f>IFERROR(INDEX(TableWRCalcPts[BYE],MATCH(TableWRRanks[[#This Row],[RK]],TableWRCalcPts[RK],0)),"")</f>
        <v>13</v>
      </c>
      <c r="S62" s="58">
        <f>IFERROR(INDEX(TableWRCalcPts[Custom],MATCH(TableWRRanks[[#This Row],[RK]],TableWRCalcPts[RK],0)),"")</f>
        <v>121.11123240350437</v>
      </c>
      <c r="T62" s="133">
        <f>(((VLOOKUP(TableWRRanks[[#This Row],[Player]],'OVR &amp; VORP Ranks'!$P:$T,5,FALSE)))/('OVR &amp; VORP Ranks'!$BM$6))*(Settings!$E$10*TEAMS)</f>
        <v>-3.1441463171695503</v>
      </c>
      <c r="V62">
        <v>61</v>
      </c>
      <c r="W62" t="str">
        <f>IFERROR(INDEX(TableTECalcPts[PLAYER],MATCH(TableTERanks[[#This Row],[RK]],TableTECalcPts[RK],0)),"")</f>
        <v>Harrison Bryant</v>
      </c>
      <c r="X62" t="str">
        <f>IFERROR(INDEX(TableTECalcPts[TM],MATCH(TableTERanks[[#This Row],[RK]],TableTECalcPts[RK],0)),"")</f>
        <v>CLE</v>
      </c>
      <c r="Y62">
        <f>IFERROR(INDEX(TableTECalcPts[BYE],MATCH(TableTERanks[[#This Row],[RK]],TableTECalcPts[RK],0)),"")</f>
        <v>5</v>
      </c>
      <c r="Z62" s="58">
        <f>IFERROR(INDEX(TableTECalcPts[Custom],MATCH(TableTERanks[[#This Row],[RK]],TableTECalcPts[RK],0)),"")</f>
        <v>22.41543281140352</v>
      </c>
      <c r="AA62" s="133">
        <f>(((VLOOKUP(TableTERanks[[#This Row],[Player]],'OVR &amp; VORP Ranks'!$W:$AA,5,FALSE)))/('OVR &amp; VORP Ranks'!$BM$6))*(Settings!$E$10*TEAMS)</f>
        <v>-36.203805629094717</v>
      </c>
    </row>
    <row r="63" spans="1:27" x14ac:dyDescent="0.2">
      <c r="A63">
        <v>62</v>
      </c>
      <c r="B63" t="str">
        <f>IFERROR(INDEX(TableQBCalcPts[PLAYER],MATCH(TableQBRanks[[#This Row],[RK]],TableQBCalcPts[RK],0)),"")</f>
        <v>Easton Stick</v>
      </c>
      <c r="C63" t="str">
        <f>IFERROR(INDEX(TableQBCalcPts[TM],MATCH(TableQBRanks[[#This Row],[RK]],TableQBCalcPts[RK],0)),"")</f>
        <v>LAC</v>
      </c>
      <c r="D63">
        <f>IFERROR(INDEX(TableQBCalcPts[BYE],MATCH(TableQBRanks[[#This Row],[RK]],TableQBCalcPts[RK],0)),"")</f>
        <v>5</v>
      </c>
      <c r="E63" s="58">
        <f>IFERROR(INDEX(TableQBCalcPts[Custom],MATCH(TableQBRanks[[#This Row],[RK]],TableQBCalcPts[RK],0)),"")</f>
        <v>2.583076314319138</v>
      </c>
      <c r="F63" s="133">
        <f>(((VLOOKUP(TableQBRanks[[#This Row],[Player]],'OVR &amp; VORP Ranks'!$B:$F,5,FALSE)))/('OVR &amp; VORP Ranks'!$BM$6))*(Settings!$E$10*TEAMS)</f>
        <v>-52.261397107661772</v>
      </c>
      <c r="H63">
        <v>62</v>
      </c>
      <c r="I63" t="str">
        <f>IFERROR(INDEX(TableRBCalcPts[PLAYER],MATCH(TableRBRanks[[#This Row],[RK]],TableRBCalcPts[RK],0)),"")</f>
        <v>Tyler Allgeier</v>
      </c>
      <c r="J63" t="str">
        <f>IFERROR(INDEX(TableRBCalcPts[TM],MATCH(TableRBRanks[[#This Row],[RK]],TableRBCalcPts[RK],0)),"")</f>
        <v>ATL</v>
      </c>
      <c r="K63">
        <f>IFERROR(INDEX(TableRBCalcPts[BYE],MATCH(TableRBRanks[[#This Row],[RK]],TableRBCalcPts[RK],0)),"")</f>
        <v>11</v>
      </c>
      <c r="L63" s="58">
        <f>IFERROR(INDEX(TableRBCalcPts[Custom],MATCH(TableRBRanks[[#This Row],[RK]],TableRBCalcPts[RK],0)),"")</f>
        <v>74.172152182090741</v>
      </c>
      <c r="M63" s="133">
        <f>(((VLOOKUP(TableRBRanks[[#This Row],[Player]],'OVR &amp; VORP Ranks'!$I:$M,5,FALSE)))/('OVR &amp; VORP Ranks'!$BM$6))*(Settings!$E$10*TEAMS)</f>
        <v>-17.595312420653418</v>
      </c>
      <c r="O63">
        <v>62</v>
      </c>
      <c r="P63" t="str">
        <f>IFERROR(INDEX(TableWRCalcPts[PLAYER],MATCH(TableWRRanks[[#This Row],[RK]],TableWRCalcPts[RK],0)),"")</f>
        <v>Michael Wilson</v>
      </c>
      <c r="Q63" t="str">
        <f>IFERROR(INDEX(TableWRCalcPts[TM],MATCH(TableWRRanks[[#This Row],[RK]],TableWRCalcPts[RK],0)),"")</f>
        <v>ARI</v>
      </c>
      <c r="R63">
        <f>IFERROR(INDEX(TableWRCalcPts[BYE],MATCH(TableWRRanks[[#This Row],[RK]],TableWRCalcPts[RK],0)),"")</f>
        <v>14</v>
      </c>
      <c r="S63" s="58">
        <f>IFERROR(INDEX(TableWRCalcPts[Custom],MATCH(TableWRRanks[[#This Row],[RK]],TableWRCalcPts[RK],0)),"")</f>
        <v>119.77105166565002</v>
      </c>
      <c r="T63" s="133">
        <f>(((VLOOKUP(TableWRRanks[[#This Row],[Player]],'OVR &amp; VORP Ranks'!$P:$T,5,FALSE)))/('OVR &amp; VORP Ranks'!$BM$6))*(Settings!$E$10*TEAMS)</f>
        <v>-3.6031147586023735</v>
      </c>
      <c r="V63">
        <v>62</v>
      </c>
      <c r="W63" t="str">
        <f>IFERROR(INDEX(TableTECalcPts[PLAYER],MATCH(TableTERanks[[#This Row],[RK]],TableTECalcPts[RK],0)),"")</f>
        <v>Drew Sample</v>
      </c>
      <c r="X63" t="str">
        <f>IFERROR(INDEX(TableTECalcPts[TM],MATCH(TableTERanks[[#This Row],[RK]],TableTECalcPts[RK],0)),"")</f>
        <v>CIN</v>
      </c>
      <c r="Y63">
        <f>IFERROR(INDEX(TableTECalcPts[BYE],MATCH(TableTERanks[[#This Row],[RK]],TableTECalcPts[RK],0)),"")</f>
        <v>7</v>
      </c>
      <c r="Z63" s="58">
        <f>IFERROR(INDEX(TableTECalcPts[Custom],MATCH(TableTERanks[[#This Row],[RK]],TableTECalcPts[RK],0)),"")</f>
        <v>22.221847504079999</v>
      </c>
      <c r="AA63" s="133">
        <f>(((VLOOKUP(TableTERanks[[#This Row],[Player]],'OVR &amp; VORP Ranks'!$W:$AA,5,FALSE)))/('OVR &amp; VORP Ranks'!$BM$6))*(Settings!$E$10*TEAMS)</f>
        <v>-36.276497043254729</v>
      </c>
    </row>
    <row r="64" spans="1:27" x14ac:dyDescent="0.2">
      <c r="A64">
        <v>63</v>
      </c>
      <c r="B64" t="str">
        <f>IFERROR(INDEX(TableQBCalcPts[PLAYER],MATCH(TableQBRanks[[#This Row],[RK]],TableQBCalcPts[RK],0)),"")</f>
        <v>C.J. Beathard</v>
      </c>
      <c r="C64" t="str">
        <f>IFERROR(INDEX(TableQBCalcPts[TM],MATCH(TableQBRanks[[#This Row],[RK]],TableQBCalcPts[RK],0)),"")</f>
        <v>JAX</v>
      </c>
      <c r="D64">
        <f>IFERROR(INDEX(TableQBCalcPts[BYE],MATCH(TableQBRanks[[#This Row],[RK]],TableQBCalcPts[RK],0)),"")</f>
        <v>9</v>
      </c>
      <c r="E64" s="58">
        <f>IFERROR(INDEX(TableQBCalcPts[Custom],MATCH(TableQBRanks[[#This Row],[RK]],TableQBCalcPts[RK],0)),"")</f>
        <v>2.3851871068851112</v>
      </c>
      <c r="F64" s="133">
        <f>(((VLOOKUP(TableQBRanks[[#This Row],[Player]],'OVR &amp; VORP Ranks'!$B:$F,5,FALSE)))/('OVR &amp; VORP Ranks'!$BM$6))*(Settings!$E$10*TEAMS)</f>
        <v>-52.558448216675295</v>
      </c>
      <c r="H64">
        <v>63</v>
      </c>
      <c r="I64" t="str">
        <f>IFERROR(INDEX(TableRBCalcPts[PLAYER],MATCH(TableRBRanks[[#This Row],[RK]],TableRBCalcPts[RK],0)),"")</f>
        <v>Rico Dowdle</v>
      </c>
      <c r="J64" t="str">
        <f>IFERROR(INDEX(TableRBCalcPts[TM],MATCH(TableRBRanks[[#This Row],[RK]],TableRBCalcPts[RK],0)),"")</f>
        <v>DAL</v>
      </c>
      <c r="K64">
        <f>IFERROR(INDEX(TableRBCalcPts[BYE],MATCH(TableRBRanks[[#This Row],[RK]],TableRBCalcPts[RK],0)),"")</f>
        <v>7</v>
      </c>
      <c r="L64" s="58">
        <f>IFERROR(INDEX(TableRBCalcPts[Custom],MATCH(TableRBRanks[[#This Row],[RK]],TableRBCalcPts[RK],0)),"")</f>
        <v>72.49002424290903</v>
      </c>
      <c r="M64" s="133">
        <f>(((VLOOKUP(TableRBRanks[[#This Row],[Player]],'OVR &amp; VORP Ranks'!$I:$M,5,FALSE)))/('OVR &amp; VORP Ranks'!$BM$6))*(Settings!$E$10*TEAMS)</f>
        <v>-18.208215687567318</v>
      </c>
      <c r="O64">
        <v>63</v>
      </c>
      <c r="P64" t="str">
        <f>IFERROR(INDEX(TableWRCalcPts[PLAYER],MATCH(TableWRRanks[[#This Row],[RK]],TableWRCalcPts[RK],0)),"")</f>
        <v>Jayden Reed</v>
      </c>
      <c r="Q64" t="str">
        <f>IFERROR(INDEX(TableWRCalcPts[TM],MATCH(TableWRRanks[[#This Row],[RK]],TableWRCalcPts[RK],0)),"")</f>
        <v>GB</v>
      </c>
      <c r="R64">
        <f>IFERROR(INDEX(TableWRCalcPts[BYE],MATCH(TableWRRanks[[#This Row],[RK]],TableWRCalcPts[RK],0)),"")</f>
        <v>6</v>
      </c>
      <c r="S64" s="58">
        <f>IFERROR(INDEX(TableWRCalcPts[Custom],MATCH(TableWRRanks[[#This Row],[RK]],TableWRCalcPts[RK],0)),"")</f>
        <v>119.06544448157086</v>
      </c>
      <c r="T64" s="133">
        <f>(((VLOOKUP(TableWRRanks[[#This Row],[Player]],'OVR &amp; VORP Ranks'!$P:$T,5,FALSE)))/('OVR &amp; VORP Ranks'!$BM$6))*(Settings!$E$10*TEAMS)</f>
        <v>-3.8447623367186687</v>
      </c>
      <c r="V64">
        <v>63</v>
      </c>
      <c r="W64" t="str">
        <f>IFERROR(INDEX(TableTECalcPts[PLAYER],MATCH(TableTERanks[[#This Row],[RK]],TableTECalcPts[RK],0)),"")</f>
        <v>Ross Dwelley</v>
      </c>
      <c r="X64" t="str">
        <f>IFERROR(INDEX(TableTECalcPts[TM],MATCH(TableTERanks[[#This Row],[RK]],TableTECalcPts[RK],0)),"")</f>
        <v>SF</v>
      </c>
      <c r="Y64">
        <f>IFERROR(INDEX(TableTECalcPts[BYE],MATCH(TableTERanks[[#This Row],[RK]],TableTECalcPts[RK],0)),"")</f>
        <v>9</v>
      </c>
      <c r="Z64" s="58">
        <f>IFERROR(INDEX(TableTECalcPts[Custom],MATCH(TableTERanks[[#This Row],[RK]],TableTECalcPts[RK],0)),"")</f>
        <v>21.379160225181359</v>
      </c>
      <c r="AA64" s="133">
        <f>(((VLOOKUP(TableTERanks[[#This Row],[Player]],'OVR &amp; VORP Ranks'!$W:$AA,5,FALSE)))/('OVR &amp; VORP Ranks'!$BM$6))*(Settings!$E$10*TEAMS)</f>
        <v>-36.592926687863127</v>
      </c>
    </row>
    <row r="65" spans="1:27" x14ac:dyDescent="0.2">
      <c r="A65">
        <v>64</v>
      </c>
      <c r="B65" t="str">
        <f>IFERROR(INDEX(TableQBCalcPts[PLAYER],MATCH(TableQBRanks[[#This Row],[RK]],TableQBCalcPts[RK],0)),"")</f>
        <v>Kyle Allen</v>
      </c>
      <c r="C65" t="str">
        <f>IFERROR(INDEX(TableQBCalcPts[TM],MATCH(TableQBRanks[[#This Row],[RK]],TableQBCalcPts[RK],0)),"")</f>
        <v>BUF</v>
      </c>
      <c r="D65">
        <f>IFERROR(INDEX(TableQBCalcPts[BYE],MATCH(TableQBRanks[[#This Row],[RK]],TableQBCalcPts[RK],0)),"")</f>
        <v>13</v>
      </c>
      <c r="E65" s="58">
        <f>IFERROR(INDEX(TableQBCalcPts[Custom],MATCH(TableQBRanks[[#This Row],[RK]],TableQBCalcPts[RK],0)),"")</f>
        <v>2.2760892000000021</v>
      </c>
      <c r="F65" s="133">
        <f>(((VLOOKUP(TableQBRanks[[#This Row],[Player]],'OVR &amp; VORP Ranks'!$B:$F,5,FALSE)))/('OVR &amp; VORP Ranks'!$BM$6))*(Settings!$E$10*TEAMS)</f>
        <v>-52.768022893505545</v>
      </c>
      <c r="H65">
        <v>64</v>
      </c>
      <c r="I65" t="str">
        <f>IFERROR(INDEX(TableRBCalcPts[PLAYER],MATCH(TableRBRanks[[#This Row],[RK]],TableRBCalcPts[RK],0)),"")</f>
        <v>Sean Tucker</v>
      </c>
      <c r="J65" t="str">
        <f>IFERROR(INDEX(TableRBCalcPts[TM],MATCH(TableRBRanks[[#This Row],[RK]],TableRBCalcPts[RK],0)),"")</f>
        <v>TB</v>
      </c>
      <c r="K65">
        <f>IFERROR(INDEX(TableRBCalcPts[BYE],MATCH(TableRBRanks[[#This Row],[RK]],TableRBCalcPts[RK],0)),"")</f>
        <v>5</v>
      </c>
      <c r="L65" s="58">
        <f>IFERROR(INDEX(TableRBCalcPts[Custom],MATCH(TableRBRanks[[#This Row],[RK]],TableRBCalcPts[RK],0)),"")</f>
        <v>71.283273128167366</v>
      </c>
      <c r="M65" s="133">
        <f>(((VLOOKUP(TableRBRanks[[#This Row],[Player]],'OVR &amp; VORP Ranks'!$I:$M,5,FALSE)))/('OVR &amp; VORP Ranks'!$BM$6))*(Settings!$E$10*TEAMS)</f>
        <v>-18.647909769895538</v>
      </c>
      <c r="O65">
        <v>64</v>
      </c>
      <c r="P65" t="str">
        <f>IFERROR(INDEX(TableWRCalcPts[PLAYER],MATCH(TableWRRanks[[#This Row],[RK]],TableWRCalcPts[RK],0)),"")</f>
        <v>Elijah Moore</v>
      </c>
      <c r="Q65" t="str">
        <f>IFERROR(INDEX(TableWRCalcPts[TM],MATCH(TableWRRanks[[#This Row],[RK]],TableWRCalcPts[RK],0)),"")</f>
        <v>CLE</v>
      </c>
      <c r="R65">
        <f>IFERROR(INDEX(TableWRCalcPts[BYE],MATCH(TableWRRanks[[#This Row],[RK]],TableWRCalcPts[RK],0)),"")</f>
        <v>5</v>
      </c>
      <c r="S65" s="58">
        <f>IFERROR(INDEX(TableWRCalcPts[Custom],MATCH(TableWRRanks[[#This Row],[RK]],TableWRCalcPts[RK],0)),"")</f>
        <v>118.66713195414852</v>
      </c>
      <c r="T65" s="133">
        <f>(((VLOOKUP(TableWRRanks[[#This Row],[Player]],'OVR &amp; VORP Ranks'!$P:$T,5,FALSE)))/('OVR &amp; VORP Ranks'!$BM$6))*(Settings!$E$10*TEAMS)</f>
        <v>-3.9811714603170936</v>
      </c>
      <c r="V65">
        <v>64</v>
      </c>
      <c r="W65" t="str">
        <f>IFERROR(INDEX(TableTECalcPts[PLAYER],MATCH(TableTERanks[[#This Row],[RK]],TableTECalcPts[RK],0)),"")</f>
        <v>Tommy Tremble</v>
      </c>
      <c r="X65" t="str">
        <f>IFERROR(INDEX(TableTECalcPts[TM],MATCH(TableTERanks[[#This Row],[RK]],TableTECalcPts[RK],0)),"")</f>
        <v>CAR</v>
      </c>
      <c r="Y65">
        <f>IFERROR(INDEX(TableTECalcPts[BYE],MATCH(TableTERanks[[#This Row],[RK]],TableTECalcPts[RK],0)),"")</f>
        <v>7</v>
      </c>
      <c r="Z65" s="58">
        <f>IFERROR(INDEX(TableTECalcPts[Custom],MATCH(TableTERanks[[#This Row],[RK]],TableTECalcPts[RK],0)),"")</f>
        <v>21.056662527364388</v>
      </c>
      <c r="AA65" s="133">
        <f>(((VLOOKUP(TableTERanks[[#This Row],[Player]],'OVR &amp; VORP Ranks'!$W:$AA,5,FALSE)))/('OVR &amp; VORP Ranks'!$BM$6))*(Settings!$E$10*TEAMS)</f>
        <v>-36.714024792062141</v>
      </c>
    </row>
    <row r="66" spans="1:27" x14ac:dyDescent="0.2">
      <c r="A66">
        <v>65</v>
      </c>
      <c r="B66" t="str">
        <f>IFERROR(INDEX(TableQBCalcPts[PLAYER],MATCH(TableQBRanks[[#This Row],[RK]],TableQBCalcPts[RK],0)),"")</f>
        <v>Sean Clifford</v>
      </c>
      <c r="C66" t="str">
        <f>IFERROR(INDEX(TableQBCalcPts[TM],MATCH(TableQBRanks[[#This Row],[RK]],TableQBCalcPts[RK],0)),"")</f>
        <v>GB</v>
      </c>
      <c r="D66">
        <f>IFERROR(INDEX(TableQBCalcPts[BYE],MATCH(TableQBRanks[[#This Row],[RK]],TableQBCalcPts[RK],0)),"")</f>
        <v>6</v>
      </c>
      <c r="E66" s="58">
        <f>IFERROR(INDEX(TableQBCalcPts[Custom],MATCH(TableQBRanks[[#This Row],[RK]],TableQBCalcPts[RK],0)),"")</f>
        <v>2.2216458982080018</v>
      </c>
      <c r="F66" s="133">
        <f>(((VLOOKUP(TableQBRanks[[#This Row],[Player]],'OVR &amp; VORP Ranks'!$B:$F,5,FALSE)))/('OVR &amp; VORP Ranks'!$BM$6))*(Settings!$E$10*TEAMS)</f>
        <v>-52.803790917720065</v>
      </c>
      <c r="H66">
        <v>65</v>
      </c>
      <c r="I66" t="str">
        <f>IFERROR(INDEX(TableRBCalcPts[PLAYER],MATCH(TableRBRanks[[#This Row],[RK]],TableRBCalcPts[RK],0)),"")</f>
        <v>Chris Evans</v>
      </c>
      <c r="J66" t="str">
        <f>IFERROR(INDEX(TableRBCalcPts[TM],MATCH(TableRBRanks[[#This Row],[RK]],TableRBCalcPts[RK],0)),"")</f>
        <v>CIN</v>
      </c>
      <c r="K66">
        <f>IFERROR(INDEX(TableRBCalcPts[BYE],MATCH(TableRBRanks[[#This Row],[RK]],TableRBCalcPts[RK],0)),"")</f>
        <v>7</v>
      </c>
      <c r="L66" s="58">
        <f>IFERROR(INDEX(TableRBCalcPts[Custom],MATCH(TableRBRanks[[#This Row],[RK]],TableRBCalcPts[RK],0)),"")</f>
        <v>71.100773257316817</v>
      </c>
      <c r="M66" s="133">
        <f>(((VLOOKUP(TableRBRanks[[#This Row],[Player]],'OVR &amp; VORP Ranks'!$I:$M,5,FALSE)))/('OVR &amp; VORP Ranks'!$BM$6))*(Settings!$E$10*TEAMS)</f>
        <v>-18.714405762530959</v>
      </c>
      <c r="O66">
        <v>65</v>
      </c>
      <c r="P66" t="str">
        <f>IFERROR(INDEX(TableWRCalcPts[PLAYER],MATCH(TableWRRanks[[#This Row],[RK]],TableWRCalcPts[RK],0)),"")</f>
        <v>Kadarius Toney</v>
      </c>
      <c r="Q66" t="str">
        <f>IFERROR(INDEX(TableWRCalcPts[TM],MATCH(TableWRRanks[[#This Row],[RK]],TableWRCalcPts[RK],0)),"")</f>
        <v>KC</v>
      </c>
      <c r="R66">
        <f>IFERROR(INDEX(TableWRCalcPts[BYE],MATCH(TableWRRanks[[#This Row],[RK]],TableWRCalcPts[RK],0)),"")</f>
        <v>10</v>
      </c>
      <c r="S66" s="58">
        <f>IFERROR(INDEX(TableWRCalcPts[Custom],MATCH(TableWRRanks[[#This Row],[RK]],TableWRCalcPts[RK],0)),"")</f>
        <v>115.6532121174868</v>
      </c>
      <c r="T66" s="133">
        <f>(((VLOOKUP(TableWRRanks[[#This Row],[Player]],'OVR &amp; VORP Ranks'!$P:$T,5,FALSE)))/('OVR &amp; VORP Ranks'!$BM$6))*(Settings!$E$10*TEAMS)</f>
        <v>-5.0133412647053941</v>
      </c>
      <c r="V66">
        <v>65</v>
      </c>
      <c r="W66" t="str">
        <f>IFERROR(INDEX(TableTECalcPts[PLAYER],MATCH(TableTERanks[[#This Row],[RK]],TableTECalcPts[RK],0)),"")</f>
        <v>Ko Kieft</v>
      </c>
      <c r="X66" t="str">
        <f>IFERROR(INDEX(TableTECalcPts[TM],MATCH(TableTERanks[[#This Row],[RK]],TableTECalcPts[RK],0)),"")</f>
        <v>TB</v>
      </c>
      <c r="Y66">
        <f>IFERROR(INDEX(TableTECalcPts[BYE],MATCH(TableTERanks[[#This Row],[RK]],TableTECalcPts[RK],0)),"")</f>
        <v>5</v>
      </c>
      <c r="Z66" s="58">
        <f>IFERROR(INDEX(TableTECalcPts[Custom],MATCH(TableTERanks[[#This Row],[RK]],TableTECalcPts[RK],0)),"")</f>
        <v>20.890689470209896</v>
      </c>
      <c r="AA66" s="133">
        <f>(((VLOOKUP(TableTERanks[[#This Row],[Player]],'OVR &amp; VORP Ranks'!$W:$AA,5,FALSE)))/('OVR &amp; VORP Ranks'!$BM$6))*(Settings!$E$10*TEAMS)</f>
        <v>-36.776347787561264</v>
      </c>
    </row>
    <row r="67" spans="1:27" x14ac:dyDescent="0.2">
      <c r="A67">
        <v>66</v>
      </c>
      <c r="B67" t="str">
        <f>IFERROR(INDEX(TableQBCalcPts[PLAYER],MATCH(TableQBRanks[[#This Row],[RK]],TableQBCalcPts[RK],0)),"")</f>
        <v/>
      </c>
      <c r="C67" t="str">
        <f>IFERROR(INDEX(TableQBCalcPts[TM],MATCH(TableQBRanks[[#This Row],[RK]],TableQBCalcPts[RK],0)),"")</f>
        <v/>
      </c>
      <c r="D67" t="str">
        <f>IFERROR(INDEX(TableQBCalcPts[BYE],MATCH(TableQBRanks[[#This Row],[RK]],TableQBCalcPts[RK],0)),"")</f>
        <v/>
      </c>
      <c r="E67" s="58" t="str">
        <f>IFERROR(INDEX(TableQBCalcPts[Custom],MATCH(TableQBRanks[[#This Row],[RK]],TableQBCalcPts[RK],0)),"")</f>
        <v/>
      </c>
      <c r="F67" s="133" t="e">
        <f>(((VLOOKUP(TableQBRanks[[#This Row],[Player]],'OVR &amp; VORP Ranks'!$B:$F,5,FALSE)))/('OVR &amp; VORP Ranks'!$BM$6))*(Settings!$E$10*TEAMS)</f>
        <v>#VALUE!</v>
      </c>
      <c r="H67">
        <v>66</v>
      </c>
      <c r="I67" t="str">
        <f>IFERROR(INDEX(TableRBCalcPts[PLAYER],MATCH(TableRBRanks[[#This Row],[RK]],TableRBCalcPts[RK],0)),"")</f>
        <v>Deon Jackson</v>
      </c>
      <c r="J67" t="str">
        <f>IFERROR(INDEX(TableRBCalcPts[TM],MATCH(TableRBRanks[[#This Row],[RK]],TableRBCalcPts[RK],0)),"")</f>
        <v>IND</v>
      </c>
      <c r="K67">
        <f>IFERROR(INDEX(TableRBCalcPts[BYE],MATCH(TableRBRanks[[#This Row],[RK]],TableRBCalcPts[RK],0)),"")</f>
        <v>11</v>
      </c>
      <c r="L67" s="58">
        <f>IFERROR(INDEX(TableRBCalcPts[Custom],MATCH(TableRBRanks[[#This Row],[RK]],TableRBCalcPts[RK],0)),"")</f>
        <v>71.005509132096009</v>
      </c>
      <c r="M67" s="133">
        <f>(((VLOOKUP(TableRBRanks[[#This Row],[Player]],'OVR &amp; VORP Ranks'!$I:$M,5,FALSE)))/('OVR &amp; VORP Ranks'!$BM$6))*(Settings!$E$10*TEAMS)</f>
        <v>-18.749116376514301</v>
      </c>
      <c r="O67">
        <v>66</v>
      </c>
      <c r="P67" t="str">
        <f>IFERROR(INDEX(TableWRCalcPts[PLAYER],MATCH(TableWRRanks[[#This Row],[RK]],TableWRCalcPts[RK],0)),"")</f>
        <v>Nico Collins</v>
      </c>
      <c r="Q67" t="str">
        <f>IFERROR(INDEX(TableWRCalcPts[TM],MATCH(TableWRRanks[[#This Row],[RK]],TableWRCalcPts[RK],0)),"")</f>
        <v>HOU</v>
      </c>
      <c r="R67">
        <f>IFERROR(INDEX(TableWRCalcPts[BYE],MATCH(TableWRRanks[[#This Row],[RK]],TableWRCalcPts[RK],0)),"")</f>
        <v>7</v>
      </c>
      <c r="S67" s="58">
        <f>IFERROR(INDEX(TableWRCalcPts[Custom],MATCH(TableWRRanks[[#This Row],[RK]],TableWRCalcPts[RK],0)),"")</f>
        <v>114.84809106865067</v>
      </c>
      <c r="T67" s="133">
        <f>(((VLOOKUP(TableWRRanks[[#This Row],[Player]],'OVR &amp; VORP Ranks'!$P:$T,5,FALSE)))/('OVR &amp; VORP Ranks'!$BM$6))*(Settings!$E$10*TEAMS)</f>
        <v>-5.2890691143241639</v>
      </c>
      <c r="V67">
        <v>66</v>
      </c>
      <c r="W67" t="str">
        <f>IFERROR(INDEX(TableTECalcPts[PLAYER],MATCH(TableTERanks[[#This Row],[RK]],TableTECalcPts[RK],0)),"")</f>
        <v>Brock Wright</v>
      </c>
      <c r="X67" t="str">
        <f>IFERROR(INDEX(TableTECalcPts[TM],MATCH(TableTERanks[[#This Row],[RK]],TableTECalcPts[RK],0)),"")</f>
        <v>DET</v>
      </c>
      <c r="Y67">
        <f>IFERROR(INDEX(TableTECalcPts[BYE],MATCH(TableTERanks[[#This Row],[RK]],TableTECalcPts[RK],0)),"")</f>
        <v>9</v>
      </c>
      <c r="Z67" s="58">
        <f>IFERROR(INDEX(TableTECalcPts[Custom],MATCH(TableTERanks[[#This Row],[RK]],TableTECalcPts[RK],0)),"")</f>
        <v>20.420866563743786</v>
      </c>
      <c r="AA67" s="133">
        <f>(((VLOOKUP(TableTERanks[[#This Row],[Player]],'OVR &amp; VORP Ranks'!$W:$AA,5,FALSE)))/('OVR &amp; VORP Ranks'!$BM$6))*(Settings!$E$10*TEAMS)</f>
        <v>-36.952766607501516</v>
      </c>
    </row>
    <row r="68" spans="1:27" x14ac:dyDescent="0.2">
      <c r="A68">
        <v>67</v>
      </c>
      <c r="B68" t="str">
        <f>IFERROR(INDEX(TableQBCalcPts[PLAYER],MATCH(TableQBRanks[[#This Row],[RK]],TableQBCalcPts[RK],0)),"")</f>
        <v/>
      </c>
      <c r="C68" t="str">
        <f>IFERROR(INDEX(TableQBCalcPts[TM],MATCH(TableQBRanks[[#This Row],[RK]],TableQBCalcPts[RK],0)),"")</f>
        <v/>
      </c>
      <c r="D68" t="str">
        <f>IFERROR(INDEX(TableQBCalcPts[BYE],MATCH(TableQBRanks[[#This Row],[RK]],TableQBCalcPts[RK],0)),"")</f>
        <v/>
      </c>
      <c r="E68" s="58" t="str">
        <f>IFERROR(INDEX(TableQBCalcPts[Custom],MATCH(TableQBRanks[[#This Row],[RK]],TableQBCalcPts[RK],0)),"")</f>
        <v/>
      </c>
      <c r="F68" s="133" t="e">
        <f>(((VLOOKUP(TableQBRanks[[#This Row],[Player]],'OVR &amp; VORP Ranks'!$B:$F,5,FALSE)))/('OVR &amp; VORP Ranks'!$BM$6))*(Settings!$E$10*TEAMS)</f>
        <v>#VALUE!</v>
      </c>
      <c r="H68">
        <v>67</v>
      </c>
      <c r="I68" t="str">
        <f>IFERROR(INDEX(TableRBCalcPts[PLAYER],MATCH(TableRBRanks[[#This Row],[RK]],TableRBCalcPts[RK],0)),"")</f>
        <v>Zack Moss</v>
      </c>
      <c r="J68" t="str">
        <f>IFERROR(INDEX(TableRBCalcPts[TM],MATCH(TableRBRanks[[#This Row],[RK]],TableRBCalcPts[RK],0)),"")</f>
        <v>IND</v>
      </c>
      <c r="K68">
        <f>IFERROR(INDEX(TableRBCalcPts[BYE],MATCH(TableRBRanks[[#This Row],[RK]],TableRBCalcPts[RK],0)),"")</f>
        <v>11</v>
      </c>
      <c r="L68" s="58">
        <f>IFERROR(INDEX(TableRBCalcPts[Custom],MATCH(TableRBRanks[[#This Row],[RK]],TableRBCalcPts[RK],0)),"")</f>
        <v>66.203085416160008</v>
      </c>
      <c r="M68" s="133">
        <f>(((VLOOKUP(TableRBRanks[[#This Row],[Player]],'OVR &amp; VORP Ranks'!$I:$M,5,FALSE)))/('OVR &amp; VORP Ranks'!$BM$6))*(Settings!$E$10*TEAMS)</f>
        <v>-20.498936420543664</v>
      </c>
      <c r="O68">
        <v>67</v>
      </c>
      <c r="P68" t="str">
        <f>IFERROR(INDEX(TableWRCalcPts[PLAYER],MATCH(TableWRRanks[[#This Row],[RK]],TableWRCalcPts[RK],0)),"")</f>
        <v>K.J. Osborn</v>
      </c>
      <c r="Q68" t="str">
        <f>IFERROR(INDEX(TableWRCalcPts[TM],MATCH(TableWRRanks[[#This Row],[RK]],TableWRCalcPts[RK],0)),"")</f>
        <v>MIN</v>
      </c>
      <c r="R68">
        <f>IFERROR(INDEX(TableWRCalcPts[BYE],MATCH(TableWRRanks[[#This Row],[RK]],TableWRCalcPts[RK],0)),"")</f>
        <v>13</v>
      </c>
      <c r="S68" s="58">
        <f>IFERROR(INDEX(TableWRCalcPts[Custom],MATCH(TableWRRanks[[#This Row],[RK]],TableWRCalcPts[RK],0)),"")</f>
        <v>113.8911756591277</v>
      </c>
      <c r="T68" s="133">
        <f>(((VLOOKUP(TableWRRanks[[#This Row],[Player]],'OVR &amp; VORP Ranks'!$P:$T,5,FALSE)))/('OVR &amp; VORP Ranks'!$BM$6))*(Settings!$E$10*TEAMS)</f>
        <v>-5.6167816098753001</v>
      </c>
      <c r="V68">
        <v>67</v>
      </c>
      <c r="W68" t="str">
        <f>IFERROR(INDEX(TableTECalcPts[PLAYER],MATCH(TableTERanks[[#This Row],[RK]],TableTECalcPts[RK],0)),"")</f>
        <v>Hunter Long</v>
      </c>
      <c r="X68" t="str">
        <f>IFERROR(INDEX(TableTECalcPts[TM],MATCH(TableTERanks[[#This Row],[RK]],TableTECalcPts[RK],0)),"")</f>
        <v>LAR</v>
      </c>
      <c r="Y68">
        <f>IFERROR(INDEX(TableTECalcPts[BYE],MATCH(TableTERanks[[#This Row],[RK]],TableTECalcPts[RK],0)),"")</f>
        <v>10</v>
      </c>
      <c r="Z68" s="58">
        <f>IFERROR(INDEX(TableTECalcPts[Custom],MATCH(TableTERanks[[#This Row],[RK]],TableTECalcPts[RK],0)),"")</f>
        <v>20.068881155988553</v>
      </c>
      <c r="AA68" s="133">
        <f>(((VLOOKUP(TableTERanks[[#This Row],[Player]],'OVR &amp; VORP Ranks'!$W:$AA,5,FALSE)))/('OVR &amp; VORP Ranks'!$BM$6))*(Settings!$E$10*TEAMS)</f>
        <v>-37.084937366776416</v>
      </c>
    </row>
    <row r="69" spans="1:27" x14ac:dyDescent="0.2">
      <c r="A69">
        <v>68</v>
      </c>
      <c r="B69" t="str">
        <f>IFERROR(INDEX(TableQBCalcPts[PLAYER],MATCH(TableQBRanks[[#This Row],[RK]],TableQBCalcPts[RK],0)),"")</f>
        <v/>
      </c>
      <c r="C69" t="str">
        <f>IFERROR(INDEX(TableQBCalcPts[TM],MATCH(TableQBRanks[[#This Row],[RK]],TableQBCalcPts[RK],0)),"")</f>
        <v/>
      </c>
      <c r="D69" t="str">
        <f>IFERROR(INDEX(TableQBCalcPts[BYE],MATCH(TableQBRanks[[#This Row],[RK]],TableQBCalcPts[RK],0)),"")</f>
        <v/>
      </c>
      <c r="E69" s="58" t="str">
        <f>IFERROR(INDEX(TableQBCalcPts[Custom],MATCH(TableQBRanks[[#This Row],[RK]],TableQBCalcPts[RK],0)),"")</f>
        <v/>
      </c>
      <c r="F69" s="133" t="e">
        <f>(((VLOOKUP(TableQBRanks[[#This Row],[Player]],'OVR &amp; VORP Ranks'!$B:$F,5,FALSE)))/('OVR &amp; VORP Ranks'!$BM$6))*(Settings!$E$10*TEAMS)</f>
        <v>#VALUE!</v>
      </c>
      <c r="H69">
        <v>68</v>
      </c>
      <c r="I69" t="str">
        <f>IFERROR(INDEX(TableRBCalcPts[PLAYER],MATCH(TableRBRanks[[#This Row],[RK]],TableRBCalcPts[RK],0)),"")</f>
        <v>Pierre Strong</v>
      </c>
      <c r="J69" t="str">
        <f>IFERROR(INDEX(TableRBCalcPts[TM],MATCH(TableRBRanks[[#This Row],[RK]],TableRBCalcPts[RK],0)),"")</f>
        <v>CLE</v>
      </c>
      <c r="K69">
        <f>IFERROR(INDEX(TableRBCalcPts[BYE],MATCH(TableRBRanks[[#This Row],[RK]],TableRBCalcPts[RK],0)),"")</f>
        <v>5</v>
      </c>
      <c r="L69" s="58">
        <f>IFERROR(INDEX(TableRBCalcPts[Custom],MATCH(TableRBRanks[[#This Row],[RK]],TableRBCalcPts[RK],0)),"")</f>
        <v>63.675737980142394</v>
      </c>
      <c r="M69" s="133">
        <f>(((VLOOKUP(TableRBRanks[[#This Row],[Player]],'OVR &amp; VORP Ranks'!$I:$M,5,FALSE)))/('OVR &amp; VORP Ranks'!$BM$6))*(Settings!$E$10*TEAMS)</f>
        <v>-21.419805436556324</v>
      </c>
      <c r="O69">
        <v>68</v>
      </c>
      <c r="P69" t="str">
        <f>IFERROR(INDEX(TableWRCalcPts[PLAYER],MATCH(TableWRRanks[[#This Row],[RK]],TableWRCalcPts[RK],0)),"")</f>
        <v>Josh Downs</v>
      </c>
      <c r="Q69" t="str">
        <f>IFERROR(INDEX(TableWRCalcPts[TM],MATCH(TableWRRanks[[#This Row],[RK]],TableWRCalcPts[RK],0)),"")</f>
        <v>IND</v>
      </c>
      <c r="R69">
        <f>IFERROR(INDEX(TableWRCalcPts[BYE],MATCH(TableWRRanks[[#This Row],[RK]],TableWRCalcPts[RK],0)),"")</f>
        <v>11</v>
      </c>
      <c r="S69" s="58">
        <f>IFERROR(INDEX(TableWRCalcPts[Custom],MATCH(TableWRRanks[[#This Row],[RK]],TableWRCalcPts[RK],0)),"")</f>
        <v>113.73967041881546</v>
      </c>
      <c r="T69" s="133">
        <f>(((VLOOKUP(TableWRRanks[[#This Row],[Player]],'OVR &amp; VORP Ranks'!$P:$T,5,FALSE)))/('OVR &amp; VORP Ranks'!$BM$6))*(Settings!$E$10*TEAMS)</f>
        <v>-5.6686672414553652</v>
      </c>
      <c r="V69">
        <v>68</v>
      </c>
      <c r="W69" t="str">
        <f>IFERROR(INDEX(TableTECalcPts[PLAYER],MATCH(TableTERanks[[#This Row],[RK]],TableTECalcPts[RK],0)),"")</f>
        <v>Grant Calcaterra</v>
      </c>
      <c r="X69" t="str">
        <f>IFERROR(INDEX(TableTECalcPts[TM],MATCH(TableTERanks[[#This Row],[RK]],TableTECalcPts[RK],0)),"")</f>
        <v>PHI</v>
      </c>
      <c r="Y69">
        <f>IFERROR(INDEX(TableTECalcPts[BYE],MATCH(TableTERanks[[#This Row],[RK]],TableTECalcPts[RK],0)),"")</f>
        <v>10</v>
      </c>
      <c r="Z69" s="58">
        <f>IFERROR(INDEX(TableTECalcPts[Custom],MATCH(TableTERanks[[#This Row],[RK]],TableTECalcPts[RK],0)),"")</f>
        <v>17.356951041360002</v>
      </c>
      <c r="AA69" s="133">
        <f>(((VLOOKUP(TableTERanks[[#This Row],[Player]],'OVR &amp; VORP Ranks'!$W:$AA,5,FALSE)))/('OVR &amp; VORP Ranks'!$BM$6))*(Settings!$E$10*TEAMS)</f>
        <v>-38.103268963636744</v>
      </c>
    </row>
    <row r="70" spans="1:27" x14ac:dyDescent="0.2">
      <c r="A70">
        <v>69</v>
      </c>
      <c r="B70" t="str">
        <f>IFERROR(INDEX(TableQBCalcPts[PLAYER],MATCH(TableQBRanks[[#This Row],[RK]],TableQBCalcPts[RK],0)),"")</f>
        <v/>
      </c>
      <c r="C70" t="str">
        <f>IFERROR(INDEX(TableQBCalcPts[TM],MATCH(TableQBRanks[[#This Row],[RK]],TableQBCalcPts[RK],0)),"")</f>
        <v/>
      </c>
      <c r="D70" t="str">
        <f>IFERROR(INDEX(TableQBCalcPts[BYE],MATCH(TableQBRanks[[#This Row],[RK]],TableQBCalcPts[RK],0)),"")</f>
        <v/>
      </c>
      <c r="E70" s="58" t="str">
        <f>IFERROR(INDEX(TableQBCalcPts[Custom],MATCH(TableQBRanks[[#This Row],[RK]],TableQBCalcPts[RK],0)),"")</f>
        <v/>
      </c>
      <c r="F70" s="133" t="e">
        <f>(((VLOOKUP(TableQBRanks[[#This Row],[Player]],'OVR &amp; VORP Ranks'!$B:$F,5,FALSE)))/('OVR &amp; VORP Ranks'!$BM$6))*(Settings!$E$10*TEAMS)</f>
        <v>#VALUE!</v>
      </c>
      <c r="H70">
        <v>69</v>
      </c>
      <c r="I70" t="str">
        <f>IFERROR(INDEX(TableRBCalcPts[PLAYER],MATCH(TableRBRanks[[#This Row],[RK]],TableRBCalcPts[RK],0)),"")</f>
        <v>Clyde Edwards-Helaire</v>
      </c>
      <c r="J70" t="str">
        <f>IFERROR(INDEX(TableRBCalcPts[TM],MATCH(TableRBRanks[[#This Row],[RK]],TableRBCalcPts[RK],0)),"")</f>
        <v>KC</v>
      </c>
      <c r="K70">
        <f>IFERROR(INDEX(TableRBCalcPts[BYE],MATCH(TableRBRanks[[#This Row],[RK]],TableRBCalcPts[RK],0)),"")</f>
        <v>10</v>
      </c>
      <c r="L70" s="58">
        <f>IFERROR(INDEX(TableRBCalcPts[Custom],MATCH(TableRBRanks[[#This Row],[RK]],TableRBCalcPts[RK],0)),"")</f>
        <v>61.455917554297137</v>
      </c>
      <c r="M70" s="133">
        <f>(((VLOOKUP(TableRBRanks[[#This Row],[Player]],'OVR &amp; VORP Ranks'!$I:$M,5,FALSE)))/('OVR &amp; VORP Ranks'!$BM$6))*(Settings!$E$10*TEAMS)</f>
        <v>-22.228623338733616</v>
      </c>
      <c r="O70">
        <v>69</v>
      </c>
      <c r="P70" t="str">
        <f>IFERROR(INDEX(TableWRCalcPts[PLAYER],MATCH(TableWRRanks[[#This Row],[RK]],TableWRCalcPts[RK],0)),"")</f>
        <v>DJ Chark</v>
      </c>
      <c r="Q70" t="str">
        <f>IFERROR(INDEX(TableWRCalcPts[TM],MATCH(TableWRRanks[[#This Row],[RK]],TableWRCalcPts[RK],0)),"")</f>
        <v>CAR</v>
      </c>
      <c r="R70">
        <f>IFERROR(INDEX(TableWRCalcPts[BYE],MATCH(TableWRRanks[[#This Row],[RK]],TableWRCalcPts[RK],0)),"")</f>
        <v>7</v>
      </c>
      <c r="S70" s="58">
        <f>IFERROR(INDEX(TableWRCalcPts[Custom],MATCH(TableWRRanks[[#This Row],[RK]],TableWRCalcPts[RK],0)),"")</f>
        <v>113.20957392716396</v>
      </c>
      <c r="T70" s="133">
        <f>(((VLOOKUP(TableWRRanks[[#This Row],[Player]],'OVR &amp; VORP Ranks'!$P:$T,5,FALSE)))/('OVR &amp; VORP Ranks'!$BM$6))*(Settings!$E$10*TEAMS)</f>
        <v>-5.8502080991249219</v>
      </c>
      <c r="V70">
        <v>69</v>
      </c>
      <c r="W70" t="str">
        <f>IFERROR(INDEX(TableTECalcPts[PLAYER],MATCH(TableTERanks[[#This Row],[RK]],TableTECalcPts[RK],0)),"")</f>
        <v>Chris Manhertz</v>
      </c>
      <c r="X70" t="str">
        <f>IFERROR(INDEX(TableTECalcPts[TM],MATCH(TableTERanks[[#This Row],[RK]],TableTECalcPts[RK],0)),"")</f>
        <v>DEN</v>
      </c>
      <c r="Y70">
        <f>IFERROR(INDEX(TableTECalcPts[BYE],MATCH(TableTERanks[[#This Row],[RK]],TableTECalcPts[RK],0)),"")</f>
        <v>9</v>
      </c>
      <c r="Z70" s="58">
        <f>IFERROR(INDEX(TableTECalcPts[Custom],MATCH(TableTERanks[[#This Row],[RK]],TableTECalcPts[RK],0)),"")</f>
        <v>16.832874630670773</v>
      </c>
      <c r="AA70" s="133">
        <f>(((VLOOKUP(TableTERanks[[#This Row],[Player]],'OVR &amp; VORP Ranks'!$W:$AA,5,FALSE)))/('OVR &amp; VORP Ranks'!$BM$6))*(Settings!$E$10*TEAMS)</f>
        <v>-38.300060011199221</v>
      </c>
    </row>
    <row r="71" spans="1:27" x14ac:dyDescent="0.2">
      <c r="A71">
        <v>70</v>
      </c>
      <c r="B71" t="str">
        <f>IFERROR(INDEX(TableQBCalcPts[PLAYER],MATCH(TableQBRanks[[#This Row],[RK]],TableQBCalcPts[RK],0)),"")</f>
        <v/>
      </c>
      <c r="C71" t="str">
        <f>IFERROR(INDEX(TableQBCalcPts[TM],MATCH(TableQBRanks[[#This Row],[RK]],TableQBCalcPts[RK],0)),"")</f>
        <v/>
      </c>
      <c r="D71" t="str">
        <f>IFERROR(INDEX(TableQBCalcPts[BYE],MATCH(TableQBRanks[[#This Row],[RK]],TableQBCalcPts[RK],0)),"")</f>
        <v/>
      </c>
      <c r="E71" s="58" t="str">
        <f>IFERROR(INDEX(TableQBCalcPts[Custom],MATCH(TableQBRanks[[#This Row],[RK]],TableQBCalcPts[RK],0)),"")</f>
        <v/>
      </c>
      <c r="F71" s="133" t="e">
        <f>(((VLOOKUP(TableQBRanks[[#This Row],[Player]],'OVR &amp; VORP Ranks'!$B:$F,5,FALSE)))/('OVR &amp; VORP Ranks'!$BM$6))*(Settings!$E$10*TEAMS)</f>
        <v>#VALUE!</v>
      </c>
      <c r="H71">
        <v>70</v>
      </c>
      <c r="I71" t="str">
        <f>IFERROR(INDEX(TableRBCalcPts[PLAYER],MATCH(TableRBRanks[[#This Row],[RK]],TableRBCalcPts[RK],0)),"")</f>
        <v>Jordan Mason</v>
      </c>
      <c r="J71" t="str">
        <f>IFERROR(INDEX(TableRBCalcPts[TM],MATCH(TableRBRanks[[#This Row],[RK]],TableRBCalcPts[RK],0)),"")</f>
        <v>SF</v>
      </c>
      <c r="K71">
        <f>IFERROR(INDEX(TableRBCalcPts[BYE],MATCH(TableRBRanks[[#This Row],[RK]],TableRBCalcPts[RK],0)),"")</f>
        <v>9</v>
      </c>
      <c r="L71" s="58">
        <f>IFERROR(INDEX(TableRBCalcPts[Custom],MATCH(TableRBRanks[[#This Row],[RK]],TableRBCalcPts[RK],0)),"")</f>
        <v>60.282796608378746</v>
      </c>
      <c r="M71" s="133">
        <f>(((VLOOKUP(TableRBRanks[[#This Row],[Player]],'OVR &amp; VORP Ranks'!$I:$M,5,FALSE)))/('OVR &amp; VORP Ranks'!$BM$6))*(Settings!$E$10*TEAMS)</f>
        <v>-22.656063870152575</v>
      </c>
      <c r="O71">
        <v>70</v>
      </c>
      <c r="P71" t="str">
        <f>IFERROR(INDEX(TableWRCalcPts[PLAYER],MATCH(TableWRRanks[[#This Row],[RK]],TableWRCalcPts[RK],0)),"")</f>
        <v>DeVante Parker</v>
      </c>
      <c r="Q71" t="str">
        <f>IFERROR(INDEX(TableWRCalcPts[TM],MATCH(TableWRRanks[[#This Row],[RK]],TableWRCalcPts[RK],0)),"")</f>
        <v>NE</v>
      </c>
      <c r="R71">
        <f>IFERROR(INDEX(TableWRCalcPts[BYE],MATCH(TableWRRanks[[#This Row],[RK]],TableWRCalcPts[RK],0)),"")</f>
        <v>11</v>
      </c>
      <c r="S71" s="58">
        <f>IFERROR(INDEX(TableWRCalcPts[Custom],MATCH(TableWRRanks[[#This Row],[RK]],TableWRCalcPts[RK],0)),"")</f>
        <v>111.97896938137993</v>
      </c>
      <c r="T71" s="133">
        <f>(((VLOOKUP(TableWRRanks[[#This Row],[Player]],'OVR &amp; VORP Ranks'!$P:$T,5,FALSE)))/('OVR &amp; VORP Ranks'!$BM$6))*(Settings!$E$10*TEAMS)</f>
        <v>-6.2716502482658738</v>
      </c>
      <c r="V71">
        <v>70</v>
      </c>
      <c r="W71" t="str">
        <f>IFERROR(INDEX(TableTECalcPts[PLAYER],MATCH(TableTERanks[[#This Row],[RK]],TableTECalcPts[RK],0)),"")</f>
        <v>Josh Whyle</v>
      </c>
      <c r="X71" t="str">
        <f>IFERROR(INDEX(TableTECalcPts[TM],MATCH(TableTERanks[[#This Row],[RK]],TableTECalcPts[RK],0)),"")</f>
        <v>TEN</v>
      </c>
      <c r="Y71">
        <f>IFERROR(INDEX(TableTECalcPts[BYE],MATCH(TableTERanks[[#This Row],[RK]],TableTECalcPts[RK],0)),"")</f>
        <v>7</v>
      </c>
      <c r="Z71" s="58">
        <f>IFERROR(INDEX(TableTECalcPts[Custom],MATCH(TableTERanks[[#This Row],[RK]],TableTECalcPts[RK],0)),"")</f>
        <v>16.71059312879585</v>
      </c>
      <c r="AA71" s="133">
        <f>(((VLOOKUP(TableTERanks[[#This Row],[Player]],'OVR &amp; VORP Ranks'!$W:$AA,5,FALSE)))/('OVR &amp; VORP Ranks'!$BM$6))*(Settings!$E$10*TEAMS)</f>
        <v>-38.345976798065919</v>
      </c>
    </row>
    <row r="72" spans="1:27" x14ac:dyDescent="0.2">
      <c r="A72">
        <v>71</v>
      </c>
      <c r="B72" t="str">
        <f>IFERROR(INDEX(TableQBCalcPts[PLAYER],MATCH(TableQBRanks[[#This Row],[RK]],TableQBCalcPts[RK],0)),"")</f>
        <v/>
      </c>
      <c r="C72" t="str">
        <f>IFERROR(INDEX(TableQBCalcPts[TM],MATCH(TableQBRanks[[#This Row],[RK]],TableQBCalcPts[RK],0)),"")</f>
        <v/>
      </c>
      <c r="D72" t="str">
        <f>IFERROR(INDEX(TableQBCalcPts[BYE],MATCH(TableQBRanks[[#This Row],[RK]],TableQBCalcPts[RK],0)),"")</f>
        <v/>
      </c>
      <c r="E72" s="58" t="str">
        <f>IFERROR(INDEX(TableQBCalcPts[Custom],MATCH(TableQBRanks[[#This Row],[RK]],TableQBCalcPts[RK],0)),"")</f>
        <v/>
      </c>
      <c r="F72" s="133" t="e">
        <f>(((VLOOKUP(TableQBRanks[[#This Row],[Player]],'OVR &amp; VORP Ranks'!$B:$F,5,FALSE)))/('OVR &amp; VORP Ranks'!$BM$6))*(Settings!$E$10*TEAMS)</f>
        <v>#VALUE!</v>
      </c>
      <c r="H72">
        <v>71</v>
      </c>
      <c r="I72" t="str">
        <f>IFERROR(INDEX(TableRBCalcPts[PLAYER],MATCH(TableRBRanks[[#This Row],[RK]],TableRBCalcPts[RK],0)),"")</f>
        <v>Matt Breida</v>
      </c>
      <c r="J72" t="str">
        <f>IFERROR(INDEX(TableRBCalcPts[TM],MATCH(TableRBRanks[[#This Row],[RK]],TableRBCalcPts[RK],0)),"")</f>
        <v>NYG</v>
      </c>
      <c r="K72">
        <f>IFERROR(INDEX(TableRBCalcPts[BYE],MATCH(TableRBRanks[[#This Row],[RK]],TableRBCalcPts[RK],0)),"")</f>
        <v>13</v>
      </c>
      <c r="L72" s="58">
        <f>IFERROR(INDEX(TableRBCalcPts[Custom],MATCH(TableRBRanks[[#This Row],[RK]],TableRBCalcPts[RK],0)),"")</f>
        <v>56.452478120573126</v>
      </c>
      <c r="M72" s="133">
        <f>(((VLOOKUP(TableRBRanks[[#This Row],[Player]],'OVR &amp; VORP Ranks'!$I:$M,5,FALSE)))/('OVR &amp; VORP Ranks'!$BM$6))*(Settings!$E$10*TEAMS)</f>
        <v>-24.051685843852624</v>
      </c>
      <c r="O72">
        <v>71</v>
      </c>
      <c r="P72" t="str">
        <f>IFERROR(INDEX(TableWRCalcPts[PLAYER],MATCH(TableWRRanks[[#This Row],[RK]],TableWRCalcPts[RK],0)),"")</f>
        <v>Robert Woods</v>
      </c>
      <c r="Q72" t="str">
        <f>IFERROR(INDEX(TableWRCalcPts[TM],MATCH(TableWRRanks[[#This Row],[RK]],TableWRCalcPts[RK],0)),"")</f>
        <v>HOU</v>
      </c>
      <c r="R72">
        <f>IFERROR(INDEX(TableWRCalcPts[BYE],MATCH(TableWRRanks[[#This Row],[RK]],TableWRCalcPts[RK],0)),"")</f>
        <v>7</v>
      </c>
      <c r="S72" s="58">
        <f>IFERROR(INDEX(TableWRCalcPts[Custom],MATCH(TableWRRanks[[#This Row],[RK]],TableWRCalcPts[RK],0)),"")</f>
        <v>109.84140305335866</v>
      </c>
      <c r="T72" s="133">
        <f>(((VLOOKUP(TableWRRanks[[#This Row],[Player]],'OVR &amp; VORP Ranks'!$P:$T,5,FALSE)))/('OVR &amp; VORP Ranks'!$BM$6))*(Settings!$E$10*TEAMS)</f>
        <v>-7.0036973955796888</v>
      </c>
      <c r="V72">
        <v>71</v>
      </c>
      <c r="W72" t="str">
        <f>IFERROR(INDEX(TableTECalcPts[PLAYER],MATCH(TableTERanks[[#This Row],[RK]],TableTECalcPts[RK],0)),"")</f>
        <v>Johnny Mundt</v>
      </c>
      <c r="X72" t="str">
        <f>IFERROR(INDEX(TableTECalcPts[TM],MATCH(TableTERanks[[#This Row],[RK]],TableTECalcPts[RK],0)),"")</f>
        <v>MIN</v>
      </c>
      <c r="Y72">
        <f>IFERROR(INDEX(TableTECalcPts[BYE],MATCH(TableTERanks[[#This Row],[RK]],TableTECalcPts[RK],0)),"")</f>
        <v>13</v>
      </c>
      <c r="Z72" s="58">
        <f>IFERROR(INDEX(TableTECalcPts[Custom],MATCH(TableTERanks[[#This Row],[RK]],TableTECalcPts[RK],0)),"")</f>
        <v>16.388591751839996</v>
      </c>
      <c r="AA72" s="133">
        <f>(((VLOOKUP(TableTERanks[[#This Row],[Player]],'OVR &amp; VORP Ranks'!$W:$AA,5,FALSE)))/('OVR &amp; VORP Ranks'!$BM$6))*(Settings!$E$10*TEAMS)</f>
        <v>-38.466888533445065</v>
      </c>
    </row>
    <row r="73" spans="1:27" x14ac:dyDescent="0.2">
      <c r="A73">
        <v>72</v>
      </c>
      <c r="B73" t="str">
        <f>IFERROR(INDEX(TableQBCalcPts[PLAYER],MATCH(TableQBRanks[[#This Row],[RK]],TableQBCalcPts[RK],0)),"")</f>
        <v/>
      </c>
      <c r="C73" t="str">
        <f>IFERROR(INDEX(TableQBCalcPts[TM],MATCH(TableQBRanks[[#This Row],[RK]],TableQBCalcPts[RK],0)),"")</f>
        <v/>
      </c>
      <c r="D73" t="str">
        <f>IFERROR(INDEX(TableQBCalcPts[BYE],MATCH(TableQBRanks[[#This Row],[RK]],TableQBCalcPts[RK],0)),"")</f>
        <v/>
      </c>
      <c r="E73" s="58" t="str">
        <f>IFERROR(INDEX(TableQBCalcPts[Custom],MATCH(TableQBRanks[[#This Row],[RK]],TableQBCalcPts[RK],0)),"")</f>
        <v/>
      </c>
      <c r="F73" s="133" t="e">
        <f>(((VLOOKUP(TableQBRanks[[#This Row],[Player]],'OVR &amp; VORP Ranks'!$B:$F,5,FALSE)))/('OVR &amp; VORP Ranks'!$BM$6))*(Settings!$E$10*TEAMS)</f>
        <v>#VALUE!</v>
      </c>
      <c r="H73">
        <v>72</v>
      </c>
      <c r="I73" t="str">
        <f>IFERROR(INDEX(TableRBCalcPts[PLAYER],MATCH(TableRBRanks[[#This Row],[RK]],TableRBCalcPts[RK],0)),"")</f>
        <v>Jerome Ford</v>
      </c>
      <c r="J73" t="str">
        <f>IFERROR(INDEX(TableRBCalcPts[TM],MATCH(TableRBRanks[[#This Row],[RK]],TableRBCalcPts[RK],0)),"")</f>
        <v>CLE</v>
      </c>
      <c r="K73">
        <f>IFERROR(INDEX(TableRBCalcPts[BYE],MATCH(TableRBRanks[[#This Row],[RK]],TableRBCalcPts[RK],0)),"")</f>
        <v>5</v>
      </c>
      <c r="L73" s="58">
        <f>IFERROR(INDEX(TableRBCalcPts[Custom],MATCH(TableRBRanks[[#This Row],[RK]],TableRBCalcPts[RK],0)),"")</f>
        <v>55.672108526486717</v>
      </c>
      <c r="M73" s="133">
        <f>(((VLOOKUP(TableRBRanks[[#This Row],[Player]],'OVR &amp; VORP Ranks'!$I:$M,5,FALSE)))/('OVR &amp; VORP Ranks'!$BM$6))*(Settings!$E$10*TEAMS)</f>
        <v>-24.336022761678571</v>
      </c>
      <c r="O73">
        <v>72</v>
      </c>
      <c r="P73" t="str">
        <f>IFERROR(INDEX(TableWRCalcPts[PLAYER],MATCH(TableWRRanks[[#This Row],[RK]],TableWRCalcPts[RK],0)),"")</f>
        <v>Rondale Moore</v>
      </c>
      <c r="Q73" t="str">
        <f>IFERROR(INDEX(TableWRCalcPts[TM],MATCH(TableWRRanks[[#This Row],[RK]],TableWRCalcPts[RK],0)),"")</f>
        <v>ARI</v>
      </c>
      <c r="R73">
        <f>IFERROR(INDEX(TableWRCalcPts[BYE],MATCH(TableWRRanks[[#This Row],[RK]],TableWRCalcPts[RK],0)),"")</f>
        <v>14</v>
      </c>
      <c r="S73" s="58">
        <f>IFERROR(INDEX(TableWRCalcPts[Custom],MATCH(TableWRRanks[[#This Row],[RK]],TableWRCalcPts[RK],0)),"")</f>
        <v>98.677687369437947</v>
      </c>
      <c r="T73" s="133">
        <f>(((VLOOKUP(TableWRRanks[[#This Row],[Player]],'OVR &amp; VORP Ranks'!$P:$T,5,FALSE)))/('OVR &amp; VORP Ranks'!$BM$6))*(Settings!$E$10*TEAMS)</f>
        <v>-10.826907984512276</v>
      </c>
      <c r="V73">
        <v>72</v>
      </c>
      <c r="W73" t="str">
        <f>IFERROR(INDEX(TableTECalcPts[PLAYER],MATCH(TableTERanks[[#This Row],[RK]],TableTECalcPts[RK],0)),"")</f>
        <v>Jeremy Ruckert</v>
      </c>
      <c r="X73" t="str">
        <f>IFERROR(INDEX(TableTECalcPts[TM],MATCH(TableTERanks[[#This Row],[RK]],TableTECalcPts[RK],0)),"")</f>
        <v>NYJ</v>
      </c>
      <c r="Y73">
        <f>IFERROR(INDEX(TableTECalcPts[BYE],MATCH(TableTERanks[[#This Row],[RK]],TableTECalcPts[RK],0)),"")</f>
        <v>7</v>
      </c>
      <c r="Z73" s="58">
        <f>IFERROR(INDEX(TableTECalcPts[Custom],MATCH(TableTERanks[[#This Row],[RK]],TableTECalcPts[RK],0)),"")</f>
        <v>16.080363280799997</v>
      </c>
      <c r="AA73" s="133">
        <f>(((VLOOKUP(TableTERanks[[#This Row],[Player]],'OVR &amp; VORP Ranks'!$W:$AA,5,FALSE)))/('OVR &amp; VORP Ranks'!$BM$6))*(Settings!$E$10*TEAMS)</f>
        <v>-38.582628533314107</v>
      </c>
    </row>
    <row r="74" spans="1:27" x14ac:dyDescent="0.2">
      <c r="A74">
        <v>73</v>
      </c>
      <c r="B74" t="str">
        <f>IFERROR(INDEX(TableQBCalcPts[PLAYER],MATCH(TableQBRanks[[#This Row],[RK]],TableQBCalcPts[RK],0)),"")</f>
        <v/>
      </c>
      <c r="C74" t="str">
        <f>IFERROR(INDEX(TableQBCalcPts[TM],MATCH(TableQBRanks[[#This Row],[RK]],TableQBCalcPts[RK],0)),"")</f>
        <v/>
      </c>
      <c r="D74" t="str">
        <f>IFERROR(INDEX(TableQBCalcPts[BYE],MATCH(TableQBRanks[[#This Row],[RK]],TableQBCalcPts[RK],0)),"")</f>
        <v/>
      </c>
      <c r="E74" s="58" t="str">
        <f>IFERROR(INDEX(TableQBCalcPts[Custom],MATCH(TableQBRanks[[#This Row],[RK]],TableQBCalcPts[RK],0)),"")</f>
        <v/>
      </c>
      <c r="F74" s="133" t="e">
        <f>(((VLOOKUP(TableQBRanks[[#This Row],[Player]],'OVR &amp; VORP Ranks'!$B:$F,5,FALSE)))/('OVR &amp; VORP Ranks'!$BM$6))*(Settings!$E$10*TEAMS)</f>
        <v>#VALUE!</v>
      </c>
      <c r="H74">
        <v>73</v>
      </c>
      <c r="I74" t="str">
        <f>IFERROR(INDEX(TableRBCalcPts[PLAYER],MATCH(TableRBRanks[[#This Row],[RK]],TableRBCalcPts[RK],0)),"")</f>
        <v>Chase Edmonds</v>
      </c>
      <c r="J74" t="str">
        <f>IFERROR(INDEX(TableRBCalcPts[TM],MATCH(TableRBRanks[[#This Row],[RK]],TableRBCalcPts[RK],0)),"")</f>
        <v>TB</v>
      </c>
      <c r="K74">
        <f>IFERROR(INDEX(TableRBCalcPts[BYE],MATCH(TableRBRanks[[#This Row],[RK]],TableRBCalcPts[RK],0)),"")</f>
        <v>5</v>
      </c>
      <c r="L74" s="58">
        <f>IFERROR(INDEX(TableRBCalcPts[Custom],MATCH(TableRBRanks[[#This Row],[RK]],TableRBCalcPts[RK],0)),"")</f>
        <v>52.093323083656742</v>
      </c>
      <c r="M74" s="133">
        <f>(((VLOOKUP(TableRBRanks[[#This Row],[Player]],'OVR &amp; VORP Ranks'!$I:$M,5,FALSE)))/('OVR &amp; VORP Ranks'!$BM$6))*(Settings!$E$10*TEAMS)</f>
        <v>-25.639995686925513</v>
      </c>
      <c r="O74">
        <v>73</v>
      </c>
      <c r="P74" t="str">
        <f>IFERROR(INDEX(TableWRCalcPts[PLAYER],MATCH(TableWRRanks[[#This Row],[RK]],TableWRCalcPts[RK],0)),"")</f>
        <v>Jameson Williams</v>
      </c>
      <c r="Q74" t="str">
        <f>IFERROR(INDEX(TableWRCalcPts[TM],MATCH(TableWRRanks[[#This Row],[RK]],TableWRCalcPts[RK],0)),"")</f>
        <v>DET</v>
      </c>
      <c r="R74">
        <f>IFERROR(INDEX(TableWRCalcPts[BYE],MATCH(TableWRRanks[[#This Row],[RK]],TableWRCalcPts[RK],0)),"")</f>
        <v>9</v>
      </c>
      <c r="S74" s="58">
        <f>IFERROR(INDEX(TableWRCalcPts[Custom],MATCH(TableWRRanks[[#This Row],[RK]],TableWRCalcPts[RK],0)),"")</f>
        <v>96.934568288463439</v>
      </c>
      <c r="T74" s="133">
        <f>(((VLOOKUP(TableWRRanks[[#This Row],[Player]],'OVR &amp; VORP Ranks'!$P:$T,5,FALSE)))/('OVR &amp; VORP Ranks'!$BM$6))*(Settings!$E$10*TEAMS)</f>
        <v>-11.423869741407511</v>
      </c>
      <c r="V74">
        <v>73</v>
      </c>
      <c r="W74" t="str">
        <f>IFERROR(INDEX(TableTECalcPts[PLAYER],MATCH(TableTERanks[[#This Row],[RK]],TableTECalcPts[RK],0)),"")</f>
        <v>Jack Stoll</v>
      </c>
      <c r="X74" t="str">
        <f>IFERROR(INDEX(TableTECalcPts[TM],MATCH(TableTERanks[[#This Row],[RK]],TableTECalcPts[RK],0)),"")</f>
        <v>PHI</v>
      </c>
      <c r="Y74">
        <f>IFERROR(INDEX(TableTECalcPts[BYE],MATCH(TableTERanks[[#This Row],[RK]],TableTECalcPts[RK],0)),"")</f>
        <v>10</v>
      </c>
      <c r="Z74" s="58">
        <f>IFERROR(INDEX(TableTECalcPts[Custom],MATCH(TableTERanks[[#This Row],[RK]],TableTECalcPts[RK],0)),"")</f>
        <v>15.309824690277596</v>
      </c>
      <c r="AA74" s="133">
        <f>(((VLOOKUP(TableTERanks[[#This Row],[Player]],'OVR &amp; VORP Ranks'!$W:$AA,5,FALSE)))/('OVR &amp; VORP Ranks'!$BM$6))*(Settings!$E$10*TEAMS)</f>
        <v>-38.871966296517002</v>
      </c>
    </row>
    <row r="75" spans="1:27" x14ac:dyDescent="0.2">
      <c r="A75">
        <v>74</v>
      </c>
      <c r="B75" t="str">
        <f>IFERROR(INDEX(TableQBCalcPts[PLAYER],MATCH(TableQBRanks[[#This Row],[RK]],TableQBCalcPts[RK],0)),"")</f>
        <v/>
      </c>
      <c r="C75" t="str">
        <f>IFERROR(INDEX(TableQBCalcPts[TM],MATCH(TableQBRanks[[#This Row],[RK]],TableQBCalcPts[RK],0)),"")</f>
        <v/>
      </c>
      <c r="D75" t="str">
        <f>IFERROR(INDEX(TableQBCalcPts[BYE],MATCH(TableQBRanks[[#This Row],[RK]],TableQBCalcPts[RK],0)),"")</f>
        <v/>
      </c>
      <c r="E75" s="58" t="str">
        <f>IFERROR(INDEX(TableQBCalcPts[Custom],MATCH(TableQBRanks[[#This Row],[RK]],TableQBCalcPts[RK],0)),"")</f>
        <v/>
      </c>
      <c r="F75" s="133" t="e">
        <f>(((VLOOKUP(TableQBRanks[[#This Row],[Player]],'OVR &amp; VORP Ranks'!$B:$F,5,FALSE)))/('OVR &amp; VORP Ranks'!$BM$6))*(Settings!$E$10*TEAMS)</f>
        <v>#VALUE!</v>
      </c>
      <c r="H75">
        <v>74</v>
      </c>
      <c r="I75" t="str">
        <f>IFERROR(INDEX(TableRBCalcPts[PLAYER],MATCH(TableRBRanks[[#This Row],[RK]],TableRBCalcPts[RK],0)),"")</f>
        <v>Kendre Miller</v>
      </c>
      <c r="J75" t="str">
        <f>IFERROR(INDEX(TableRBCalcPts[TM],MATCH(TableRBRanks[[#This Row],[RK]],TableRBCalcPts[RK],0)),"")</f>
        <v>NO</v>
      </c>
      <c r="K75">
        <f>IFERROR(INDEX(TableRBCalcPts[BYE],MATCH(TableRBRanks[[#This Row],[RK]],TableRBCalcPts[RK],0)),"")</f>
        <v>11</v>
      </c>
      <c r="L75" s="58">
        <f>IFERROR(INDEX(TableRBCalcPts[Custom],MATCH(TableRBRanks[[#This Row],[RK]],TableRBCalcPts[RK],0)),"")</f>
        <v>48.784507484923481</v>
      </c>
      <c r="M75" s="133">
        <f>(((VLOOKUP(TableRBRanks[[#This Row],[Player]],'OVR &amp; VORP Ranks'!$I:$M,5,FALSE)))/('OVR &amp; VORP Ranks'!$BM$6))*(Settings!$E$10*TEAMS)</f>
        <v>-26.845601897274666</v>
      </c>
      <c r="O75">
        <v>74</v>
      </c>
      <c r="P75" t="str">
        <f>IFERROR(INDEX(TableWRCalcPts[PLAYER],MATCH(TableWRRanks[[#This Row],[RK]],TableWRCalcPts[RK],0)),"")</f>
        <v>Darnell Mooney</v>
      </c>
      <c r="Q75" t="str">
        <f>IFERROR(INDEX(TableWRCalcPts[TM],MATCH(TableWRRanks[[#This Row],[RK]],TableWRCalcPts[RK],0)),"")</f>
        <v>CHI</v>
      </c>
      <c r="R75">
        <f>IFERROR(INDEX(TableWRCalcPts[BYE],MATCH(TableWRRanks[[#This Row],[RK]],TableWRCalcPts[RK],0)),"")</f>
        <v>13</v>
      </c>
      <c r="S75" s="58">
        <f>IFERROR(INDEX(TableWRCalcPts[Custom],MATCH(TableWRRanks[[#This Row],[RK]],TableWRCalcPts[RK],0)),"")</f>
        <v>96.007529586463335</v>
      </c>
      <c r="T75" s="133">
        <f>(((VLOOKUP(TableWRRanks[[#This Row],[Player]],'OVR &amp; VORP Ranks'!$P:$T,5,FALSE)))/('OVR &amp; VORP Ranks'!$BM$6))*(Settings!$E$10*TEAMS)</f>
        <v>-11.741350433516322</v>
      </c>
      <c r="V75">
        <v>74</v>
      </c>
      <c r="W75" t="str">
        <f>IFERROR(INDEX(TableTECalcPts[PLAYER],MATCH(TableTERanks[[#This Row],[RK]],TableTECalcPts[RK],0)),"")</f>
        <v>Darnell Washington</v>
      </c>
      <c r="X75" t="str">
        <f>IFERROR(INDEX(TableTECalcPts[TM],MATCH(TableTERanks[[#This Row],[RK]],TableTECalcPts[RK],0)),"")</f>
        <v>PIT</v>
      </c>
      <c r="Y75">
        <f>IFERROR(INDEX(TableTECalcPts[BYE],MATCH(TableTERanks[[#This Row],[RK]],TableTECalcPts[RK],0)),"")</f>
        <v>6</v>
      </c>
      <c r="Z75" s="58">
        <f>IFERROR(INDEX(TableTECalcPts[Custom],MATCH(TableTERanks[[#This Row],[RK]],TableTECalcPts[RK],0)),"")</f>
        <v>14.404509715954163</v>
      </c>
      <c r="AA75" s="133">
        <f>(((VLOOKUP(TableTERanks[[#This Row],[Player]],'OVR &amp; VORP Ranks'!$W:$AA,5,FALSE)))/('OVR &amp; VORP Ranks'!$BM$6))*(Settings!$E$10*TEAMS)</f>
        <v>-39.211912683221968</v>
      </c>
    </row>
    <row r="76" spans="1:27" x14ac:dyDescent="0.2">
      <c r="A76">
        <v>75</v>
      </c>
      <c r="B76" t="str">
        <f>IFERROR(INDEX(TableQBCalcPts[PLAYER],MATCH(TableQBRanks[[#This Row],[RK]],TableQBCalcPts[RK],0)),"")</f>
        <v/>
      </c>
      <c r="C76" t="str">
        <f>IFERROR(INDEX(TableQBCalcPts[TM],MATCH(TableQBRanks[[#This Row],[RK]],TableQBCalcPts[RK],0)),"")</f>
        <v/>
      </c>
      <c r="D76" t="str">
        <f>IFERROR(INDEX(TableQBCalcPts[BYE],MATCH(TableQBRanks[[#This Row],[RK]],TableQBCalcPts[RK],0)),"")</f>
        <v/>
      </c>
      <c r="E76" s="58" t="str">
        <f>IFERROR(INDEX(TableQBCalcPts[Custom],MATCH(TableQBRanks[[#This Row],[RK]],TableQBCalcPts[RK],0)),"")</f>
        <v/>
      </c>
      <c r="F76" s="133" t="e">
        <f>(((VLOOKUP(TableQBRanks[[#This Row],[Player]],'OVR &amp; VORP Ranks'!$B:$F,5,FALSE)))/('OVR &amp; VORP Ranks'!$BM$6))*(Settings!$E$10*TEAMS)</f>
        <v>#VALUE!</v>
      </c>
      <c r="H76">
        <v>75</v>
      </c>
      <c r="I76" t="str">
        <f>IFERROR(INDEX(TableRBCalcPts[PLAYER],MATCH(TableRBRanks[[#This Row],[RK]],TableRBCalcPts[RK],0)),"")</f>
        <v>Keaton Mitchell</v>
      </c>
      <c r="J76" t="str">
        <f>IFERROR(INDEX(TableRBCalcPts[TM],MATCH(TableRBRanks[[#This Row],[RK]],TableRBCalcPts[RK],0)),"")</f>
        <v>BAL</v>
      </c>
      <c r="K76">
        <f>IFERROR(INDEX(TableRBCalcPts[BYE],MATCH(TableRBRanks[[#This Row],[RK]],TableRBCalcPts[RK],0)),"")</f>
        <v>13</v>
      </c>
      <c r="L76" s="58">
        <f>IFERROR(INDEX(TableRBCalcPts[Custom],MATCH(TableRBRanks[[#This Row],[RK]],TableRBCalcPts[RK],0)),"")</f>
        <v>44.161659475282342</v>
      </c>
      <c r="M76" s="133">
        <f>(((VLOOKUP(TableRBRanks[[#This Row],[Player]],'OVR &amp; VORP Ranks'!$I:$M,5,FALSE)))/('OVR &amp; VORP Ranks'!$BM$6))*(Settings!$E$10*TEAMS)</f>
        <v>-28.529991402708955</v>
      </c>
      <c r="O76">
        <v>75</v>
      </c>
      <c r="P76" t="str">
        <f>IFERROR(INDEX(TableWRCalcPts[PLAYER],MATCH(TableWRRanks[[#This Row],[RK]],TableWRCalcPts[RK],0)),"")</f>
        <v>Rashod Bateman</v>
      </c>
      <c r="Q76" t="str">
        <f>IFERROR(INDEX(TableWRCalcPts[TM],MATCH(TableWRRanks[[#This Row],[RK]],TableWRCalcPts[RK],0)),"")</f>
        <v>BAL</v>
      </c>
      <c r="R76">
        <f>IFERROR(INDEX(TableWRCalcPts[BYE],MATCH(TableWRRanks[[#This Row],[RK]],TableWRCalcPts[RK],0)),"")</f>
        <v>13</v>
      </c>
      <c r="S76" s="58">
        <f>IFERROR(INDEX(TableWRCalcPts[Custom],MATCH(TableWRRanks[[#This Row],[RK]],TableWRCalcPts[RK],0)),"")</f>
        <v>95.75240316946082</v>
      </c>
      <c r="T76" s="133">
        <f>(((VLOOKUP(TableWRRanks[[#This Row],[Player]],'OVR &amp; VORP Ranks'!$P:$T,5,FALSE)))/('OVR &amp; VORP Ranks'!$BM$6))*(Settings!$E$10*TEAMS)</f>
        <v>-11.828722957738282</v>
      </c>
      <c r="V76">
        <v>75</v>
      </c>
      <c r="W76" t="str">
        <f>IFERROR(INDEX(TableTECalcPts[PLAYER],MATCH(TableTERanks[[#This Row],[RK]],TableTECalcPts[RK],0)),"")</f>
        <v>Mitchell Wilcox</v>
      </c>
      <c r="X76" t="str">
        <f>IFERROR(INDEX(TableTECalcPts[TM],MATCH(TableTERanks[[#This Row],[RK]],TableTECalcPts[RK],0)),"")</f>
        <v>CIN</v>
      </c>
      <c r="Y76">
        <f>IFERROR(INDEX(TableTECalcPts[BYE],MATCH(TableTERanks[[#This Row],[RK]],TableTECalcPts[RK],0)),"")</f>
        <v>7</v>
      </c>
      <c r="Z76" s="58">
        <f>IFERROR(INDEX(TableTECalcPts[Custom],MATCH(TableTERanks[[#This Row],[RK]],TableTECalcPts[RK],0)),"")</f>
        <v>14.109268348510804</v>
      </c>
      <c r="AA76" s="133">
        <f>(((VLOOKUP(TableTERanks[[#This Row],[Player]],'OVR &amp; VORP Ranks'!$W:$AA,5,FALSE)))/('OVR &amp; VORP Ranks'!$BM$6))*(Settings!$E$10*TEAMS)</f>
        <v>-39.322776016884596</v>
      </c>
    </row>
    <row r="77" spans="1:27" x14ac:dyDescent="0.2">
      <c r="A77">
        <v>76</v>
      </c>
      <c r="B77" t="str">
        <f>IFERROR(INDEX(TableQBCalcPts[PLAYER],MATCH(TableQBRanks[[#This Row],[RK]],TableQBCalcPts[RK],0)),"")</f>
        <v/>
      </c>
      <c r="C77" t="str">
        <f>IFERROR(INDEX(TableQBCalcPts[TM],MATCH(TableQBRanks[[#This Row],[RK]],TableQBCalcPts[RK],0)),"")</f>
        <v/>
      </c>
      <c r="D77" t="str">
        <f>IFERROR(INDEX(TableQBCalcPts[BYE],MATCH(TableQBRanks[[#This Row],[RK]],TableQBCalcPts[RK],0)),"")</f>
        <v/>
      </c>
      <c r="E77" s="58" t="str">
        <f>IFERROR(INDEX(TableQBCalcPts[Custom],MATCH(TableQBRanks[[#This Row],[RK]],TableQBCalcPts[RK],0)),"")</f>
        <v/>
      </c>
      <c r="F77" s="133" t="e">
        <f>(((VLOOKUP(TableQBRanks[[#This Row],[Player]],'OVR &amp; VORP Ranks'!$B:$F,5,FALSE)))/('OVR &amp; VORP Ranks'!$BM$6))*(Settings!$E$10*TEAMS)</f>
        <v>#VALUE!</v>
      </c>
      <c r="H77">
        <v>76</v>
      </c>
      <c r="I77" t="str">
        <f>IFERROR(INDEX(TableRBCalcPts[PLAYER],MATCH(TableRBRanks[[#This Row],[RK]],TableRBCalcPts[RK],0)),"")</f>
        <v>Ameer Abdullah</v>
      </c>
      <c r="J77" t="str">
        <f>IFERROR(INDEX(TableRBCalcPts[TM],MATCH(TableRBRanks[[#This Row],[RK]],TableRBCalcPts[RK],0)),"")</f>
        <v>LV</v>
      </c>
      <c r="K77">
        <f>IFERROR(INDEX(TableRBCalcPts[BYE],MATCH(TableRBRanks[[#This Row],[RK]],TableRBCalcPts[RK],0)),"")</f>
        <v>13</v>
      </c>
      <c r="L77" s="58">
        <f>IFERROR(INDEX(TableRBCalcPts[Custom],MATCH(TableRBRanks[[#This Row],[RK]],TableRBCalcPts[RK],0)),"")</f>
        <v>42.351924386554309</v>
      </c>
      <c r="M77" s="133">
        <f>(((VLOOKUP(TableRBRanks[[#This Row],[Player]],'OVR &amp; VORP Ranks'!$I:$M,5,FALSE)))/('OVR &amp; VORP Ranks'!$BM$6))*(Settings!$E$10*TEAMS)</f>
        <v>-29.189389848150444</v>
      </c>
      <c r="O77">
        <v>76</v>
      </c>
      <c r="P77" t="str">
        <f>IFERROR(INDEX(TableWRCalcPts[PLAYER],MATCH(TableWRRanks[[#This Row],[RK]],TableWRCalcPts[RK],0)),"")</f>
        <v>Alec Pierce</v>
      </c>
      <c r="Q77" t="str">
        <f>IFERROR(INDEX(TableWRCalcPts[TM],MATCH(TableWRRanks[[#This Row],[RK]],TableWRCalcPts[RK],0)),"")</f>
        <v>IND</v>
      </c>
      <c r="R77">
        <f>IFERROR(INDEX(TableWRCalcPts[BYE],MATCH(TableWRRanks[[#This Row],[RK]],TableWRCalcPts[RK],0)),"")</f>
        <v>11</v>
      </c>
      <c r="S77" s="58">
        <f>IFERROR(INDEX(TableWRCalcPts[Custom],MATCH(TableWRRanks[[#This Row],[RK]],TableWRCalcPts[RK],0)),"")</f>
        <v>94.292158056808148</v>
      </c>
      <c r="T77" s="133">
        <f>(((VLOOKUP(TableWRRanks[[#This Row],[Player]],'OVR &amp; VORP Ranks'!$P:$T,5,FALSE)))/('OVR &amp; VORP Ranks'!$BM$6))*(Settings!$E$10*TEAMS)</f>
        <v>-12.328809553921648</v>
      </c>
      <c r="V77">
        <v>76</v>
      </c>
      <c r="W77" t="str">
        <f>IFERROR(INDEX(TableTECalcPts[PLAYER],MATCH(TableTERanks[[#This Row],[RK]],TableTECalcPts[RK],0)),"")</f>
        <v>Foster Moreau</v>
      </c>
      <c r="X77" t="str">
        <f>IFERROR(INDEX(TableTECalcPts[TM],MATCH(TableTERanks[[#This Row],[RK]],TableTECalcPts[RK],0)),"")</f>
        <v>NO</v>
      </c>
      <c r="Y77">
        <f>IFERROR(INDEX(TableTECalcPts[BYE],MATCH(TableTERanks[[#This Row],[RK]],TableTECalcPts[RK],0)),"")</f>
        <v>11</v>
      </c>
      <c r="Z77" s="58">
        <f>IFERROR(INDEX(TableTECalcPts[Custom],MATCH(TableTERanks[[#This Row],[RK]],TableTECalcPts[RK],0)),"")</f>
        <v>13.781646022609921</v>
      </c>
      <c r="AA77" s="133">
        <f>(((VLOOKUP(TableTERanks[[#This Row],[Player]],'OVR &amp; VORP Ranks'!$W:$AA,5,FALSE)))/('OVR &amp; VORP Ranks'!$BM$6))*(Settings!$E$10*TEAMS)</f>
        <v>-39.445798422403868</v>
      </c>
    </row>
    <row r="78" spans="1:27" x14ac:dyDescent="0.2">
      <c r="A78">
        <v>77</v>
      </c>
      <c r="B78" t="str">
        <f>IFERROR(INDEX(TableQBCalcPts[PLAYER],MATCH(TableQBRanks[[#This Row],[RK]],TableQBCalcPts[RK],0)),"")</f>
        <v/>
      </c>
      <c r="C78" t="str">
        <f>IFERROR(INDEX(TableQBCalcPts[TM],MATCH(TableQBRanks[[#This Row],[RK]],TableQBCalcPts[RK],0)),"")</f>
        <v/>
      </c>
      <c r="D78" t="str">
        <f>IFERROR(INDEX(TableQBCalcPts[BYE],MATCH(TableQBRanks[[#This Row],[RK]],TableQBCalcPts[RK],0)),"")</f>
        <v/>
      </c>
      <c r="E78" s="58" t="str">
        <f>IFERROR(INDEX(TableQBCalcPts[Custom],MATCH(TableQBRanks[[#This Row],[RK]],TableQBCalcPts[RK],0)),"")</f>
        <v/>
      </c>
      <c r="F78" s="133" t="e">
        <f>(((VLOOKUP(TableQBRanks[[#This Row],[Player]],'OVR &amp; VORP Ranks'!$B:$F,5,FALSE)))/('OVR &amp; VORP Ranks'!$BM$6))*(Settings!$E$10*TEAMS)</f>
        <v>#VALUE!</v>
      </c>
      <c r="H78">
        <v>77</v>
      </c>
      <c r="I78" t="str">
        <f>IFERROR(INDEX(TableRBCalcPts[PLAYER],MATCH(TableRBRanks[[#This Row],[RK]],TableRBCalcPts[RK],0)),"")</f>
        <v>Raheem Blackshear</v>
      </c>
      <c r="J78" t="str">
        <f>IFERROR(INDEX(TableRBCalcPts[TM],MATCH(TableRBRanks[[#This Row],[RK]],TableRBCalcPts[RK],0)),"")</f>
        <v>CAR</v>
      </c>
      <c r="K78">
        <f>IFERROR(INDEX(TableRBCalcPts[BYE],MATCH(TableRBRanks[[#This Row],[RK]],TableRBCalcPts[RK],0)),"")</f>
        <v>7</v>
      </c>
      <c r="L78" s="58">
        <f>IFERROR(INDEX(TableRBCalcPts[Custom],MATCH(TableRBRanks[[#This Row],[RK]],TableRBCalcPts[RK],0)),"")</f>
        <v>41.245026651799179</v>
      </c>
      <c r="M78" s="133">
        <f>(((VLOOKUP(TableRBRanks[[#This Row],[Player]],'OVR &amp; VORP Ranks'!$I:$M,5,FALSE)))/('OVR &amp; VORP Ranks'!$BM$6))*(Settings!$E$10*TEAMS)</f>
        <v>-29.592701167086773</v>
      </c>
      <c r="O78">
        <v>77</v>
      </c>
      <c r="P78" t="str">
        <f>IFERROR(INDEX(TableWRCalcPts[PLAYER],MATCH(TableWRRanks[[#This Row],[RK]],TableWRCalcPts[RK],0)),"")</f>
        <v>Michael Gallup</v>
      </c>
      <c r="Q78" t="str">
        <f>IFERROR(INDEX(TableWRCalcPts[TM],MATCH(TableWRRanks[[#This Row],[RK]],TableWRCalcPts[RK],0)),"")</f>
        <v>DAL</v>
      </c>
      <c r="R78">
        <f>IFERROR(INDEX(TableWRCalcPts[BYE],MATCH(TableWRRanks[[#This Row],[RK]],TableWRCalcPts[RK],0)),"")</f>
        <v>7</v>
      </c>
      <c r="S78" s="58">
        <f>IFERROR(INDEX(TableWRCalcPts[Custom],MATCH(TableWRRanks[[#This Row],[RK]],TableWRCalcPts[RK],0)),"")</f>
        <v>93.431094692524141</v>
      </c>
      <c r="T78" s="133">
        <f>(((VLOOKUP(TableWRRanks[[#This Row],[Player]],'OVR &amp; VORP Ranks'!$P:$T,5,FALSE)))/('OVR &amp; VORP Ranks'!$BM$6))*(Settings!$E$10*TEAMS)</f>
        <v>-12.623695832404545</v>
      </c>
      <c r="V78">
        <v>77</v>
      </c>
      <c r="W78" t="str">
        <f>IFERROR(INDEX(TableTECalcPts[PLAYER],MATCH(TableTERanks[[#This Row],[RK]],TableTECalcPts[RK],0)),"")</f>
        <v>MyCole Pruitt</v>
      </c>
      <c r="X78" t="str">
        <f>IFERROR(INDEX(TableTECalcPts[TM],MATCH(TableTERanks[[#This Row],[RK]],TableTECalcPts[RK],0)),"")</f>
        <v>ATL</v>
      </c>
      <c r="Y78">
        <f>IFERROR(INDEX(TableTECalcPts[BYE],MATCH(TableTERanks[[#This Row],[RK]],TableTECalcPts[RK],0)),"")</f>
        <v>11</v>
      </c>
      <c r="Z78" s="58">
        <f>IFERROR(INDEX(TableTECalcPts[Custom],MATCH(TableTERanks[[#This Row],[RK]],TableTECalcPts[RK],0)),"")</f>
        <v>11.888260212326399</v>
      </c>
      <c r="AA78" s="133">
        <f>(((VLOOKUP(TableTERanks[[#This Row],[Player]],'OVR &amp; VORP Ranks'!$W:$AA,5,FALSE)))/('OVR &amp; VORP Ranks'!$BM$6))*(Settings!$E$10*TEAMS)</f>
        <v>-40.156766077970758</v>
      </c>
    </row>
    <row r="79" spans="1:27" x14ac:dyDescent="0.2">
      <c r="A79">
        <v>78</v>
      </c>
      <c r="B79" t="str">
        <f>IFERROR(INDEX(TableQBCalcPts[PLAYER],MATCH(TableQBRanks[[#This Row],[RK]],TableQBCalcPts[RK],0)),"")</f>
        <v/>
      </c>
      <c r="C79" t="str">
        <f>IFERROR(INDEX(TableQBCalcPts[TM],MATCH(TableQBRanks[[#This Row],[RK]],TableQBCalcPts[RK],0)),"")</f>
        <v/>
      </c>
      <c r="D79" t="str">
        <f>IFERROR(INDEX(TableQBCalcPts[BYE],MATCH(TableQBRanks[[#This Row],[RK]],TableQBCalcPts[RK],0)),"")</f>
        <v/>
      </c>
      <c r="E79" s="58" t="str">
        <f>IFERROR(INDEX(TableQBCalcPts[Custom],MATCH(TableQBRanks[[#This Row],[RK]],TableQBCalcPts[RK],0)),"")</f>
        <v/>
      </c>
      <c r="F79" s="133" t="e">
        <f>(((VLOOKUP(TableQBRanks[[#This Row],[Player]],'OVR &amp; VORP Ranks'!$B:$F,5,FALSE)))/('OVR &amp; VORP Ranks'!$BM$6))*(Settings!$E$10*TEAMS)</f>
        <v>#VALUE!</v>
      </c>
      <c r="H79">
        <v>78</v>
      </c>
      <c r="I79" t="str">
        <f>IFERROR(INDEX(TableRBCalcPts[PLAYER],MATCH(TableRBRanks[[#This Row],[RK]],TableRBCalcPts[RK],0)),"")</f>
        <v>Evan Hull</v>
      </c>
      <c r="J79" t="str">
        <f>IFERROR(INDEX(TableRBCalcPts[TM],MATCH(TableRBRanks[[#This Row],[RK]],TableRBCalcPts[RK],0)),"")</f>
        <v>IND</v>
      </c>
      <c r="K79">
        <f>IFERROR(INDEX(TableRBCalcPts[BYE],MATCH(TableRBRanks[[#This Row],[RK]],TableRBCalcPts[RK],0)),"")</f>
        <v>11</v>
      </c>
      <c r="L79" s="58">
        <f>IFERROR(INDEX(TableRBCalcPts[Custom],MATCH(TableRBRanks[[#This Row],[RK]],TableRBCalcPts[RK],0)),"")</f>
        <v>39.952245169669872</v>
      </c>
      <c r="M79" s="133">
        <f>(((VLOOKUP(TableRBRanks[[#This Row],[Player]],'OVR &amp; VORP Ranks'!$I:$M,5,FALSE)))/('OVR &amp; VORP Ranks'!$BM$6))*(Settings!$E$10*TEAMS)</f>
        <v>-30.06374143420717</v>
      </c>
      <c r="O79">
        <v>78</v>
      </c>
      <c r="P79" t="str">
        <f>IFERROR(INDEX(TableWRCalcPts[PLAYER],MATCH(TableWRRanks[[#This Row],[RK]],TableWRCalcPts[RK],0)),"")</f>
        <v>Justyn Ross</v>
      </c>
      <c r="Q79" t="str">
        <f>IFERROR(INDEX(TableWRCalcPts[TM],MATCH(TableWRRanks[[#This Row],[RK]],TableWRCalcPts[RK],0)),"")</f>
        <v>KC</v>
      </c>
      <c r="R79">
        <f>IFERROR(INDEX(TableWRCalcPts[BYE],MATCH(TableWRRanks[[#This Row],[RK]],TableWRCalcPts[RK],0)),"")</f>
        <v>10</v>
      </c>
      <c r="S79" s="58">
        <f>IFERROR(INDEX(TableWRCalcPts[Custom],MATCH(TableWRRanks[[#This Row],[RK]],TableWRCalcPts[RK],0)),"")</f>
        <v>92.112339109190401</v>
      </c>
      <c r="T79" s="133">
        <f>(((VLOOKUP(TableWRRanks[[#This Row],[Player]],'OVR &amp; VORP Ranks'!$P:$T,5,FALSE)))/('OVR &amp; VORP Ranks'!$BM$6))*(Settings!$E$10*TEAMS)</f>
        <v>-13.075326853219366</v>
      </c>
      <c r="V79">
        <v>78</v>
      </c>
      <c r="W79" t="str">
        <f>IFERROR(INDEX(TableTECalcPts[PLAYER],MATCH(TableTERanks[[#This Row],[RK]],TableTECalcPts[RK],0)),"")</f>
        <v>Josiah Deguara</v>
      </c>
      <c r="X79" t="str">
        <f>IFERROR(INDEX(TableTECalcPts[TM],MATCH(TableTERanks[[#This Row],[RK]],TableTECalcPts[RK],0)),"")</f>
        <v>GB</v>
      </c>
      <c r="Y79">
        <f>IFERROR(INDEX(TableTECalcPts[BYE],MATCH(TableTERanks[[#This Row],[RK]],TableTECalcPts[RK],0)),"")</f>
        <v>6</v>
      </c>
      <c r="Z79" s="58">
        <f>IFERROR(INDEX(TableTECalcPts[Custom],MATCH(TableTERanks[[#This Row],[RK]],TableTECalcPts[RK],0)),"")</f>
        <v>11.88686867845238</v>
      </c>
      <c r="AA79" s="133">
        <f>(((VLOOKUP(TableTERanks[[#This Row],[Player]],'OVR &amp; VORP Ranks'!$W:$AA,5,FALSE)))/('OVR &amp; VORP Ranks'!$BM$6))*(Settings!$E$10*TEAMS)</f>
        <v>-40.157288599883977</v>
      </c>
    </row>
    <row r="80" spans="1:27" x14ac:dyDescent="0.2">
      <c r="A80">
        <v>79</v>
      </c>
      <c r="B80" t="str">
        <f>IFERROR(INDEX(TableQBCalcPts[PLAYER],MATCH(TableQBRanks[[#This Row],[RK]],TableQBCalcPts[RK],0)),"")</f>
        <v/>
      </c>
      <c r="C80" t="str">
        <f>IFERROR(INDEX(TableQBCalcPts[TM],MATCH(TableQBRanks[[#This Row],[RK]],TableQBCalcPts[RK],0)),"")</f>
        <v/>
      </c>
      <c r="D80" t="str">
        <f>IFERROR(INDEX(TableQBCalcPts[BYE],MATCH(TableQBRanks[[#This Row],[RK]],TableQBCalcPts[RK],0)),"")</f>
        <v/>
      </c>
      <c r="E80" s="58" t="str">
        <f>IFERROR(INDEX(TableQBCalcPts[Custom],MATCH(TableQBRanks[[#This Row],[RK]],TableQBCalcPts[RK],0)),"")</f>
        <v/>
      </c>
      <c r="F80" s="133" t="e">
        <f>(((VLOOKUP(TableQBRanks[[#This Row],[Player]],'OVR &amp; VORP Ranks'!$B:$F,5,FALSE)))/('OVR &amp; VORP Ranks'!$BM$6))*(Settings!$E$10*TEAMS)</f>
        <v>#VALUE!</v>
      </c>
      <c r="H80">
        <v>79</v>
      </c>
      <c r="I80" t="str">
        <f>IFERROR(INDEX(TableRBCalcPts[PLAYER],MATCH(TableRBRanks[[#This Row],[RK]],TableRBCalcPts[RK],0)),"")</f>
        <v>Latavius Murray</v>
      </c>
      <c r="J80" t="str">
        <f>IFERROR(INDEX(TableRBCalcPts[TM],MATCH(TableRBRanks[[#This Row],[RK]],TableRBCalcPts[RK],0)),"")</f>
        <v>BUF</v>
      </c>
      <c r="K80">
        <f>IFERROR(INDEX(TableRBCalcPts[BYE],MATCH(TableRBRanks[[#This Row],[RK]],TableRBCalcPts[RK],0)),"")</f>
        <v>13</v>
      </c>
      <c r="L80" s="58">
        <f>IFERROR(INDEX(TableRBCalcPts[Custom],MATCH(TableRBRanks[[#This Row],[RK]],TableRBCalcPts[RK],0)),"")</f>
        <v>38.743776008500859</v>
      </c>
      <c r="M80" s="133">
        <f>(((VLOOKUP(TableRBRanks[[#This Row],[Player]],'OVR &amp; VORP Ranks'!$I:$M,5,FALSE)))/('OVR &amp; VORP Ranks'!$BM$6))*(Settings!$E$10*TEAMS)</f>
        <v>-30.504061507129506</v>
      </c>
      <c r="O80">
        <v>79</v>
      </c>
      <c r="P80" t="str">
        <f>IFERROR(INDEX(TableWRCalcPts[PLAYER],MATCH(TableWRRanks[[#This Row],[RK]],TableWRCalcPts[RK],0)),"")</f>
        <v>Allen Robinson</v>
      </c>
      <c r="Q80" t="str">
        <f>IFERROR(INDEX(TableWRCalcPts[TM],MATCH(TableWRRanks[[#This Row],[RK]],TableWRCalcPts[RK],0)),"")</f>
        <v>PIT</v>
      </c>
      <c r="R80">
        <f>IFERROR(INDEX(TableWRCalcPts[BYE],MATCH(TableWRRanks[[#This Row],[RK]],TableWRCalcPts[RK],0)),"")</f>
        <v>6</v>
      </c>
      <c r="S80" s="58">
        <f>IFERROR(INDEX(TableWRCalcPts[Custom],MATCH(TableWRRanks[[#This Row],[RK]],TableWRCalcPts[RK],0)),"")</f>
        <v>92.066985387508694</v>
      </c>
      <c r="T80" s="133">
        <f>(((VLOOKUP(TableWRRanks[[#This Row],[Player]],'OVR &amp; VORP Ranks'!$P:$T,5,FALSE)))/('OVR &amp; VORP Ranks'!$BM$6))*(Settings!$E$10*TEAMS)</f>
        <v>-13.090859032100516</v>
      </c>
      <c r="V80">
        <v>79</v>
      </c>
      <c r="W80" t="str">
        <f>IFERROR(INDEX(TableTECalcPts[PLAYER],MATCH(TableTERanks[[#This Row],[RK]],TableTECalcPts[RK],0)),"")</f>
        <v>Ian Thomas</v>
      </c>
      <c r="X80" t="str">
        <f>IFERROR(INDEX(TableTECalcPts[TM],MATCH(TableTERanks[[#This Row],[RK]],TableTECalcPts[RK],0)),"")</f>
        <v>CAR</v>
      </c>
      <c r="Y80">
        <f>IFERROR(INDEX(TableTECalcPts[BYE],MATCH(TableTERanks[[#This Row],[RK]],TableTECalcPts[RK],0)),"")</f>
        <v>7</v>
      </c>
      <c r="Z80" s="58">
        <f>IFERROR(INDEX(TableTECalcPts[Custom],MATCH(TableTERanks[[#This Row],[RK]],TableTECalcPts[RK],0)),"")</f>
        <v>11.840852666214957</v>
      </c>
      <c r="AA80" s="133">
        <f>(((VLOOKUP(TableTERanks[[#This Row],[Player]],'OVR &amp; VORP Ranks'!$W:$AA,5,FALSE)))/('OVR &amp; VORP Ranks'!$BM$6))*(Settings!$E$10*TEAMS)</f>
        <v>-40.17456764368017</v>
      </c>
    </row>
    <row r="81" spans="8:27" x14ac:dyDescent="0.2">
      <c r="H81">
        <v>80</v>
      </c>
      <c r="I81" t="str">
        <f>IFERROR(INDEX(TableRBCalcPts[PLAYER],MATCH(TableRBRanks[[#This Row],[RK]],TableRBCalcPts[RK],0)),"")</f>
        <v>Chase Brown</v>
      </c>
      <c r="J81" t="str">
        <f>IFERROR(INDEX(TableRBCalcPts[TM],MATCH(TableRBRanks[[#This Row],[RK]],TableRBCalcPts[RK],0)),"")</f>
        <v>CIN</v>
      </c>
      <c r="K81">
        <f>IFERROR(INDEX(TableRBCalcPts[BYE],MATCH(TableRBRanks[[#This Row],[RK]],TableRBCalcPts[RK],0)),"")</f>
        <v>7</v>
      </c>
      <c r="L81" s="58">
        <f>IFERROR(INDEX(TableRBCalcPts[Custom],MATCH(TableRBRanks[[#This Row],[RK]],TableRBCalcPts[RK],0)),"")</f>
        <v>37.926964521529364</v>
      </c>
      <c r="M81" s="133">
        <f>(((VLOOKUP(TableRBRanks[[#This Row],[Player]],'OVR &amp; VORP Ranks'!$I:$M,5,FALSE)))/('OVR &amp; VORP Ranks'!$BM$6))*(Settings!$E$10*TEAMS)</f>
        <v>-30.80167646087742</v>
      </c>
      <c r="O81">
        <v>80</v>
      </c>
      <c r="P81" t="str">
        <f>IFERROR(INDEX(TableWRCalcPts[PLAYER],MATCH(TableWRRanks[[#This Row],[RK]],TableWRCalcPts[RK],0)),"")</f>
        <v>Marvin Jones</v>
      </c>
      <c r="Q81" t="str">
        <f>IFERROR(INDEX(TableWRCalcPts[TM],MATCH(TableWRRanks[[#This Row],[RK]],TableWRCalcPts[RK],0)),"")</f>
        <v>DET</v>
      </c>
      <c r="R81">
        <f>IFERROR(INDEX(TableWRCalcPts[BYE],MATCH(TableWRRanks[[#This Row],[RK]],TableWRCalcPts[RK],0)),"")</f>
        <v>9</v>
      </c>
      <c r="S81" s="58">
        <f>IFERROR(INDEX(TableWRCalcPts[Custom],MATCH(TableWRRanks[[#This Row],[RK]],TableWRCalcPts[RK],0)),"")</f>
        <v>91.94050662758977</v>
      </c>
      <c r="T81" s="133">
        <f>(((VLOOKUP(TableWRRanks[[#This Row],[Player]],'OVR &amp; VORP Ranks'!$P:$T,5,FALSE)))/('OVR &amp; VORP Ranks'!$BM$6))*(Settings!$E$10*TEAMS)</f>
        <v>-13.134173905740086</v>
      </c>
      <c r="V81">
        <v>80</v>
      </c>
      <c r="W81" t="str">
        <f>IFERROR(INDEX(TableTECalcPts[PLAYER],MATCH(TableTERanks[[#This Row],[RK]],TableTECalcPts[RK],0)),"")</f>
        <v>Charlie Woerner</v>
      </c>
      <c r="X81" t="str">
        <f>IFERROR(INDEX(TableTECalcPts[TM],MATCH(TableTERanks[[#This Row],[RK]],TableTECalcPts[RK],0)),"")</f>
        <v>SF</v>
      </c>
      <c r="Y81">
        <f>IFERROR(INDEX(TableTECalcPts[BYE],MATCH(TableTERanks[[#This Row],[RK]],TableTECalcPts[RK],0)),"")</f>
        <v>9</v>
      </c>
      <c r="Z81" s="58">
        <f>IFERROR(INDEX(TableTECalcPts[Custom],MATCH(TableTERanks[[#This Row],[RK]],TableTECalcPts[RK],0)),"")</f>
        <v>11.655864573509518</v>
      </c>
      <c r="AA81" s="133">
        <f>(((VLOOKUP(TableTERanks[[#This Row],[Player]],'OVR &amp; VORP Ranks'!$W:$AA,5,FALSE)))/('OVR &amp; VORP Ranks'!$BM$6))*(Settings!$E$10*TEAMS)</f>
        <v>-40.244030797921774</v>
      </c>
    </row>
    <row r="82" spans="8:27" x14ac:dyDescent="0.2">
      <c r="H82">
        <v>81</v>
      </c>
      <c r="I82" t="str">
        <f>IFERROR(INDEX(TableRBCalcPts[PLAYER],MATCH(TableRBRanks[[#This Row],[RK]],TableRBCalcPts[RK],0)),"")</f>
        <v>Michael Carter</v>
      </c>
      <c r="J82" t="str">
        <f>IFERROR(INDEX(TableRBCalcPts[TM],MATCH(TableRBRanks[[#This Row],[RK]],TableRBCalcPts[RK],0)),"")</f>
        <v>NYJ</v>
      </c>
      <c r="K82">
        <f>IFERROR(INDEX(TableRBCalcPts[BYE],MATCH(TableRBRanks[[#This Row],[RK]],TableRBCalcPts[RK],0)),"")</f>
        <v>7</v>
      </c>
      <c r="L82" s="58">
        <f>IFERROR(INDEX(TableRBCalcPts[Custom],MATCH(TableRBRanks[[#This Row],[RK]],TableRBCalcPts[RK],0)),"")</f>
        <v>36.499274480778766</v>
      </c>
      <c r="M82" s="133">
        <f>(((VLOOKUP(TableRBRanks[[#This Row],[Player]],'OVR &amp; VORP Ranks'!$I:$M,5,FALSE)))/('OVR &amp; VORP Ranks'!$BM$6))*(Settings!$E$10*TEAMS)</f>
        <v>-31.321872261526298</v>
      </c>
      <c r="O82">
        <v>81</v>
      </c>
      <c r="P82" t="str">
        <f>IFERROR(INDEX(TableWRCalcPts[PLAYER],MATCH(TableWRRanks[[#This Row],[RK]],TableWRCalcPts[RK],0)),"")</f>
        <v>Noah Brown</v>
      </c>
      <c r="Q82" t="str">
        <f>IFERROR(INDEX(TableWRCalcPts[TM],MATCH(TableWRRanks[[#This Row],[RK]],TableWRCalcPts[RK],0)),"")</f>
        <v>HOU</v>
      </c>
      <c r="R82">
        <f>IFERROR(INDEX(TableWRCalcPts[BYE],MATCH(TableWRRanks[[#This Row],[RK]],TableWRCalcPts[RK],0)),"")</f>
        <v>7</v>
      </c>
      <c r="S82" s="58">
        <f>IFERROR(INDEX(TableWRCalcPts[Custom],MATCH(TableWRRanks[[#This Row],[RK]],TableWRCalcPts[RK],0)),"")</f>
        <v>90.783936841197601</v>
      </c>
      <c r="T82" s="133">
        <f>(((VLOOKUP(TableWRRanks[[#This Row],[Player]],'OVR &amp; VORP Ranks'!$P:$T,5,FALSE)))/('OVR &amp; VORP Ranks'!$BM$6))*(Settings!$E$10*TEAMS)</f>
        <v>-13.530261550693536</v>
      </c>
      <c r="V82">
        <v>81</v>
      </c>
      <c r="W82" t="str">
        <f>IFERROR(INDEX(TableTECalcPts[PLAYER],MATCH(TableTERanks[[#This Row],[RK]],TableTECalcPts[RK],0)),"")</f>
        <v>Brycen Hopkins</v>
      </c>
      <c r="X82" t="str">
        <f>IFERROR(INDEX(TableTECalcPts[TM],MATCH(TableTERanks[[#This Row],[RK]],TableTECalcPts[RK],0)),"")</f>
        <v>LAR</v>
      </c>
      <c r="Y82">
        <f>IFERROR(INDEX(TableTECalcPts[BYE],MATCH(TableTERanks[[#This Row],[RK]],TableTECalcPts[RK],0)),"")</f>
        <v>10</v>
      </c>
      <c r="Z82" s="58">
        <f>IFERROR(INDEX(TableTECalcPts[Custom],MATCH(TableTERanks[[#This Row],[RK]],TableTECalcPts[RK],0)),"")</f>
        <v>10.608457570116235</v>
      </c>
      <c r="AA82" s="133">
        <f>(((VLOOKUP(TableTERanks[[#This Row],[Player]],'OVR &amp; VORP Ranks'!$W:$AA,5,FALSE)))/('OVR &amp; VORP Ranks'!$BM$6))*(Settings!$E$10*TEAMS)</f>
        <v>-40.637332837887605</v>
      </c>
    </row>
    <row r="83" spans="8:27" x14ac:dyDescent="0.2">
      <c r="H83">
        <v>82</v>
      </c>
      <c r="I83" t="str">
        <f>IFERROR(INDEX(TableRBCalcPts[PLAYER],MATCH(TableRBRanks[[#This Row],[RK]],TableRBCalcPts[RK],0)),"")</f>
        <v>Eric Gray</v>
      </c>
      <c r="J83" t="str">
        <f>IFERROR(INDEX(TableRBCalcPts[TM],MATCH(TableRBRanks[[#This Row],[RK]],TableRBCalcPts[RK],0)),"")</f>
        <v>NYG</v>
      </c>
      <c r="K83">
        <f>IFERROR(INDEX(TableRBCalcPts[BYE],MATCH(TableRBRanks[[#This Row],[RK]],TableRBCalcPts[RK],0)),"")</f>
        <v>13</v>
      </c>
      <c r="L83" s="58">
        <f>IFERROR(INDEX(TableRBCalcPts[Custom],MATCH(TableRBRanks[[#This Row],[RK]],TableRBCalcPts[RK],0)),"")</f>
        <v>35.268464973798864</v>
      </c>
      <c r="M83" s="133">
        <f>(((VLOOKUP(TableRBRanks[[#This Row],[Player]],'OVR &amp; VORP Ranks'!$I:$M,5,FALSE)))/('OVR &amp; VORP Ranks'!$BM$6))*(Settings!$E$10*TEAMS)</f>
        <v>-31.770332304431019</v>
      </c>
      <c r="O83">
        <v>82</v>
      </c>
      <c r="P83" t="str">
        <f>IFERROR(INDEX(TableWRCalcPts[PLAYER],MATCH(TableWRRanks[[#This Row],[RK]],TableWRCalcPts[RK],0)),"")</f>
        <v>Mecole Hardman</v>
      </c>
      <c r="Q83" t="str">
        <f>IFERROR(INDEX(TableWRCalcPts[TM],MATCH(TableWRRanks[[#This Row],[RK]],TableWRCalcPts[RK],0)),"")</f>
        <v>NYJ</v>
      </c>
      <c r="R83">
        <f>IFERROR(INDEX(TableWRCalcPts[BYE],MATCH(TableWRRanks[[#This Row],[RK]],TableWRCalcPts[RK],0)),"")</f>
        <v>7</v>
      </c>
      <c r="S83" s="58">
        <f>IFERROR(INDEX(TableWRCalcPts[Custom],MATCH(TableWRRanks[[#This Row],[RK]],TableWRCalcPts[RK],0)),"")</f>
        <v>90.344374723291807</v>
      </c>
      <c r="T83" s="133">
        <f>(((VLOOKUP(TableWRRanks[[#This Row],[Player]],'OVR &amp; VORP Ranks'!$P:$T,5,FALSE)))/('OVR &amp; VORP Ranks'!$BM$6))*(Settings!$E$10*TEAMS)</f>
        <v>-13.6807973213323</v>
      </c>
      <c r="V83">
        <v>82</v>
      </c>
      <c r="W83" t="str">
        <f>IFERROR(INDEX(TableTECalcPts[PLAYER],MATCH(TableTERanks[[#This Row],[RK]],TableTECalcPts[RK],0)),"")</f>
        <v>Brevin Jordan</v>
      </c>
      <c r="X83" t="str">
        <f>IFERROR(INDEX(TableTECalcPts[TM],MATCH(TableTERanks[[#This Row],[RK]],TableTECalcPts[RK],0)),"")</f>
        <v>HOU</v>
      </c>
      <c r="Y83">
        <f>IFERROR(INDEX(TableTECalcPts[BYE],MATCH(TableTERanks[[#This Row],[RK]],TableTECalcPts[RK],0)),"")</f>
        <v>7</v>
      </c>
      <c r="Z83" s="58">
        <f>IFERROR(INDEX(TableTECalcPts[Custom],MATCH(TableTERanks[[#This Row],[RK]],TableTECalcPts[RK],0)),"")</f>
        <v>9.8063479724391271</v>
      </c>
      <c r="AA83" s="133">
        <f>(((VLOOKUP(TableTERanks[[#This Row],[Player]],'OVR &amp; VORP Ranks'!$W:$AA,5,FALSE)))/('OVR &amp; VORP Ranks'!$BM$6))*(Settings!$E$10*TEAMS)</f>
        <v>-40.938525535683723</v>
      </c>
    </row>
    <row r="84" spans="8:27" x14ac:dyDescent="0.2">
      <c r="H84">
        <v>83</v>
      </c>
      <c r="I84" t="str">
        <f>IFERROR(INDEX(TableRBCalcPts[PLAYER],MATCH(TableRBRanks[[#This Row],[RK]],TableRBCalcPts[RK],0)),"")</f>
        <v>Kenny McIntosh</v>
      </c>
      <c r="J84" t="str">
        <f>IFERROR(INDEX(TableRBCalcPts[TM],MATCH(TableRBRanks[[#This Row],[RK]],TableRBCalcPts[RK],0)),"")</f>
        <v>SEA</v>
      </c>
      <c r="K84">
        <f>IFERROR(INDEX(TableRBCalcPts[BYE],MATCH(TableRBRanks[[#This Row],[RK]],TableRBCalcPts[RK],0)),"")</f>
        <v>5</v>
      </c>
      <c r="L84" s="58">
        <f>IFERROR(INDEX(TableRBCalcPts[Custom],MATCH(TableRBRanks[[#This Row],[RK]],TableRBCalcPts[RK],0)),"")</f>
        <v>34.972280277096957</v>
      </c>
      <c r="M84" s="133">
        <f>(((VLOOKUP(TableRBRanks[[#This Row],[Player]],'OVR &amp; VORP Ranks'!$I:$M,5,FALSE)))/('OVR &amp; VORP Ranks'!$BM$6))*(Settings!$E$10*TEAMS)</f>
        <v>-31.87825071181852</v>
      </c>
      <c r="O84">
        <v>83</v>
      </c>
      <c r="P84" t="str">
        <f>IFERROR(INDEX(TableWRCalcPts[PLAYER],MATCH(TableWRRanks[[#This Row],[RK]],TableWRCalcPts[RK],0)),"")</f>
        <v>Laviska Shenault</v>
      </c>
      <c r="Q84" t="str">
        <f>IFERROR(INDEX(TableWRCalcPts[TM],MATCH(TableWRRanks[[#This Row],[RK]],TableWRCalcPts[RK],0)),"")</f>
        <v>CAR</v>
      </c>
      <c r="R84">
        <f>IFERROR(INDEX(TableWRCalcPts[BYE],MATCH(TableWRRanks[[#This Row],[RK]],TableWRCalcPts[RK],0)),"")</f>
        <v>7</v>
      </c>
      <c r="S84" s="58">
        <f>IFERROR(INDEX(TableWRCalcPts[Custom],MATCH(TableWRRanks[[#This Row],[RK]],TableWRCalcPts[RK],0)),"")</f>
        <v>90.290516206634649</v>
      </c>
      <c r="T84" s="133">
        <f>(((VLOOKUP(TableWRRanks[[#This Row],[Player]],'OVR &amp; VORP Ranks'!$P:$T,5,FALSE)))/('OVR &amp; VORP Ranks'!$BM$6))*(Settings!$E$10*TEAMS)</f>
        <v>-13.699242116686989</v>
      </c>
      <c r="V84">
        <v>83</v>
      </c>
      <c r="W84" t="str">
        <f>IFERROR(INDEX(TableTECalcPts[PLAYER],MATCH(TableTERanks[[#This Row],[RK]],TableTECalcPts[RK],0)),"")</f>
        <v>Quintin Morris</v>
      </c>
      <c r="X84" t="str">
        <f>IFERROR(INDEX(TableTECalcPts[TM],MATCH(TableTERanks[[#This Row],[RK]],TableTECalcPts[RK],0)),"")</f>
        <v>BUF</v>
      </c>
      <c r="Y84">
        <f>IFERROR(INDEX(TableTECalcPts[BYE],MATCH(TableTERanks[[#This Row],[RK]],TableTECalcPts[RK],0)),"")</f>
        <v>13</v>
      </c>
      <c r="Z84" s="58">
        <f>IFERROR(INDEX(TableTECalcPts[Custom],MATCH(TableTERanks[[#This Row],[RK]],TableTECalcPts[RK],0)),"")</f>
        <v>9.2599325460133226</v>
      </c>
      <c r="AA84" s="133">
        <f>(((VLOOKUP(TableTERanks[[#This Row],[Player]],'OVR &amp; VORP Ranks'!$W:$AA,5,FALSE)))/('OVR &amp; VORP Ranks'!$BM$6))*(Settings!$E$10*TEAMS)</f>
        <v>-41.143704898802206</v>
      </c>
    </row>
    <row r="85" spans="8:27" x14ac:dyDescent="0.2">
      <c r="H85">
        <v>84</v>
      </c>
      <c r="I85" t="str">
        <f>IFERROR(INDEX(TableRBCalcPts[PLAYER],MATCH(TableRBRanks[[#This Row],[RK]],TableRBCalcPts[RK],0)),"")</f>
        <v>Ronnie Rivers</v>
      </c>
      <c r="J85" t="str">
        <f>IFERROR(INDEX(TableRBCalcPts[TM],MATCH(TableRBRanks[[#This Row],[RK]],TableRBCalcPts[RK],0)),"")</f>
        <v>LAR</v>
      </c>
      <c r="K85">
        <f>IFERROR(INDEX(TableRBCalcPts[BYE],MATCH(TableRBRanks[[#This Row],[RK]],TableRBCalcPts[RK],0)),"")</f>
        <v>10</v>
      </c>
      <c r="L85" s="58">
        <f>IFERROR(INDEX(TableRBCalcPts[Custom],MATCH(TableRBRanks[[#This Row],[RK]],TableRBCalcPts[RK],0)),"")</f>
        <v>34.805722107144163</v>
      </c>
      <c r="M85" s="133">
        <f>(((VLOOKUP(TableRBRanks[[#This Row],[Player]],'OVR &amp; VORP Ranks'!$I:$M,5,FALSE)))/('OVR &amp; VORP Ranks'!$BM$6))*(Settings!$E$10*TEAMS)</f>
        <v>-31.938938156642088</v>
      </c>
      <c r="O85">
        <v>84</v>
      </c>
      <c r="P85" t="str">
        <f>IFERROR(INDEX(TableWRCalcPts[PLAYER],MATCH(TableWRRanks[[#This Row],[RK]],TableWRCalcPts[RK],0)),"")</f>
        <v>Isaiah Hodgins</v>
      </c>
      <c r="Q85" t="str">
        <f>IFERROR(INDEX(TableWRCalcPts[TM],MATCH(TableWRRanks[[#This Row],[RK]],TableWRCalcPts[RK],0)),"")</f>
        <v>NYG</v>
      </c>
      <c r="R85">
        <f>IFERROR(INDEX(TableWRCalcPts[BYE],MATCH(TableWRRanks[[#This Row],[RK]],TableWRCalcPts[RK],0)),"")</f>
        <v>13</v>
      </c>
      <c r="S85" s="58">
        <f>IFERROR(INDEX(TableWRCalcPts[Custom],MATCH(TableWRRanks[[#This Row],[RK]],TableWRCalcPts[RK],0)),"")</f>
        <v>88.794501254683098</v>
      </c>
      <c r="T85" s="133">
        <f>(((VLOOKUP(TableWRRanks[[#This Row],[Player]],'OVR &amp; VORP Ranks'!$P:$T,5,FALSE)))/('OVR &amp; VORP Ranks'!$BM$6))*(Settings!$E$10*TEAMS)</f>
        <v>-14.211578722835126</v>
      </c>
      <c r="V85">
        <v>84</v>
      </c>
      <c r="W85" t="str">
        <f>IFERROR(INDEX(TableTECalcPts[PLAYER],MATCH(TableTERanks[[#This Row],[RK]],TableTECalcPts[RK],0)),"")</f>
        <v>O.J. Howard</v>
      </c>
      <c r="X85" t="str">
        <f>IFERROR(INDEX(TableTECalcPts[TM],MATCH(TableTERanks[[#This Row],[RK]],TableTECalcPts[RK],0)),"")</f>
        <v>LV</v>
      </c>
      <c r="Y85">
        <f>IFERROR(INDEX(TableTECalcPts[BYE],MATCH(TableTERanks[[#This Row],[RK]],TableTECalcPts[RK],0)),"")</f>
        <v>13</v>
      </c>
      <c r="Z85" s="58">
        <f>IFERROR(INDEX(TableTECalcPts[Custom],MATCH(TableTERanks[[#This Row],[RK]],TableTECalcPts[RK],0)),"")</f>
        <v>8.9999943163385883</v>
      </c>
      <c r="AA85" s="133">
        <f>(((VLOOKUP(TableTERanks[[#This Row],[Player]],'OVR &amp; VORP Ranks'!$W:$AA,5,FALSE)))/('OVR &amp; VORP Ranks'!$BM$6))*(Settings!$E$10*TEAMS)</f>
        <v>-41.24131188029552</v>
      </c>
    </row>
    <row r="86" spans="8:27" x14ac:dyDescent="0.2">
      <c r="H86">
        <v>85</v>
      </c>
      <c r="I86" t="str">
        <f>IFERROR(INDEX(TableRBCalcPts[PLAYER],MATCH(TableRBRanks[[#This Row],[RK]],TableRBCalcPts[RK],0)),"")</f>
        <v>Chris Rodriguez</v>
      </c>
      <c r="J86" t="str">
        <f>IFERROR(INDEX(TableRBCalcPts[TM],MATCH(TableRBRanks[[#This Row],[RK]],TableRBCalcPts[RK],0)),"")</f>
        <v>WSH</v>
      </c>
      <c r="K86">
        <f>IFERROR(INDEX(TableRBCalcPts[BYE],MATCH(TableRBRanks[[#This Row],[RK]],TableRBCalcPts[RK],0)),"")</f>
        <v>14</v>
      </c>
      <c r="L86" s="58">
        <f>IFERROR(INDEX(TableRBCalcPts[Custom],MATCH(TableRBRanks[[#This Row],[RK]],TableRBCalcPts[RK],0)),"")</f>
        <v>34.323708694423821</v>
      </c>
      <c r="M86" s="133">
        <f>(((VLOOKUP(TableRBRanks[[#This Row],[Player]],'OVR &amp; VORP Ranks'!$I:$M,5,FALSE)))/('OVR &amp; VORP Ranks'!$BM$6))*(Settings!$E$10*TEAMS)</f>
        <v>-32.114565460886453</v>
      </c>
      <c r="O86">
        <v>85</v>
      </c>
      <c r="P86" t="str">
        <f>IFERROR(INDEX(TableWRCalcPts[PLAYER],MATCH(TableWRRanks[[#This Row],[RK]],TableWRCalcPts[RK],0)),"")</f>
        <v>Parris Campbell</v>
      </c>
      <c r="Q86" t="str">
        <f>IFERROR(INDEX(TableWRCalcPts[TM],MATCH(TableWRRanks[[#This Row],[RK]],TableWRCalcPts[RK],0)),"")</f>
        <v>NYG</v>
      </c>
      <c r="R86">
        <f>IFERROR(INDEX(TableWRCalcPts[BYE],MATCH(TableWRRanks[[#This Row],[RK]],TableWRCalcPts[RK],0)),"")</f>
        <v>13</v>
      </c>
      <c r="S86" s="58">
        <f>IFERROR(INDEX(TableWRCalcPts[Custom],MATCH(TableWRRanks[[#This Row],[RK]],TableWRCalcPts[RK],0)),"")</f>
        <v>87.537493843607933</v>
      </c>
      <c r="T86" s="133">
        <f>(((VLOOKUP(TableWRRanks[[#This Row],[Player]],'OVR &amp; VORP Ranks'!$P:$T,5,FALSE)))/('OVR &amp; VORP Ranks'!$BM$6))*(Settings!$E$10*TEAMS)</f>
        <v>-14.642062997108715</v>
      </c>
      <c r="V86">
        <v>85</v>
      </c>
      <c r="W86" t="str">
        <f>IFERROR(INDEX(TableTECalcPts[PLAYER],MATCH(TableTERanks[[#This Row],[RK]],TableTECalcPts[RK],0)),"")</f>
        <v>John Bates</v>
      </c>
      <c r="X86" t="str">
        <f>IFERROR(INDEX(TableTECalcPts[TM],MATCH(TableTERanks[[#This Row],[RK]],TableTECalcPts[RK],0)),"")</f>
        <v>WSH</v>
      </c>
      <c r="Y86">
        <f>IFERROR(INDEX(TableTECalcPts[BYE],MATCH(TableTERanks[[#This Row],[RK]],TableTECalcPts[RK],0)),"")</f>
        <v>14</v>
      </c>
      <c r="Z86" s="58">
        <f>IFERROR(INDEX(TableTECalcPts[Custom],MATCH(TableTERanks[[#This Row],[RK]],TableTECalcPts[RK],0)),"")</f>
        <v>8.9019390849842956</v>
      </c>
      <c r="AA86" s="133">
        <f>(((VLOOKUP(TableTERanks[[#This Row],[Player]],'OVR &amp; VORP Ranks'!$W:$AA,5,FALSE)))/('OVR &amp; VORP Ranks'!$BM$6))*(Settings!$E$10*TEAMS)</f>
        <v>-41.278131686155156</v>
      </c>
    </row>
    <row r="87" spans="8:27" x14ac:dyDescent="0.2">
      <c r="H87">
        <v>86</v>
      </c>
      <c r="I87" t="str">
        <f>IFERROR(INDEX(TableRBCalcPts[PLAYER],MATCH(TableRBRanks[[#This Row],[RK]],TableRBCalcPts[RK],0)),"")</f>
        <v>Isaiah Spiller</v>
      </c>
      <c r="J87" t="str">
        <f>IFERROR(INDEX(TableRBCalcPts[TM],MATCH(TableRBRanks[[#This Row],[RK]],TableRBCalcPts[RK],0)),"")</f>
        <v>LAC</v>
      </c>
      <c r="K87">
        <f>IFERROR(INDEX(TableRBCalcPts[BYE],MATCH(TableRBRanks[[#This Row],[RK]],TableRBCalcPts[RK],0)),"")</f>
        <v>5</v>
      </c>
      <c r="L87" s="58">
        <f>IFERROR(INDEX(TableRBCalcPts[Custom],MATCH(TableRBRanks[[#This Row],[RK]],TableRBCalcPts[RK],0)),"")</f>
        <v>34.067763694883844</v>
      </c>
      <c r="M87" s="133">
        <f>(((VLOOKUP(TableRBRanks[[#This Row],[Player]],'OVR &amp; VORP Ranks'!$I:$M,5,FALSE)))/('OVR &amp; VORP Ranks'!$BM$6))*(Settings!$E$10*TEAMS)</f>
        <v>-32.207822057316712</v>
      </c>
      <c r="O87">
        <v>86</v>
      </c>
      <c r="P87" t="str">
        <f>IFERROR(INDEX(TableWRCalcPts[PLAYER],MATCH(TableWRRanks[[#This Row],[RK]],TableWRCalcPts[RK],0)),"")</f>
        <v>Kendrick Bourne</v>
      </c>
      <c r="Q87" t="str">
        <f>IFERROR(INDEX(TableWRCalcPts[TM],MATCH(TableWRRanks[[#This Row],[RK]],TableWRCalcPts[RK],0)),"")</f>
        <v>NE</v>
      </c>
      <c r="R87">
        <f>IFERROR(INDEX(TableWRCalcPts[BYE],MATCH(TableWRRanks[[#This Row],[RK]],TableWRCalcPts[RK],0)),"")</f>
        <v>11</v>
      </c>
      <c r="S87" s="58">
        <f>IFERROR(INDEX(TableWRCalcPts[Custom],MATCH(TableWRRanks[[#This Row],[RK]],TableWRCalcPts[RK],0)),"")</f>
        <v>87.486076024099162</v>
      </c>
      <c r="T87" s="133">
        <f>(((VLOOKUP(TableWRRanks[[#This Row],[Player]],'OVR &amp; VORP Ranks'!$P:$T,5,FALSE)))/('OVR &amp; VORP Ranks'!$BM$6))*(Settings!$E$10*TEAMS)</f>
        <v>-14.659671932840473</v>
      </c>
      <c r="V87">
        <v>86</v>
      </c>
      <c r="W87" t="str">
        <f>IFERROR(INDEX(TableTECalcPts[PLAYER],MATCH(TableTERanks[[#This Row],[RK]],TableTECalcPts[RK],0)),"")</f>
        <v>Colby Parkinson</v>
      </c>
      <c r="X87" t="str">
        <f>IFERROR(INDEX(TableTECalcPts[TM],MATCH(TableTERanks[[#This Row],[RK]],TableTECalcPts[RK],0)),"")</f>
        <v>SEA</v>
      </c>
      <c r="Y87">
        <f>IFERROR(INDEX(TableTECalcPts[BYE],MATCH(TableTERanks[[#This Row],[RK]],TableTECalcPts[RK],0)),"")</f>
        <v>5</v>
      </c>
      <c r="Z87" s="58">
        <f>IFERROR(INDEX(TableTECalcPts[Custom],MATCH(TableTERanks[[#This Row],[RK]],TableTECalcPts[RK],0)),"")</f>
        <v>8.1406506414917494</v>
      </c>
      <c r="AA87" s="133">
        <f>(((VLOOKUP(TableTERanks[[#This Row],[Player]],'OVR &amp; VORP Ranks'!$W:$AA,5,FALSE)))/('OVR &amp; VORP Ranks'!$BM$6))*(Settings!$E$10*TEAMS)</f>
        <v>-41.563996012876295</v>
      </c>
    </row>
    <row r="88" spans="8:27" x14ac:dyDescent="0.2">
      <c r="H88">
        <v>87</v>
      </c>
      <c r="I88" t="str">
        <f>IFERROR(INDEX(TableRBCalcPts[PLAYER],MATCH(TableRBRanks[[#This Row],[RK]],TableRBCalcPts[RK],0)),"")</f>
        <v>Kene Nwangwu</v>
      </c>
      <c r="J88" t="str">
        <f>IFERROR(INDEX(TableRBCalcPts[TM],MATCH(TableRBRanks[[#This Row],[RK]],TableRBCalcPts[RK],0)),"")</f>
        <v>MIN</v>
      </c>
      <c r="K88">
        <f>IFERROR(INDEX(TableRBCalcPts[BYE],MATCH(TableRBRanks[[#This Row],[RK]],TableRBCalcPts[RK],0)),"")</f>
        <v>13</v>
      </c>
      <c r="L88" s="58">
        <f>IFERROR(INDEX(TableRBCalcPts[Custom],MATCH(TableRBRanks[[#This Row],[RK]],TableRBCalcPts[RK],0)),"")</f>
        <v>32.950744019818238</v>
      </c>
      <c r="M88" s="133">
        <f>(((VLOOKUP(TableRBRanks[[#This Row],[Player]],'OVR &amp; VORP Ranks'!$I:$M,5,FALSE)))/('OVR &amp; VORP Ranks'!$BM$6))*(Settings!$E$10*TEAMS)</f>
        <v>-32.614821425264815</v>
      </c>
      <c r="O88">
        <v>87</v>
      </c>
      <c r="P88" t="str">
        <f>IFERROR(INDEX(TableWRCalcPts[PLAYER],MATCH(TableWRRanks[[#This Row],[RK]],TableWRCalcPts[RK],0)),"")</f>
        <v>Trey Palmer</v>
      </c>
      <c r="Q88" t="str">
        <f>IFERROR(INDEX(TableWRCalcPts[TM],MATCH(TableWRRanks[[#This Row],[RK]],TableWRCalcPts[RK],0)),"")</f>
        <v>TB</v>
      </c>
      <c r="R88">
        <f>IFERROR(INDEX(TableWRCalcPts[BYE],MATCH(TableWRRanks[[#This Row],[RK]],TableWRCalcPts[RK],0)),"")</f>
        <v>5</v>
      </c>
      <c r="S88" s="58">
        <f>IFERROR(INDEX(TableWRCalcPts[Custom],MATCH(TableWRRanks[[#This Row],[RK]],TableWRCalcPts[RK],0)),"")</f>
        <v>87.342060412734071</v>
      </c>
      <c r="T88" s="133">
        <f>(((VLOOKUP(TableWRRanks[[#This Row],[Player]],'OVR &amp; VORP Ranks'!$P:$T,5,FALSE)))/('OVR &amp; VORP Ranks'!$BM$6))*(Settings!$E$10*TEAMS)</f>
        <v>-14.708992609390455</v>
      </c>
      <c r="V88">
        <v>87</v>
      </c>
      <c r="W88" t="str">
        <f>IFERROR(INDEX(TableTECalcPts[PLAYER],MATCH(TableTERanks[[#This Row],[RK]],TableTECalcPts[RK],0)),"")</f>
        <v>Josh Oliver</v>
      </c>
      <c r="X88" t="str">
        <f>IFERROR(INDEX(TableTECalcPts[TM],MATCH(TableTERanks[[#This Row],[RK]],TableTECalcPts[RK],0)),"")</f>
        <v>MIN</v>
      </c>
      <c r="Y88">
        <f>IFERROR(INDEX(TableTECalcPts[BYE],MATCH(TableTERanks[[#This Row],[RK]],TableTECalcPts[RK],0)),"")</f>
        <v>13</v>
      </c>
      <c r="Z88" s="58">
        <f>IFERROR(INDEX(TableTECalcPts[Custom],MATCH(TableTERanks[[#This Row],[RK]],TableTECalcPts[RK],0)),"")</f>
        <v>7.947462224774859</v>
      </c>
      <c r="AA88" s="133">
        <f>(((VLOOKUP(TableTERanks[[#This Row],[Player]],'OVR &amp; VORP Ranks'!$W:$AA,5,FALSE)))/('OVR &amp; VORP Ranks'!$BM$6))*(Settings!$E$10*TEAMS)</f>
        <v>-41.636538394344406</v>
      </c>
    </row>
    <row r="89" spans="8:27" x14ac:dyDescent="0.2">
      <c r="H89">
        <v>88</v>
      </c>
      <c r="I89" t="str">
        <f>IFERROR(INDEX(TableRBCalcPts[PLAYER],MATCH(TableRBRanks[[#This Row],[RK]],TableRBCalcPts[RK],0)),"")</f>
        <v>Dare Ogunbowale</v>
      </c>
      <c r="J89" t="str">
        <f>IFERROR(INDEX(TableRBCalcPts[TM],MATCH(TableRBRanks[[#This Row],[RK]],TableRBCalcPts[RK],0)),"")</f>
        <v>HOU</v>
      </c>
      <c r="K89">
        <f>IFERROR(INDEX(TableRBCalcPts[BYE],MATCH(TableRBRanks[[#This Row],[RK]],TableRBCalcPts[RK],0)),"")</f>
        <v>7</v>
      </c>
      <c r="L89" s="58">
        <f>IFERROR(INDEX(TableRBCalcPts[Custom],MATCH(TableRBRanks[[#This Row],[RK]],TableRBCalcPts[RK],0)),"")</f>
        <v>29.810729591596797</v>
      </c>
      <c r="M89" s="133">
        <f>(((VLOOKUP(TableRBRanks[[#This Row],[Player]],'OVR &amp; VORP Ranks'!$I:$M,5,FALSE)))/('OVR &amp; VORP Ranks'!$BM$6))*(Settings!$E$10*TEAMS)</f>
        <v>-33.758922926931753</v>
      </c>
      <c r="O89">
        <v>88</v>
      </c>
      <c r="P89" t="str">
        <f>IFERROR(INDEX(TableWRCalcPts[PLAYER],MATCH(TableWRRanks[[#This Row],[RK]],TableWRCalcPts[RK],0)),"")</f>
        <v>Puka Nacua</v>
      </c>
      <c r="Q89" t="str">
        <f>IFERROR(INDEX(TableWRCalcPts[TM],MATCH(TableWRRanks[[#This Row],[RK]],TableWRCalcPts[RK],0)),"")</f>
        <v>LAR</v>
      </c>
      <c r="R89">
        <f>IFERROR(INDEX(TableWRCalcPts[BYE],MATCH(TableWRRanks[[#This Row],[RK]],TableWRCalcPts[RK],0)),"")</f>
        <v>10</v>
      </c>
      <c r="S89" s="58">
        <f>IFERROR(INDEX(TableWRCalcPts[Custom],MATCH(TableWRRanks[[#This Row],[RK]],TableWRCalcPts[RK],0)),"")</f>
        <v>85.054259195136012</v>
      </c>
      <c r="T89" s="133">
        <f>(((VLOOKUP(TableWRRanks[[#This Row],[Player]],'OVR &amp; VORP Ranks'!$P:$T,5,FALSE)))/('OVR &amp; VORP Ranks'!$BM$6))*(Settings!$E$10*TEAMS)</f>
        <v>-15.492490334354184</v>
      </c>
      <c r="V89">
        <v>88</v>
      </c>
      <c r="W89" t="str">
        <f>IFERROR(INDEX(TableTECalcPts[PLAYER],MATCH(TableTERanks[[#This Row],[RK]],TableTECalcPts[RK],0)),"")</f>
        <v>Charlie Kolar</v>
      </c>
      <c r="X89" t="str">
        <f>IFERROR(INDEX(TableTECalcPts[TM],MATCH(TableTERanks[[#This Row],[RK]],TableTECalcPts[RK],0)),"")</f>
        <v>BAL</v>
      </c>
      <c r="Y89">
        <f>IFERROR(INDEX(TableTECalcPts[BYE],MATCH(TableTERanks[[#This Row],[RK]],TableTECalcPts[RK],0)),"")</f>
        <v>13</v>
      </c>
      <c r="Z89" s="58">
        <f>IFERROR(INDEX(TableTECalcPts[Custom],MATCH(TableTERanks[[#This Row],[RK]],TableTECalcPts[RK],0)),"")</f>
        <v>7.7628243148098379</v>
      </c>
      <c r="AA89" s="133">
        <f>(((VLOOKUP(TableTERanks[[#This Row],[Player]],'OVR &amp; VORP Ranks'!$W:$AA,5,FALSE)))/('OVR &amp; VORP Ranks'!$BM$6))*(Settings!$E$10*TEAMS)</f>
        <v>-41.70587005472953</v>
      </c>
    </row>
    <row r="90" spans="8:27" x14ac:dyDescent="0.2">
      <c r="H90">
        <v>89</v>
      </c>
      <c r="I90" t="str">
        <f>IFERROR(INDEX(TableRBCalcPts[PLAYER],MATCH(TableRBRanks[[#This Row],[RK]],TableRBCalcPts[RK],0)),"")</f>
        <v>Trayveon Williams</v>
      </c>
      <c r="J90" t="str">
        <f>IFERROR(INDEX(TableRBCalcPts[TM],MATCH(TableRBRanks[[#This Row],[RK]],TableRBCalcPts[RK],0)),"")</f>
        <v>CIN</v>
      </c>
      <c r="K90">
        <f>IFERROR(INDEX(TableRBCalcPts[BYE],MATCH(TableRBRanks[[#This Row],[RK]],TableRBCalcPts[RK],0)),"")</f>
        <v>7</v>
      </c>
      <c r="L90" s="58">
        <f>IFERROR(INDEX(TableRBCalcPts[Custom],MATCH(TableRBRanks[[#This Row],[RK]],TableRBCalcPts[RK],0)),"")</f>
        <v>29.795665618303204</v>
      </c>
      <c r="M90" s="133">
        <f>(((VLOOKUP(TableRBRanks[[#This Row],[Player]],'OVR &amp; VORP Ranks'!$I:$M,5,FALSE)))/('OVR &amp; VORP Ranks'!$BM$6))*(Settings!$E$10*TEAMS)</f>
        <v>-33.764411664280018</v>
      </c>
      <c r="O90">
        <v>89</v>
      </c>
      <c r="P90" t="str">
        <f>IFERROR(INDEX(TableWRCalcPts[PLAYER],MATCH(TableWRRanks[[#This Row],[RK]],TableWRCalcPts[RK],0)),"")</f>
        <v>Hunter Renfrow</v>
      </c>
      <c r="Q90" t="str">
        <f>IFERROR(INDEX(TableWRCalcPts[TM],MATCH(TableWRRanks[[#This Row],[RK]],TableWRCalcPts[RK],0)),"")</f>
        <v>LV</v>
      </c>
      <c r="R90">
        <f>IFERROR(INDEX(TableWRCalcPts[BYE],MATCH(TableWRRanks[[#This Row],[RK]],TableWRCalcPts[RK],0)),"")</f>
        <v>13</v>
      </c>
      <c r="S90" s="58">
        <f>IFERROR(INDEX(TableWRCalcPts[Custom],MATCH(TableWRRanks[[#This Row],[RK]],TableWRCalcPts[RK],0)),"")</f>
        <v>84.554260335667863</v>
      </c>
      <c r="T90" s="133">
        <f>(((VLOOKUP(TableWRRanks[[#This Row],[Player]],'OVR &amp; VORP Ranks'!$P:$T,5,FALSE)))/('OVR &amp; VORP Ranks'!$BM$6))*(Settings!$E$10*TEAMS)</f>
        <v>-15.663723729049654</v>
      </c>
      <c r="V90">
        <v>89</v>
      </c>
      <c r="W90" t="str">
        <f>IFERROR(INDEX(TableTECalcPts[PLAYER],MATCH(TableTERanks[[#This Row],[RK]],TableTECalcPts[RK],0)),"")</f>
        <v>Payne Durham</v>
      </c>
      <c r="X90" t="str">
        <f>IFERROR(INDEX(TableTECalcPts[TM],MATCH(TableTERanks[[#This Row],[RK]],TableTECalcPts[RK],0)),"")</f>
        <v>TB</v>
      </c>
      <c r="Y90">
        <f>IFERROR(INDEX(TableTECalcPts[BYE],MATCH(TableTERanks[[#This Row],[RK]],TableTECalcPts[RK],0)),"")</f>
        <v>5</v>
      </c>
      <c r="Z90" s="58">
        <f>IFERROR(INDEX(TableTECalcPts[Custom],MATCH(TableTERanks[[#This Row],[RK]],TableTECalcPts[RK],0)),"")</f>
        <v>7.5061367673600001</v>
      </c>
      <c r="AA90" s="133">
        <f>(((VLOOKUP(TableTERanks[[#This Row],[Player]],'OVR &amp; VORP Ranks'!$W:$AA,5,FALSE)))/('OVR &amp; VORP Ranks'!$BM$6))*(Settings!$E$10*TEAMS)</f>
        <v>-41.802256402843291</v>
      </c>
    </row>
    <row r="91" spans="8:27" x14ac:dyDescent="0.2">
      <c r="H91">
        <v>90</v>
      </c>
      <c r="I91" t="str">
        <f>IFERROR(INDEX(TableRBCalcPts[PLAYER],MATCH(TableRBRanks[[#This Row],[RK]],TableRBCalcPts[RK],0)),"")</f>
        <v>D'Onta Foreman</v>
      </c>
      <c r="J91" t="str">
        <f>IFERROR(INDEX(TableRBCalcPts[TM],MATCH(TableRBRanks[[#This Row],[RK]],TableRBCalcPts[RK],0)),"")</f>
        <v>CHI</v>
      </c>
      <c r="K91">
        <f>IFERROR(INDEX(TableRBCalcPts[BYE],MATCH(TableRBRanks[[#This Row],[RK]],TableRBCalcPts[RK],0)),"")</f>
        <v>13</v>
      </c>
      <c r="L91" s="58">
        <f>IFERROR(INDEX(TableRBCalcPts[Custom],MATCH(TableRBRanks[[#This Row],[RK]],TableRBCalcPts[RK],0)),"")</f>
        <v>27.946418935653998</v>
      </c>
      <c r="M91" s="133">
        <f>(((VLOOKUP(TableRBRanks[[#This Row],[Player]],'OVR &amp; VORP Ranks'!$I:$M,5,FALSE)))/('OVR &amp; VORP Ranks'!$BM$6))*(Settings!$E$10*TEAMS)</f>
        <v>-34.43820662762672</v>
      </c>
      <c r="O91">
        <v>90</v>
      </c>
      <c r="P91" t="str">
        <f>IFERROR(INDEX(TableWRCalcPts[PLAYER],MATCH(TableWRRanks[[#This Row],[RK]],TableWRCalcPts[RK],0)),"")</f>
        <v>Terrace Marshall</v>
      </c>
      <c r="Q91" t="str">
        <f>IFERROR(INDEX(TableWRCalcPts[TM],MATCH(TableWRRanks[[#This Row],[RK]],TableWRCalcPts[RK],0)),"")</f>
        <v>CAR</v>
      </c>
      <c r="R91">
        <f>IFERROR(INDEX(TableWRCalcPts[BYE],MATCH(TableWRRanks[[#This Row],[RK]],TableWRCalcPts[RK],0)),"")</f>
        <v>7</v>
      </c>
      <c r="S91" s="58">
        <f>IFERROR(INDEX(TableWRCalcPts[Custom],MATCH(TableWRRanks[[#This Row],[RK]],TableWRCalcPts[RK],0)),"")</f>
        <v>79.745267232922856</v>
      </c>
      <c r="T91" s="133">
        <f>(((VLOOKUP(TableWRRanks[[#This Row],[Player]],'OVR &amp; VORP Ranks'!$P:$T,5,FALSE)))/('OVR &amp; VORP Ranks'!$BM$6))*(Settings!$E$10*TEAMS)</f>
        <v>-17.310647913888925</v>
      </c>
      <c r="V91">
        <v>90</v>
      </c>
      <c r="W91" t="str">
        <f>IFERROR(INDEX(TableTECalcPts[PLAYER],MATCH(TableTERanks[[#This Row],[RK]],TableTECalcPts[RK],0)),"")</f>
        <v>Luke Farrell</v>
      </c>
      <c r="X91" t="str">
        <f>IFERROR(INDEX(TableTECalcPts[TM],MATCH(TableTERanks[[#This Row],[RK]],TableTECalcPts[RK],0)),"")</f>
        <v>JAX</v>
      </c>
      <c r="Y91">
        <f>IFERROR(INDEX(TableTECalcPts[BYE],MATCH(TableTERanks[[#This Row],[RK]],TableTECalcPts[RK],0)),"")</f>
        <v>9</v>
      </c>
      <c r="Z91" s="58">
        <f>IFERROR(INDEX(TableTECalcPts[Custom],MATCH(TableTERanks[[#This Row],[RK]],TableTECalcPts[RK],0)),"")</f>
        <v>6.4640458763999984</v>
      </c>
      <c r="AA91" s="133">
        <f>(((VLOOKUP(TableTERanks[[#This Row],[Player]],'OVR &amp; VORP Ranks'!$W:$AA,5,FALSE)))/('OVR &amp; VORP Ranks'!$BM$6))*(Settings!$E$10*TEAMS)</f>
        <v>-42.193562238985848</v>
      </c>
    </row>
    <row r="92" spans="8:27" x14ac:dyDescent="0.2">
      <c r="H92">
        <v>91</v>
      </c>
      <c r="I92" t="str">
        <f>IFERROR(INDEX(TableRBCalcPts[PLAYER],MATCH(TableRBRanks[[#This Row],[RK]],TableRBCalcPts[RK],0)),"")</f>
        <v>Ty Montgomery</v>
      </c>
      <c r="J92" t="str">
        <f>IFERROR(INDEX(TableRBCalcPts[TM],MATCH(TableRBRanks[[#This Row],[RK]],TableRBCalcPts[RK],0)),"")</f>
        <v>NE</v>
      </c>
      <c r="K92">
        <f>IFERROR(INDEX(TableRBCalcPts[BYE],MATCH(TableRBRanks[[#This Row],[RK]],TableRBCalcPts[RK],0)),"")</f>
        <v>11</v>
      </c>
      <c r="L92" s="58">
        <f>IFERROR(INDEX(TableRBCalcPts[Custom],MATCH(TableRBRanks[[#This Row],[RK]],TableRBCalcPts[RK],0)),"")</f>
        <v>25.966866593346559</v>
      </c>
      <c r="M92" s="133">
        <f>(((VLOOKUP(TableRBRanks[[#This Row],[Player]],'OVR &amp; VORP Ranks'!$I:$M,5,FALSE)))/('OVR &amp; VORP Ranks'!$BM$6))*(Settings!$E$10*TEAMS)</f>
        <v>-35.159480003668193</v>
      </c>
      <c r="O92">
        <v>91</v>
      </c>
      <c r="P92" t="str">
        <f>IFERROR(INDEX(TableWRCalcPts[PLAYER],MATCH(TableWRRanks[[#This Row],[RK]],TableWRCalcPts[RK],0)),"")</f>
        <v>Chase Claypool</v>
      </c>
      <c r="Q92" t="str">
        <f>IFERROR(INDEX(TableWRCalcPts[TM],MATCH(TableWRRanks[[#This Row],[RK]],TableWRCalcPts[RK],0)),"")</f>
        <v>CHI</v>
      </c>
      <c r="R92">
        <f>IFERROR(INDEX(TableWRCalcPts[BYE],MATCH(TableWRRanks[[#This Row],[RK]],TableWRCalcPts[RK],0)),"")</f>
        <v>13</v>
      </c>
      <c r="S92" s="58">
        <f>IFERROR(INDEX(TableWRCalcPts[Custom],MATCH(TableWRRanks[[#This Row],[RK]],TableWRCalcPts[RK],0)),"")</f>
        <v>78.131442847366372</v>
      </c>
      <c r="T92" s="133">
        <f>(((VLOOKUP(TableWRRanks[[#This Row],[Player]],'OVR &amp; VORP Ranks'!$P:$T,5,FALSE)))/('OVR &amp; VORP Ranks'!$BM$6))*(Settings!$E$10*TEAMS)</f>
        <v>-17.863330430555301</v>
      </c>
      <c r="V92">
        <v>91</v>
      </c>
      <c r="W92" t="str">
        <f>IFERROR(INDEX(TableTECalcPts[PLAYER],MATCH(TableTERanks[[#This Row],[RK]],TableTECalcPts[RK],0)),"")</f>
        <v/>
      </c>
      <c r="X92" t="str">
        <f>IFERROR(INDEX(TableTECalcPts[TM],MATCH(TableTERanks[[#This Row],[RK]],TableTECalcPts[RK],0)),"")</f>
        <v/>
      </c>
      <c r="Y92" t="str">
        <f>IFERROR(INDEX(TableTECalcPts[BYE],MATCH(TableTERanks[[#This Row],[RK]],TableTECalcPts[RK],0)),"")</f>
        <v/>
      </c>
      <c r="Z92" s="58" t="str">
        <f>IFERROR(INDEX(TableTECalcPts[Custom],MATCH(TableTERanks[[#This Row],[RK]],TableTECalcPts[RK],0)),"")</f>
        <v/>
      </c>
      <c r="AA92" s="133" t="e">
        <f>(((VLOOKUP(TableTERanks[[#This Row],[Player]],'OVR &amp; VORP Ranks'!$W:$AA,5,FALSE)))/('OVR &amp; VORP Ranks'!$BM$6))*(Settings!$E$10*TEAMS)</f>
        <v>#VALUE!</v>
      </c>
    </row>
    <row r="93" spans="8:27" x14ac:dyDescent="0.2">
      <c r="H93">
        <v>92</v>
      </c>
      <c r="I93" t="str">
        <f>IFERROR(INDEX(TableRBCalcPts[PLAYER],MATCH(TableRBRanks[[#This Row],[RK]],TableRBCalcPts[RK],0)),"")</f>
        <v>Jaleel McLaughlin</v>
      </c>
      <c r="J93" t="str">
        <f>IFERROR(INDEX(TableRBCalcPts[TM],MATCH(TableRBRanks[[#This Row],[RK]],TableRBCalcPts[RK],0)),"")</f>
        <v>DEN</v>
      </c>
      <c r="K93">
        <f>IFERROR(INDEX(TableRBCalcPts[BYE],MATCH(TableRBRanks[[#This Row],[RK]],TableRBCalcPts[RK],0)),"")</f>
        <v>9</v>
      </c>
      <c r="L93" s="58">
        <f>IFERROR(INDEX(TableRBCalcPts[Custom],MATCH(TableRBRanks[[#This Row],[RK]],TableRBCalcPts[RK],0)),"")</f>
        <v>24.102129513840001</v>
      </c>
      <c r="M93" s="133">
        <f>(((VLOOKUP(TableRBRanks[[#This Row],[Player]],'OVR &amp; VORP Ranks'!$I:$M,5,FALSE)))/('OVR &amp; VORP Ranks'!$BM$6))*(Settings!$E$10*TEAMS)</f>
        <v>-35.838919076846558</v>
      </c>
      <c r="O93">
        <v>92</v>
      </c>
      <c r="P93" t="str">
        <f>IFERROR(INDEX(TableWRCalcPts[PLAYER],MATCH(TableWRRanks[[#This Row],[RK]],TableWRCalcPts[RK],0)),"")</f>
        <v>Rashid Shaheed</v>
      </c>
      <c r="Q93" t="str">
        <f>IFERROR(INDEX(TableWRCalcPts[TM],MATCH(TableWRRanks[[#This Row],[RK]],TableWRCalcPts[RK],0)),"")</f>
        <v>NO</v>
      </c>
      <c r="R93">
        <f>IFERROR(INDEX(TableWRCalcPts[BYE],MATCH(TableWRRanks[[#This Row],[RK]],TableWRCalcPts[RK],0)),"")</f>
        <v>11</v>
      </c>
      <c r="S93" s="58">
        <f>IFERROR(INDEX(TableWRCalcPts[Custom],MATCH(TableWRRanks[[#This Row],[RK]],TableWRCalcPts[RK],0)),"")</f>
        <v>77.226919676598641</v>
      </c>
      <c r="T93" s="133">
        <f>(((VLOOKUP(TableWRRanks[[#This Row],[Player]],'OVR &amp; VORP Ranks'!$P:$T,5,FALSE)))/('OVR &amp; VORP Ranks'!$BM$6))*(Settings!$E$10*TEAMS)</f>
        <v>-18.173100283382613</v>
      </c>
      <c r="V93">
        <v>92</v>
      </c>
      <c r="W93" t="str">
        <f>IFERROR(INDEX(TableTECalcPts[PLAYER],MATCH(TableTERanks[[#This Row],[RK]],TableTECalcPts[RK],0)),"")</f>
        <v/>
      </c>
      <c r="X93" t="str">
        <f>IFERROR(INDEX(TableTECalcPts[TM],MATCH(TableTERanks[[#This Row],[RK]],TableTECalcPts[RK],0)),"")</f>
        <v/>
      </c>
      <c r="Y93" t="str">
        <f>IFERROR(INDEX(TableTECalcPts[BYE],MATCH(TableTERanks[[#This Row],[RK]],TableTECalcPts[RK],0)),"")</f>
        <v/>
      </c>
      <c r="Z93" s="58" t="str">
        <f>IFERROR(INDEX(TableTECalcPts[Custom],MATCH(TableTERanks[[#This Row],[RK]],TableTECalcPts[RK],0)),"")</f>
        <v/>
      </c>
      <c r="AA93" s="133" t="e">
        <f>(((VLOOKUP(TableTERanks[[#This Row],[Player]],'OVR &amp; VORP Ranks'!$W:$AA,5,FALSE)))/('OVR &amp; VORP Ranks'!$BM$6))*(Settings!$E$10*TEAMS)</f>
        <v>#VALUE!</v>
      </c>
    </row>
    <row r="94" spans="8:27" x14ac:dyDescent="0.2">
      <c r="H94">
        <v>93</v>
      </c>
      <c r="I94" t="str">
        <f>IFERROR(INDEX(TableRBCalcPts[PLAYER],MATCH(TableRBRanks[[#This Row],[RK]],TableRBCalcPts[RK],0)),"")</f>
        <v>J.J. Taylor</v>
      </c>
      <c r="J94" t="str">
        <f>IFERROR(INDEX(TableRBCalcPts[TM],MATCH(TableRBRanks[[#This Row],[RK]],TableRBCalcPts[RK],0)),"")</f>
        <v>NE</v>
      </c>
      <c r="K94">
        <f>IFERROR(INDEX(TableRBCalcPts[BYE],MATCH(TableRBRanks[[#This Row],[RK]],TableRBCalcPts[RK],0)),"")</f>
        <v>11</v>
      </c>
      <c r="L94" s="58">
        <f>IFERROR(INDEX(TableRBCalcPts[Custom],MATCH(TableRBRanks[[#This Row],[RK]],TableRBCalcPts[RK],0)),"")</f>
        <v>23.120132108572804</v>
      </c>
      <c r="M94" s="133">
        <f>(((VLOOKUP(TableRBRanks[[#This Row],[Player]],'OVR &amp; VORP Ranks'!$I:$M,5,FALSE)))/('OVR &amp; VORP Ranks'!$BM$6))*(Settings!$E$10*TEAMS)</f>
        <v>-36.196721479250044</v>
      </c>
      <c r="O94">
        <v>93</v>
      </c>
      <c r="P94" t="str">
        <f>IFERROR(INDEX(TableWRCalcPts[PLAYER],MATCH(TableWRRanks[[#This Row],[RK]],TableWRCalcPts[RK],0)),"")</f>
        <v>Mack Hollins</v>
      </c>
      <c r="Q94" t="str">
        <f>IFERROR(INDEX(TableWRCalcPts[TM],MATCH(TableWRRanks[[#This Row],[RK]],TableWRCalcPts[RK],0)),"")</f>
        <v>ATL</v>
      </c>
      <c r="R94">
        <f>IFERROR(INDEX(TableWRCalcPts[BYE],MATCH(TableWRRanks[[#This Row],[RK]],TableWRCalcPts[RK],0)),"")</f>
        <v>11</v>
      </c>
      <c r="S94" s="58">
        <f>IFERROR(INDEX(TableWRCalcPts[Custom],MATCH(TableWRRanks[[#This Row],[RK]],TableWRCalcPts[RK],0)),"")</f>
        <v>77.189576272085475</v>
      </c>
      <c r="T94" s="133">
        <f>(((VLOOKUP(TableWRRanks[[#This Row],[Player]],'OVR &amp; VORP Ranks'!$P:$T,5,FALSE)))/('OVR &amp; VORP Ranks'!$BM$6))*(Settings!$E$10*TEAMS)</f>
        <v>-18.185889188403472</v>
      </c>
      <c r="V94">
        <v>93</v>
      </c>
      <c r="W94" t="str">
        <f>IFERROR(INDEX(TableTECalcPts[PLAYER],MATCH(TableTERanks[[#This Row],[RK]],TableTECalcPts[RK],0)),"")</f>
        <v/>
      </c>
      <c r="X94" t="str">
        <f>IFERROR(INDEX(TableTECalcPts[TM],MATCH(TableTERanks[[#This Row],[RK]],TableTECalcPts[RK],0)),"")</f>
        <v/>
      </c>
      <c r="Y94" t="str">
        <f>IFERROR(INDEX(TableTECalcPts[BYE],MATCH(TableTERanks[[#This Row],[RK]],TableTECalcPts[RK],0)),"")</f>
        <v/>
      </c>
      <c r="Z94" s="58" t="str">
        <f>IFERROR(INDEX(TableTECalcPts[Custom],MATCH(TableTERanks[[#This Row],[RK]],TableTECalcPts[RK],0)),"")</f>
        <v/>
      </c>
      <c r="AA94" s="133" t="e">
        <f>(((VLOOKUP(TableTERanks[[#This Row],[Player]],'OVR &amp; VORP Ranks'!$W:$AA,5,FALSE)))/('OVR &amp; VORP Ranks'!$BM$6))*(Settings!$E$10*TEAMS)</f>
        <v>#VALUE!</v>
      </c>
    </row>
    <row r="95" spans="8:27" x14ac:dyDescent="0.2">
      <c r="H95">
        <v>94</v>
      </c>
      <c r="I95" t="str">
        <f>IFERROR(INDEX(TableRBCalcPts[PLAYER],MATCH(TableRBRanks[[#This Row],[RK]],TableRBCalcPts[RK],0)),"")</f>
        <v>Julius Chestnut</v>
      </c>
      <c r="J95" t="str">
        <f>IFERROR(INDEX(TableRBCalcPts[TM],MATCH(TableRBRanks[[#This Row],[RK]],TableRBCalcPts[RK],0)),"")</f>
        <v>TEN</v>
      </c>
      <c r="K95">
        <f>IFERROR(INDEX(TableRBCalcPts[BYE],MATCH(TableRBRanks[[#This Row],[RK]],TableRBCalcPts[RK],0)),"")</f>
        <v>7</v>
      </c>
      <c r="L95" s="58">
        <f>IFERROR(INDEX(TableRBCalcPts[Custom],MATCH(TableRBRanks[[#This Row],[RK]],TableRBCalcPts[RK],0)),"")</f>
        <v>22.584872523415996</v>
      </c>
      <c r="M95" s="133">
        <f>(((VLOOKUP(TableRBRanks[[#This Row],[Player]],'OVR &amp; VORP Ranks'!$I:$M,5,FALSE)))/('OVR &amp; VORP Ranks'!$BM$6))*(Settings!$E$10*TEAMS)</f>
        <v>-36.391749657992008</v>
      </c>
      <c r="O95">
        <v>94</v>
      </c>
      <c r="P95" t="str">
        <f>IFERROR(INDEX(TableWRCalcPts[PLAYER],MATCH(TableWRRanks[[#This Row],[RK]],TableWRCalcPts[RK],0)),"")</f>
        <v>John Metchie</v>
      </c>
      <c r="Q95" t="str">
        <f>IFERROR(INDEX(TableWRCalcPts[TM],MATCH(TableWRRanks[[#This Row],[RK]],TableWRCalcPts[RK],0)),"")</f>
        <v>HOU</v>
      </c>
      <c r="R95">
        <f>IFERROR(INDEX(TableWRCalcPts[BYE],MATCH(TableWRRanks[[#This Row],[RK]],TableWRCalcPts[RK],0)),"")</f>
        <v>7</v>
      </c>
      <c r="S95" s="58">
        <f>IFERROR(INDEX(TableWRCalcPts[Custom],MATCH(TableWRRanks[[#This Row],[RK]],TableWRCalcPts[RK],0)),"")</f>
        <v>73.182013035648367</v>
      </c>
      <c r="T95" s="133">
        <f>(((VLOOKUP(TableWRRanks[[#This Row],[Player]],'OVR &amp; VORP Ranks'!$P:$T,5,FALSE)))/('OVR &amp; VORP Ranks'!$BM$6))*(Settings!$E$10*TEAMS)</f>
        <v>-19.558349633936984</v>
      </c>
      <c r="V95">
        <v>94</v>
      </c>
      <c r="W95" t="str">
        <f>IFERROR(INDEX(TableTECalcPts[PLAYER],MATCH(TableTERanks[[#This Row],[RK]],TableTECalcPts[RK],0)),"")</f>
        <v/>
      </c>
      <c r="X95" t="str">
        <f>IFERROR(INDEX(TableTECalcPts[TM],MATCH(TableTERanks[[#This Row],[RK]],TableTECalcPts[RK],0)),"")</f>
        <v/>
      </c>
      <c r="Y95" t="str">
        <f>IFERROR(INDEX(TableTECalcPts[BYE],MATCH(TableTERanks[[#This Row],[RK]],TableTECalcPts[RK],0)),"")</f>
        <v/>
      </c>
      <c r="Z95" s="58" t="str">
        <f>IFERROR(INDEX(TableTECalcPts[Custom],MATCH(TableTERanks[[#This Row],[RK]],TableTECalcPts[RK],0)),"")</f>
        <v/>
      </c>
      <c r="AA95" s="133" t="e">
        <f>(((VLOOKUP(TableTERanks[[#This Row],[Player]],'OVR &amp; VORP Ranks'!$W:$AA,5,FALSE)))/('OVR &amp; VORP Ranks'!$BM$6))*(Settings!$E$10*TEAMS)</f>
        <v>#VALUE!</v>
      </c>
    </row>
    <row r="96" spans="8:27" x14ac:dyDescent="0.2">
      <c r="H96">
        <v>95</v>
      </c>
      <c r="I96" t="str">
        <f>IFERROR(INDEX(TableRBCalcPts[PLAYER],MATCH(TableRBRanks[[#This Row],[RK]],TableRBCalcPts[RK],0)),"")</f>
        <v>Travis Homer</v>
      </c>
      <c r="J96" t="str">
        <f>IFERROR(INDEX(TableRBCalcPts[TM],MATCH(TableRBRanks[[#This Row],[RK]],TableRBCalcPts[RK],0)),"")</f>
        <v>CHI</v>
      </c>
      <c r="K96">
        <f>IFERROR(INDEX(TableRBCalcPts[BYE],MATCH(TableRBRanks[[#This Row],[RK]],TableRBCalcPts[RK],0)),"")</f>
        <v>13</v>
      </c>
      <c r="L96" s="58">
        <f>IFERROR(INDEX(TableRBCalcPts[Custom],MATCH(TableRBRanks[[#This Row],[RK]],TableRBCalcPts[RK],0)),"")</f>
        <v>22.560629640663144</v>
      </c>
      <c r="M96" s="133">
        <f>(((VLOOKUP(TableRBRanks[[#This Row],[Player]],'OVR &amp; VORP Ranks'!$I:$M,5,FALSE)))/('OVR &amp; VORP Ranks'!$BM$6))*(Settings!$E$10*TEAMS)</f>
        <v>-36.400582839875824</v>
      </c>
      <c r="O96">
        <v>95</v>
      </c>
      <c r="P96" t="str">
        <f>IFERROR(INDEX(TableWRCalcPts[PLAYER],MATCH(TableWRRanks[[#This Row],[RK]],TableWRCalcPts[RK],0)),"")</f>
        <v>Randall Cobb</v>
      </c>
      <c r="Q96" t="str">
        <f>IFERROR(INDEX(TableWRCalcPts[TM],MATCH(TableWRRanks[[#This Row],[RK]],TableWRCalcPts[RK],0)),"")</f>
        <v>NYJ</v>
      </c>
      <c r="R96">
        <f>IFERROR(INDEX(TableWRCalcPts[BYE],MATCH(TableWRRanks[[#This Row],[RK]],TableWRCalcPts[RK],0)),"")</f>
        <v>7</v>
      </c>
      <c r="S96" s="58">
        <f>IFERROR(INDEX(TableWRCalcPts[Custom],MATCH(TableWRRanks[[#This Row],[RK]],TableWRCalcPts[RK],0)),"")</f>
        <v>71.627058184838234</v>
      </c>
      <c r="T96" s="133">
        <f>(((VLOOKUP(TableWRRanks[[#This Row],[Player]],'OVR &amp; VORP Ranks'!$P:$T,5,FALSE)))/('OVR &amp; VORP Ranks'!$BM$6))*(Settings!$E$10*TEAMS)</f>
        <v>-20.090871244057524</v>
      </c>
      <c r="V96">
        <v>95</v>
      </c>
      <c r="W96" t="str">
        <f>IFERROR(INDEX(TableTECalcPts[PLAYER],MATCH(TableTERanks[[#This Row],[RK]],TableTECalcPts[RK],0)),"")</f>
        <v/>
      </c>
      <c r="X96" t="str">
        <f>IFERROR(INDEX(TableTECalcPts[TM],MATCH(TableTERanks[[#This Row],[RK]],TableTECalcPts[RK],0)),"")</f>
        <v/>
      </c>
      <c r="Y96" t="str">
        <f>IFERROR(INDEX(TableTECalcPts[BYE],MATCH(TableTERanks[[#This Row],[RK]],TableTECalcPts[RK],0)),"")</f>
        <v/>
      </c>
      <c r="Z96" s="58" t="str">
        <f>IFERROR(INDEX(TableTECalcPts[Custom],MATCH(TableTERanks[[#This Row],[RK]],TableTECalcPts[RK],0)),"")</f>
        <v/>
      </c>
      <c r="AA96" s="133" t="e">
        <f>(((VLOOKUP(TableTERanks[[#This Row],[Player]],'OVR &amp; VORP Ranks'!$W:$AA,5,FALSE)))/('OVR &amp; VORP Ranks'!$BM$6))*(Settings!$E$10*TEAMS)</f>
        <v>#VALUE!</v>
      </c>
    </row>
    <row r="97" spans="8:27" x14ac:dyDescent="0.2">
      <c r="H97">
        <v>96</v>
      </c>
      <c r="I97" t="str">
        <f>IFERROR(INDEX(TableRBCalcPts[PLAYER],MATCH(TableRBRanks[[#This Row],[RK]],TableRBCalcPts[RK],0)),"")</f>
        <v>Salvon Ahmed</v>
      </c>
      <c r="J97" t="str">
        <f>IFERROR(INDEX(TableRBCalcPts[TM],MATCH(TableRBRanks[[#This Row],[RK]],TableRBCalcPts[RK],0)),"")</f>
        <v>MIA</v>
      </c>
      <c r="K97">
        <f>IFERROR(INDEX(TableRBCalcPts[BYE],MATCH(TableRBRanks[[#This Row],[RK]],TableRBCalcPts[RK],0)),"")</f>
        <v>10</v>
      </c>
      <c r="L97" s="58">
        <f>IFERROR(INDEX(TableRBCalcPts[Custom],MATCH(TableRBRanks[[#This Row],[RK]],TableRBCalcPts[RK],0)),"")</f>
        <v>22.424756662526406</v>
      </c>
      <c r="M97" s="133">
        <f>(((VLOOKUP(TableRBRanks[[#This Row],[Player]],'OVR &amp; VORP Ranks'!$I:$M,5,FALSE)))/('OVR &amp; VORP Ranks'!$BM$6))*(Settings!$E$10*TEAMS)</f>
        <v>-36.450089771094049</v>
      </c>
      <c r="O97">
        <v>96</v>
      </c>
      <c r="P97" t="str">
        <f>IFERROR(INDEX(TableWRCalcPts[PLAYER],MATCH(TableWRRanks[[#This Row],[RK]],TableWRCalcPts[RK],0)),"")</f>
        <v>Nick Westbrook-Ikhine</v>
      </c>
      <c r="Q97" t="str">
        <f>IFERROR(INDEX(TableWRCalcPts[TM],MATCH(TableWRRanks[[#This Row],[RK]],TableWRCalcPts[RK],0)),"")</f>
        <v>TEN</v>
      </c>
      <c r="R97">
        <f>IFERROR(INDEX(TableWRCalcPts[BYE],MATCH(TableWRRanks[[#This Row],[RK]],TableWRCalcPts[RK],0)),"")</f>
        <v>7</v>
      </c>
      <c r="S97" s="58">
        <f>IFERROR(INDEX(TableWRCalcPts[Custom],MATCH(TableWRRanks[[#This Row],[RK]],TableWRCalcPts[RK],0)),"")</f>
        <v>69.20477178254302</v>
      </c>
      <c r="T97" s="133">
        <f>(((VLOOKUP(TableWRRanks[[#This Row],[Player]],'OVR &amp; VORP Ranks'!$P:$T,5,FALSE)))/('OVR &amp; VORP Ranks'!$BM$6))*(Settings!$E$10*TEAMS)</f>
        <v>-20.920425783503667</v>
      </c>
      <c r="V97">
        <v>96</v>
      </c>
      <c r="W97" t="str">
        <f>IFERROR(INDEX(TableTECalcPts[PLAYER],MATCH(TableTERanks[[#This Row],[RK]],TableTECalcPts[RK],0)),"")</f>
        <v/>
      </c>
      <c r="X97" t="str">
        <f>IFERROR(INDEX(TableTECalcPts[TM],MATCH(TableTERanks[[#This Row],[RK]],TableTECalcPts[RK],0)),"")</f>
        <v/>
      </c>
      <c r="Y97" t="str">
        <f>IFERROR(INDEX(TableTECalcPts[BYE],MATCH(TableTERanks[[#This Row],[RK]],TableTECalcPts[RK],0)),"")</f>
        <v/>
      </c>
      <c r="Z97" s="58" t="str">
        <f>IFERROR(INDEX(TableTECalcPts[Custom],MATCH(TableTERanks[[#This Row],[RK]],TableTECalcPts[RK],0)),"")</f>
        <v/>
      </c>
      <c r="AA97" s="133" t="e">
        <f>(((VLOOKUP(TableTERanks[[#This Row],[Player]],'OVR &amp; VORP Ranks'!$W:$AA,5,FALSE)))/('OVR &amp; VORP Ranks'!$BM$6))*(Settings!$E$10*TEAMS)</f>
        <v>#VALUE!</v>
      </c>
    </row>
    <row r="98" spans="8:27" x14ac:dyDescent="0.2">
      <c r="H98">
        <v>97</v>
      </c>
      <c r="I98" t="str">
        <f>IFERROR(INDEX(TableRBCalcPts[PLAYER],MATCH(TableRBRanks[[#This Row],[RK]],TableRBCalcPts[RK],0)),"")</f>
        <v>Brandon Bolden</v>
      </c>
      <c r="J98" t="str">
        <f>IFERROR(INDEX(TableRBCalcPts[TM],MATCH(TableRBRanks[[#This Row],[RK]],TableRBCalcPts[RK],0)),"")</f>
        <v>LV</v>
      </c>
      <c r="K98">
        <f>IFERROR(INDEX(TableRBCalcPts[BYE],MATCH(TableRBRanks[[#This Row],[RK]],TableRBCalcPts[RK],0)),"")</f>
        <v>13</v>
      </c>
      <c r="L98" s="58">
        <f>IFERROR(INDEX(TableRBCalcPts[Custom],MATCH(TableRBRanks[[#This Row],[RK]],TableRBCalcPts[RK],0)),"")</f>
        <v>22.341095421120002</v>
      </c>
      <c r="M98" s="133">
        <f>(((VLOOKUP(TableRBRanks[[#This Row],[Player]],'OVR &amp; VORP Ranks'!$I:$M,5,FALSE)))/('OVR &amp; VORP Ranks'!$BM$6))*(Settings!$E$10*TEAMS)</f>
        <v>-36.48057273673399</v>
      </c>
      <c r="O98">
        <v>97</v>
      </c>
      <c r="P98" t="str">
        <f>IFERROR(INDEX(TableWRCalcPts[PLAYER],MATCH(TableWRRanks[[#This Row],[RK]],TableWRCalcPts[RK],0)),"")</f>
        <v>Josh Reynolds</v>
      </c>
      <c r="Q98" t="str">
        <f>IFERROR(INDEX(TableWRCalcPts[TM],MATCH(TableWRRanks[[#This Row],[RK]],TableWRCalcPts[RK],0)),"")</f>
        <v>DET</v>
      </c>
      <c r="R98">
        <f>IFERROR(INDEX(TableWRCalcPts[BYE],MATCH(TableWRRanks[[#This Row],[RK]],TableWRCalcPts[RK],0)),"")</f>
        <v>9</v>
      </c>
      <c r="S98" s="58">
        <f>IFERROR(INDEX(TableWRCalcPts[Custom],MATCH(TableWRRanks[[#This Row],[RK]],TableWRCalcPts[RK],0)),"")</f>
        <v>68.671312284847986</v>
      </c>
      <c r="T98" s="133">
        <f>(((VLOOKUP(TableWRRanks[[#This Row],[Player]],'OVR &amp; VORP Ranks'!$P:$T,5,FALSE)))/('OVR &amp; VORP Ranks'!$BM$6))*(Settings!$E$10*TEAMS)</f>
        <v>-21.1031183616828</v>
      </c>
      <c r="V98">
        <v>97</v>
      </c>
      <c r="W98" t="str">
        <f>IFERROR(INDEX(TableTECalcPts[PLAYER],MATCH(TableTERanks[[#This Row],[RK]],TableTECalcPts[RK],0)),"")</f>
        <v/>
      </c>
      <c r="X98" t="str">
        <f>IFERROR(INDEX(TableTECalcPts[TM],MATCH(TableTERanks[[#This Row],[RK]],TableTECalcPts[RK],0)),"")</f>
        <v/>
      </c>
      <c r="Y98" t="str">
        <f>IFERROR(INDEX(TableTECalcPts[BYE],MATCH(TableTERanks[[#This Row],[RK]],TableTECalcPts[RK],0)),"")</f>
        <v/>
      </c>
      <c r="Z98" s="58" t="str">
        <f>IFERROR(INDEX(TableTECalcPts[Custom],MATCH(TableTERanks[[#This Row],[RK]],TableTECalcPts[RK],0)),"")</f>
        <v/>
      </c>
      <c r="AA98" s="133" t="e">
        <f>(((VLOOKUP(TableTERanks[[#This Row],[Player]],'OVR &amp; VORP Ranks'!$W:$AA,5,FALSE)))/('OVR &amp; VORP Ranks'!$BM$6))*(Settings!$E$10*TEAMS)</f>
        <v>#VALUE!</v>
      </c>
    </row>
    <row r="99" spans="8:27" x14ac:dyDescent="0.2">
      <c r="H99">
        <v>98</v>
      </c>
      <c r="I99" t="str">
        <f>IFERROR(INDEX(TableRBCalcPts[PLAYER],MATCH(TableRBRanks[[#This Row],[RK]],TableRBCalcPts[RK],0)),"")</f>
        <v>Justice Hill</v>
      </c>
      <c r="J99" t="str">
        <f>IFERROR(INDEX(TableRBCalcPts[TM],MATCH(TableRBRanks[[#This Row],[RK]],TableRBCalcPts[RK],0)),"")</f>
        <v>BAL</v>
      </c>
      <c r="K99">
        <f>IFERROR(INDEX(TableRBCalcPts[BYE],MATCH(TableRBRanks[[#This Row],[RK]],TableRBCalcPts[RK],0)),"")</f>
        <v>13</v>
      </c>
      <c r="L99" s="58">
        <f>IFERROR(INDEX(TableRBCalcPts[Custom],MATCH(TableRBRanks[[#This Row],[RK]],TableRBCalcPts[RK],0)),"")</f>
        <v>21.261982117647044</v>
      </c>
      <c r="M99" s="133">
        <f>(((VLOOKUP(TableRBRanks[[#This Row],[Player]],'OVR &amp; VORP Ranks'!$I:$M,5,FALSE)))/('OVR &amp; VORP Ranks'!$BM$6))*(Settings!$E$10*TEAMS)</f>
        <v>-36.873760468572371</v>
      </c>
      <c r="O99">
        <v>98</v>
      </c>
      <c r="P99" t="str">
        <f>IFERROR(INDEX(TableWRCalcPts[PLAYER],MATCH(TableWRRanks[[#This Row],[RK]],TableWRCalcPts[RK],0)),"")</f>
        <v>Joshua Palmer</v>
      </c>
      <c r="Q99" t="str">
        <f>IFERROR(INDEX(TableWRCalcPts[TM],MATCH(TableWRRanks[[#This Row],[RK]],TableWRCalcPts[RK],0)),"")</f>
        <v>LAC</v>
      </c>
      <c r="R99">
        <f>IFERROR(INDEX(TableWRCalcPts[BYE],MATCH(TableWRRanks[[#This Row],[RK]],TableWRCalcPts[RK],0)),"")</f>
        <v>5</v>
      </c>
      <c r="S99" s="58">
        <f>IFERROR(INDEX(TableWRCalcPts[Custom],MATCH(TableWRRanks[[#This Row],[RK]],TableWRCalcPts[RK],0)),"")</f>
        <v>65.559330244799995</v>
      </c>
      <c r="T99" s="133">
        <f>(((VLOOKUP(TableWRRanks[[#This Row],[Player]],'OVR &amp; VORP Ranks'!$P:$T,5,FALSE)))/('OVR &amp; VORP Ranks'!$BM$6))*(Settings!$E$10*TEAMS)</f>
        <v>-22.168871290630644</v>
      </c>
      <c r="V99">
        <v>98</v>
      </c>
      <c r="W99" t="str">
        <f>IFERROR(INDEX(TableTECalcPts[PLAYER],MATCH(TableTERanks[[#This Row],[RK]],TableTECalcPts[RK],0)),"")</f>
        <v/>
      </c>
      <c r="X99" t="str">
        <f>IFERROR(INDEX(TableTECalcPts[TM],MATCH(TableTERanks[[#This Row],[RK]],TableTECalcPts[RK],0)),"")</f>
        <v/>
      </c>
      <c r="Y99" t="str">
        <f>IFERROR(INDEX(TableTECalcPts[BYE],MATCH(TableTERanks[[#This Row],[RK]],TableTECalcPts[RK],0)),"")</f>
        <v/>
      </c>
      <c r="Z99" s="58" t="str">
        <f>IFERROR(INDEX(TableTECalcPts[Custom],MATCH(TableTERanks[[#This Row],[RK]],TableTECalcPts[RK],0)),"")</f>
        <v/>
      </c>
      <c r="AA99" s="133" t="e">
        <f>(((VLOOKUP(TableTERanks[[#This Row],[Player]],'OVR &amp; VORP Ranks'!$W:$AA,5,FALSE)))/('OVR &amp; VORP Ranks'!$BM$6))*(Settings!$E$10*TEAMS)</f>
        <v>#VALUE!</v>
      </c>
    </row>
    <row r="100" spans="8:27" x14ac:dyDescent="0.2">
      <c r="H100">
        <v>99</v>
      </c>
      <c r="I100" t="str">
        <f>IFERROR(INDEX(TableRBCalcPts[PLAYER],MATCH(TableRBRanks[[#This Row],[RK]],TableRBCalcPts[RK],0)),"")</f>
        <v>Ke'Shawn Vaughn</v>
      </c>
      <c r="J100" t="str">
        <f>IFERROR(INDEX(TableRBCalcPts[TM],MATCH(TableRBRanks[[#This Row],[RK]],TableRBCalcPts[RK],0)),"")</f>
        <v>TB</v>
      </c>
      <c r="K100">
        <f>IFERROR(INDEX(TableRBCalcPts[BYE],MATCH(TableRBRanks[[#This Row],[RK]],TableRBCalcPts[RK],0)),"")</f>
        <v>5</v>
      </c>
      <c r="L100" s="58">
        <f>IFERROR(INDEX(TableRBCalcPts[Custom],MATCH(TableRBRanks[[#This Row],[RK]],TableRBCalcPts[RK],0)),"")</f>
        <v>20.166868055698529</v>
      </c>
      <c r="M100" s="133">
        <f>(((VLOOKUP(TableRBRanks[[#This Row],[Player]],'OVR &amp; VORP Ranks'!$I:$M,5,FALSE)))/('OVR &amp; VORP Ranks'!$BM$6))*(Settings!$E$10*TEAMS)</f>
        <v>-37.272778266551583</v>
      </c>
      <c r="O100">
        <v>99</v>
      </c>
      <c r="P100" t="str">
        <f>IFERROR(INDEX(TableWRCalcPts[PLAYER],MATCH(TableWRRanks[[#This Row],[RK]],TableWRCalcPts[RK],0)),"")</f>
        <v>Tutu Atwell</v>
      </c>
      <c r="Q100" t="str">
        <f>IFERROR(INDEX(TableWRCalcPts[TM],MATCH(TableWRRanks[[#This Row],[RK]],TableWRCalcPts[RK],0)),"")</f>
        <v>LAR</v>
      </c>
      <c r="R100">
        <f>IFERROR(INDEX(TableWRCalcPts[BYE],MATCH(TableWRRanks[[#This Row],[RK]],TableWRCalcPts[RK],0)),"")</f>
        <v>10</v>
      </c>
      <c r="S100" s="58">
        <f>IFERROR(INDEX(TableWRCalcPts[Custom],MATCH(TableWRRanks[[#This Row],[RK]],TableWRCalcPts[RK],0)),"")</f>
        <v>64.322349932332799</v>
      </c>
      <c r="T100" s="133">
        <f>(((VLOOKUP(TableWRRanks[[#This Row],[Player]],'OVR &amp; VORP Ranks'!$P:$T,5,FALSE)))/('OVR &amp; VORP Ranks'!$BM$6))*(Settings!$E$10*TEAMS)</f>
        <v>-22.592496933098172</v>
      </c>
      <c r="V100">
        <v>99</v>
      </c>
      <c r="W100" t="str">
        <f>IFERROR(INDEX(TableTECalcPts[PLAYER],MATCH(TableTERanks[[#This Row],[RK]],TableTECalcPts[RK],0)),"")</f>
        <v/>
      </c>
      <c r="X100" t="str">
        <f>IFERROR(INDEX(TableTECalcPts[TM],MATCH(TableTERanks[[#This Row],[RK]],TableTECalcPts[RK],0)),"")</f>
        <v/>
      </c>
      <c r="Y100" t="str">
        <f>IFERROR(INDEX(TableTECalcPts[BYE],MATCH(TableTERanks[[#This Row],[RK]],TableTECalcPts[RK],0)),"")</f>
        <v/>
      </c>
      <c r="Z100" s="58" t="str">
        <f>IFERROR(INDEX(TableTECalcPts[Custom],MATCH(TableTERanks[[#This Row],[RK]],TableTECalcPts[RK],0)),"")</f>
        <v/>
      </c>
      <c r="AA100" s="133" t="e">
        <f>(((VLOOKUP(TableTERanks[[#This Row],[Player]],'OVR &amp; VORP Ranks'!$W:$AA,5,FALSE)))/('OVR &amp; VORP Ranks'!$BM$6))*(Settings!$E$10*TEAMS)</f>
        <v>#VALUE!</v>
      </c>
    </row>
    <row r="101" spans="8:27" x14ac:dyDescent="0.2">
      <c r="H101">
        <v>100</v>
      </c>
      <c r="I101" t="str">
        <f>IFERROR(INDEX(TableRBCalcPts[PLAYER],MATCH(TableRBRanks[[#This Row],[RK]],TableRBCalcPts[RK],0)),"")</f>
        <v>Tyrion Davis-Price</v>
      </c>
      <c r="J101" t="str">
        <f>IFERROR(INDEX(TableRBCalcPts[TM],MATCH(TableRBRanks[[#This Row],[RK]],TableRBCalcPts[RK],0)),"")</f>
        <v>SF</v>
      </c>
      <c r="K101">
        <f>IFERROR(INDEX(TableRBCalcPts[BYE],MATCH(TableRBRanks[[#This Row],[RK]],TableRBCalcPts[RK],0)),"")</f>
        <v>9</v>
      </c>
      <c r="L101" s="58">
        <f>IFERROR(INDEX(TableRBCalcPts[Custom],MATCH(TableRBRanks[[#This Row],[RK]],TableRBCalcPts[RK],0)),"")</f>
        <v>18.938193866605488</v>
      </c>
      <c r="M101" s="133">
        <f>(((VLOOKUP(TableRBRanks[[#This Row],[Player]],'OVR &amp; VORP Ranks'!$I:$M,5,FALSE)))/('OVR &amp; VORP Ranks'!$BM$6))*(Settings!$E$10*TEAMS)</f>
        <v>-37.720460281056518</v>
      </c>
      <c r="O101">
        <v>100</v>
      </c>
      <c r="P101" t="str">
        <f>IFERROR(INDEX(TableWRCalcPts[PLAYER],MATCH(TableWRRanks[[#This Row],[RK]],TableWRCalcPts[RK],0)),"")</f>
        <v>Trent Sherfield</v>
      </c>
      <c r="Q101" t="str">
        <f>IFERROR(INDEX(TableWRCalcPts[TM],MATCH(TableWRRanks[[#This Row],[RK]],TableWRCalcPts[RK],0)),"")</f>
        <v>BUF</v>
      </c>
      <c r="R101">
        <f>IFERROR(INDEX(TableWRCalcPts[BYE],MATCH(TableWRRanks[[#This Row],[RK]],TableWRCalcPts[RK],0)),"")</f>
        <v>13</v>
      </c>
      <c r="S101" s="58">
        <f>IFERROR(INDEX(TableWRCalcPts[Custom],MATCH(TableWRRanks[[#This Row],[RK]],TableWRCalcPts[RK],0)),"")</f>
        <v>59.836018948557339</v>
      </c>
      <c r="T101" s="133">
        <f>(((VLOOKUP(TableWRRanks[[#This Row],[Player]],'OVR &amp; VORP Ranks'!$P:$T,5,FALSE)))/('OVR &amp; VORP Ranks'!$BM$6))*(Settings!$E$10*TEAMS)</f>
        <v>-24.128919805935329</v>
      </c>
      <c r="V101">
        <v>100</v>
      </c>
      <c r="W101" t="str">
        <f>IFERROR(INDEX(TableTECalcPts[PLAYER],MATCH(TableTERanks[[#This Row],[RK]],TableTECalcPts[RK],0)),"")</f>
        <v/>
      </c>
      <c r="X101" t="str">
        <f>IFERROR(INDEX(TableTECalcPts[TM],MATCH(TableTERanks[[#This Row],[RK]],TableTECalcPts[RK],0)),"")</f>
        <v/>
      </c>
      <c r="Y101" t="str">
        <f>IFERROR(INDEX(TableTECalcPts[BYE],MATCH(TableTERanks[[#This Row],[RK]],TableTECalcPts[RK],0)),"")</f>
        <v/>
      </c>
      <c r="Z101" s="58" t="str">
        <f>IFERROR(INDEX(TableTECalcPts[Custom],MATCH(TableTERanks[[#This Row],[RK]],TableTECalcPts[RK],0)),"")</f>
        <v/>
      </c>
      <c r="AA101" s="133" t="e">
        <f>(((VLOOKUP(TableTERanks[[#This Row],[Player]],'OVR &amp; VORP Ranks'!$W:$AA,5,FALSE)))/('OVR &amp; VORP Ranks'!$BM$6))*(Settings!$E$10*TEAMS)</f>
        <v>#VALUE!</v>
      </c>
    </row>
    <row r="102" spans="8:27" x14ac:dyDescent="0.2">
      <c r="H102">
        <v>101</v>
      </c>
      <c r="I102" t="str">
        <f>IFERROR(INDEX(TableRBCalcPts[PLAYER],MATCH(TableRBRanks[[#This Row],[RK]],TableRBCalcPts[RK],0)),"")</f>
        <v>D'Ernest Johnson</v>
      </c>
      <c r="J102" t="str">
        <f>IFERROR(INDEX(TableRBCalcPts[TM],MATCH(TableRBRanks[[#This Row],[RK]],TableRBCalcPts[RK],0)),"")</f>
        <v>JAX</v>
      </c>
      <c r="K102">
        <f>IFERROR(INDEX(TableRBCalcPts[BYE],MATCH(TableRBRanks[[#This Row],[RK]],TableRBCalcPts[RK],0)),"")</f>
        <v>9</v>
      </c>
      <c r="L102" s="58">
        <f>IFERROR(INDEX(TableRBCalcPts[Custom],MATCH(TableRBRanks[[#This Row],[RK]],TableRBCalcPts[RK],0)),"")</f>
        <v>18.497819995829275</v>
      </c>
      <c r="M102" s="133">
        <f>(((VLOOKUP(TableRBRanks[[#This Row],[Player]],'OVR &amp; VORP Ranks'!$I:$M,5,FALSE)))/('OVR &amp; VORP Ranks'!$BM$6))*(Settings!$E$10*TEAMS)</f>
        <v>-37.880915724293232</v>
      </c>
      <c r="O102">
        <v>101</v>
      </c>
      <c r="P102" t="str">
        <f>IFERROR(INDEX(TableWRCalcPts[PLAYER],MATCH(TableWRRanks[[#This Row],[RK]],TableWRCalcPts[RK],0)),"")</f>
        <v>Tank Dell</v>
      </c>
      <c r="Q102" t="str">
        <f>IFERROR(INDEX(TableWRCalcPts[TM],MATCH(TableWRRanks[[#This Row],[RK]],TableWRCalcPts[RK],0)),"")</f>
        <v>HOU</v>
      </c>
      <c r="R102">
        <f>IFERROR(INDEX(TableWRCalcPts[BYE],MATCH(TableWRRanks[[#This Row],[RK]],TableWRCalcPts[RK],0)),"")</f>
        <v>7</v>
      </c>
      <c r="S102" s="58">
        <f>IFERROR(INDEX(TableWRCalcPts[Custom],MATCH(TableWRRanks[[#This Row],[RK]],TableWRCalcPts[RK],0)),"")</f>
        <v>59.210008222847328</v>
      </c>
      <c r="T102" s="133">
        <f>(((VLOOKUP(TableWRRanks[[#This Row],[Player]],'OVR &amp; VORP Ranks'!$P:$T,5,FALSE)))/('OVR &amp; VORP Ranks'!$BM$6))*(Settings!$E$10*TEAMS)</f>
        <v>-24.343308178327071</v>
      </c>
    </row>
    <row r="103" spans="8:27" x14ac:dyDescent="0.2">
      <c r="H103">
        <v>102</v>
      </c>
      <c r="I103" t="str">
        <f>IFERROR(INDEX(TableRBCalcPts[PLAYER],MATCH(TableRBRanks[[#This Row],[RK]],TableRBCalcPts[RK],0)),"")</f>
        <v>Boston Scott</v>
      </c>
      <c r="J103" t="str">
        <f>IFERROR(INDEX(TableRBCalcPts[TM],MATCH(TableRBRanks[[#This Row],[RK]],TableRBCalcPts[RK],0)),"")</f>
        <v>PHI</v>
      </c>
      <c r="K103">
        <f>IFERROR(INDEX(TableRBCalcPts[BYE],MATCH(TableRBRanks[[#This Row],[RK]],TableRBCalcPts[RK],0)),"")</f>
        <v>10</v>
      </c>
      <c r="L103" s="58">
        <f>IFERROR(INDEX(TableRBCalcPts[Custom],MATCH(TableRBRanks[[#This Row],[RK]],TableRBCalcPts[RK],0)),"")</f>
        <v>17.987356251254003</v>
      </c>
      <c r="M103" s="133">
        <f>(((VLOOKUP(TableRBRanks[[#This Row],[Player]],'OVR &amp; VORP Ranks'!$I:$M,5,FALSE)))/('OVR &amp; VORP Ranks'!$BM$6))*(Settings!$E$10*TEAMS)</f>
        <v>-38.06690924440769</v>
      </c>
      <c r="O103">
        <v>102</v>
      </c>
      <c r="P103" t="str">
        <f>IFERROR(INDEX(TableWRCalcPts[PLAYER],MATCH(TableWRRanks[[#This Row],[RK]],TableWRCalcPts[RK],0)),"")</f>
        <v>Cedrick Wilson</v>
      </c>
      <c r="Q103" t="str">
        <f>IFERROR(INDEX(TableWRCalcPts[TM],MATCH(TableWRRanks[[#This Row],[RK]],TableWRCalcPts[RK],0)),"")</f>
        <v>MIA</v>
      </c>
      <c r="R103">
        <f>IFERROR(INDEX(TableWRCalcPts[BYE],MATCH(TableWRRanks[[#This Row],[RK]],TableWRCalcPts[RK],0)),"")</f>
        <v>10</v>
      </c>
      <c r="S103" s="58">
        <f>IFERROR(INDEX(TableWRCalcPts[Custom],MATCH(TableWRRanks[[#This Row],[RK]],TableWRCalcPts[RK],0)),"")</f>
        <v>59.155899982718687</v>
      </c>
      <c r="T103" s="133">
        <f>(((VLOOKUP(TableWRRanks[[#This Row],[Player]],'OVR &amp; VORP Ranks'!$P:$T,5,FALSE)))/('OVR &amp; VORP Ranks'!$BM$6))*(Settings!$E$10*TEAMS)</f>
        <v>-24.361838495872352</v>
      </c>
    </row>
    <row r="104" spans="8:27" x14ac:dyDescent="0.2">
      <c r="H104">
        <v>103</v>
      </c>
      <c r="I104" t="str">
        <f>IFERROR(INDEX(TableRBCalcPts[PLAYER],MATCH(TableRBRanks[[#This Row],[RK]],TableRBCalcPts[RK],0)),"")</f>
        <v>Mike Boone</v>
      </c>
      <c r="J104" t="str">
        <f>IFERROR(INDEX(TableRBCalcPts[TM],MATCH(TableRBRanks[[#This Row],[RK]],TableRBCalcPts[RK],0)),"")</f>
        <v>HOU</v>
      </c>
      <c r="K104">
        <f>IFERROR(INDEX(TableRBCalcPts[BYE],MATCH(TableRBRanks[[#This Row],[RK]],TableRBCalcPts[RK],0)),"")</f>
        <v>7</v>
      </c>
      <c r="L104" s="58">
        <f>IFERROR(INDEX(TableRBCalcPts[Custom],MATCH(TableRBRanks[[#This Row],[RK]],TableRBCalcPts[RK],0)),"")</f>
        <v>17.144728206274554</v>
      </c>
      <c r="M104" s="133">
        <f>(((VLOOKUP(TableRBRanks[[#This Row],[Player]],'OVR &amp; VORP Ranks'!$I:$M,5,FALSE)))/('OVR &amp; VORP Ranks'!$BM$6))*(Settings!$E$10*TEAMS)</f>
        <v>-38.373930767284492</v>
      </c>
      <c r="O104">
        <v>103</v>
      </c>
      <c r="P104" t="str">
        <f>IFERROR(INDEX(TableWRCalcPts[PLAYER],MATCH(TableWRRanks[[#This Row],[RK]],TableWRCalcPts[RK],0)),"")</f>
        <v>Wan'Dale Robinson</v>
      </c>
      <c r="Q104" t="str">
        <f>IFERROR(INDEX(TableWRCalcPts[TM],MATCH(TableWRRanks[[#This Row],[RK]],TableWRCalcPts[RK],0)),"")</f>
        <v>NYG</v>
      </c>
      <c r="R104">
        <f>IFERROR(INDEX(TableWRCalcPts[BYE],MATCH(TableWRRanks[[#This Row],[RK]],TableWRCalcPts[RK],0)),"")</f>
        <v>13</v>
      </c>
      <c r="S104" s="58">
        <f>IFERROR(INDEX(TableWRCalcPts[Custom],MATCH(TableWRRanks[[#This Row],[RK]],TableWRCalcPts[RK],0)),"")</f>
        <v>57.776482817212141</v>
      </c>
      <c r="T104" s="133">
        <f>(((VLOOKUP(TableWRRanks[[#This Row],[Player]],'OVR &amp; VORP Ranks'!$P:$T,5,FALSE)))/('OVR &amp; VORP Ranks'!$BM$6))*(Settings!$E$10*TEAMS)</f>
        <v>-24.834244141361513</v>
      </c>
    </row>
    <row r="105" spans="8:27" x14ac:dyDescent="0.2">
      <c r="H105">
        <v>104</v>
      </c>
      <c r="I105" t="str">
        <f>IFERROR(INDEX(TableRBCalcPts[PLAYER],MATCH(TableRBRanks[[#This Row],[RK]],TableRBCalcPts[RK],0)),"")</f>
        <v>DeeJay Dallas</v>
      </c>
      <c r="J105" t="str">
        <f>IFERROR(INDEX(TableRBCalcPts[TM],MATCH(TableRBRanks[[#This Row],[RK]],TableRBCalcPts[RK],0)),"")</f>
        <v>SEA</v>
      </c>
      <c r="K105">
        <f>IFERROR(INDEX(TableRBCalcPts[BYE],MATCH(TableRBRanks[[#This Row],[RK]],TableRBCalcPts[RK],0)),"")</f>
        <v>5</v>
      </c>
      <c r="L105" s="58">
        <f>IFERROR(INDEX(TableRBCalcPts[Custom],MATCH(TableRBRanks[[#This Row],[RK]],TableRBCalcPts[RK],0)),"")</f>
        <v>16.264619323451843</v>
      </c>
      <c r="M105" s="133">
        <f>(((VLOOKUP(TableRBRanks[[#This Row],[Player]],'OVR &amp; VORP Ranks'!$I:$M,5,FALSE)))/('OVR &amp; VORP Ranks'!$BM$6))*(Settings!$E$10*TEAMS)</f>
        <v>-38.694608878002029</v>
      </c>
      <c r="O105">
        <v>104</v>
      </c>
      <c r="P105" t="str">
        <f>IFERROR(INDEX(TableWRCalcPts[PLAYER],MATCH(TableWRRanks[[#This Row],[RK]],TableWRCalcPts[RK],0)),"")</f>
        <v>Rashee Rice</v>
      </c>
      <c r="Q105" t="str">
        <f>IFERROR(INDEX(TableWRCalcPts[TM],MATCH(TableWRRanks[[#This Row],[RK]],TableWRCalcPts[RK],0)),"")</f>
        <v>KC</v>
      </c>
      <c r="R105">
        <f>IFERROR(INDEX(TableWRCalcPts[BYE],MATCH(TableWRRanks[[#This Row],[RK]],TableWRCalcPts[RK],0)),"")</f>
        <v>10</v>
      </c>
      <c r="S105" s="58">
        <f>IFERROR(INDEX(TableWRCalcPts[Custom],MATCH(TableWRRanks[[#This Row],[RK]],TableWRCalcPts[RK],0)),"")</f>
        <v>56.831704490872688</v>
      </c>
      <c r="T105" s="133">
        <f>(((VLOOKUP(TableWRRanks[[#This Row],[Player]],'OVR &amp; VORP Ranks'!$P:$T,5,FALSE)))/('OVR &amp; VORP Ranks'!$BM$6))*(Settings!$E$10*TEAMS)</f>
        <v>-25.157800079520847</v>
      </c>
    </row>
    <row r="106" spans="8:27" x14ac:dyDescent="0.2">
      <c r="H106">
        <v>105</v>
      </c>
      <c r="I106" t="str">
        <f>IFERROR(INDEX(TableRBCalcPts[PLAYER],MATCH(TableRBRanks[[#This Row],[RK]],TableRBCalcPts[RK],0)),"")</f>
        <v>Emanuel Wilson</v>
      </c>
      <c r="J106" t="str">
        <f>IFERROR(INDEX(TableRBCalcPts[TM],MATCH(TableRBRanks[[#This Row],[RK]],TableRBCalcPts[RK],0)),"")</f>
        <v>GB</v>
      </c>
      <c r="K106">
        <f>IFERROR(INDEX(TableRBCalcPts[BYE],MATCH(TableRBRanks[[#This Row],[RK]],TableRBCalcPts[RK],0)),"")</f>
        <v>6</v>
      </c>
      <c r="L106" s="58">
        <f>IFERROR(INDEX(TableRBCalcPts[Custom],MATCH(TableRBRanks[[#This Row],[RK]],TableRBCalcPts[RK],0)),"")</f>
        <v>15.557680466451197</v>
      </c>
      <c r="M106" s="133">
        <f>(((VLOOKUP(TableRBRanks[[#This Row],[Player]],'OVR &amp; VORP Ranks'!$I:$M,5,FALSE)))/('OVR &amp; VORP Ranks'!$BM$6))*(Settings!$E$10*TEAMS)</f>
        <v>-38.952190435784637</v>
      </c>
      <c r="O106">
        <v>105</v>
      </c>
      <c r="P106" t="str">
        <f>IFERROR(INDEX(TableWRCalcPts[PLAYER],MATCH(TableWRRanks[[#This Row],[RK]],TableWRCalcPts[RK],0)),"")</f>
        <v>Deonte Harty</v>
      </c>
      <c r="Q106" t="str">
        <f>IFERROR(INDEX(TableWRCalcPts[TM],MATCH(TableWRRanks[[#This Row],[RK]],TableWRCalcPts[RK],0)),"")</f>
        <v>BUF</v>
      </c>
      <c r="R106">
        <f>IFERROR(INDEX(TableWRCalcPts[BYE],MATCH(TableWRRanks[[#This Row],[RK]],TableWRCalcPts[RK],0)),"")</f>
        <v>13</v>
      </c>
      <c r="S106" s="58">
        <f>IFERROR(INDEX(TableWRCalcPts[Custom],MATCH(TableWRRanks[[#This Row],[RK]],TableWRCalcPts[RK],0)),"")</f>
        <v>56.822667667156409</v>
      </c>
      <c r="T106" s="133">
        <f>(((VLOOKUP(TableWRRanks[[#This Row],[Player]],'OVR &amp; VORP Ranks'!$P:$T,5,FALSE)))/('OVR &amp; VORP Ranks'!$BM$6))*(Settings!$E$10*TEAMS)</f>
        <v>-25.160894898584729</v>
      </c>
    </row>
    <row r="107" spans="8:27" x14ac:dyDescent="0.2">
      <c r="H107">
        <v>106</v>
      </c>
      <c r="I107" t="str">
        <f>IFERROR(INDEX(TableRBCalcPts[PLAYER],MATCH(TableRBRanks[[#This Row],[RK]],TableRBCalcPts[RK],0)),"")</f>
        <v>Anthony McFarland</v>
      </c>
      <c r="J107" t="str">
        <f>IFERROR(INDEX(TableRBCalcPts[TM],MATCH(TableRBRanks[[#This Row],[RK]],TableRBCalcPts[RK],0)),"")</f>
        <v>PIT</v>
      </c>
      <c r="K107">
        <f>IFERROR(INDEX(TableRBCalcPts[BYE],MATCH(TableRBRanks[[#This Row],[RK]],TableRBCalcPts[RK],0)),"")</f>
        <v>6</v>
      </c>
      <c r="L107" s="58">
        <f>IFERROR(INDEX(TableRBCalcPts[Custom],MATCH(TableRBRanks[[#This Row],[RK]],TableRBCalcPts[RK],0)),"")</f>
        <v>13.276669736399999</v>
      </c>
      <c r="M107" s="133">
        <f>(((VLOOKUP(TableRBRanks[[#This Row],[Player]],'OVR &amp; VORP Ranks'!$I:$M,5,FALSE)))/('OVR &amp; VORP Ranks'!$BM$6))*(Settings!$E$10*TEAMS)</f>
        <v>-39.783303751097698</v>
      </c>
      <c r="O107">
        <v>106</v>
      </c>
      <c r="P107" t="str">
        <f>IFERROR(INDEX(TableWRCalcPts[PLAYER],MATCH(TableWRRanks[[#This Row],[RK]],TableWRCalcPts[RK],0)),"")</f>
        <v>Braxton Berrios</v>
      </c>
      <c r="Q107" t="str">
        <f>IFERROR(INDEX(TableWRCalcPts[TM],MATCH(TableWRRanks[[#This Row],[RK]],TableWRCalcPts[RK],0)),"")</f>
        <v>MIA</v>
      </c>
      <c r="R107">
        <f>IFERROR(INDEX(TableWRCalcPts[BYE],MATCH(TableWRRanks[[#This Row],[RK]],TableWRCalcPts[RK],0)),"")</f>
        <v>10</v>
      </c>
      <c r="S107" s="58">
        <f>IFERROR(INDEX(TableWRCalcPts[Custom],MATCH(TableWRRanks[[#This Row],[RK]],TableWRCalcPts[RK],0)),"")</f>
        <v>56.686699079863281</v>
      </c>
      <c r="T107" s="133">
        <f>(((VLOOKUP(TableWRRanks[[#This Row],[Player]],'OVR &amp; VORP Ranks'!$P:$T,5,FALSE)))/('OVR &amp; VORP Ranks'!$BM$6))*(Settings!$E$10*TEAMS)</f>
        <v>-25.207459730350376</v>
      </c>
    </row>
    <row r="108" spans="8:27" x14ac:dyDescent="0.2">
      <c r="H108">
        <v>107</v>
      </c>
      <c r="I108" t="str">
        <f>IFERROR(INDEX(TableRBCalcPts[PLAYER],MATCH(TableRBRanks[[#This Row],[RK]],TableRBCalcPts[RK],0)),"")</f>
        <v>Emari Demercado</v>
      </c>
      <c r="J108" t="str">
        <f>IFERROR(INDEX(TableRBCalcPts[TM],MATCH(TableRBRanks[[#This Row],[RK]],TableRBCalcPts[RK],0)),"")</f>
        <v>ARI</v>
      </c>
      <c r="K108">
        <f>IFERROR(INDEX(TableRBCalcPts[BYE],MATCH(TableRBRanks[[#This Row],[RK]],TableRBCalcPts[RK],0)),"")</f>
        <v>14</v>
      </c>
      <c r="L108" s="58">
        <f>IFERROR(INDEX(TableRBCalcPts[Custom],MATCH(TableRBRanks[[#This Row],[RK]],TableRBCalcPts[RK],0)),"")</f>
        <v>12.285711469569369</v>
      </c>
      <c r="M108" s="133">
        <f>(((VLOOKUP(TableRBRanks[[#This Row],[Player]],'OVR &amp; VORP Ranks'!$I:$M,5,FALSE)))/('OVR &amp; VORP Ranks'!$BM$6))*(Settings!$E$10*TEAMS)</f>
        <v>-40.144371149699552</v>
      </c>
      <c r="O108">
        <v>107</v>
      </c>
      <c r="P108" t="str">
        <f>IFERROR(INDEX(TableWRCalcPts[PLAYER],MATCH(TableWRRanks[[#This Row],[RK]],TableWRCalcPts[RK],0)),"")</f>
        <v>Ben Skowronek</v>
      </c>
      <c r="Q108" t="str">
        <f>IFERROR(INDEX(TableWRCalcPts[TM],MATCH(TableWRRanks[[#This Row],[RK]],TableWRCalcPts[RK],0)),"")</f>
        <v>LAR</v>
      </c>
      <c r="R108">
        <f>IFERROR(INDEX(TableWRCalcPts[BYE],MATCH(TableWRRanks[[#This Row],[RK]],TableWRCalcPts[RK],0)),"")</f>
        <v>10</v>
      </c>
      <c r="S108" s="58">
        <f>IFERROR(INDEX(TableWRCalcPts[Custom],MATCH(TableWRRanks[[#This Row],[RK]],TableWRCalcPts[RK],0)),"")</f>
        <v>55.2630857895698</v>
      </c>
      <c r="T108" s="133">
        <f>(((VLOOKUP(TableWRRanks[[#This Row],[Player]],'OVR &amp; VORP Ranks'!$P:$T,5,FALSE)))/('OVR &amp; VORP Ranks'!$BM$6))*(Settings!$E$10*TEAMS)</f>
        <v>-25.695001115324427</v>
      </c>
    </row>
    <row r="109" spans="8:27" x14ac:dyDescent="0.2">
      <c r="H109">
        <v>108</v>
      </c>
      <c r="I109" t="str">
        <f>IFERROR(INDEX(TableRBCalcPts[PLAYER],MATCH(TableRBRanks[[#This Row],[RK]],TableRBCalcPts[RK],0)),"")</f>
        <v>Israel Abanikanda</v>
      </c>
      <c r="J109" t="str">
        <f>IFERROR(INDEX(TableRBCalcPts[TM],MATCH(TableRBRanks[[#This Row],[RK]],TableRBCalcPts[RK],0)),"")</f>
        <v>NYJ</v>
      </c>
      <c r="K109">
        <f>IFERROR(INDEX(TableRBCalcPts[BYE],MATCH(TableRBRanks[[#This Row],[RK]],TableRBCalcPts[RK],0)),"")</f>
        <v>7</v>
      </c>
      <c r="L109" s="58">
        <f>IFERROR(INDEX(TableRBCalcPts[Custom],MATCH(TableRBRanks[[#This Row],[RK]],TableRBCalcPts[RK],0)),"")</f>
        <v>11.350663613972769</v>
      </c>
      <c r="M109" s="133">
        <f>(((VLOOKUP(TableRBRanks[[#This Row],[Player]],'OVR &amp; VORP Ranks'!$I:$M,5,FALSE)))/('OVR &amp; VORP Ranks'!$BM$6))*(Settings!$E$10*TEAMS)</f>
        <v>-40.485066926796492</v>
      </c>
      <c r="O109">
        <v>108</v>
      </c>
      <c r="P109" t="str">
        <f>IFERROR(INDEX(TableWRCalcPts[PLAYER],MATCH(TableWRRanks[[#This Row],[RK]],TableWRCalcPts[RK],0)),"")</f>
        <v>Richie James</v>
      </c>
      <c r="Q109" t="str">
        <f>IFERROR(INDEX(TableWRCalcPts[TM],MATCH(TableWRRanks[[#This Row],[RK]],TableWRCalcPts[RK],0)),"")</f>
        <v>KC</v>
      </c>
      <c r="R109">
        <f>IFERROR(INDEX(TableWRCalcPts[BYE],MATCH(TableWRRanks[[#This Row],[RK]],TableWRCalcPts[RK],0)),"")</f>
        <v>10</v>
      </c>
      <c r="S109" s="58">
        <f>IFERROR(INDEX(TableWRCalcPts[Custom],MATCH(TableWRRanks[[#This Row],[RK]],TableWRCalcPts[RK],0)),"")</f>
        <v>54.595342488959986</v>
      </c>
      <c r="T109" s="133">
        <f>(((VLOOKUP(TableWRRanks[[#This Row],[Player]],'OVR &amp; VORP Ranks'!$P:$T,5,FALSE)))/('OVR &amp; VORP Ranks'!$BM$6))*(Settings!$E$10*TEAMS)</f>
        <v>-25.923681541256201</v>
      </c>
    </row>
    <row r="110" spans="8:27" x14ac:dyDescent="0.2">
      <c r="H110">
        <v>109</v>
      </c>
      <c r="I110" t="str">
        <f>IFERROR(INDEX(TableRBCalcPts[PLAYER],MATCH(TableRBRanks[[#This Row],[RK]],TableRBCalcPts[RK],0)),"")</f>
        <v>Craig Reynolds</v>
      </c>
      <c r="J110" t="str">
        <f>IFERROR(INDEX(TableRBCalcPts[TM],MATCH(TableRBRanks[[#This Row],[RK]],TableRBCalcPts[RK],0)),"")</f>
        <v>DET</v>
      </c>
      <c r="K110">
        <f>IFERROR(INDEX(TableRBCalcPts[BYE],MATCH(TableRBRanks[[#This Row],[RK]],TableRBCalcPts[RK],0)),"")</f>
        <v>9</v>
      </c>
      <c r="L110" s="58">
        <f>IFERROR(INDEX(TableRBCalcPts[Custom],MATCH(TableRBRanks[[#This Row],[RK]],TableRBCalcPts[RK],0)),"")</f>
        <v>5.6978088279839989</v>
      </c>
      <c r="M110" s="133">
        <f>(((VLOOKUP(TableRBRanks[[#This Row],[Player]],'OVR &amp; VORP Ranks'!$I:$M,5,FALSE)))/('OVR &amp; VORP Ranks'!$BM$6))*(Settings!$E$10*TEAMS)</f>
        <v>-42.544751618442362</v>
      </c>
      <c r="O110">
        <v>109</v>
      </c>
      <c r="P110" t="str">
        <f>IFERROR(INDEX(TableWRCalcPts[PLAYER],MATCH(TableWRRanks[[#This Row],[RK]],TableWRCalcPts[RK],0)),"")</f>
        <v>Kayshon Boutte</v>
      </c>
      <c r="Q110" t="str">
        <f>IFERROR(INDEX(TableWRCalcPts[TM],MATCH(TableWRRanks[[#This Row],[RK]],TableWRCalcPts[RK],0)),"")</f>
        <v>NE</v>
      </c>
      <c r="R110">
        <f>IFERROR(INDEX(TableWRCalcPts[BYE],MATCH(TableWRRanks[[#This Row],[RK]],TableWRCalcPts[RK],0)),"")</f>
        <v>11</v>
      </c>
      <c r="S110" s="58">
        <f>IFERROR(INDEX(TableWRCalcPts[Custom],MATCH(TableWRRanks[[#This Row],[RK]],TableWRCalcPts[RK],0)),"")</f>
        <v>47.181509120148462</v>
      </c>
      <c r="T110" s="133">
        <f>(((VLOOKUP(TableWRRanks[[#This Row],[Player]],'OVR &amp; VORP Ranks'!$P:$T,5,FALSE)))/('OVR &amp; VORP Ranks'!$BM$6))*(Settings!$E$10*TEAMS)</f>
        <v>-28.462679043767597</v>
      </c>
    </row>
    <row r="111" spans="8:27" x14ac:dyDescent="0.2">
      <c r="H111">
        <v>110</v>
      </c>
      <c r="I111" t="str">
        <f>IFERROR(INDEX(TableRBCalcPts[PLAYER],MATCH(TableRBRanks[[#This Row],[RK]],TableRBCalcPts[RK],0)),"")</f>
        <v>Myles Gaskin</v>
      </c>
      <c r="J111" t="str">
        <f>IFERROR(INDEX(TableRBCalcPts[TM],MATCH(TableRBRanks[[#This Row],[RK]],TableRBCalcPts[RK],0)),"")</f>
        <v>MIN</v>
      </c>
      <c r="K111">
        <f>IFERROR(INDEX(TableRBCalcPts[BYE],MATCH(TableRBRanks[[#This Row],[RK]],TableRBCalcPts[RK],0)),"")</f>
        <v>13</v>
      </c>
      <c r="L111" s="58">
        <f>IFERROR(INDEX(TableRBCalcPts[Custom],MATCH(TableRBRanks[[#This Row],[RK]],TableRBCalcPts[RK],0)),"")</f>
        <v>0</v>
      </c>
      <c r="M111" s="133">
        <f>(((VLOOKUP(TableRBRanks[[#This Row],[Player]],'OVR &amp; VORP Ranks'!$I:$M,5,FALSE)))/('OVR &amp; VORP Ranks'!$BM$6))*(Settings!$E$10*TEAMS)</f>
        <v>-44.620815848503895</v>
      </c>
      <c r="O111">
        <v>110</v>
      </c>
      <c r="P111" t="str">
        <f>IFERROR(INDEX(TableWRCalcPts[PLAYER],MATCH(TableWRRanks[[#This Row],[RK]],TableWRCalcPts[RK],0)),"")</f>
        <v>KhaDarel Hodge</v>
      </c>
      <c r="Q111" t="str">
        <f>IFERROR(INDEX(TableWRCalcPts[TM],MATCH(TableWRRanks[[#This Row],[RK]],TableWRCalcPts[RK],0)),"")</f>
        <v>ATL</v>
      </c>
      <c r="R111">
        <f>IFERROR(INDEX(TableWRCalcPts[BYE],MATCH(TableWRRanks[[#This Row],[RK]],TableWRCalcPts[RK],0)),"")</f>
        <v>11</v>
      </c>
      <c r="S111" s="58">
        <f>IFERROR(INDEX(TableWRCalcPts[Custom],MATCH(TableWRRanks[[#This Row],[RK]],TableWRCalcPts[RK],0)),"")</f>
        <v>46.12868847008707</v>
      </c>
      <c r="T111" s="133">
        <f>(((VLOOKUP(TableWRRanks[[#This Row],[Player]],'OVR &amp; VORP Ranks'!$P:$T,5,FALSE)))/('OVR &amp; VORP Ranks'!$BM$6))*(Settings!$E$10*TEAMS)</f>
        <v>-28.823235974051936</v>
      </c>
    </row>
    <row r="112" spans="8:27" x14ac:dyDescent="0.2">
      <c r="H112">
        <v>111</v>
      </c>
      <c r="I112" t="str">
        <f>IFERROR(INDEX(TableRBCalcPts[PLAYER],MATCH(TableRBRanks[[#This Row],[RK]],TableRBCalcPts[RK],0)),"")</f>
        <v/>
      </c>
      <c r="J112" t="str">
        <f>IFERROR(INDEX(TableRBCalcPts[TM],MATCH(TableRBRanks[[#This Row],[RK]],TableRBCalcPts[RK],0)),"")</f>
        <v/>
      </c>
      <c r="K112" t="str">
        <f>IFERROR(INDEX(TableRBCalcPts[BYE],MATCH(TableRBRanks[[#This Row],[RK]],TableRBCalcPts[RK],0)),"")</f>
        <v/>
      </c>
      <c r="L112" s="58" t="str">
        <f>IFERROR(INDEX(TableRBCalcPts[Custom],MATCH(TableRBRanks[[#This Row],[RK]],TableRBCalcPts[RK],0)),"")</f>
        <v/>
      </c>
      <c r="M112" s="133" t="e">
        <f>(((VLOOKUP(TableRBRanks[[#This Row],[Player]],'OVR &amp; VORP Ranks'!$I:$M,5,FALSE)))/('OVR &amp; VORP Ranks'!$BM$6))*(Settings!$E$10*TEAMS)</f>
        <v>#VALUE!</v>
      </c>
      <c r="O112">
        <v>111</v>
      </c>
      <c r="P112" t="str">
        <f>IFERROR(INDEX(TableWRCalcPts[PLAYER],MATCH(TableWRRanks[[#This Row],[RK]],TableWRCalcPts[RK],0)),"")</f>
        <v>Quez Watkins</v>
      </c>
      <c r="Q112" t="str">
        <f>IFERROR(INDEX(TableWRCalcPts[TM],MATCH(TableWRRanks[[#This Row],[RK]],TableWRCalcPts[RK],0)),"")</f>
        <v>PHI</v>
      </c>
      <c r="R112">
        <f>IFERROR(INDEX(TableWRCalcPts[BYE],MATCH(TableWRRanks[[#This Row],[RK]],TableWRCalcPts[RK],0)),"")</f>
        <v>10</v>
      </c>
      <c r="S112" s="58">
        <f>IFERROR(INDEX(TableWRCalcPts[Custom],MATCH(TableWRRanks[[#This Row],[RK]],TableWRCalcPts[RK],0)),"")</f>
        <v>45.688608346058807</v>
      </c>
      <c r="T112" s="133">
        <f>(((VLOOKUP(TableWRRanks[[#This Row],[Player]],'OVR &amp; VORP Ranks'!$P:$T,5,FALSE)))/('OVR &amp; VORP Ranks'!$BM$6))*(Settings!$E$10*TEAMS)</f>
        <v>-28.97394914498901</v>
      </c>
    </row>
    <row r="113" spans="8:20" x14ac:dyDescent="0.2">
      <c r="H113">
        <v>112</v>
      </c>
      <c r="I113" t="str">
        <f>IFERROR(INDEX(TableRBCalcPts[PLAYER],MATCH(TableRBRanks[[#This Row],[RK]],TableRBCalcPts[RK],0)),"")</f>
        <v/>
      </c>
      <c r="J113" t="str">
        <f>IFERROR(INDEX(TableRBCalcPts[TM],MATCH(TableRBRanks[[#This Row],[RK]],TableRBCalcPts[RK],0)),"")</f>
        <v/>
      </c>
      <c r="K113" t="str">
        <f>IFERROR(INDEX(TableRBCalcPts[BYE],MATCH(TableRBRanks[[#This Row],[RK]],TableRBCalcPts[RK],0)),"")</f>
        <v/>
      </c>
      <c r="L113" s="58" t="str">
        <f>IFERROR(INDEX(TableRBCalcPts[Custom],MATCH(TableRBRanks[[#This Row],[RK]],TableRBCalcPts[RK],0)),"")</f>
        <v/>
      </c>
      <c r="M113" s="133" t="e">
        <f>(((VLOOKUP(TableRBRanks[[#This Row],[Player]],'OVR &amp; VORP Ranks'!$I:$M,5,FALSE)))/('OVR &amp; VORP Ranks'!$BM$6))*(Settings!$E$10*TEAMS)</f>
        <v>#VALUE!</v>
      </c>
      <c r="O113">
        <v>112</v>
      </c>
      <c r="P113" t="str">
        <f>IFERROR(INDEX(TableWRCalcPts[PLAYER],MATCH(TableWRRanks[[#This Row],[RK]],TableWRCalcPts[RK],0)),"")</f>
        <v>Jauan Jennings</v>
      </c>
      <c r="Q113" t="str">
        <f>IFERROR(INDEX(TableWRCalcPts[TM],MATCH(TableWRRanks[[#This Row],[RK]],TableWRCalcPts[RK],0)),"")</f>
        <v>SF</v>
      </c>
      <c r="R113">
        <f>IFERROR(INDEX(TableWRCalcPts[BYE],MATCH(TableWRRanks[[#This Row],[RK]],TableWRCalcPts[RK],0)),"")</f>
        <v>9</v>
      </c>
      <c r="S113" s="58">
        <f>IFERROR(INDEX(TableWRCalcPts[Custom],MATCH(TableWRRanks[[#This Row],[RK]],TableWRCalcPts[RK],0)),"")</f>
        <v>40.313265190549011</v>
      </c>
      <c r="T113" s="133">
        <f>(((VLOOKUP(TableWRRanks[[#This Row],[Player]],'OVR &amp; VORP Ranks'!$P:$T,5,FALSE)))/('OVR &amp; VORP Ranks'!$BM$6))*(Settings!$E$10*TEAMS)</f>
        <v>-30.814829856497227</v>
      </c>
    </row>
    <row r="114" spans="8:20" x14ac:dyDescent="0.2">
      <c r="H114">
        <v>113</v>
      </c>
      <c r="I114" t="str">
        <f>IFERROR(INDEX(TableRBCalcPts[PLAYER],MATCH(TableRBRanks[[#This Row],[RK]],TableRBCalcPts[RK],0)),"")</f>
        <v/>
      </c>
      <c r="J114" t="str">
        <f>IFERROR(INDEX(TableRBCalcPts[TM],MATCH(TableRBRanks[[#This Row],[RK]],TableRBCalcPts[RK],0)),"")</f>
        <v/>
      </c>
      <c r="K114" t="str">
        <f>IFERROR(INDEX(TableRBCalcPts[BYE],MATCH(TableRBRanks[[#This Row],[RK]],TableRBCalcPts[RK],0)),"")</f>
        <v/>
      </c>
      <c r="L114" s="58" t="str">
        <f>IFERROR(INDEX(TableRBCalcPts[Custom],MATCH(TableRBRanks[[#This Row],[RK]],TableRBCalcPts[RK],0)),"")</f>
        <v/>
      </c>
      <c r="M114" s="133" t="e">
        <f>(((VLOOKUP(TableRBRanks[[#This Row],[Player]],'OVR &amp; VORP Ranks'!$I:$M,5,FALSE)))/('OVR &amp; VORP Ranks'!$BM$6))*(Settings!$E$10*TEAMS)</f>
        <v>#VALUE!</v>
      </c>
      <c r="O114">
        <v>113</v>
      </c>
      <c r="P114" t="str">
        <f>IFERROR(INDEX(TableWRCalcPts[PLAYER],MATCH(TableWRRanks[[#This Row],[RK]],TableWRCalcPts[RK],0)),"")</f>
        <v>Isaiah McKenzie</v>
      </c>
      <c r="Q114" t="str">
        <f>IFERROR(INDEX(TableWRCalcPts[TM],MATCH(TableWRRanks[[#This Row],[RK]],TableWRCalcPts[RK],0)),"")</f>
        <v>IND</v>
      </c>
      <c r="R114">
        <f>IFERROR(INDEX(TableWRCalcPts[BYE],MATCH(TableWRRanks[[#This Row],[RK]],TableWRCalcPts[RK],0)),"")</f>
        <v>11</v>
      </c>
      <c r="S114" s="58">
        <f>IFERROR(INDEX(TableWRCalcPts[Custom],MATCH(TableWRRanks[[#This Row],[RK]],TableWRCalcPts[RK],0)),"")</f>
        <v>39.328571361895207</v>
      </c>
      <c r="T114" s="133">
        <f>(((VLOOKUP(TableWRRanks[[#This Row],[Player]],'OVR &amp; VORP Ranks'!$P:$T,5,FALSE)))/('OVR &amp; VORP Ranks'!$BM$6))*(Settings!$E$10*TEAMS)</f>
        <v>-31.152055559762683</v>
      </c>
    </row>
    <row r="115" spans="8:20" x14ac:dyDescent="0.2">
      <c r="H115">
        <v>114</v>
      </c>
      <c r="I115" t="str">
        <f>IFERROR(INDEX(TableRBCalcPts[PLAYER],MATCH(TableRBRanks[[#This Row],[RK]],TableRBCalcPts[RK],0)),"")</f>
        <v/>
      </c>
      <c r="J115" t="str">
        <f>IFERROR(INDEX(TableRBCalcPts[TM],MATCH(TableRBRanks[[#This Row],[RK]],TableRBCalcPts[RK],0)),"")</f>
        <v/>
      </c>
      <c r="K115" t="str">
        <f>IFERROR(INDEX(TableRBCalcPts[BYE],MATCH(TableRBRanks[[#This Row],[RK]],TableRBCalcPts[RK],0)),"")</f>
        <v/>
      </c>
      <c r="L115" s="58" t="str">
        <f>IFERROR(INDEX(TableRBCalcPts[Custom],MATCH(TableRBRanks[[#This Row],[RK]],TableRBCalcPts[RK],0)),"")</f>
        <v/>
      </c>
      <c r="M115" s="133" t="e">
        <f>(((VLOOKUP(TableRBRanks[[#This Row],[Player]],'OVR &amp; VORP Ranks'!$I:$M,5,FALSE)))/('OVR &amp; VORP Ranks'!$BM$6))*(Settings!$E$10*TEAMS)</f>
        <v>#VALUE!</v>
      </c>
      <c r="O115">
        <v>114</v>
      </c>
      <c r="P115" t="str">
        <f>IFERROR(INDEX(TableWRCalcPts[PLAYER],MATCH(TableWRRanks[[#This Row],[RK]],TableWRCalcPts[RK],0)),"")</f>
        <v>Jalin Hyatt</v>
      </c>
      <c r="Q115" t="str">
        <f>IFERROR(INDEX(TableWRCalcPts[TM],MATCH(TableWRRanks[[#This Row],[RK]],TableWRCalcPts[RK],0)),"")</f>
        <v>NYG</v>
      </c>
      <c r="R115">
        <f>IFERROR(INDEX(TableWRCalcPts[BYE],MATCH(TableWRRanks[[#This Row],[RK]],TableWRCalcPts[RK],0)),"")</f>
        <v>13</v>
      </c>
      <c r="S115" s="58">
        <f>IFERROR(INDEX(TableWRCalcPts[Custom],MATCH(TableWRRanks[[#This Row],[RK]],TableWRCalcPts[RK],0)),"")</f>
        <v>39.016453413547382</v>
      </c>
      <c r="T115" s="133">
        <f>(((VLOOKUP(TableWRRanks[[#This Row],[Player]],'OVR &amp; VORP Ranks'!$P:$T,5,FALSE)))/('OVR &amp; VORP Ranks'!$BM$6))*(Settings!$E$10*TEAMS)</f>
        <v>-31.258945835268179</v>
      </c>
    </row>
    <row r="116" spans="8:20" x14ac:dyDescent="0.2">
      <c r="H116">
        <v>115</v>
      </c>
      <c r="I116" t="str">
        <f>IFERROR(INDEX(TableRBCalcPts[PLAYER],MATCH(TableRBRanks[[#This Row],[RK]],TableRBCalcPts[RK],0)),"")</f>
        <v/>
      </c>
      <c r="J116" t="str">
        <f>IFERROR(INDEX(TableRBCalcPts[TM],MATCH(TableRBRanks[[#This Row],[RK]],TableRBCalcPts[RK],0)),"")</f>
        <v/>
      </c>
      <c r="K116" t="str">
        <f>IFERROR(INDEX(TableRBCalcPts[BYE],MATCH(TableRBRanks[[#This Row],[RK]],TableRBCalcPts[RK],0)),"")</f>
        <v/>
      </c>
      <c r="L116" s="58" t="str">
        <f>IFERROR(INDEX(TableRBCalcPts[Custom],MATCH(TableRBRanks[[#This Row],[RK]],TableRBCalcPts[RK],0)),"")</f>
        <v/>
      </c>
      <c r="M116" s="133" t="e">
        <f>(((VLOOKUP(TableRBRanks[[#This Row],[Player]],'OVR &amp; VORP Ranks'!$I:$M,5,FALSE)))/('OVR &amp; VORP Ranks'!$BM$6))*(Settings!$E$10*TEAMS)</f>
        <v>#VALUE!</v>
      </c>
      <c r="O116">
        <v>115</v>
      </c>
      <c r="P116" t="str">
        <f>IFERROR(INDEX(TableWRCalcPts[PLAYER],MATCH(TableWRRanks[[#This Row],[RK]],TableWRCalcPts[RK],0)),"")</f>
        <v>Khalil Shakir</v>
      </c>
      <c r="Q116" t="str">
        <f>IFERROR(INDEX(TableWRCalcPts[TM],MATCH(TableWRRanks[[#This Row],[RK]],TableWRCalcPts[RK],0)),"")</f>
        <v>BUF</v>
      </c>
      <c r="R116">
        <f>IFERROR(INDEX(TableWRCalcPts[BYE],MATCH(TableWRRanks[[#This Row],[RK]],TableWRCalcPts[RK],0)),"")</f>
        <v>13</v>
      </c>
      <c r="S116" s="58">
        <f>IFERROR(INDEX(TableWRCalcPts[Custom],MATCH(TableWRRanks[[#This Row],[RK]],TableWRCalcPts[RK],0)),"")</f>
        <v>38.389008385575202</v>
      </c>
      <c r="T116" s="133">
        <f>(((VLOOKUP(TableWRRanks[[#This Row],[Player]],'OVR &amp; VORP Ranks'!$P:$T,5,FALSE)))/('OVR &amp; VORP Ranks'!$BM$6))*(Settings!$E$10*TEAMS)</f>
        <v>-31.473825409671118</v>
      </c>
    </row>
    <row r="117" spans="8:20" x14ac:dyDescent="0.2">
      <c r="H117">
        <v>116</v>
      </c>
      <c r="I117" t="str">
        <f>IFERROR(INDEX(TableRBCalcPts[PLAYER],MATCH(TableRBRanks[[#This Row],[RK]],TableRBCalcPts[RK],0)),"")</f>
        <v/>
      </c>
      <c r="J117" t="str">
        <f>IFERROR(INDEX(TableRBCalcPts[TM],MATCH(TableRBRanks[[#This Row],[RK]],TableRBCalcPts[RK],0)),"")</f>
        <v/>
      </c>
      <c r="K117" t="str">
        <f>IFERROR(INDEX(TableRBCalcPts[BYE],MATCH(TableRBRanks[[#This Row],[RK]],TableRBCalcPts[RK],0)),"")</f>
        <v/>
      </c>
      <c r="L117" s="58" t="str">
        <f>IFERROR(INDEX(TableRBCalcPts[Custom],MATCH(TableRBRanks[[#This Row],[RK]],TableRBCalcPts[RK],0)),"")</f>
        <v/>
      </c>
      <c r="M117" s="133" t="e">
        <f>(((VLOOKUP(TableRBRanks[[#This Row],[Player]],'OVR &amp; VORP Ranks'!$I:$M,5,FALSE)))/('OVR &amp; VORP Ranks'!$BM$6))*(Settings!$E$10*TEAMS)</f>
        <v>#VALUE!</v>
      </c>
      <c r="O117">
        <v>116</v>
      </c>
      <c r="P117" t="str">
        <f>IFERROR(INDEX(TableWRCalcPts[PLAYER],MATCH(TableWRRanks[[#This Row],[RK]],TableWRCalcPts[RK],0)),"")</f>
        <v>Demario Douglas</v>
      </c>
      <c r="Q117" t="str">
        <f>IFERROR(INDEX(TableWRCalcPts[TM],MATCH(TableWRRanks[[#This Row],[RK]],TableWRCalcPts[RK],0)),"")</f>
        <v>NE</v>
      </c>
      <c r="R117">
        <f>IFERROR(INDEX(TableWRCalcPts[BYE],MATCH(TableWRRanks[[#This Row],[RK]],TableWRCalcPts[RK],0)),"")</f>
        <v>11</v>
      </c>
      <c r="S117" s="58">
        <f>IFERROR(INDEX(TableWRCalcPts[Custom],MATCH(TableWRRanks[[#This Row],[RK]],TableWRCalcPts[RK],0)),"")</f>
        <v>37.195711972182387</v>
      </c>
      <c r="T117" s="133">
        <f>(((VLOOKUP(TableWRRanks[[#This Row],[Player]],'OVR &amp; VORP Ranks'!$P:$T,5,FALSE)))/('OVR &amp; VORP Ranks'!$BM$6))*(Settings!$E$10*TEAMS)</f>
        <v>-31.88249073334913</v>
      </c>
    </row>
    <row r="118" spans="8:20" x14ac:dyDescent="0.2">
      <c r="H118">
        <v>117</v>
      </c>
      <c r="I118" t="str">
        <f>IFERROR(INDEX(TableRBCalcPts[PLAYER],MATCH(TableRBRanks[[#This Row],[RK]],TableRBCalcPts[RK],0)),"")</f>
        <v/>
      </c>
      <c r="J118" t="str">
        <f>IFERROR(INDEX(TableRBCalcPts[TM],MATCH(TableRBRanks[[#This Row],[RK]],TableRBCalcPts[RK],0)),"")</f>
        <v/>
      </c>
      <c r="K118" t="str">
        <f>IFERROR(INDEX(TableRBCalcPts[BYE],MATCH(TableRBRanks[[#This Row],[RK]],TableRBCalcPts[RK],0)),"")</f>
        <v/>
      </c>
      <c r="L118" s="58" t="str">
        <f>IFERROR(INDEX(TableRBCalcPts[Custom],MATCH(TableRBRanks[[#This Row],[RK]],TableRBCalcPts[RK],0)),"")</f>
        <v/>
      </c>
      <c r="M118" s="133" t="e">
        <f>(((VLOOKUP(TableRBRanks[[#This Row],[Player]],'OVR &amp; VORP Ranks'!$I:$M,5,FALSE)))/('OVR &amp; VORP Ranks'!$BM$6))*(Settings!$E$10*TEAMS)</f>
        <v>#VALUE!</v>
      </c>
      <c r="O118">
        <v>117</v>
      </c>
      <c r="P118" t="str">
        <f>IFERROR(INDEX(TableWRCalcPts[PLAYER],MATCH(TableWRRanks[[#This Row],[RK]],TableWRCalcPts[RK],0)),"")</f>
        <v>Kyle Philips</v>
      </c>
      <c r="Q118" t="str">
        <f>IFERROR(INDEX(TableWRCalcPts[TM],MATCH(TableWRRanks[[#This Row],[RK]],TableWRCalcPts[RK],0)),"")</f>
        <v>TEN</v>
      </c>
      <c r="R118">
        <f>IFERROR(INDEX(TableWRCalcPts[BYE],MATCH(TableWRRanks[[#This Row],[RK]],TableWRCalcPts[RK],0)),"")</f>
        <v>7</v>
      </c>
      <c r="S118" s="58">
        <f>IFERROR(INDEX(TableWRCalcPts[Custom],MATCH(TableWRRanks[[#This Row],[RK]],TableWRCalcPts[RK],0)),"")</f>
        <v>36.780466404519956</v>
      </c>
      <c r="T118" s="133">
        <f>(((VLOOKUP(TableWRRanks[[#This Row],[Player]],'OVR &amp; VORP Ranks'!$P:$T,5,FALSE)))/('OVR &amp; VORP Ranks'!$BM$6))*(Settings!$E$10*TEAMS)</f>
        <v>-32.024698874101134</v>
      </c>
    </row>
    <row r="119" spans="8:20" x14ac:dyDescent="0.2">
      <c r="H119">
        <v>118</v>
      </c>
      <c r="I119" t="str">
        <f>IFERROR(INDEX(TableRBCalcPts[PLAYER],MATCH(TableRBRanks[[#This Row],[RK]],TableRBCalcPts[RK],0)),"")</f>
        <v/>
      </c>
      <c r="J119" t="str">
        <f>IFERROR(INDEX(TableRBCalcPts[TM],MATCH(TableRBRanks[[#This Row],[RK]],TableRBCalcPts[RK],0)),"")</f>
        <v/>
      </c>
      <c r="K119" t="str">
        <f>IFERROR(INDEX(TableRBCalcPts[BYE],MATCH(TableRBRanks[[#This Row],[RK]],TableRBCalcPts[RK],0)),"")</f>
        <v/>
      </c>
      <c r="L119" s="58" t="str">
        <f>IFERROR(INDEX(TableRBCalcPts[Custom],MATCH(TableRBRanks[[#This Row],[RK]],TableRBCalcPts[RK],0)),"")</f>
        <v/>
      </c>
      <c r="M119" s="133" t="e">
        <f>(((VLOOKUP(TableRBRanks[[#This Row],[Player]],'OVR &amp; VORP Ranks'!$I:$M,5,FALSE)))/('OVR &amp; VORP Ranks'!$BM$6))*(Settings!$E$10*TEAMS)</f>
        <v>#VALUE!</v>
      </c>
      <c r="O119">
        <v>118</v>
      </c>
      <c r="P119" t="str">
        <f>IFERROR(INDEX(TableWRCalcPts[PLAYER],MATCH(TableWRRanks[[#This Row],[RK]],TableWRCalcPts[RK],0)),"")</f>
        <v>Sterling Shepard</v>
      </c>
      <c r="Q119" t="str">
        <f>IFERROR(INDEX(TableWRCalcPts[TM],MATCH(TableWRRanks[[#This Row],[RK]],TableWRCalcPts[RK],0)),"")</f>
        <v>NYG</v>
      </c>
      <c r="R119">
        <f>IFERROR(INDEX(TableWRCalcPts[BYE],MATCH(TableWRRanks[[#This Row],[RK]],TableWRCalcPts[RK],0)),"")</f>
        <v>13</v>
      </c>
      <c r="S119" s="58">
        <f>IFERROR(INDEX(TableWRCalcPts[Custom],MATCH(TableWRRanks[[#This Row],[RK]],TableWRCalcPts[RK],0)),"")</f>
        <v>35.665895599228826</v>
      </c>
      <c r="T119" s="133">
        <f>(((VLOOKUP(TableWRRanks[[#This Row],[Player]],'OVR &amp; VORP Ranks'!$P:$T,5,FALSE)))/('OVR &amp; VORP Ranks'!$BM$6))*(Settings!$E$10*TEAMS)</f>
        <v>-32.406403230030016</v>
      </c>
    </row>
    <row r="120" spans="8:20" x14ac:dyDescent="0.2">
      <c r="H120">
        <v>119</v>
      </c>
      <c r="I120" t="str">
        <f>IFERROR(INDEX(TableRBCalcPts[PLAYER],MATCH(TableRBRanks[[#This Row],[RK]],TableRBCalcPts[RK],0)),"")</f>
        <v/>
      </c>
      <c r="J120" t="str">
        <f>IFERROR(INDEX(TableRBCalcPts[TM],MATCH(TableRBRanks[[#This Row],[RK]],TableRBCalcPts[RK],0)),"")</f>
        <v/>
      </c>
      <c r="K120" t="str">
        <f>IFERROR(INDEX(TableRBCalcPts[BYE],MATCH(TableRBRanks[[#This Row],[RK]],TableRBCalcPts[RK],0)),"")</f>
        <v/>
      </c>
      <c r="L120" s="58" t="str">
        <f>IFERROR(INDEX(TableRBCalcPts[Custom],MATCH(TableRBRanks[[#This Row],[RK]],TableRBCalcPts[RK],0)),"")</f>
        <v/>
      </c>
      <c r="M120" s="133" t="e">
        <f>(((VLOOKUP(TableRBRanks[[#This Row],[Player]],'OVR &amp; VORP Ranks'!$I:$M,5,FALSE)))/('OVR &amp; VORP Ranks'!$BM$6))*(Settings!$E$10*TEAMS)</f>
        <v>#VALUE!</v>
      </c>
      <c r="O120">
        <v>119</v>
      </c>
      <c r="P120" t="str">
        <f>IFERROR(INDEX(TableWRCalcPts[PLAYER],MATCH(TableWRRanks[[#This Row],[RK]],TableWRCalcPts[RK],0)),"")</f>
        <v>Charlie Jones</v>
      </c>
      <c r="Q120" t="str">
        <f>IFERROR(INDEX(TableWRCalcPts[TM],MATCH(TableWRRanks[[#This Row],[RK]],TableWRCalcPts[RK],0)),"")</f>
        <v>CIN</v>
      </c>
      <c r="R120">
        <f>IFERROR(INDEX(TableWRCalcPts[BYE],MATCH(TableWRRanks[[#This Row],[RK]],TableWRCalcPts[RK],0)),"")</f>
        <v>7</v>
      </c>
      <c r="S120" s="58">
        <f>IFERROR(INDEX(TableWRCalcPts[Custom],MATCH(TableWRRanks[[#This Row],[RK]],TableWRCalcPts[RK],0)),"")</f>
        <v>35.157696402703706</v>
      </c>
      <c r="T120" s="133">
        <f>(((VLOOKUP(TableWRRanks[[#This Row],[Player]],'OVR &amp; VORP Ranks'!$P:$T,5,FALSE)))/('OVR &amp; VORP Ranks'!$BM$6))*(Settings!$E$10*TEAMS)</f>
        <v>-32.580444974235341</v>
      </c>
    </row>
    <row r="121" spans="8:20" x14ac:dyDescent="0.2">
      <c r="H121">
        <v>120</v>
      </c>
      <c r="I121" t="str">
        <f>IFERROR(INDEX(TableRBCalcPts[PLAYER],MATCH(TableRBRanks[[#This Row],[RK]],TableRBCalcPts[RK],0)),"")</f>
        <v/>
      </c>
      <c r="J121" t="str">
        <f>IFERROR(INDEX(TableRBCalcPts[TM],MATCH(TableRBRanks[[#This Row],[RK]],TableRBCalcPts[RK],0)),"")</f>
        <v/>
      </c>
      <c r="K121" t="str">
        <f>IFERROR(INDEX(TableRBCalcPts[BYE],MATCH(TableRBRanks[[#This Row],[RK]],TableRBCalcPts[RK],0)),"")</f>
        <v/>
      </c>
      <c r="L121" s="58" t="str">
        <f>IFERROR(INDEX(TableRBCalcPts[Custom],MATCH(TableRBRanks[[#This Row],[RK]],TableRBCalcPts[RK],0)),"")</f>
        <v/>
      </c>
      <c r="M121" s="133" t="e">
        <f>(((VLOOKUP(TableRBRanks[[#This Row],[Player]],'OVR &amp; VORP Ranks'!$I:$M,5,FALSE)))/('OVR &amp; VORP Ranks'!$BM$6))*(Settings!$E$10*TEAMS)</f>
        <v>#VALUE!</v>
      </c>
      <c r="O121">
        <v>120</v>
      </c>
      <c r="P121" t="str">
        <f>IFERROR(INDEX(TableWRCalcPts[PLAYER],MATCH(TableWRRanks[[#This Row],[RK]],TableWRCalcPts[RK],0)),"")</f>
        <v>Antoine Green</v>
      </c>
      <c r="Q121" t="str">
        <f>IFERROR(INDEX(TableWRCalcPts[TM],MATCH(TableWRRanks[[#This Row],[RK]],TableWRCalcPts[RK],0)),"")</f>
        <v>DET</v>
      </c>
      <c r="R121">
        <f>IFERROR(INDEX(TableWRCalcPts[BYE],MATCH(TableWRRanks[[#This Row],[RK]],TableWRCalcPts[RK],0)),"")</f>
        <v>9</v>
      </c>
      <c r="S121" s="58">
        <f>IFERROR(INDEX(TableWRCalcPts[Custom],MATCH(TableWRRanks[[#This Row],[RK]],TableWRCalcPts[RK],0)),"")</f>
        <v>34.981737176305913</v>
      </c>
      <c r="T121" s="133">
        <f>(((VLOOKUP(TableWRRanks[[#This Row],[Player]],'OVR &amp; VORP Ranks'!$P:$T,5,FALSE)))/('OVR &amp; VORP Ranks'!$BM$6))*(Settings!$E$10*TEAMS)</f>
        <v>-32.640705303021157</v>
      </c>
    </row>
    <row r="122" spans="8:20" x14ac:dyDescent="0.2">
      <c r="H122">
        <v>121</v>
      </c>
      <c r="I122" t="str">
        <f>IFERROR(INDEX(TableRBCalcPts[PLAYER],MATCH(TableRBRanks[[#This Row],[RK]],TableRBCalcPts[RK],0)),"")</f>
        <v/>
      </c>
      <c r="J122" t="str">
        <f>IFERROR(INDEX(TableRBCalcPts[TM],MATCH(TableRBRanks[[#This Row],[RK]],TableRBCalcPts[RK],0)),"")</f>
        <v/>
      </c>
      <c r="K122" t="str">
        <f>IFERROR(INDEX(TableRBCalcPts[BYE],MATCH(TableRBRanks[[#This Row],[RK]],TableRBCalcPts[RK],0)),"")</f>
        <v/>
      </c>
      <c r="L122" s="58" t="str">
        <f>IFERROR(INDEX(TableRBCalcPts[Custom],MATCH(TableRBRanks[[#This Row],[RK]],TableRBCalcPts[RK],0)),"")</f>
        <v/>
      </c>
      <c r="M122" s="133" t="e">
        <f>(((VLOOKUP(TableRBRanks[[#This Row],[Player]],'OVR &amp; VORP Ranks'!$I:$M,5,FALSE)))/('OVR &amp; VORP Ranks'!$BM$6))*(Settings!$E$10*TEAMS)</f>
        <v>#VALUE!</v>
      </c>
      <c r="O122">
        <v>121</v>
      </c>
      <c r="P122" t="str">
        <f>IFERROR(INDEX(TableWRCalcPts[PLAYER],MATCH(TableWRRanks[[#This Row],[RK]],TableWRCalcPts[RK],0)),"")</f>
        <v>Brandon Johnson</v>
      </c>
      <c r="Q122" t="str">
        <f>IFERROR(INDEX(TableWRCalcPts[TM],MATCH(TableWRRanks[[#This Row],[RK]],TableWRCalcPts[RK],0)),"")</f>
        <v>DEN</v>
      </c>
      <c r="R122">
        <f>IFERROR(INDEX(TableWRCalcPts[BYE],MATCH(TableWRRanks[[#This Row],[RK]],TableWRCalcPts[RK],0)),"")</f>
        <v>9</v>
      </c>
      <c r="S122" s="58">
        <f>IFERROR(INDEX(TableWRCalcPts[Custom],MATCH(TableWRRanks[[#This Row],[RK]],TableWRCalcPts[RK],0)),"")</f>
        <v>34.217311715823605</v>
      </c>
      <c r="T122" s="133">
        <f>(((VLOOKUP(TableWRRanks[[#This Row],[Player]],'OVR &amp; VORP Ranks'!$P:$T,5,FALSE)))/('OVR &amp; VORP Ranks'!$BM$6))*(Settings!$E$10*TEAMS)</f>
        <v>-32.902496233363024</v>
      </c>
    </row>
    <row r="123" spans="8:20" x14ac:dyDescent="0.2">
      <c r="H123">
        <v>122</v>
      </c>
      <c r="I123" t="str">
        <f>IFERROR(INDEX(TableRBCalcPts[PLAYER],MATCH(TableRBRanks[[#This Row],[RK]],TableRBCalcPts[RK],0)),"")</f>
        <v/>
      </c>
      <c r="J123" t="str">
        <f>IFERROR(INDEX(TableRBCalcPts[TM],MATCH(TableRBRanks[[#This Row],[RK]],TableRBCalcPts[RK],0)),"")</f>
        <v/>
      </c>
      <c r="K123" t="str">
        <f>IFERROR(INDEX(TableRBCalcPts[BYE],MATCH(TableRBRanks[[#This Row],[RK]],TableRBCalcPts[RK],0)),"")</f>
        <v/>
      </c>
      <c r="L123" s="58" t="str">
        <f>IFERROR(INDEX(TableRBCalcPts[Custom],MATCH(TableRBRanks[[#This Row],[RK]],TableRBCalcPts[RK],0)),"")</f>
        <v/>
      </c>
      <c r="M123" s="133" t="e">
        <f>(((VLOOKUP(TableRBRanks[[#This Row],[Player]],'OVR &amp; VORP Ranks'!$I:$M,5,FALSE)))/('OVR &amp; VORP Ranks'!$BM$6))*(Settings!$E$10*TEAMS)</f>
        <v>#VALUE!</v>
      </c>
      <c r="O123">
        <v>122</v>
      </c>
      <c r="P123" t="str">
        <f>IFERROR(INDEX(TableWRCalcPts[PLAYER],MATCH(TableWRRanks[[#This Row],[RK]],TableWRCalcPts[RK],0)),"")</f>
        <v>Deven Thompkins</v>
      </c>
      <c r="Q123" t="str">
        <f>IFERROR(INDEX(TableWRCalcPts[TM],MATCH(TableWRRanks[[#This Row],[RK]],TableWRCalcPts[RK],0)),"")</f>
        <v>TB</v>
      </c>
      <c r="R123">
        <f>IFERROR(INDEX(TableWRCalcPts[BYE],MATCH(TableWRRanks[[#This Row],[RK]],TableWRCalcPts[RK],0)),"")</f>
        <v>5</v>
      </c>
      <c r="S123" s="58">
        <f>IFERROR(INDEX(TableWRCalcPts[Custom],MATCH(TableWRRanks[[#This Row],[RK]],TableWRCalcPts[RK],0)),"")</f>
        <v>33.969009366190079</v>
      </c>
      <c r="T123" s="133">
        <f>(((VLOOKUP(TableWRRanks[[#This Row],[Player]],'OVR &amp; VORP Ranks'!$P:$T,5,FALSE)))/('OVR &amp; VORP Ranks'!$BM$6))*(Settings!$E$10*TEAMS)</f>
        <v>-32.987531735811636</v>
      </c>
    </row>
    <row r="124" spans="8:20" x14ac:dyDescent="0.2">
      <c r="H124">
        <v>123</v>
      </c>
      <c r="I124" t="str">
        <f>IFERROR(INDEX(TableRBCalcPts[PLAYER],MATCH(TableRBRanks[[#This Row],[RK]],TableRBCalcPts[RK],0)),"")</f>
        <v/>
      </c>
      <c r="J124" t="str">
        <f>IFERROR(INDEX(TableRBCalcPts[TM],MATCH(TableRBRanks[[#This Row],[RK]],TableRBCalcPts[RK],0)),"")</f>
        <v/>
      </c>
      <c r="K124" t="str">
        <f>IFERROR(INDEX(TableRBCalcPts[BYE],MATCH(TableRBRanks[[#This Row],[RK]],TableRBCalcPts[RK],0)),"")</f>
        <v/>
      </c>
      <c r="L124" s="58" t="str">
        <f>IFERROR(INDEX(TableRBCalcPts[Custom],MATCH(TableRBRanks[[#This Row],[RK]],TableRBCalcPts[RK],0)),"")</f>
        <v/>
      </c>
      <c r="M124" s="133" t="e">
        <f>(((VLOOKUP(TableRBRanks[[#This Row],[Player]],'OVR &amp; VORP Ranks'!$I:$M,5,FALSE)))/('OVR &amp; VORP Ranks'!$BM$6))*(Settings!$E$10*TEAMS)</f>
        <v>#VALUE!</v>
      </c>
      <c r="O124">
        <v>123</v>
      </c>
      <c r="P124" t="str">
        <f>IFERROR(INDEX(TableWRCalcPts[PLAYER],MATCH(TableWRRanks[[#This Row],[RK]],TableWRCalcPts[RK],0)),"")</f>
        <v>Cedric Tillman</v>
      </c>
      <c r="Q124" t="str">
        <f>IFERROR(INDEX(TableWRCalcPts[TM],MATCH(TableWRRanks[[#This Row],[RK]],TableWRCalcPts[RK],0)),"")</f>
        <v>CLE</v>
      </c>
      <c r="R124">
        <f>IFERROR(INDEX(TableWRCalcPts[BYE],MATCH(TableWRRanks[[#This Row],[RK]],TableWRCalcPts[RK],0)),"")</f>
        <v>5</v>
      </c>
      <c r="S124" s="58">
        <f>IFERROR(INDEX(TableWRCalcPts[Custom],MATCH(TableWRRanks[[#This Row],[RK]],TableWRCalcPts[RK],0)),"")</f>
        <v>33.936930944818862</v>
      </c>
      <c r="T124" s="133">
        <f>(((VLOOKUP(TableWRRanks[[#This Row],[Player]],'OVR &amp; VORP Ranks'!$P:$T,5,FALSE)))/('OVR &amp; VORP Ranks'!$BM$6))*(Settings!$E$10*TEAMS)</f>
        <v>-32.998517554846714</v>
      </c>
    </row>
    <row r="125" spans="8:20" x14ac:dyDescent="0.2">
      <c r="H125">
        <v>124</v>
      </c>
      <c r="I125" t="str">
        <f>IFERROR(INDEX(TableRBCalcPts[PLAYER],MATCH(TableRBRanks[[#This Row],[RK]],TableRBCalcPts[RK],0)),"")</f>
        <v/>
      </c>
      <c r="J125" t="str">
        <f>IFERROR(INDEX(TableRBCalcPts[TM],MATCH(TableRBRanks[[#This Row],[RK]],TableRBCalcPts[RK],0)),"")</f>
        <v/>
      </c>
      <c r="K125" t="str">
        <f>IFERROR(INDEX(TableRBCalcPts[BYE],MATCH(TableRBRanks[[#This Row],[RK]],TableRBCalcPts[RK],0)),"")</f>
        <v/>
      </c>
      <c r="L125" s="58" t="str">
        <f>IFERROR(INDEX(TableRBCalcPts[Custom],MATCH(TableRBRanks[[#This Row],[RK]],TableRBCalcPts[RK],0)),"")</f>
        <v/>
      </c>
      <c r="M125" s="133" t="e">
        <f>(((VLOOKUP(TableRBRanks[[#This Row],[Player]],'OVR &amp; VORP Ranks'!$I:$M,5,FALSE)))/('OVR &amp; VORP Ranks'!$BM$6))*(Settings!$E$10*TEAMS)</f>
        <v>#VALUE!</v>
      </c>
      <c r="O125">
        <v>124</v>
      </c>
      <c r="P125" t="str">
        <f>IFERROR(INDEX(TableWRCalcPts[PLAYER],MATCH(TableWRRanks[[#This Row],[RK]],TableWRCalcPts[RK],0)),"")</f>
        <v>Greg Dortch</v>
      </c>
      <c r="Q125" t="str">
        <f>IFERROR(INDEX(TableWRCalcPts[TM],MATCH(TableWRRanks[[#This Row],[RK]],TableWRCalcPts[RK],0)),"")</f>
        <v>ARI</v>
      </c>
      <c r="R125">
        <f>IFERROR(INDEX(TableWRCalcPts[BYE],MATCH(TableWRRanks[[#This Row],[RK]],TableWRCalcPts[RK],0)),"")</f>
        <v>14</v>
      </c>
      <c r="S125" s="58">
        <f>IFERROR(INDEX(TableWRCalcPts[Custom],MATCH(TableWRRanks[[#This Row],[RK]],TableWRCalcPts[RK],0)),"")</f>
        <v>33.890268423899997</v>
      </c>
      <c r="T125" s="133">
        <f>(((VLOOKUP(TableWRRanks[[#This Row],[Player]],'OVR &amp; VORP Ranks'!$P:$T,5,FALSE)))/('OVR &amp; VORP Ranks'!$BM$6))*(Settings!$E$10*TEAMS)</f>
        <v>-33.014497955023003</v>
      </c>
    </row>
    <row r="126" spans="8:20" x14ac:dyDescent="0.2">
      <c r="H126">
        <v>125</v>
      </c>
      <c r="I126" t="str">
        <f>IFERROR(INDEX(TableRBCalcPts[PLAYER],MATCH(TableRBRanks[[#This Row],[RK]],TableRBCalcPts[RK],0)),"")</f>
        <v/>
      </c>
      <c r="J126" t="str">
        <f>IFERROR(INDEX(TableRBCalcPts[TM],MATCH(TableRBRanks[[#This Row],[RK]],TableRBCalcPts[RK],0)),"")</f>
        <v/>
      </c>
      <c r="K126" t="str">
        <f>IFERROR(INDEX(TableRBCalcPts[BYE],MATCH(TableRBRanks[[#This Row],[RK]],TableRBCalcPts[RK],0)),"")</f>
        <v/>
      </c>
      <c r="L126" s="58" t="str">
        <f>IFERROR(INDEX(TableRBCalcPts[Custom],MATCH(TableRBRanks[[#This Row],[RK]],TableRBCalcPts[RK],0)),"")</f>
        <v/>
      </c>
      <c r="M126" s="133" t="e">
        <f>(((VLOOKUP(TableRBRanks[[#This Row],[Player]],'OVR &amp; VORP Ranks'!$I:$M,5,FALSE)))/('OVR &amp; VORP Ranks'!$BM$6))*(Settings!$E$10*TEAMS)</f>
        <v>#VALUE!</v>
      </c>
      <c r="O126">
        <v>125</v>
      </c>
      <c r="P126" t="str">
        <f>IFERROR(INDEX(TableWRCalcPts[PLAYER],MATCH(TableWRRanks[[#This Row],[RK]],TableWRCalcPts[RK],0)),"")</f>
        <v>Jamal Agnew</v>
      </c>
      <c r="Q126" t="str">
        <f>IFERROR(INDEX(TableWRCalcPts[TM],MATCH(TableWRRanks[[#This Row],[RK]],TableWRCalcPts[RK],0)),"")</f>
        <v>JAX</v>
      </c>
      <c r="R126">
        <f>IFERROR(INDEX(TableWRCalcPts[BYE],MATCH(TableWRRanks[[#This Row],[RK]],TableWRCalcPts[RK],0)),"")</f>
        <v>9</v>
      </c>
      <c r="S126" s="58">
        <f>IFERROR(INDEX(TableWRCalcPts[Custom],MATCH(TableWRRanks[[#This Row],[RK]],TableWRCalcPts[RK],0)),"")</f>
        <v>33.638613788015689</v>
      </c>
      <c r="T126" s="133">
        <f>(((VLOOKUP(TableWRRanks[[#This Row],[Player]],'OVR &amp; VORP Ranks'!$P:$T,5,FALSE)))/('OVR &amp; VORP Ranks'!$BM$6))*(Settings!$E$10*TEAMS)</f>
        <v>-33.100681506799823</v>
      </c>
    </row>
    <row r="127" spans="8:20" x14ac:dyDescent="0.2">
      <c r="H127">
        <v>126</v>
      </c>
      <c r="I127" t="str">
        <f>IFERROR(INDEX(TableRBCalcPts[PLAYER],MATCH(TableRBRanks[[#This Row],[RK]],TableRBCalcPts[RK],0)),"")</f>
        <v/>
      </c>
      <c r="J127" t="str">
        <f>IFERROR(INDEX(TableRBCalcPts[TM],MATCH(TableRBRanks[[#This Row],[RK]],TableRBCalcPts[RK],0)),"")</f>
        <v/>
      </c>
      <c r="K127" t="str">
        <f>IFERROR(INDEX(TableRBCalcPts[BYE],MATCH(TableRBRanks[[#This Row],[RK]],TableRBCalcPts[RK],0)),"")</f>
        <v/>
      </c>
      <c r="L127" s="58" t="str">
        <f>IFERROR(INDEX(TableRBCalcPts[Custom],MATCH(TableRBRanks[[#This Row],[RK]],TableRBCalcPts[RK],0)),"")</f>
        <v/>
      </c>
      <c r="M127" s="133" t="e">
        <f>(((VLOOKUP(TableRBRanks[[#This Row],[Player]],'OVR &amp; VORP Ranks'!$I:$M,5,FALSE)))/('OVR &amp; VORP Ranks'!$BM$6))*(Settings!$E$10*TEAMS)</f>
        <v>#VALUE!</v>
      </c>
      <c r="O127">
        <v>126</v>
      </c>
      <c r="P127" t="str">
        <f>IFERROR(INDEX(TableWRCalcPts[PLAYER],MATCH(TableWRRanks[[#This Row],[RK]],TableWRCalcPts[RK],0)),"")</f>
        <v>Scott Miller</v>
      </c>
      <c r="Q127" t="str">
        <f>IFERROR(INDEX(TableWRCalcPts[TM],MATCH(TableWRRanks[[#This Row],[RK]],TableWRCalcPts[RK],0)),"")</f>
        <v>ATL</v>
      </c>
      <c r="R127">
        <f>IFERROR(INDEX(TableWRCalcPts[BYE],MATCH(TableWRRanks[[#This Row],[RK]],TableWRCalcPts[RK],0)),"")</f>
        <v>11</v>
      </c>
      <c r="S127" s="58">
        <f>IFERROR(INDEX(TableWRCalcPts[Custom],MATCH(TableWRRanks[[#This Row],[RK]],TableWRCalcPts[RK],0)),"")</f>
        <v>30.037570986869504</v>
      </c>
      <c r="T127" s="133">
        <f>(((VLOOKUP(TableWRRanks[[#This Row],[Player]],'OVR &amp; VORP Ranks'!$P:$T,5,FALSE)))/('OVR &amp; VORP Ranks'!$BM$6))*(Settings!$E$10*TEAMS)</f>
        <v>-34.333921886467607</v>
      </c>
    </row>
    <row r="128" spans="8:20" x14ac:dyDescent="0.2">
      <c r="H128">
        <v>127</v>
      </c>
      <c r="I128" t="str">
        <f>IFERROR(INDEX(TableRBCalcPts[PLAYER],MATCH(TableRBRanks[[#This Row],[RK]],TableRBCalcPts[RK],0)),"")</f>
        <v/>
      </c>
      <c r="J128" t="str">
        <f>IFERROR(INDEX(TableRBCalcPts[TM],MATCH(TableRBRanks[[#This Row],[RK]],TableRBCalcPts[RK],0)),"")</f>
        <v/>
      </c>
      <c r="K128" t="str">
        <f>IFERROR(INDEX(TableRBCalcPts[BYE],MATCH(TableRBRanks[[#This Row],[RK]],TableRBCalcPts[RK],0)),"")</f>
        <v/>
      </c>
      <c r="L128" s="58" t="str">
        <f>IFERROR(INDEX(TableRBCalcPts[Custom],MATCH(TableRBRanks[[#This Row],[RK]],TableRBCalcPts[RK],0)),"")</f>
        <v/>
      </c>
      <c r="M128" s="133" t="e">
        <f>(((VLOOKUP(TableRBRanks[[#This Row],[Player]],'OVR &amp; VORP Ranks'!$I:$M,5,FALSE)))/('OVR &amp; VORP Ranks'!$BM$6))*(Settings!$E$10*TEAMS)</f>
        <v>#VALUE!</v>
      </c>
      <c r="O128">
        <v>127</v>
      </c>
      <c r="P128" t="str">
        <f>IFERROR(INDEX(TableWRCalcPts[PLAYER],MATCH(TableWRRanks[[#This Row],[RK]],TableWRCalcPts[RK],0)),"")</f>
        <v>Jalen Tolbert</v>
      </c>
      <c r="Q128" t="str">
        <f>IFERROR(INDEX(TableWRCalcPts[TM],MATCH(TableWRRanks[[#This Row],[RK]],TableWRCalcPts[RK],0)),"")</f>
        <v>DAL</v>
      </c>
      <c r="R128">
        <f>IFERROR(INDEX(TableWRCalcPts[BYE],MATCH(TableWRRanks[[#This Row],[RK]],TableWRCalcPts[RK],0)),"")</f>
        <v>7</v>
      </c>
      <c r="S128" s="58">
        <f>IFERROR(INDEX(TableWRCalcPts[Custom],MATCH(TableWRRanks[[#This Row],[RK]],TableWRCalcPts[RK],0)),"")</f>
        <v>29.724437104205709</v>
      </c>
      <c r="T128" s="133">
        <f>(((VLOOKUP(TableWRRanks[[#This Row],[Player]],'OVR &amp; VORP Ranks'!$P:$T,5,FALSE)))/('OVR &amp; VORP Ranks'!$BM$6))*(Settings!$E$10*TEAMS)</f>
        <v>-34.441160086530161</v>
      </c>
    </row>
    <row r="129" spans="8:20" x14ac:dyDescent="0.2">
      <c r="H129">
        <v>128</v>
      </c>
      <c r="I129" t="str">
        <f>IFERROR(INDEX(TableRBCalcPts[PLAYER],MATCH(TableRBRanks[[#This Row],[RK]],TableRBCalcPts[RK],0)),"")</f>
        <v/>
      </c>
      <c r="J129" t="str">
        <f>IFERROR(INDEX(TableRBCalcPts[TM],MATCH(TableRBRanks[[#This Row],[RK]],TableRBCalcPts[RK],0)),"")</f>
        <v/>
      </c>
      <c r="K129" t="str">
        <f>IFERROR(INDEX(TableRBCalcPts[BYE],MATCH(TableRBRanks[[#This Row],[RK]],TableRBCalcPts[RK],0)),"")</f>
        <v/>
      </c>
      <c r="L129" s="58" t="str">
        <f>IFERROR(INDEX(TableRBCalcPts[Custom],MATCH(TableRBRanks[[#This Row],[RK]],TableRBCalcPts[RK],0)),"")</f>
        <v/>
      </c>
      <c r="M129" s="133" t="e">
        <f>(((VLOOKUP(TableRBRanks[[#This Row],[Player]],'OVR &amp; VORP Ranks'!$I:$M,5,FALSE)))/('OVR &amp; VORP Ranks'!$BM$6))*(Settings!$E$10*TEAMS)</f>
        <v>#VALUE!</v>
      </c>
      <c r="O129">
        <v>128</v>
      </c>
      <c r="P129" t="str">
        <f>IFERROR(INDEX(TableWRCalcPts[PLAYER],MATCH(TableWRRanks[[#This Row],[RK]],TableWRCalcPts[RK],0)),"")</f>
        <v>Zach Pascal</v>
      </c>
      <c r="Q129" t="str">
        <f>IFERROR(INDEX(TableWRCalcPts[TM],MATCH(TableWRRanks[[#This Row],[RK]],TableWRCalcPts[RK],0)),"")</f>
        <v>ARI</v>
      </c>
      <c r="R129">
        <f>IFERROR(INDEX(TableWRCalcPts[BYE],MATCH(TableWRRanks[[#This Row],[RK]],TableWRCalcPts[RK],0)),"")</f>
        <v>14</v>
      </c>
      <c r="S129" s="58">
        <f>IFERROR(INDEX(TableWRCalcPts[Custom],MATCH(TableWRRanks[[#This Row],[RK]],TableWRCalcPts[RK],0)),"")</f>
        <v>27.765618152580004</v>
      </c>
      <c r="T129" s="133">
        <f>(((VLOOKUP(TableWRRanks[[#This Row],[Player]],'OVR &amp; VORP Ranks'!$P:$T,5,FALSE)))/('OVR &amp; VORP Ranks'!$BM$6))*(Settings!$E$10*TEAMS)</f>
        <v>-35.111992054102011</v>
      </c>
    </row>
    <row r="130" spans="8:20" x14ac:dyDescent="0.2">
      <c r="H130">
        <v>129</v>
      </c>
      <c r="I130" t="str">
        <f>IFERROR(INDEX(TableRBCalcPts[PLAYER],MATCH(TableRBRanks[[#This Row],[RK]],TableRBCalcPts[RK],0)),"")</f>
        <v/>
      </c>
      <c r="J130" t="str">
        <f>IFERROR(INDEX(TableRBCalcPts[TM],MATCH(TableRBRanks[[#This Row],[RK]],TableRBCalcPts[RK],0)),"")</f>
        <v/>
      </c>
      <c r="K130" t="str">
        <f>IFERROR(INDEX(TableRBCalcPts[BYE],MATCH(TableRBRanks[[#This Row],[RK]],TableRBCalcPts[RK],0)),"")</f>
        <v/>
      </c>
      <c r="L130" s="58" t="str">
        <f>IFERROR(INDEX(TableRBCalcPts[Custom],MATCH(TableRBRanks[[#This Row],[RK]],TableRBCalcPts[RK],0)),"")</f>
        <v/>
      </c>
      <c r="M130" s="133" t="e">
        <f>(((VLOOKUP(TableRBRanks[[#This Row],[Player]],'OVR &amp; VORP Ranks'!$I:$M,5,FALSE)))/('OVR &amp; VORP Ranks'!$BM$6))*(Settings!$E$10*TEAMS)</f>
        <v>#VALUE!</v>
      </c>
      <c r="O130">
        <v>129</v>
      </c>
      <c r="P130" t="str">
        <f>IFERROR(INDEX(TableWRCalcPts[PLAYER],MATCH(TableWRRanks[[#This Row],[RK]],TableWRCalcPts[RK],0)),"")</f>
        <v>River Cracraft</v>
      </c>
      <c r="Q130" t="str">
        <f>IFERROR(INDEX(TableWRCalcPts[TM],MATCH(TableWRRanks[[#This Row],[RK]],TableWRCalcPts[RK],0)),"")</f>
        <v>MIA</v>
      </c>
      <c r="R130">
        <f>IFERROR(INDEX(TableWRCalcPts[BYE],MATCH(TableWRRanks[[#This Row],[RK]],TableWRCalcPts[RK],0)),"")</f>
        <v>10</v>
      </c>
      <c r="S130" s="58">
        <f>IFERROR(INDEX(TableWRCalcPts[Custom],MATCH(TableWRRanks[[#This Row],[RK]],TableWRCalcPts[RK],0)),"")</f>
        <v>26.416578674304006</v>
      </c>
      <c r="T130" s="133">
        <f>(((VLOOKUP(TableWRRanks[[#This Row],[Player]],'OVR &amp; VORP Ranks'!$P:$T,5,FALSE)))/('OVR &amp; VORP Ranks'!$BM$6))*(Settings!$E$10*TEAMS)</f>
        <v>-35.573994326845444</v>
      </c>
    </row>
    <row r="131" spans="8:20" x14ac:dyDescent="0.2">
      <c r="H131">
        <v>130</v>
      </c>
      <c r="I131" t="str">
        <f>IFERROR(INDEX(TableRBCalcPts[PLAYER],MATCH(TableRBRanks[[#This Row],[RK]],TableRBCalcPts[RK],0)),"")</f>
        <v/>
      </c>
      <c r="J131" t="str">
        <f>IFERROR(INDEX(TableRBCalcPts[TM],MATCH(TableRBRanks[[#This Row],[RK]],TableRBCalcPts[RK],0)),"")</f>
        <v/>
      </c>
      <c r="K131" t="str">
        <f>IFERROR(INDEX(TableRBCalcPts[BYE],MATCH(TableRBRanks[[#This Row],[RK]],TableRBCalcPts[RK],0)),"")</f>
        <v/>
      </c>
      <c r="L131" s="58" t="str">
        <f>IFERROR(INDEX(TableRBCalcPts[Custom],MATCH(TableRBRanks[[#This Row],[RK]],TableRBCalcPts[RK],0)),"")</f>
        <v/>
      </c>
      <c r="M131" s="133" t="e">
        <f>(((VLOOKUP(TableRBRanks[[#This Row],[Player]],'OVR &amp; VORP Ranks'!$I:$M,5,FALSE)))/('OVR &amp; VORP Ranks'!$BM$6))*(Settings!$E$10*TEAMS)</f>
        <v>#VALUE!</v>
      </c>
      <c r="O131">
        <v>130</v>
      </c>
      <c r="P131" t="str">
        <f>IFERROR(INDEX(TableWRCalcPts[PLAYER],MATCH(TableWRRanks[[#This Row],[RK]],TableWRCalcPts[RK],0)),"")</f>
        <v>Brandon Powell</v>
      </c>
      <c r="Q131" t="str">
        <f>IFERROR(INDEX(TableWRCalcPts[TM],MATCH(TableWRRanks[[#This Row],[RK]],TableWRCalcPts[RK],0)),"")</f>
        <v>MIN</v>
      </c>
      <c r="R131">
        <f>IFERROR(INDEX(TableWRCalcPts[BYE],MATCH(TableWRRanks[[#This Row],[RK]],TableWRCalcPts[RK],0)),"")</f>
        <v>13</v>
      </c>
      <c r="S131" s="58">
        <f>IFERROR(INDEX(TableWRCalcPts[Custom],MATCH(TableWRRanks[[#This Row],[RK]],TableWRCalcPts[RK],0)),"")</f>
        <v>26.324510102351994</v>
      </c>
      <c r="T131" s="133">
        <f>(((VLOOKUP(TableWRRanks[[#This Row],[Player]],'OVR &amp; VORP Ranks'!$P:$T,5,FALSE)))/('OVR &amp; VORP Ranks'!$BM$6))*(Settings!$E$10*TEAMS)</f>
        <v>-35.605524827008736</v>
      </c>
    </row>
    <row r="132" spans="8:20" x14ac:dyDescent="0.2">
      <c r="H132">
        <v>131</v>
      </c>
      <c r="I132" t="str">
        <f>IFERROR(INDEX(TableRBCalcPts[PLAYER],MATCH(TableRBRanks[[#This Row],[RK]],TableRBCalcPts[RK],0)),"")</f>
        <v/>
      </c>
      <c r="J132" t="str">
        <f>IFERROR(INDEX(TableRBCalcPts[TM],MATCH(TableRBRanks[[#This Row],[RK]],TableRBCalcPts[RK],0)),"")</f>
        <v/>
      </c>
      <c r="K132" t="str">
        <f>IFERROR(INDEX(TableRBCalcPts[BYE],MATCH(TableRBRanks[[#This Row],[RK]],TableRBCalcPts[RK],0)),"")</f>
        <v/>
      </c>
      <c r="L132" s="58" t="str">
        <f>IFERROR(INDEX(TableRBCalcPts[Custom],MATCH(TableRBRanks[[#This Row],[RK]],TableRBCalcPts[RK],0)),"")</f>
        <v/>
      </c>
      <c r="M132" s="133" t="e">
        <f>(((VLOOKUP(TableRBRanks[[#This Row],[Player]],'OVR &amp; VORP Ranks'!$I:$M,5,FALSE)))/('OVR &amp; VORP Ranks'!$BM$6))*(Settings!$E$10*TEAMS)</f>
        <v>#VALUE!</v>
      </c>
      <c r="O132">
        <v>131</v>
      </c>
      <c r="P132" t="str">
        <f>IFERROR(INDEX(TableWRCalcPts[PLAYER],MATCH(TableWRRanks[[#This Row],[RK]],TableWRCalcPts[RK],0)),"")</f>
        <v>Jason Brownlee</v>
      </c>
      <c r="Q132" t="str">
        <f>IFERROR(INDEX(TableWRCalcPts[TM],MATCH(TableWRRanks[[#This Row],[RK]],TableWRCalcPts[RK],0)),"")</f>
        <v>NYJ</v>
      </c>
      <c r="R132">
        <f>IFERROR(INDEX(TableWRCalcPts[BYE],MATCH(TableWRRanks[[#This Row],[RK]],TableWRCalcPts[RK],0)),"")</f>
        <v>7</v>
      </c>
      <c r="S132" s="58">
        <f>IFERROR(INDEX(TableWRCalcPts[Custom],MATCH(TableWRRanks[[#This Row],[RK]],TableWRCalcPts[RK],0)),"")</f>
        <v>26.314535347600497</v>
      </c>
      <c r="T132" s="133">
        <f>(((VLOOKUP(TableWRRanks[[#This Row],[Player]],'OVR &amp; VORP Ranks'!$P:$T,5,FALSE)))/('OVR &amp; VORP Ranks'!$BM$6))*(Settings!$E$10*TEAMS)</f>
        <v>-35.608940857035627</v>
      </c>
    </row>
    <row r="133" spans="8:20" x14ac:dyDescent="0.2">
      <c r="H133">
        <v>132</v>
      </c>
      <c r="I133" t="str">
        <f>IFERROR(INDEX(TableRBCalcPts[PLAYER],MATCH(TableRBRanks[[#This Row],[RK]],TableRBCalcPts[RK],0)),"")</f>
        <v/>
      </c>
      <c r="J133" t="str">
        <f>IFERROR(INDEX(TableRBCalcPts[TM],MATCH(TableRBRanks[[#This Row],[RK]],TableRBCalcPts[RK],0)),"")</f>
        <v/>
      </c>
      <c r="K133" t="str">
        <f>IFERROR(INDEX(TableRBCalcPts[BYE],MATCH(TableRBRanks[[#This Row],[RK]],TableRBCalcPts[RK],0)),"")</f>
        <v/>
      </c>
      <c r="L133" s="58" t="str">
        <f>IFERROR(INDEX(TableRBCalcPts[Custom],MATCH(TableRBRanks[[#This Row],[RK]],TableRBCalcPts[RK],0)),"")</f>
        <v/>
      </c>
      <c r="M133" s="133" t="e">
        <f>(((VLOOKUP(TableRBRanks[[#This Row],[Player]],'OVR &amp; VORP Ranks'!$I:$M,5,FALSE)))/('OVR &amp; VORP Ranks'!$BM$6))*(Settings!$E$10*TEAMS)</f>
        <v>#VALUE!</v>
      </c>
      <c r="O133">
        <v>132</v>
      </c>
      <c r="P133" t="str">
        <f>IFERROR(INDEX(TableWRCalcPts[PLAYER],MATCH(TableWRRanks[[#This Row],[RK]],TableWRCalcPts[RK],0)),"")</f>
        <v>Samori Toure</v>
      </c>
      <c r="Q133" t="str">
        <f>IFERROR(INDEX(TableWRCalcPts[TM],MATCH(TableWRRanks[[#This Row],[RK]],TableWRCalcPts[RK],0)),"")</f>
        <v>GB</v>
      </c>
      <c r="R133">
        <f>IFERROR(INDEX(TableWRCalcPts[BYE],MATCH(TableWRRanks[[#This Row],[RK]],TableWRCalcPts[RK],0)),"")</f>
        <v>6</v>
      </c>
      <c r="S133" s="58">
        <f>IFERROR(INDEX(TableWRCalcPts[Custom],MATCH(TableWRRanks[[#This Row],[RK]],TableWRCalcPts[RK],0)),"")</f>
        <v>25.989920188422406</v>
      </c>
      <c r="T133" s="133">
        <f>(((VLOOKUP(TableWRRanks[[#This Row],[Player]],'OVR &amp; VORP Ranks'!$P:$T,5,FALSE)))/('OVR &amp; VORP Ranks'!$BM$6))*(Settings!$E$10*TEAMS)</f>
        <v>-35.72011102197321</v>
      </c>
    </row>
    <row r="134" spans="8:20" x14ac:dyDescent="0.2">
      <c r="H134">
        <v>133</v>
      </c>
      <c r="I134" t="str">
        <f>IFERROR(INDEX(TableRBCalcPts[PLAYER],MATCH(TableRBRanks[[#This Row],[RK]],TableRBCalcPts[RK],0)),"")</f>
        <v/>
      </c>
      <c r="J134" t="str">
        <f>IFERROR(INDEX(TableRBCalcPts[TM],MATCH(TableRBRanks[[#This Row],[RK]],TableRBCalcPts[RK],0)),"")</f>
        <v/>
      </c>
      <c r="K134" t="str">
        <f>IFERROR(INDEX(TableRBCalcPts[BYE],MATCH(TableRBRanks[[#This Row],[RK]],TableRBCalcPts[RK],0)),"")</f>
        <v/>
      </c>
      <c r="L134" s="58" t="str">
        <f>IFERROR(INDEX(TableRBCalcPts[Custom],MATCH(TableRBRanks[[#This Row],[RK]],TableRBCalcPts[RK],0)),"")</f>
        <v/>
      </c>
      <c r="M134" s="133" t="e">
        <f>(((VLOOKUP(TableRBRanks[[#This Row],[Player]],'OVR &amp; VORP Ranks'!$I:$M,5,FALSE)))/('OVR &amp; VORP Ranks'!$BM$6))*(Settings!$E$10*TEAMS)</f>
        <v>#VALUE!</v>
      </c>
      <c r="O134">
        <v>133</v>
      </c>
      <c r="P134" t="str">
        <f>IFERROR(INDEX(TableWRCalcPts[PLAYER],MATCH(TableWRRanks[[#This Row],[RK]],TableWRCalcPts[RK],0)),"")</f>
        <v>Nelson Agholor</v>
      </c>
      <c r="Q134" t="str">
        <f>IFERROR(INDEX(TableWRCalcPts[TM],MATCH(TableWRRanks[[#This Row],[RK]],TableWRCalcPts[RK],0)),"")</f>
        <v>BAL</v>
      </c>
      <c r="R134">
        <f>IFERROR(INDEX(TableWRCalcPts[BYE],MATCH(TableWRRanks[[#This Row],[RK]],TableWRCalcPts[RK],0)),"")</f>
        <v>13</v>
      </c>
      <c r="S134" s="58">
        <f>IFERROR(INDEX(TableWRCalcPts[Custom],MATCH(TableWRRanks[[#This Row],[RK]],TableWRCalcPts[RK],0)),"")</f>
        <v>24.648219082428216</v>
      </c>
      <c r="T134" s="133">
        <f>(((VLOOKUP(TableWRRanks[[#This Row],[Player]],'OVR &amp; VORP Ranks'!$P:$T,5,FALSE)))/('OVR &amp; VORP Ranks'!$BM$6))*(Settings!$E$10*TEAMS)</f>
        <v>-36.179600140189265</v>
      </c>
    </row>
    <row r="135" spans="8:20" x14ac:dyDescent="0.2">
      <c r="H135">
        <v>134</v>
      </c>
      <c r="I135" t="str">
        <f>IFERROR(INDEX(TableRBCalcPts[PLAYER],MATCH(TableRBRanks[[#This Row],[RK]],TableRBCalcPts[RK],0)),"")</f>
        <v/>
      </c>
      <c r="J135" t="str">
        <f>IFERROR(INDEX(TableRBCalcPts[TM],MATCH(TableRBRanks[[#This Row],[RK]],TableRBCalcPts[RK],0)),"")</f>
        <v/>
      </c>
      <c r="K135" t="str">
        <f>IFERROR(INDEX(TableRBCalcPts[BYE],MATCH(TableRBRanks[[#This Row],[RK]],TableRBCalcPts[RK],0)),"")</f>
        <v/>
      </c>
      <c r="L135" s="58" t="str">
        <f>IFERROR(INDEX(TableRBCalcPts[Custom],MATCH(TableRBRanks[[#This Row],[RK]],TableRBCalcPts[RK],0)),"")</f>
        <v/>
      </c>
      <c r="M135" s="133" t="e">
        <f>(((VLOOKUP(TableRBRanks[[#This Row],[Player]],'OVR &amp; VORP Ranks'!$I:$M,5,FALSE)))/('OVR &amp; VORP Ranks'!$BM$6))*(Settings!$E$10*TEAMS)</f>
        <v>#VALUE!</v>
      </c>
      <c r="O135">
        <v>134</v>
      </c>
      <c r="P135" t="str">
        <f>IFERROR(INDEX(TableWRCalcPts[PLAYER],MATCH(TableWRRanks[[#This Row],[RK]],TableWRCalcPts[RK],0)),"")</f>
        <v>A.T. Perry</v>
      </c>
      <c r="Q135" t="str">
        <f>IFERROR(INDEX(TableWRCalcPts[TM],MATCH(TableWRRanks[[#This Row],[RK]],TableWRCalcPts[RK],0)),"")</f>
        <v>NO</v>
      </c>
      <c r="R135">
        <f>IFERROR(INDEX(TableWRCalcPts[BYE],MATCH(TableWRRanks[[#This Row],[RK]],TableWRCalcPts[RK],0)),"")</f>
        <v>11</v>
      </c>
      <c r="S135" s="58">
        <f>IFERROR(INDEX(TableWRCalcPts[Custom],MATCH(TableWRRanks[[#This Row],[RK]],TableWRCalcPts[RK],0)),"")</f>
        <v>24.507357616987889</v>
      </c>
      <c r="T135" s="133">
        <f>(((VLOOKUP(TableWRRanks[[#This Row],[Player]],'OVR &amp; VORP Ranks'!$P:$T,5,FALSE)))/('OVR &amp; VORP Ranks'!$BM$6))*(Settings!$E$10*TEAMS)</f>
        <v>-36.22784062404714</v>
      </c>
    </row>
    <row r="136" spans="8:20" x14ac:dyDescent="0.2">
      <c r="H136">
        <v>135</v>
      </c>
      <c r="I136" t="str">
        <f>IFERROR(INDEX(TableRBCalcPts[PLAYER],MATCH(TableRBRanks[[#This Row],[RK]],TableRBCalcPts[RK],0)),"")</f>
        <v/>
      </c>
      <c r="J136" t="str">
        <f>IFERROR(INDEX(TableRBCalcPts[TM],MATCH(TableRBRanks[[#This Row],[RK]],TableRBCalcPts[RK],0)),"")</f>
        <v/>
      </c>
      <c r="K136" t="str">
        <f>IFERROR(INDEX(TableRBCalcPts[BYE],MATCH(TableRBRanks[[#This Row],[RK]],TableRBCalcPts[RK],0)),"")</f>
        <v/>
      </c>
      <c r="L136" s="58" t="str">
        <f>IFERROR(INDEX(TableRBCalcPts[Custom],MATCH(TableRBRanks[[#This Row],[RK]],TableRBCalcPts[RK],0)),"")</f>
        <v/>
      </c>
      <c r="M136" s="133" t="e">
        <f>(((VLOOKUP(TableRBRanks[[#This Row],[Player]],'OVR &amp; VORP Ranks'!$I:$M,5,FALSE)))/('OVR &amp; VORP Ranks'!$BM$6))*(Settings!$E$10*TEAMS)</f>
        <v>#VALUE!</v>
      </c>
      <c r="O136">
        <v>135</v>
      </c>
      <c r="P136" t="str">
        <f>IFERROR(INDEX(TableWRCalcPts[PLAYER],MATCH(TableWRRanks[[#This Row],[RK]],TableWRCalcPts[RK],0)),"")</f>
        <v>Dyami Brown</v>
      </c>
      <c r="Q136" t="str">
        <f>IFERROR(INDEX(TableWRCalcPts[TM],MATCH(TableWRRanks[[#This Row],[RK]],TableWRCalcPts[RK],0)),"")</f>
        <v>WSH</v>
      </c>
      <c r="R136">
        <f>IFERROR(INDEX(TableWRCalcPts[BYE],MATCH(TableWRRanks[[#This Row],[RK]],TableWRCalcPts[RK],0)),"")</f>
        <v>14</v>
      </c>
      <c r="S136" s="58">
        <f>IFERROR(INDEX(TableWRCalcPts[Custom],MATCH(TableWRRanks[[#This Row],[RK]],TableWRCalcPts[RK],0)),"")</f>
        <v>24.28852591635879</v>
      </c>
      <c r="T136" s="133">
        <f>(((VLOOKUP(TableWRRanks[[#This Row],[Player]],'OVR &amp; VORP Ranks'!$P:$T,5,FALSE)))/('OVR &amp; VORP Ranks'!$BM$6))*(Settings!$E$10*TEAMS)</f>
        <v>-36.302783384927757</v>
      </c>
    </row>
    <row r="137" spans="8:20" x14ac:dyDescent="0.2">
      <c r="H137">
        <v>136</v>
      </c>
      <c r="I137" t="str">
        <f>IFERROR(INDEX(TableRBCalcPts[PLAYER],MATCH(TableRBRanks[[#This Row],[RK]],TableRBCalcPts[RK],0)),"")</f>
        <v/>
      </c>
      <c r="J137" t="str">
        <f>IFERROR(INDEX(TableRBCalcPts[TM],MATCH(TableRBRanks[[#This Row],[RK]],TableRBCalcPts[RK],0)),"")</f>
        <v/>
      </c>
      <c r="K137" t="str">
        <f>IFERROR(INDEX(TableRBCalcPts[BYE],MATCH(TableRBRanks[[#This Row],[RK]],TableRBCalcPts[RK],0)),"")</f>
        <v/>
      </c>
      <c r="L137" s="58" t="str">
        <f>IFERROR(INDEX(TableRBCalcPts[Custom],MATCH(TableRBRanks[[#This Row],[RK]],TableRBCalcPts[RK],0)),"")</f>
        <v/>
      </c>
      <c r="M137" s="133" t="e">
        <f>(((VLOOKUP(TableRBRanks[[#This Row],[Player]],'OVR &amp; VORP Ranks'!$I:$M,5,FALSE)))/('OVR &amp; VORP Ranks'!$BM$6))*(Settings!$E$10*TEAMS)</f>
        <v>#VALUE!</v>
      </c>
      <c r="O137">
        <v>136</v>
      </c>
      <c r="P137" t="str">
        <f>IFERROR(INDEX(TableWRCalcPts[PLAYER],MATCH(TableWRRanks[[#This Row],[RK]],TableWRCalcPts[RK],0)),"")</f>
        <v>Tyler Scott</v>
      </c>
      <c r="Q137" t="str">
        <f>IFERROR(INDEX(TableWRCalcPts[TM],MATCH(TableWRRanks[[#This Row],[RK]],TableWRCalcPts[RK],0)),"")</f>
        <v>CHI</v>
      </c>
      <c r="R137">
        <f>IFERROR(INDEX(TableWRCalcPts[BYE],MATCH(TableWRRanks[[#This Row],[RK]],TableWRCalcPts[RK],0)),"")</f>
        <v>13</v>
      </c>
      <c r="S137" s="58">
        <f>IFERROR(INDEX(TableWRCalcPts[Custom],MATCH(TableWRRanks[[#This Row],[RK]],TableWRCalcPts[RK],0)),"")</f>
        <v>22.848987911184629</v>
      </c>
      <c r="T137" s="133">
        <f>(((VLOOKUP(TableWRRanks[[#This Row],[Player]],'OVR &amp; VORP Ranks'!$P:$T,5,FALSE)))/('OVR &amp; VORP Ranks'!$BM$6))*(Settings!$E$10*TEAMS)</f>
        <v>-36.795778468319192</v>
      </c>
    </row>
    <row r="138" spans="8:20" x14ac:dyDescent="0.2">
      <c r="H138">
        <v>137</v>
      </c>
      <c r="I138" t="str">
        <f>IFERROR(INDEX(TableRBCalcPts[PLAYER],MATCH(TableRBRanks[[#This Row],[RK]],TableRBCalcPts[RK],0)),"")</f>
        <v/>
      </c>
      <c r="J138" t="str">
        <f>IFERROR(INDEX(TableRBCalcPts[TM],MATCH(TableRBRanks[[#This Row],[RK]],TableRBCalcPts[RK],0)),"")</f>
        <v/>
      </c>
      <c r="K138" t="str">
        <f>IFERROR(INDEX(TableRBCalcPts[BYE],MATCH(TableRBRanks[[#This Row],[RK]],TableRBCalcPts[RK],0)),"")</f>
        <v/>
      </c>
      <c r="L138" s="58" t="str">
        <f>IFERROR(INDEX(TableRBCalcPts[Custom],MATCH(TableRBRanks[[#This Row],[RK]],TableRBCalcPts[RK],0)),"")</f>
        <v/>
      </c>
      <c r="M138" s="133" t="e">
        <f>(((VLOOKUP(TableRBRanks[[#This Row],[Player]],'OVR &amp; VORP Ranks'!$I:$M,5,FALSE)))/('OVR &amp; VORP Ranks'!$BM$6))*(Settings!$E$10*TEAMS)</f>
        <v>#VALUE!</v>
      </c>
      <c r="O138">
        <v>137</v>
      </c>
      <c r="P138" t="str">
        <f>IFERROR(INDEX(TableWRCalcPts[PLAYER],MATCH(TableWRRanks[[#This Row],[RK]],TableWRCalcPts[RK],0)),"")</f>
        <v>Tre'Quan Smith</v>
      </c>
      <c r="Q138" t="str">
        <f>IFERROR(INDEX(TableWRCalcPts[TM],MATCH(TableWRRanks[[#This Row],[RK]],TableWRCalcPts[RK],0)),"")</f>
        <v>NO</v>
      </c>
      <c r="R138">
        <f>IFERROR(INDEX(TableWRCalcPts[BYE],MATCH(TableWRRanks[[#This Row],[RK]],TableWRCalcPts[RK],0)),"")</f>
        <v>11</v>
      </c>
      <c r="S138" s="58">
        <f>IFERROR(INDEX(TableWRCalcPts[Custom],MATCH(TableWRRanks[[#This Row],[RK]],TableWRCalcPts[RK],0)),"")</f>
        <v>22.644639589571998</v>
      </c>
      <c r="T138" s="133">
        <f>(((VLOOKUP(TableWRRanks[[#This Row],[Player]],'OVR &amp; VORP Ranks'!$P:$T,5,FALSE)))/('OVR &amp; VORP Ranks'!$BM$6))*(Settings!$E$10*TEAMS)</f>
        <v>-36.865761141574239</v>
      </c>
    </row>
    <row r="139" spans="8:20" x14ac:dyDescent="0.2">
      <c r="H139">
        <v>138</v>
      </c>
      <c r="I139" t="str">
        <f>IFERROR(INDEX(TableRBCalcPts[PLAYER],MATCH(TableRBRanks[[#This Row],[RK]],TableRBCalcPts[RK],0)),"")</f>
        <v/>
      </c>
      <c r="J139" t="str">
        <f>IFERROR(INDEX(TableRBCalcPts[TM],MATCH(TableRBRanks[[#This Row],[RK]],TableRBCalcPts[RK],0)),"")</f>
        <v/>
      </c>
      <c r="K139" t="str">
        <f>IFERROR(INDEX(TableRBCalcPts[BYE],MATCH(TableRBRanks[[#This Row],[RK]],TableRBCalcPts[RK],0)),"")</f>
        <v/>
      </c>
      <c r="L139" s="58" t="str">
        <f>IFERROR(INDEX(TableRBCalcPts[Custom],MATCH(TableRBRanks[[#This Row],[RK]],TableRBCalcPts[RK],0)),"")</f>
        <v/>
      </c>
      <c r="M139" s="133" t="e">
        <f>(((VLOOKUP(TableRBRanks[[#This Row],[Player]],'OVR &amp; VORP Ranks'!$I:$M,5,FALSE)))/('OVR &amp; VORP Ranks'!$BM$6))*(Settings!$E$10*TEAMS)</f>
        <v>#VALUE!</v>
      </c>
      <c r="O139">
        <v>138</v>
      </c>
      <c r="P139" t="str">
        <f>IFERROR(INDEX(TableWRCalcPts[PLAYER],MATCH(TableWRRanks[[#This Row],[RK]],TableWRCalcPts[RK],0)),"")</f>
        <v>Jake Bobo</v>
      </c>
      <c r="Q139" t="str">
        <f>IFERROR(INDEX(TableWRCalcPts[TM],MATCH(TableWRRanks[[#This Row],[RK]],TableWRCalcPts[RK],0)),"")</f>
        <v>SEA</v>
      </c>
      <c r="R139">
        <f>IFERROR(INDEX(TableWRCalcPts[BYE],MATCH(TableWRRanks[[#This Row],[RK]],TableWRCalcPts[RK],0)),"")</f>
        <v>5</v>
      </c>
      <c r="S139" s="58">
        <f>IFERROR(INDEX(TableWRCalcPts[Custom],MATCH(TableWRRanks[[#This Row],[RK]],TableWRCalcPts[RK],0)),"")</f>
        <v>21.473156859376324</v>
      </c>
      <c r="T139" s="133">
        <f>(((VLOOKUP(TableWRRanks[[#This Row],[Player]],'OVR &amp; VORP Ranks'!$P:$T,5,FALSE)))/('OVR &amp; VORP Ranks'!$BM$6))*(Settings!$E$10*TEAMS)</f>
        <v>-37.26695598616228</v>
      </c>
    </row>
    <row r="140" spans="8:20" x14ac:dyDescent="0.2">
      <c r="H140">
        <v>139</v>
      </c>
      <c r="I140" t="str">
        <f>IFERROR(INDEX(TableRBCalcPts[PLAYER],MATCH(TableRBRanks[[#This Row],[RK]],TableRBCalcPts[RK],0)),"")</f>
        <v/>
      </c>
      <c r="J140" t="str">
        <f>IFERROR(INDEX(TableRBCalcPts[TM],MATCH(TableRBRanks[[#This Row],[RK]],TableRBCalcPts[RK],0)),"")</f>
        <v/>
      </c>
      <c r="K140" t="str">
        <f>IFERROR(INDEX(TableRBCalcPts[BYE],MATCH(TableRBRanks[[#This Row],[RK]],TableRBCalcPts[RK],0)),"")</f>
        <v/>
      </c>
      <c r="L140" s="58" t="str">
        <f>IFERROR(INDEX(TableRBCalcPts[Custom],MATCH(TableRBRanks[[#This Row],[RK]],TableRBCalcPts[RK],0)),"")</f>
        <v/>
      </c>
      <c r="M140" s="133" t="e">
        <f>(((VLOOKUP(TableRBRanks[[#This Row],[Player]],'OVR &amp; VORP Ranks'!$I:$M,5,FALSE)))/('OVR &amp; VORP Ranks'!$BM$6))*(Settings!$E$10*TEAMS)</f>
        <v>#VALUE!</v>
      </c>
      <c r="O140">
        <v>139</v>
      </c>
      <c r="P140" t="str">
        <f>IFERROR(INDEX(TableWRCalcPts[PLAYER],MATCH(TableWRRanks[[#This Row],[RK]],TableWRCalcPts[RK],0)),"")</f>
        <v>Parker Washington</v>
      </c>
      <c r="Q140" t="str">
        <f>IFERROR(INDEX(TableWRCalcPts[TM],MATCH(TableWRRanks[[#This Row],[RK]],TableWRCalcPts[RK],0)),"")</f>
        <v>JAX</v>
      </c>
      <c r="R140">
        <f>IFERROR(INDEX(TableWRCalcPts[BYE],MATCH(TableWRRanks[[#This Row],[RK]],TableWRCalcPts[RK],0)),"")</f>
        <v>9</v>
      </c>
      <c r="S140" s="58">
        <f>IFERROR(INDEX(TableWRCalcPts[Custom],MATCH(TableWRRanks[[#This Row],[RK]],TableWRCalcPts[RK],0)),"")</f>
        <v>21.3997226771328</v>
      </c>
      <c r="T140" s="133">
        <f>(((VLOOKUP(TableWRRanks[[#This Row],[Player]],'OVR &amp; VORP Ranks'!$P:$T,5,FALSE)))/('OVR &amp; VORP Ranks'!$BM$6))*(Settings!$E$10*TEAMS)</f>
        <v>-37.29210481215285</v>
      </c>
    </row>
    <row r="141" spans="8:20" x14ac:dyDescent="0.2">
      <c r="H141">
        <v>140</v>
      </c>
      <c r="I141" t="str">
        <f>IFERROR(INDEX(TableRBCalcPts[PLAYER],MATCH(TableRBRanks[[#This Row],[RK]],TableRBCalcPts[RK],0)),"")</f>
        <v/>
      </c>
      <c r="J141" t="str">
        <f>IFERROR(INDEX(TableRBCalcPts[TM],MATCH(TableRBRanks[[#This Row],[RK]],TableRBCalcPts[RK],0)),"")</f>
        <v/>
      </c>
      <c r="K141" t="str">
        <f>IFERROR(INDEX(TableRBCalcPts[BYE],MATCH(TableRBRanks[[#This Row],[RK]],TableRBCalcPts[RK],0)),"")</f>
        <v/>
      </c>
      <c r="L141" s="58" t="str">
        <f>IFERROR(INDEX(TableRBCalcPts[Custom],MATCH(TableRBRanks[[#This Row],[RK]],TableRBCalcPts[RK],0)),"")</f>
        <v/>
      </c>
      <c r="M141" s="133" t="e">
        <f>(((VLOOKUP(TableRBRanks[[#This Row],[Player]],'OVR &amp; VORP Ranks'!$I:$M,5,FALSE)))/('OVR &amp; VORP Ranks'!$BM$6))*(Settings!$E$10*TEAMS)</f>
        <v>#VALUE!</v>
      </c>
      <c r="O141">
        <v>140</v>
      </c>
      <c r="P141" t="str">
        <f>IFERROR(INDEX(TableWRCalcPts[PLAYER],MATCH(TableWRRanks[[#This Row],[RK]],TableWRCalcPts[RK],0)),"")</f>
        <v>Chris Moore</v>
      </c>
      <c r="Q141" t="str">
        <f>IFERROR(INDEX(TableWRCalcPts[TM],MATCH(TableWRRanks[[#This Row],[RK]],TableWRCalcPts[RK],0)),"")</f>
        <v>TEN</v>
      </c>
      <c r="R141">
        <f>IFERROR(INDEX(TableWRCalcPts[BYE],MATCH(TableWRRanks[[#This Row],[RK]],TableWRCalcPts[RK],0)),"")</f>
        <v>7</v>
      </c>
      <c r="S141" s="58">
        <f>IFERROR(INDEX(TableWRCalcPts[Custom],MATCH(TableWRRanks[[#This Row],[RK]],TableWRCalcPts[RK],0)),"")</f>
        <v>21.260022568135398</v>
      </c>
      <c r="T141" s="133">
        <f>(((VLOOKUP(TableWRRanks[[#This Row],[Player]],'OVR &amp; VORP Ranks'!$P:$T,5,FALSE)))/('OVR &amp; VORP Ranks'!$BM$6))*(Settings!$E$10*TEAMS)</f>
        <v>-37.33994756909113</v>
      </c>
    </row>
    <row r="142" spans="8:20" x14ac:dyDescent="0.2">
      <c r="H142">
        <v>141</v>
      </c>
      <c r="I142" t="str">
        <f>IFERROR(INDEX(TableRBCalcPts[PLAYER],MATCH(TableRBRanks[[#This Row],[RK]],TableRBCalcPts[RK],0)),"")</f>
        <v/>
      </c>
      <c r="J142" t="str">
        <f>IFERROR(INDEX(TableRBCalcPts[TM],MATCH(TableRBRanks[[#This Row],[RK]],TableRBCalcPts[RK],0)),"")</f>
        <v/>
      </c>
      <c r="K142" t="str">
        <f>IFERROR(INDEX(TableRBCalcPts[BYE],MATCH(TableRBRanks[[#This Row],[RK]],TableRBCalcPts[RK],0)),"")</f>
        <v/>
      </c>
      <c r="L142" s="58" t="str">
        <f>IFERROR(INDEX(TableRBCalcPts[Custom],MATCH(TableRBRanks[[#This Row],[RK]],TableRBCalcPts[RK],0)),"")</f>
        <v/>
      </c>
      <c r="M142" s="133" t="e">
        <f>(((VLOOKUP(TableRBRanks[[#This Row],[Player]],'OVR &amp; VORP Ranks'!$I:$M,5,FALSE)))/('OVR &amp; VORP Ranks'!$BM$6))*(Settings!$E$10*TEAMS)</f>
        <v>#VALUE!</v>
      </c>
      <c r="O142">
        <v>141</v>
      </c>
      <c r="P142" t="str">
        <f>IFERROR(INDEX(TableWRCalcPts[PLAYER],MATCH(TableWRRanks[[#This Row],[RK]],TableWRCalcPts[RK],0)),"")</f>
        <v>Josh Ali</v>
      </c>
      <c r="Q142" t="str">
        <f>IFERROR(INDEX(TableWRCalcPts[TM],MATCH(TableWRRanks[[#This Row],[RK]],TableWRCalcPts[RK],0)),"")</f>
        <v>ATL</v>
      </c>
      <c r="R142">
        <f>IFERROR(INDEX(TableWRCalcPts[BYE],MATCH(TableWRRanks[[#This Row],[RK]],TableWRCalcPts[RK],0)),"")</f>
        <v>11</v>
      </c>
      <c r="S142" s="58">
        <f>IFERROR(INDEX(TableWRCalcPts[Custom],MATCH(TableWRRanks[[#This Row],[RK]],TableWRCalcPts[RK],0)),"")</f>
        <v>21.123903027513649</v>
      </c>
      <c r="T142" s="133">
        <f>(((VLOOKUP(TableWRRanks[[#This Row],[Player]],'OVR &amp; VORP Ranks'!$P:$T,5,FALSE)))/('OVR &amp; VORP Ranks'!$BM$6))*(Settings!$E$10*TEAMS)</f>
        <v>-37.386564097476501</v>
      </c>
    </row>
    <row r="143" spans="8:20" x14ac:dyDescent="0.2">
      <c r="H143">
        <v>142</v>
      </c>
      <c r="I143" t="str">
        <f>IFERROR(INDEX(TableRBCalcPts[PLAYER],MATCH(TableRBRanks[[#This Row],[RK]],TableRBCalcPts[RK],0)),"")</f>
        <v/>
      </c>
      <c r="J143" t="str">
        <f>IFERROR(INDEX(TableRBCalcPts[TM],MATCH(TableRBRanks[[#This Row],[RK]],TableRBCalcPts[RK],0)),"")</f>
        <v/>
      </c>
      <c r="K143" t="str">
        <f>IFERROR(INDEX(TableRBCalcPts[BYE],MATCH(TableRBRanks[[#This Row],[RK]],TableRBCalcPts[RK],0)),"")</f>
        <v/>
      </c>
      <c r="L143" s="58" t="str">
        <f>IFERROR(INDEX(TableRBCalcPts[Custom],MATCH(TableRBRanks[[#This Row],[RK]],TableRBCalcPts[RK],0)),"")</f>
        <v/>
      </c>
      <c r="M143" s="133" t="e">
        <f>(((VLOOKUP(TableRBRanks[[#This Row],[Player]],'OVR &amp; VORP Ranks'!$I:$M,5,FALSE)))/('OVR &amp; VORP Ranks'!$BM$6))*(Settings!$E$10*TEAMS)</f>
        <v>#VALUE!</v>
      </c>
      <c r="O143">
        <v>142</v>
      </c>
      <c r="P143" t="str">
        <f>IFERROR(INDEX(TableWRCalcPts[PLAYER],MATCH(TableWRRanks[[#This Row],[RK]],TableWRCalcPts[RK],0)),"")</f>
        <v>Calvin Austin</v>
      </c>
      <c r="Q143" t="str">
        <f>IFERROR(INDEX(TableWRCalcPts[TM],MATCH(TableWRRanks[[#This Row],[RK]],TableWRCalcPts[RK],0)),"")</f>
        <v>PIT</v>
      </c>
      <c r="R143">
        <f>IFERROR(INDEX(TableWRCalcPts[BYE],MATCH(TableWRRanks[[#This Row],[RK]],TableWRCalcPts[RK],0)),"")</f>
        <v>6</v>
      </c>
      <c r="S143" s="58">
        <f>IFERROR(INDEX(TableWRCalcPts[Custom],MATCH(TableWRRanks[[#This Row],[RK]],TableWRCalcPts[RK],0)),"")</f>
        <v>20.161777129038061</v>
      </c>
      <c r="T143" s="133">
        <f>(((VLOOKUP(TableWRRanks[[#This Row],[Player]],'OVR &amp; VORP Ranks'!$P:$T,5,FALSE)))/('OVR &amp; VORP Ranks'!$BM$6))*(Settings!$E$10*TEAMS)</f>
        <v>-37.716061016520776</v>
      </c>
    </row>
    <row r="144" spans="8:20" x14ac:dyDescent="0.2">
      <c r="H144">
        <v>143</v>
      </c>
      <c r="I144" t="str">
        <f>IFERROR(INDEX(TableRBCalcPts[PLAYER],MATCH(TableRBRanks[[#This Row],[RK]],TableRBCalcPts[RK],0)),"")</f>
        <v/>
      </c>
      <c r="J144" t="str">
        <f>IFERROR(INDEX(TableRBCalcPts[TM],MATCH(TableRBRanks[[#This Row],[RK]],TableRBCalcPts[RK],0)),"")</f>
        <v/>
      </c>
      <c r="K144" t="str">
        <f>IFERROR(INDEX(TableRBCalcPts[BYE],MATCH(TableRBRanks[[#This Row],[RK]],TableRBCalcPts[RK],0)),"")</f>
        <v/>
      </c>
      <c r="L144" s="58" t="str">
        <f>IFERROR(INDEX(TableRBCalcPts[Custom],MATCH(TableRBRanks[[#This Row],[RK]],TableRBCalcPts[RK],0)),"")</f>
        <v/>
      </c>
      <c r="M144" s="133" t="e">
        <f>(((VLOOKUP(TableRBRanks[[#This Row],[Player]],'OVR &amp; VORP Ranks'!$I:$M,5,FALSE)))/('OVR &amp; VORP Ranks'!$BM$6))*(Settings!$E$10*TEAMS)</f>
        <v>#VALUE!</v>
      </c>
      <c r="O144">
        <v>143</v>
      </c>
      <c r="P144" t="str">
        <f>IFERROR(INDEX(TableWRCalcPts[PLAYER],MATCH(TableWRRanks[[#This Row],[RK]],TableWRCalcPts[RK],0)),"")</f>
        <v>Malik Heath</v>
      </c>
      <c r="Q144" t="str">
        <f>IFERROR(INDEX(TableWRCalcPts[TM],MATCH(TableWRRanks[[#This Row],[RK]],TableWRCalcPts[RK],0)),"")</f>
        <v>GB</v>
      </c>
      <c r="R144">
        <f>IFERROR(INDEX(TableWRCalcPts[BYE],MATCH(TableWRRanks[[#This Row],[RK]],TableWRCalcPts[RK],0)),"")</f>
        <v>6</v>
      </c>
      <c r="S144" s="58">
        <f>IFERROR(INDEX(TableWRCalcPts[Custom],MATCH(TableWRRanks[[#This Row],[RK]],TableWRCalcPts[RK],0)),"")</f>
        <v>18.534319168668365</v>
      </c>
      <c r="T144" s="133">
        <f>(((VLOOKUP(TableWRRanks[[#This Row],[Player]],'OVR &amp; VORP Ranks'!$P:$T,5,FALSE)))/('OVR &amp; VORP Ranks'!$BM$6))*(Settings!$E$10*TEAMS)</f>
        <v>-38.273412590431768</v>
      </c>
    </row>
    <row r="145" spans="8:20" x14ac:dyDescent="0.2">
      <c r="H145">
        <v>144</v>
      </c>
      <c r="I145" t="str">
        <f>IFERROR(INDEX(TableRBCalcPts[PLAYER],MATCH(TableRBRanks[[#This Row],[RK]],TableRBCalcPts[RK],0)),"")</f>
        <v/>
      </c>
      <c r="J145" t="str">
        <f>IFERROR(INDEX(TableRBCalcPts[TM],MATCH(TableRBRanks[[#This Row],[RK]],TableRBCalcPts[RK],0)),"")</f>
        <v/>
      </c>
      <c r="K145" t="str">
        <f>IFERROR(INDEX(TableRBCalcPts[BYE],MATCH(TableRBRanks[[#This Row],[RK]],TableRBCalcPts[RK],0)),"")</f>
        <v/>
      </c>
      <c r="L145" s="58" t="str">
        <f>IFERROR(INDEX(TableRBCalcPts[Custom],MATCH(TableRBRanks[[#This Row],[RK]],TableRBCalcPts[RK],0)),"")</f>
        <v/>
      </c>
      <c r="M145" s="133" t="e">
        <f>(((VLOOKUP(TableRBRanks[[#This Row],[Player]],'OVR &amp; VORP Ranks'!$I:$M,5,FALSE)))/('OVR &amp; VORP Ranks'!$BM$6))*(Settings!$E$10*TEAMS)</f>
        <v>#VALUE!</v>
      </c>
      <c r="O145">
        <v>144</v>
      </c>
      <c r="P145" t="str">
        <f>IFERROR(INDEX(TableWRCalcPts[PLAYER],MATCH(TableWRRanks[[#This Row],[RK]],TableWRCalcPts[RK],0)),"")</f>
        <v>Dareke Young</v>
      </c>
      <c r="Q145" t="str">
        <f>IFERROR(INDEX(TableWRCalcPts[TM],MATCH(TableWRRanks[[#This Row],[RK]],TableWRCalcPts[RK],0)),"")</f>
        <v>SEA</v>
      </c>
      <c r="R145">
        <f>IFERROR(INDEX(TableWRCalcPts[BYE],MATCH(TableWRRanks[[#This Row],[RK]],TableWRCalcPts[RK],0)),"")</f>
        <v>5</v>
      </c>
      <c r="S145" s="58">
        <f>IFERROR(INDEX(TableWRCalcPts[Custom],MATCH(TableWRRanks[[#This Row],[RK]],TableWRCalcPts[RK],0)),"")</f>
        <v>18.109175132318295</v>
      </c>
      <c r="T145" s="133">
        <f>(((VLOOKUP(TableWRRanks[[#This Row],[Player]],'OVR &amp; VORP Ranks'!$P:$T,5,FALSE)))/('OVR &amp; VORP Ranks'!$BM$6))*(Settings!$E$10*TEAMS)</f>
        <v>-38.419010635707707</v>
      </c>
    </row>
    <row r="146" spans="8:20" x14ac:dyDescent="0.2">
      <c r="H146">
        <v>145</v>
      </c>
      <c r="I146" t="str">
        <f>IFERROR(INDEX(TableRBCalcPts[PLAYER],MATCH(TableRBRanks[[#This Row],[RK]],TableRBCalcPts[RK],0)),"")</f>
        <v/>
      </c>
      <c r="J146" t="str">
        <f>IFERROR(INDEX(TableRBCalcPts[TM],MATCH(TableRBRanks[[#This Row],[RK]],TableRBCalcPts[RK],0)),"")</f>
        <v/>
      </c>
      <c r="K146" t="str">
        <f>IFERROR(INDEX(TableRBCalcPts[BYE],MATCH(TableRBRanks[[#This Row],[RK]],TableRBCalcPts[RK],0)),"")</f>
        <v/>
      </c>
      <c r="L146" s="58" t="str">
        <f>IFERROR(INDEX(TableRBCalcPts[Custom],MATCH(TableRBRanks[[#This Row],[RK]],TableRBCalcPts[RK],0)),"")</f>
        <v/>
      </c>
      <c r="M146" s="133" t="e">
        <f>(((VLOOKUP(TableRBRanks[[#This Row],[Player]],'OVR &amp; VORP Ranks'!$I:$M,5,FALSE)))/('OVR &amp; VORP Ranks'!$BM$6))*(Settings!$E$10*TEAMS)</f>
        <v>#VALUE!</v>
      </c>
      <c r="O146">
        <v>145</v>
      </c>
      <c r="P146" t="str">
        <f>IFERROR(INDEX(TableWRCalcPts[PLAYER],MATCH(TableWRRanks[[#This Row],[RK]],TableWRCalcPts[RK],0)),"")</f>
        <v>Olamide Zaccheaus</v>
      </c>
      <c r="Q146" t="str">
        <f>IFERROR(INDEX(TableWRCalcPts[TM],MATCH(TableWRRanks[[#This Row],[RK]],TableWRCalcPts[RK],0)),"")</f>
        <v>PHI</v>
      </c>
      <c r="R146">
        <f>IFERROR(INDEX(TableWRCalcPts[BYE],MATCH(TableWRRanks[[#This Row],[RK]],TableWRCalcPts[RK],0)),"")</f>
        <v>10</v>
      </c>
      <c r="S146" s="58">
        <f>IFERROR(INDEX(TableWRCalcPts[Custom],MATCH(TableWRRanks[[#This Row],[RK]],TableWRCalcPts[RK],0)),"")</f>
        <v>17.304445098071039</v>
      </c>
      <c r="T146" s="133">
        <f>(((VLOOKUP(TableWRRanks[[#This Row],[Player]],'OVR &amp; VORP Ranks'!$P:$T,5,FALSE)))/('OVR &amp; VORP Ranks'!$BM$6))*(Settings!$E$10*TEAMS)</f>
        <v>-38.694604575510155</v>
      </c>
    </row>
    <row r="147" spans="8:20" x14ac:dyDescent="0.2">
      <c r="H147">
        <v>146</v>
      </c>
      <c r="I147" t="str">
        <f>IFERROR(INDEX(TableRBCalcPts[PLAYER],MATCH(TableRBRanks[[#This Row],[RK]],TableRBCalcPts[RK],0)),"")</f>
        <v/>
      </c>
      <c r="J147" t="str">
        <f>IFERROR(INDEX(TableRBCalcPts[TM],MATCH(TableRBRanks[[#This Row],[RK]],TableRBCalcPts[RK],0)),"")</f>
        <v/>
      </c>
      <c r="K147" t="str">
        <f>IFERROR(INDEX(TableRBCalcPts[BYE],MATCH(TableRBRanks[[#This Row],[RK]],TableRBCalcPts[RK],0)),"")</f>
        <v/>
      </c>
      <c r="L147" s="58" t="str">
        <f>IFERROR(INDEX(TableRBCalcPts[Custom],MATCH(TableRBRanks[[#This Row],[RK]],TableRBCalcPts[RK],0)),"")</f>
        <v/>
      </c>
      <c r="M147" s="133" t="e">
        <f>(((VLOOKUP(TableRBRanks[[#This Row],[Player]],'OVR &amp; VORP Ranks'!$I:$M,5,FALSE)))/('OVR &amp; VORP Ranks'!$BM$6))*(Settings!$E$10*TEAMS)</f>
        <v>#VALUE!</v>
      </c>
      <c r="O147">
        <v>146</v>
      </c>
      <c r="P147" t="str">
        <f>IFERROR(INDEX(TableWRCalcPts[PLAYER],MATCH(TableWRRanks[[#This Row],[RK]],TableWRCalcPts[RK],0)),"")</f>
        <v>Justin Shorter</v>
      </c>
      <c r="Q147" t="str">
        <f>IFERROR(INDEX(TableWRCalcPts[TM],MATCH(TableWRRanks[[#This Row],[RK]],TableWRCalcPts[RK],0)),"")</f>
        <v>BUF</v>
      </c>
      <c r="R147">
        <f>IFERROR(INDEX(TableWRCalcPts[BYE],MATCH(TableWRRanks[[#This Row],[RK]],TableWRCalcPts[RK],0)),"")</f>
        <v>13</v>
      </c>
      <c r="S147" s="58">
        <f>IFERROR(INDEX(TableWRCalcPts[Custom],MATCH(TableWRRanks[[#This Row],[RK]],TableWRCalcPts[RK],0)),"")</f>
        <v>17.103082196199999</v>
      </c>
      <c r="T147" s="133">
        <f>(((VLOOKUP(TableWRRanks[[#This Row],[Player]],'OVR &amp; VORP Ranks'!$P:$T,5,FALSE)))/('OVR &amp; VORP Ranks'!$BM$6))*(Settings!$E$10*TEAMS)</f>
        <v>-38.763564839319137</v>
      </c>
    </row>
    <row r="148" spans="8:20" x14ac:dyDescent="0.2">
      <c r="H148">
        <v>147</v>
      </c>
      <c r="I148" t="str">
        <f>IFERROR(INDEX(TableRBCalcPts[PLAYER],MATCH(TableRBRanks[[#This Row],[RK]],TableRBCalcPts[RK],0)),"")</f>
        <v/>
      </c>
      <c r="J148" t="str">
        <f>IFERROR(INDEX(TableRBCalcPts[TM],MATCH(TableRBRanks[[#This Row],[RK]],TableRBCalcPts[RK],0)),"")</f>
        <v/>
      </c>
      <c r="K148" t="str">
        <f>IFERROR(INDEX(TableRBCalcPts[BYE],MATCH(TableRBRanks[[#This Row],[RK]],TableRBCalcPts[RK],0)),"")</f>
        <v/>
      </c>
      <c r="L148" s="58" t="str">
        <f>IFERROR(INDEX(TableRBCalcPts[Custom],MATCH(TableRBRanks[[#This Row],[RK]],TableRBCalcPts[RK],0)),"")</f>
        <v/>
      </c>
      <c r="M148" s="133" t="e">
        <f>(((VLOOKUP(TableRBRanks[[#This Row],[Player]],'OVR &amp; VORP Ranks'!$I:$M,5,FALSE)))/('OVR &amp; VORP Ranks'!$BM$6))*(Settings!$E$10*TEAMS)</f>
        <v>#VALUE!</v>
      </c>
      <c r="O148">
        <v>147</v>
      </c>
      <c r="P148" t="str">
        <f>IFERROR(INDEX(TableWRCalcPts[PLAYER],MATCH(TableWRRanks[[#This Row],[RK]],TableWRCalcPts[RK],0)),"")</f>
        <v>DeAndre Carter</v>
      </c>
      <c r="Q148" t="str">
        <f>IFERROR(INDEX(TableWRCalcPts[TM],MATCH(TableWRRanks[[#This Row],[RK]],TableWRCalcPts[RK],0)),"")</f>
        <v>LV</v>
      </c>
      <c r="R148">
        <f>IFERROR(INDEX(TableWRCalcPts[BYE],MATCH(TableWRRanks[[#This Row],[RK]],TableWRCalcPts[RK],0)),"")</f>
        <v>13</v>
      </c>
      <c r="S148" s="58">
        <f>IFERROR(INDEX(TableWRCalcPts[Custom],MATCH(TableWRRanks[[#This Row],[RK]],TableWRCalcPts[RK],0)),"")</f>
        <v>16.591250282286047</v>
      </c>
      <c r="T148" s="133">
        <f>(((VLOOKUP(TableWRRanks[[#This Row],[Player]],'OVR &amp; VORP Ranks'!$P:$T,5,FALSE)))/('OVR &amp; VORP Ranks'!$BM$6))*(Settings!$E$10*TEAMS)</f>
        <v>-38.938850671423225</v>
      </c>
    </row>
    <row r="149" spans="8:20" x14ac:dyDescent="0.2">
      <c r="H149">
        <v>148</v>
      </c>
      <c r="I149" t="str">
        <f>IFERROR(INDEX(TableRBCalcPts[PLAYER],MATCH(TableRBRanks[[#This Row],[RK]],TableRBCalcPts[RK],0)),"")</f>
        <v/>
      </c>
      <c r="J149" t="str">
        <f>IFERROR(INDEX(TableRBCalcPts[TM],MATCH(TableRBRanks[[#This Row],[RK]],TableRBCalcPts[RK],0)),"")</f>
        <v/>
      </c>
      <c r="K149" t="str">
        <f>IFERROR(INDEX(TableRBCalcPts[BYE],MATCH(TableRBRanks[[#This Row],[RK]],TableRBCalcPts[RK],0)),"")</f>
        <v/>
      </c>
      <c r="L149" s="58" t="str">
        <f>IFERROR(INDEX(TableRBCalcPts[Custom],MATCH(TableRBRanks[[#This Row],[RK]],TableRBCalcPts[RK],0)),"")</f>
        <v/>
      </c>
      <c r="M149" s="133" t="e">
        <f>(((VLOOKUP(TableRBRanks[[#This Row],[Player]],'OVR &amp; VORP Ranks'!$I:$M,5,FALSE)))/('OVR &amp; VORP Ranks'!$BM$6))*(Settings!$E$10*TEAMS)</f>
        <v>#VALUE!</v>
      </c>
      <c r="O149">
        <v>148</v>
      </c>
      <c r="P149" t="str">
        <f>IFERROR(INDEX(TableWRCalcPts[PLAYER],MATCH(TableWRRanks[[#This Row],[RK]],TableWRCalcPts[RK],0)),"")</f>
        <v>Tre Tucker</v>
      </c>
      <c r="Q149" t="str">
        <f>IFERROR(INDEX(TableWRCalcPts[TM],MATCH(TableWRRanks[[#This Row],[RK]],TableWRCalcPts[RK],0)),"")</f>
        <v>LV</v>
      </c>
      <c r="R149">
        <f>IFERROR(INDEX(TableWRCalcPts[BYE],MATCH(TableWRRanks[[#This Row],[RK]],TableWRCalcPts[RK],0)),"")</f>
        <v>13</v>
      </c>
      <c r="S149" s="58">
        <f>IFERROR(INDEX(TableWRCalcPts[Custom],MATCH(TableWRRanks[[#This Row],[RK]],TableWRCalcPts[RK],0)),"")</f>
        <v>16.305184102292177</v>
      </c>
      <c r="T149" s="133">
        <f>(((VLOOKUP(TableWRRanks[[#This Row],[Player]],'OVR &amp; VORP Ranks'!$P:$T,5,FALSE)))/('OVR &amp; VORP Ranks'!$BM$6))*(Settings!$E$10*TEAMS)</f>
        <v>-39.036819061111188</v>
      </c>
    </row>
    <row r="150" spans="8:20" x14ac:dyDescent="0.2">
      <c r="H150">
        <v>149</v>
      </c>
      <c r="I150" t="str">
        <f>IFERROR(INDEX(TableRBCalcPts[PLAYER],MATCH(TableRBRanks[[#This Row],[RK]],TableRBCalcPts[RK],0)),"")</f>
        <v/>
      </c>
      <c r="J150" t="str">
        <f>IFERROR(INDEX(TableRBCalcPts[TM],MATCH(TableRBRanks[[#This Row],[RK]],TableRBCalcPts[RK],0)),"")</f>
        <v/>
      </c>
      <c r="K150" t="str">
        <f>IFERROR(INDEX(TableRBCalcPts[BYE],MATCH(TableRBRanks[[#This Row],[RK]],TableRBCalcPts[RK],0)),"")</f>
        <v/>
      </c>
      <c r="L150" s="58" t="str">
        <f>IFERROR(INDEX(TableRBCalcPts[Custom],MATCH(TableRBRanks[[#This Row],[RK]],TableRBCalcPts[RK],0)),"")</f>
        <v/>
      </c>
      <c r="M150" s="133" t="e">
        <f>(((VLOOKUP(TableRBRanks[[#This Row],[Player]],'OVR &amp; VORP Ranks'!$I:$M,5,FALSE)))/('OVR &amp; VORP Ranks'!$BM$6))*(Settings!$E$10*TEAMS)</f>
        <v>#VALUE!</v>
      </c>
      <c r="O150">
        <v>149</v>
      </c>
      <c r="P150" t="str">
        <f>IFERROR(INDEX(TableWRCalcPts[PLAYER],MATCH(TableWRRanks[[#This Row],[RK]],TableWRCalcPts[RK],0)),"")</f>
        <v>David Bell</v>
      </c>
      <c r="Q150" t="str">
        <f>IFERROR(INDEX(TableWRCalcPts[TM],MATCH(TableWRRanks[[#This Row],[RK]],TableWRCalcPts[RK],0)),"")</f>
        <v>CLE</v>
      </c>
      <c r="R150">
        <f>IFERROR(INDEX(TableWRCalcPts[BYE],MATCH(TableWRRanks[[#This Row],[RK]],TableWRCalcPts[RK],0)),"")</f>
        <v>5</v>
      </c>
      <c r="S150" s="58">
        <f>IFERROR(INDEX(TableWRCalcPts[Custom],MATCH(TableWRRanks[[#This Row],[RK]],TableWRCalcPts[RK],0)),"")</f>
        <v>16.274309090837527</v>
      </c>
      <c r="T150" s="133">
        <f>(((VLOOKUP(TableWRRanks[[#This Row],[Player]],'OVR &amp; VORP Ranks'!$P:$T,5,FALSE)))/('OVR &amp; VORP Ranks'!$BM$6))*(Settings!$E$10*TEAMS)</f>
        <v>-39.047392751275737</v>
      </c>
    </row>
    <row r="151" spans="8:20" x14ac:dyDescent="0.2">
      <c r="H151">
        <v>150</v>
      </c>
      <c r="I151" t="str">
        <f>IFERROR(INDEX(TableRBCalcPts[PLAYER],MATCH(TableRBRanks[[#This Row],[RK]],TableRBCalcPts[RK],0)),"")</f>
        <v/>
      </c>
      <c r="J151" t="str">
        <f>IFERROR(INDEX(TableRBCalcPts[TM],MATCH(TableRBRanks[[#This Row],[RK]],TableRBCalcPts[RK],0)),"")</f>
        <v/>
      </c>
      <c r="K151" t="str">
        <f>IFERROR(INDEX(TableRBCalcPts[BYE],MATCH(TableRBRanks[[#This Row],[RK]],TableRBCalcPts[RK],0)),"")</f>
        <v/>
      </c>
      <c r="L151" s="58" t="str">
        <f>IFERROR(INDEX(TableRBCalcPts[Custom],MATCH(TableRBRanks[[#This Row],[RK]],TableRBCalcPts[RK],0)),"")</f>
        <v/>
      </c>
      <c r="M151" s="133" t="e">
        <f>(((VLOOKUP(TableRBRanks[[#This Row],[Player]],'OVR &amp; VORP Ranks'!$I:$M,5,FALSE)))/('OVR &amp; VORP Ranks'!$BM$6))*(Settings!$E$10*TEAMS)</f>
        <v>#VALUE!</v>
      </c>
      <c r="O151">
        <v>150</v>
      </c>
      <c r="P151" t="str">
        <f>IFERROR(INDEX(TableWRCalcPts[PLAYER],MATCH(TableWRRanks[[#This Row],[RK]],TableWRCalcPts[RK],0)),"")</f>
        <v>Andrei Iosivas</v>
      </c>
      <c r="Q151" t="str">
        <f>IFERROR(INDEX(TableWRCalcPts[TM],MATCH(TableWRRanks[[#This Row],[RK]],TableWRCalcPts[RK],0)),"")</f>
        <v>CIN</v>
      </c>
      <c r="R151">
        <f>IFERROR(INDEX(TableWRCalcPts[BYE],MATCH(TableWRRanks[[#This Row],[RK]],TableWRCalcPts[RK],0)),"")</f>
        <v>7</v>
      </c>
      <c r="S151" s="58">
        <f>IFERROR(INDEX(TableWRCalcPts[Custom],MATCH(TableWRRanks[[#This Row],[RK]],TableWRCalcPts[RK],0)),"")</f>
        <v>15.523537206239999</v>
      </c>
      <c r="T151" s="133">
        <f>(((VLOOKUP(TableWRRanks[[#This Row],[Player]],'OVR &amp; VORP Ranks'!$P:$T,5,FALSE)))/('OVR &amp; VORP Ranks'!$BM$6))*(Settings!$E$10*TEAMS)</f>
        <v>-39.304507774654596</v>
      </c>
    </row>
    <row r="152" spans="8:20" x14ac:dyDescent="0.2">
      <c r="H152">
        <v>151</v>
      </c>
      <c r="I152" t="str">
        <f>IFERROR(INDEX(TableRBCalcPts[PLAYER],MATCH(TableRBRanks[[#This Row],[RK]],TableRBCalcPts[RK],0)),"")</f>
        <v/>
      </c>
      <c r="J152" t="str">
        <f>IFERROR(INDEX(TableRBCalcPts[TM],MATCH(TableRBRanks[[#This Row],[RK]],TableRBCalcPts[RK],0)),"")</f>
        <v/>
      </c>
      <c r="K152" t="str">
        <f>IFERROR(INDEX(TableRBCalcPts[BYE],MATCH(TableRBRanks[[#This Row],[RK]],TableRBCalcPts[RK],0)),"")</f>
        <v/>
      </c>
      <c r="L152" s="58" t="str">
        <f>IFERROR(INDEX(TableRBCalcPts[Custom],MATCH(TableRBRanks[[#This Row],[RK]],TableRBCalcPts[RK],0)),"")</f>
        <v/>
      </c>
      <c r="M152" s="133" t="e">
        <f>(((VLOOKUP(TableRBRanks[[#This Row],[Player]],'OVR &amp; VORP Ranks'!$I:$M,5,FALSE)))/('OVR &amp; VORP Ranks'!$BM$6))*(Settings!$E$10*TEAMS)</f>
        <v>#VALUE!</v>
      </c>
      <c r="O152">
        <v>151</v>
      </c>
      <c r="P152" t="str">
        <f>IFERROR(INDEX(TableWRCalcPts[PLAYER],MATCH(TableWRRanks[[#This Row],[RK]],TableWRCalcPts[RK],0)),"")</f>
        <v>Devin Duvernay</v>
      </c>
      <c r="Q152" t="str">
        <f>IFERROR(INDEX(TableWRCalcPts[TM],MATCH(TableWRRanks[[#This Row],[RK]],TableWRCalcPts[RK],0)),"")</f>
        <v>BAL</v>
      </c>
      <c r="R152">
        <f>IFERROR(INDEX(TableWRCalcPts[BYE],MATCH(TableWRRanks[[#This Row],[RK]],TableWRCalcPts[RK],0)),"")</f>
        <v>13</v>
      </c>
      <c r="S152" s="58">
        <f>IFERROR(INDEX(TableWRCalcPts[Custom],MATCH(TableWRRanks[[#This Row],[RK]],TableWRCalcPts[RK],0)),"")</f>
        <v>14.822361132585366</v>
      </c>
      <c r="T152" s="133">
        <f>(((VLOOKUP(TableWRRanks[[#This Row],[Player]],'OVR &amp; VORP Ranks'!$P:$T,5,FALSE)))/('OVR &amp; VORP Ranks'!$BM$6))*(Settings!$E$10*TEAMS)</f>
        <v>-39.54463784114882</v>
      </c>
    </row>
    <row r="153" spans="8:20" x14ac:dyDescent="0.2">
      <c r="H153">
        <v>152</v>
      </c>
      <c r="I153" t="str">
        <f>IFERROR(INDEX(TableRBCalcPts[PLAYER],MATCH(TableRBRanks[[#This Row],[RK]],TableRBCalcPts[RK],0)),"")</f>
        <v/>
      </c>
      <c r="J153" t="str">
        <f>IFERROR(INDEX(TableRBCalcPts[TM],MATCH(TableRBRanks[[#This Row],[RK]],TableRBCalcPts[RK],0)),"")</f>
        <v/>
      </c>
      <c r="K153" t="str">
        <f>IFERROR(INDEX(TableRBCalcPts[BYE],MATCH(TableRBRanks[[#This Row],[RK]],TableRBCalcPts[RK],0)),"")</f>
        <v/>
      </c>
      <c r="L153" s="58" t="str">
        <f>IFERROR(INDEX(TableRBCalcPts[Custom],MATCH(TableRBRanks[[#This Row],[RK]],TableRBCalcPts[RK],0)),"")</f>
        <v/>
      </c>
      <c r="M153" s="133" t="e">
        <f>(((VLOOKUP(TableRBRanks[[#This Row],[Player]],'OVR &amp; VORP Ranks'!$I:$M,5,FALSE)))/('OVR &amp; VORP Ranks'!$BM$6))*(Settings!$E$10*TEAMS)</f>
        <v>#VALUE!</v>
      </c>
      <c r="O153">
        <v>152</v>
      </c>
      <c r="P153" t="str">
        <f>IFERROR(INDEX(TableWRCalcPts[PLAYER],MATCH(TableWRRanks[[#This Row],[RK]],TableWRCalcPts[RK],0)),"")</f>
        <v>Dax Milne</v>
      </c>
      <c r="Q153" t="str">
        <f>IFERROR(INDEX(TableWRCalcPts[TM],MATCH(TableWRRanks[[#This Row],[RK]],TableWRCalcPts[RK],0)),"")</f>
        <v>WSH</v>
      </c>
      <c r="R153">
        <f>IFERROR(INDEX(TableWRCalcPts[BYE],MATCH(TableWRRanks[[#This Row],[RK]],TableWRCalcPts[RK],0)),"")</f>
        <v>14</v>
      </c>
      <c r="S153" s="58">
        <f>IFERROR(INDEX(TableWRCalcPts[Custom],MATCH(TableWRRanks[[#This Row],[RK]],TableWRCalcPts[RK],0)),"")</f>
        <v>13.829966895396961</v>
      </c>
      <c r="T153" s="133">
        <f>(((VLOOKUP(TableWRRanks[[#This Row],[Player]],'OVR &amp; VORP Ranks'!$P:$T,5,FALSE)))/('OVR &amp; VORP Ranks'!$BM$6))*(Settings!$E$10*TEAMS)</f>
        <v>-39.884500684617606</v>
      </c>
    </row>
    <row r="154" spans="8:20" x14ac:dyDescent="0.2">
      <c r="H154">
        <v>153</v>
      </c>
      <c r="I154" t="str">
        <f>IFERROR(INDEX(TableRBCalcPts[PLAYER],MATCH(TableRBRanks[[#This Row],[RK]],TableRBCalcPts[RK],0)),"")</f>
        <v/>
      </c>
      <c r="J154" t="str">
        <f>IFERROR(INDEX(TableRBCalcPts[TM],MATCH(TableRBRanks[[#This Row],[RK]],TableRBCalcPts[RK],0)),"")</f>
        <v/>
      </c>
      <c r="K154" t="str">
        <f>IFERROR(INDEX(TableRBCalcPts[BYE],MATCH(TableRBRanks[[#This Row],[RK]],TableRBCalcPts[RK],0)),"")</f>
        <v/>
      </c>
      <c r="L154" s="58" t="str">
        <f>IFERROR(INDEX(TableRBCalcPts[Custom],MATCH(TableRBRanks[[#This Row],[RK]],TableRBCalcPts[RK],0)),"")</f>
        <v/>
      </c>
      <c r="M154" s="133" t="e">
        <f>(((VLOOKUP(TableRBRanks[[#This Row],[Player]],'OVR &amp; VORP Ranks'!$I:$M,5,FALSE)))/('OVR &amp; VORP Ranks'!$BM$6))*(Settings!$E$10*TEAMS)</f>
        <v>#VALUE!</v>
      </c>
      <c r="O154">
        <v>153</v>
      </c>
      <c r="P154" t="str">
        <f>IFERROR(INDEX(TableWRCalcPts[PLAYER],MATCH(TableWRRanks[[#This Row],[RK]],TableWRCalcPts[RK],0)),"")</f>
        <v>Derius Davis</v>
      </c>
      <c r="Q154" t="str">
        <f>IFERROR(INDEX(TableWRCalcPts[TM],MATCH(TableWRRanks[[#This Row],[RK]],TableWRCalcPts[RK],0)),"")</f>
        <v>LAC</v>
      </c>
      <c r="R154">
        <f>IFERROR(INDEX(TableWRCalcPts[BYE],MATCH(TableWRRanks[[#This Row],[RK]],TableWRCalcPts[RK],0)),"")</f>
        <v>5</v>
      </c>
      <c r="S154" s="58">
        <f>IFERROR(INDEX(TableWRCalcPts[Custom],MATCH(TableWRRanks[[#This Row],[RK]],TableWRCalcPts[RK],0)),"")</f>
        <v>13.746683842113603</v>
      </c>
      <c r="T154" s="133">
        <f>(((VLOOKUP(TableWRRanks[[#This Row],[Player]],'OVR &amp; VORP Ranks'!$P:$T,5,FALSE)))/('OVR &amp; VORP Ranks'!$BM$6))*(Settings!$E$10*TEAMS)</f>
        <v>-39.913022429546146</v>
      </c>
    </row>
    <row r="155" spans="8:20" x14ac:dyDescent="0.2">
      <c r="H155">
        <v>154</v>
      </c>
      <c r="I155" t="str">
        <f>IFERROR(INDEX(TableRBCalcPts[PLAYER],MATCH(TableRBRanks[[#This Row],[RK]],TableRBCalcPts[RK],0)),"")</f>
        <v/>
      </c>
      <c r="J155" t="str">
        <f>IFERROR(INDEX(TableRBCalcPts[TM],MATCH(TableRBRanks[[#This Row],[RK]],TableRBCalcPts[RK],0)),"")</f>
        <v/>
      </c>
      <c r="K155" t="str">
        <f>IFERROR(INDEX(TableRBCalcPts[BYE],MATCH(TableRBRanks[[#This Row],[RK]],TableRBCalcPts[RK],0)),"")</f>
        <v/>
      </c>
      <c r="L155" s="58" t="str">
        <f>IFERROR(INDEX(TableRBCalcPts[Custom],MATCH(TableRBRanks[[#This Row],[RK]],TableRBCalcPts[RK],0)),"")</f>
        <v/>
      </c>
      <c r="M155" s="133" t="e">
        <f>(((VLOOKUP(TableRBRanks[[#This Row],[Player]],'OVR &amp; VORP Ranks'!$I:$M,5,FALSE)))/('OVR &amp; VORP Ranks'!$BM$6))*(Settings!$E$10*TEAMS)</f>
        <v>#VALUE!</v>
      </c>
      <c r="O155">
        <v>154</v>
      </c>
      <c r="P155" t="str">
        <f>IFERROR(INDEX(TableWRCalcPts[PLAYER],MATCH(TableWRRanks[[#This Row],[RK]],TableWRCalcPts[RK],0)),"")</f>
        <v>Velus Jones</v>
      </c>
      <c r="Q155" t="str">
        <f>IFERROR(INDEX(TableWRCalcPts[TM],MATCH(TableWRRanks[[#This Row],[RK]],TableWRCalcPts[RK],0)),"")</f>
        <v>CHI</v>
      </c>
      <c r="R155">
        <f>IFERROR(INDEX(TableWRCalcPts[BYE],MATCH(TableWRRanks[[#This Row],[RK]],TableWRCalcPts[RK],0)),"")</f>
        <v>13</v>
      </c>
      <c r="S155" s="58">
        <f>IFERROR(INDEX(TableWRCalcPts[Custom],MATCH(TableWRRanks[[#This Row],[RK]],TableWRCalcPts[RK],0)),"")</f>
        <v>13.617734530209351</v>
      </c>
      <c r="T155" s="133">
        <f>(((VLOOKUP(TableWRRanks[[#This Row],[Player]],'OVR &amp; VORP Ranks'!$P:$T,5,FALSE)))/('OVR &amp; VORP Ranks'!$BM$6))*(Settings!$E$10*TEAMS)</f>
        <v>-39.957183387122129</v>
      </c>
    </row>
    <row r="156" spans="8:20" x14ac:dyDescent="0.2">
      <c r="H156">
        <v>155</v>
      </c>
      <c r="I156" t="str">
        <f>IFERROR(INDEX(TableRBCalcPts[PLAYER],MATCH(TableRBRanks[[#This Row],[RK]],TableRBCalcPts[RK],0)),"")</f>
        <v/>
      </c>
      <c r="J156" t="str">
        <f>IFERROR(INDEX(TableRBCalcPts[TM],MATCH(TableRBRanks[[#This Row],[RK]],TableRBCalcPts[RK],0)),"")</f>
        <v/>
      </c>
      <c r="K156" t="str">
        <f>IFERROR(INDEX(TableRBCalcPts[BYE],MATCH(TableRBRanks[[#This Row],[RK]],TableRBCalcPts[RK],0)),"")</f>
        <v/>
      </c>
      <c r="L156" s="58" t="str">
        <f>IFERROR(INDEX(TableRBCalcPts[Custom],MATCH(TableRBRanks[[#This Row],[RK]],TableRBCalcPts[RK],0)),"")</f>
        <v/>
      </c>
      <c r="M156" s="133" t="e">
        <f>(((VLOOKUP(TableRBRanks[[#This Row],[Player]],'OVR &amp; VORP Ranks'!$I:$M,5,FALSE)))/('OVR &amp; VORP Ranks'!$BM$6))*(Settings!$E$10*TEAMS)</f>
        <v>#VALUE!</v>
      </c>
      <c r="O156">
        <v>155</v>
      </c>
      <c r="P156" t="str">
        <f>IFERROR(INDEX(TableWRCalcPts[PLAYER],MATCH(TableWRRanks[[#This Row],[RK]],TableWRCalcPts[RK],0)),"")</f>
        <v>KaVontae Turpin</v>
      </c>
      <c r="Q156" t="str">
        <f>IFERROR(INDEX(TableWRCalcPts[TM],MATCH(TableWRRanks[[#This Row],[RK]],TableWRCalcPts[RK],0)),"")</f>
        <v>DAL</v>
      </c>
      <c r="R156">
        <f>IFERROR(INDEX(TableWRCalcPts[BYE],MATCH(TableWRRanks[[#This Row],[RK]],TableWRCalcPts[RK],0)),"")</f>
        <v>7</v>
      </c>
      <c r="S156" s="58">
        <f>IFERROR(INDEX(TableWRCalcPts[Custom],MATCH(TableWRRanks[[#This Row],[RK]],TableWRCalcPts[RK],0)),"")</f>
        <v>13.457139075072</v>
      </c>
      <c r="T156" s="133">
        <f>(((VLOOKUP(TableWRRanks[[#This Row],[Player]],'OVR &amp; VORP Ranks'!$P:$T,5,FALSE)))/('OVR &amp; VORP Ranks'!$BM$6))*(Settings!$E$10*TEAMS)</f>
        <v>-40.012182122489406</v>
      </c>
    </row>
    <row r="157" spans="8:20" x14ac:dyDescent="0.2">
      <c r="H157">
        <v>156</v>
      </c>
      <c r="I157" t="str">
        <f>IFERROR(INDEX(TableRBCalcPts[PLAYER],MATCH(TableRBRanks[[#This Row],[RK]],TableRBCalcPts[RK],0)),"")</f>
        <v/>
      </c>
      <c r="J157" t="str">
        <f>IFERROR(INDEX(TableRBCalcPts[TM],MATCH(TableRBRanks[[#This Row],[RK]],TableRBCalcPts[RK],0)),"")</f>
        <v/>
      </c>
      <c r="K157" t="str">
        <f>IFERROR(INDEX(TableRBCalcPts[BYE],MATCH(TableRBRanks[[#This Row],[RK]],TableRBCalcPts[RK],0)),"")</f>
        <v/>
      </c>
      <c r="L157" s="58" t="str">
        <f>IFERROR(INDEX(TableRBCalcPts[Custom],MATCH(TableRBRanks[[#This Row],[RK]],TableRBCalcPts[RK],0)),"")</f>
        <v/>
      </c>
      <c r="M157" s="133" t="e">
        <f>(((VLOOKUP(TableRBRanks[[#This Row],[Player]],'OVR &amp; VORP Ranks'!$I:$M,5,FALSE)))/('OVR &amp; VORP Ranks'!$BM$6))*(Settings!$E$10*TEAMS)</f>
        <v>#VALUE!</v>
      </c>
      <c r="O157">
        <v>156</v>
      </c>
      <c r="P157" t="str">
        <f>IFERROR(INDEX(TableWRCalcPts[PLAYER],MATCH(TableWRRanks[[#This Row],[RK]],TableWRCalcPts[RK],0)),"")</f>
        <v>Rakim Jarrett</v>
      </c>
      <c r="Q157" t="str">
        <f>IFERROR(INDEX(TableWRCalcPts[TM],MATCH(TableWRRanks[[#This Row],[RK]],TableWRCalcPts[RK],0)),"")</f>
        <v>TB</v>
      </c>
      <c r="R157">
        <f>IFERROR(INDEX(TableWRCalcPts[BYE],MATCH(TableWRRanks[[#This Row],[RK]],TableWRCalcPts[RK],0)),"")</f>
        <v>5</v>
      </c>
      <c r="S157" s="58">
        <f>IFERROR(INDEX(TableWRCalcPts[Custom],MATCH(TableWRRanks[[#This Row],[RK]],TableWRCalcPts[RK],0)),"")</f>
        <v>13.398454129737601</v>
      </c>
      <c r="T157" s="133">
        <f>(((VLOOKUP(TableWRRanks[[#This Row],[Player]],'OVR &amp; VORP Ranks'!$P:$T,5,FALSE)))/('OVR &amp; VORP Ranks'!$BM$6))*(Settings!$E$10*TEAMS)</f>
        <v>-40.032279813147781</v>
      </c>
    </row>
    <row r="158" spans="8:20" x14ac:dyDescent="0.2">
      <c r="H158">
        <v>157</v>
      </c>
      <c r="I158" t="str">
        <f>IFERROR(INDEX(TableRBCalcPts[PLAYER],MATCH(TableRBRanks[[#This Row],[RK]],TableRBCalcPts[RK],0)),"")</f>
        <v/>
      </c>
      <c r="J158" t="str">
        <f>IFERROR(INDEX(TableRBCalcPts[TM],MATCH(TableRBRanks[[#This Row],[RK]],TableRBCalcPts[RK],0)),"")</f>
        <v/>
      </c>
      <c r="K158" t="str">
        <f>IFERROR(INDEX(TableRBCalcPts[BYE],MATCH(TableRBRanks[[#This Row],[RK]],TableRBCalcPts[RK],0)),"")</f>
        <v/>
      </c>
      <c r="L158" s="58" t="str">
        <f>IFERROR(INDEX(TableRBCalcPts[Custom],MATCH(TableRBRanks[[#This Row],[RK]],TableRBCalcPts[RK],0)),"")</f>
        <v/>
      </c>
      <c r="M158" s="133" t="e">
        <f>(((VLOOKUP(TableRBRanks[[#This Row],[Player]],'OVR &amp; VORP Ranks'!$I:$M,5,FALSE)))/('OVR &amp; VORP Ranks'!$BM$6))*(Settings!$E$10*TEAMS)</f>
        <v>#VALUE!</v>
      </c>
      <c r="O158">
        <v>157</v>
      </c>
      <c r="P158" t="str">
        <f>IFERROR(INDEX(TableWRCalcPts[PLAYER],MATCH(TableWRRanks[[#This Row],[RK]],TableWRCalcPts[RK],0)),"")</f>
        <v>Jalen Nailor</v>
      </c>
      <c r="Q158" t="str">
        <f>IFERROR(INDEX(TableWRCalcPts[TM],MATCH(TableWRRanks[[#This Row],[RK]],TableWRCalcPts[RK],0)),"")</f>
        <v>MIN</v>
      </c>
      <c r="R158">
        <f>IFERROR(INDEX(TableWRCalcPts[BYE],MATCH(TableWRRanks[[#This Row],[RK]],TableWRCalcPts[RK],0)),"")</f>
        <v>13</v>
      </c>
      <c r="S158" s="58">
        <f>IFERROR(INDEX(TableWRCalcPts[Custom],MATCH(TableWRRanks[[#This Row],[RK]],TableWRCalcPts[RK],0)),"")</f>
        <v>12.440677591952079</v>
      </c>
      <c r="T158" s="133">
        <f>(((VLOOKUP(TableWRRanks[[#This Row],[Player]],'OVR &amp; VORP Ranks'!$P:$T,5,FALSE)))/('OVR &amp; VORP Ranks'!$BM$6))*(Settings!$E$10*TEAMS)</f>
        <v>-40.360287217202945</v>
      </c>
    </row>
    <row r="159" spans="8:20" x14ac:dyDescent="0.2">
      <c r="H159">
        <v>158</v>
      </c>
      <c r="I159" t="str">
        <f>IFERROR(INDEX(TableRBCalcPts[PLAYER],MATCH(TableRBRanks[[#This Row],[RK]],TableRBCalcPts[RK],0)),"")</f>
        <v/>
      </c>
      <c r="J159" t="str">
        <f>IFERROR(INDEX(TableRBCalcPts[TM],MATCH(TableRBRanks[[#This Row],[RK]],TableRBCalcPts[RK],0)),"")</f>
        <v/>
      </c>
      <c r="K159" t="str">
        <f>IFERROR(INDEX(TableRBCalcPts[BYE],MATCH(TableRBRanks[[#This Row],[RK]],TableRBCalcPts[RK],0)),"")</f>
        <v/>
      </c>
      <c r="L159" s="58" t="str">
        <f>IFERROR(INDEX(TableRBCalcPts[Custom],MATCH(TableRBRanks[[#This Row],[RK]],TableRBCalcPts[RK],0)),"")</f>
        <v/>
      </c>
      <c r="M159" s="133" t="e">
        <f>(((VLOOKUP(TableRBRanks[[#This Row],[Player]],'OVR &amp; VORP Ranks'!$I:$M,5,FALSE)))/('OVR &amp; VORP Ranks'!$BM$6))*(Settings!$E$10*TEAMS)</f>
        <v>#VALUE!</v>
      </c>
      <c r="O159">
        <v>158</v>
      </c>
      <c r="P159" t="str">
        <f>IFERROR(INDEX(TableWRCalcPts[PLAYER],MATCH(TableWRRanks[[#This Row],[RK]],TableWRCalcPts[RK],0)),"")</f>
        <v>Ronnie Bell</v>
      </c>
      <c r="Q159" t="str">
        <f>IFERROR(INDEX(TableWRCalcPts[TM],MATCH(TableWRRanks[[#This Row],[RK]],TableWRCalcPts[RK],0)),"")</f>
        <v>SF</v>
      </c>
      <c r="R159">
        <f>IFERROR(INDEX(TableWRCalcPts[BYE],MATCH(TableWRRanks[[#This Row],[RK]],TableWRCalcPts[RK],0)),"")</f>
        <v>9</v>
      </c>
      <c r="S159" s="58">
        <f>IFERROR(INDEX(TableWRCalcPts[Custom],MATCH(TableWRRanks[[#This Row],[RK]],TableWRCalcPts[RK],0)),"")</f>
        <v>11.527513781876888</v>
      </c>
      <c r="T159" s="133">
        <f>(((VLOOKUP(TableWRRanks[[#This Row],[Player]],'OVR &amp; VORP Ranks'!$P:$T,5,FALSE)))/('OVR &amp; VORP Ranks'!$BM$6))*(Settings!$E$10*TEAMS)</f>
        <v>-40.673016208782158</v>
      </c>
    </row>
    <row r="160" spans="8:20" x14ac:dyDescent="0.2">
      <c r="H160">
        <v>159</v>
      </c>
      <c r="I160" t="str">
        <f>IFERROR(INDEX(TableRBCalcPts[PLAYER],MATCH(TableRBRanks[[#This Row],[RK]],TableRBCalcPts[RK],0)),"")</f>
        <v/>
      </c>
      <c r="J160" t="str">
        <f>IFERROR(INDEX(TableRBCalcPts[TM],MATCH(TableRBRanks[[#This Row],[RK]],TableRBCalcPts[RK],0)),"")</f>
        <v/>
      </c>
      <c r="K160" t="str">
        <f>IFERROR(INDEX(TableRBCalcPts[BYE],MATCH(TableRBRanks[[#This Row],[RK]],TableRBCalcPts[RK],0)),"")</f>
        <v/>
      </c>
      <c r="L160" s="58" t="str">
        <f>IFERROR(INDEX(TableRBCalcPts[Custom],MATCH(TableRBRanks[[#This Row],[RK]],TableRBCalcPts[RK],0)),"")</f>
        <v/>
      </c>
      <c r="M160" s="133" t="e">
        <f>(((VLOOKUP(TableRBRanks[[#This Row],[Player]],'OVR &amp; VORP Ranks'!$I:$M,5,FALSE)))/('OVR &amp; VORP Ranks'!$BM$6))*(Settings!$E$10*TEAMS)</f>
        <v>#VALUE!</v>
      </c>
      <c r="O160">
        <v>159</v>
      </c>
      <c r="P160" t="str">
        <f>IFERROR(INDEX(TableWRCalcPts[PLAYER],MATCH(TableWRRanks[[#This Row],[RK]],TableWRCalcPts[RK],0)),"")</f>
        <v>Gunner Olszewski</v>
      </c>
      <c r="Q160" t="str">
        <f>IFERROR(INDEX(TableWRCalcPts[TM],MATCH(TableWRRanks[[#This Row],[RK]],TableWRCalcPts[RK],0)),"")</f>
        <v>PIT</v>
      </c>
      <c r="R160">
        <f>IFERROR(INDEX(TableWRCalcPts[BYE],MATCH(TableWRRanks[[#This Row],[RK]],TableWRCalcPts[RK],0)),"")</f>
        <v>6</v>
      </c>
      <c r="S160" s="58">
        <f>IFERROR(INDEX(TableWRCalcPts[Custom],MATCH(TableWRRanks[[#This Row],[RK]],TableWRCalcPts[RK],0)),"")</f>
        <v>11.220108984000003</v>
      </c>
      <c r="T160" s="133">
        <f>(((VLOOKUP(TableWRRanks[[#This Row],[Player]],'OVR &amp; VORP Ranks'!$P:$T,5,FALSE)))/('OVR &amp; VORP Ranks'!$BM$6))*(Settings!$E$10*TEAMS)</f>
        <v>-40.778292383096087</v>
      </c>
    </row>
    <row r="161" spans="8:20" x14ac:dyDescent="0.2">
      <c r="H161">
        <v>160</v>
      </c>
      <c r="I161" t="str">
        <f>IFERROR(INDEX(TableRBCalcPts[PLAYER],MATCH(TableRBRanks[[#This Row],[RK]],TableRBCalcPts[RK],0)),"")</f>
        <v/>
      </c>
      <c r="J161" t="str">
        <f>IFERROR(INDEX(TableRBCalcPts[TM],MATCH(TableRBRanks[[#This Row],[RK]],TableRBCalcPts[RK],0)),"")</f>
        <v/>
      </c>
      <c r="K161" t="str">
        <f>IFERROR(INDEX(TableRBCalcPts[BYE],MATCH(TableRBRanks[[#This Row],[RK]],TableRBCalcPts[RK],0)),"")</f>
        <v/>
      </c>
      <c r="L161" s="58" t="str">
        <f>IFERROR(INDEX(TableRBCalcPts[Custom],MATCH(TableRBRanks[[#This Row],[RK]],TableRBCalcPts[RK],0)),"")</f>
        <v/>
      </c>
      <c r="M161" s="133" t="e">
        <f>(((VLOOKUP(TableRBRanks[[#This Row],[Player]],'OVR &amp; VORP Ranks'!$I:$M,5,FALSE)))/('OVR &amp; VORP Ranks'!$BM$6))*(Settings!$E$10*TEAMS)</f>
        <v>#VALUE!</v>
      </c>
      <c r="O161">
        <v>160</v>
      </c>
      <c r="P161" t="str">
        <f>IFERROR(INDEX(TableWRCalcPts[PLAYER],MATCH(TableWRRanks[[#This Row],[RK]],TableWRCalcPts[RK],0)),"")</f>
        <v>Xavier Hutchinson</v>
      </c>
      <c r="Q161" t="str">
        <f>IFERROR(INDEX(TableWRCalcPts[TM],MATCH(TableWRRanks[[#This Row],[RK]],TableWRCalcPts[RK],0)),"")</f>
        <v>HOU</v>
      </c>
      <c r="R161">
        <f>IFERROR(INDEX(TableWRCalcPts[BYE],MATCH(TableWRRanks[[#This Row],[RK]],TableWRCalcPts[RK],0)),"")</f>
        <v>7</v>
      </c>
      <c r="S161" s="58">
        <f>IFERROR(INDEX(TableWRCalcPts[Custom],MATCH(TableWRRanks[[#This Row],[RK]],TableWRCalcPts[RK],0)),"")</f>
        <v>9.68795222327239</v>
      </c>
      <c r="T161" s="133">
        <f>(((VLOOKUP(TableWRRanks[[#This Row],[Player]],'OVR &amp; VORP Ranks'!$P:$T,5,FALSE)))/('OVR &amp; VORP Ranks'!$BM$6))*(Settings!$E$10*TEAMS)</f>
        <v>-41.303006386692175</v>
      </c>
    </row>
    <row r="162" spans="8:20" x14ac:dyDescent="0.2">
      <c r="H162">
        <v>161</v>
      </c>
      <c r="I162" t="str">
        <f>IFERROR(INDEX(TableRBCalcPts[PLAYER],MATCH(TableRBRanks[[#This Row],[RK]],TableRBCalcPts[RK],0)),"")</f>
        <v/>
      </c>
      <c r="J162" t="str">
        <f>IFERROR(INDEX(TableRBCalcPts[TM],MATCH(TableRBRanks[[#This Row],[RK]],TableRBCalcPts[RK],0)),"")</f>
        <v/>
      </c>
      <c r="K162" t="str">
        <f>IFERROR(INDEX(TableRBCalcPts[BYE],MATCH(TableRBRanks[[#This Row],[RK]],TableRBCalcPts[RK],0)),"")</f>
        <v/>
      </c>
      <c r="L162" s="58" t="str">
        <f>IFERROR(INDEX(TableRBCalcPts[Custom],MATCH(TableRBRanks[[#This Row],[RK]],TableRBCalcPts[RK],0)),"")</f>
        <v/>
      </c>
      <c r="M162" s="133" t="e">
        <f>(((VLOOKUP(TableRBRanks[[#This Row],[Player]],'OVR &amp; VORP Ranks'!$I:$M,5,FALSE)))/('OVR &amp; VORP Ranks'!$BM$6))*(Settings!$E$10*TEAMS)</f>
        <v>#VALUE!</v>
      </c>
      <c r="O162">
        <v>161</v>
      </c>
      <c r="P162" t="str">
        <f>IFERROR(INDEX(TableWRCalcPts[PLAYER],MATCH(TableWRRanks[[#This Row],[RK]],TableWRCalcPts[RK],0)),"")</f>
        <v>Tim Jones</v>
      </c>
      <c r="Q162" t="str">
        <f>IFERROR(INDEX(TableWRCalcPts[TM],MATCH(TableWRRanks[[#This Row],[RK]],TableWRCalcPts[RK],0)),"")</f>
        <v>JAX</v>
      </c>
      <c r="R162">
        <f>IFERROR(INDEX(TableWRCalcPts[BYE],MATCH(TableWRRanks[[#This Row],[RK]],TableWRCalcPts[RK],0)),"")</f>
        <v>9</v>
      </c>
      <c r="S162" s="58">
        <f>IFERROR(INDEX(TableWRCalcPts[Custom],MATCH(TableWRRanks[[#This Row],[RK]],TableWRCalcPts[RK],0)),"")</f>
        <v>7.3040380685999988</v>
      </c>
      <c r="T162" s="133">
        <f>(((VLOOKUP(TableWRRanks[[#This Row],[Player]],'OVR &amp; VORP Ranks'!$P:$T,5,FALSE)))/('OVR &amp; VORP Ranks'!$BM$6))*(Settings!$E$10*TEAMS)</f>
        <v>-42.119419675717189</v>
      </c>
    </row>
    <row r="163" spans="8:20" x14ac:dyDescent="0.2">
      <c r="H163">
        <v>162</v>
      </c>
      <c r="I163" t="str">
        <f>IFERROR(INDEX(TableRBCalcPts[PLAYER],MATCH(TableRBRanks[[#This Row],[RK]],TableRBCalcPts[RK],0)),"")</f>
        <v/>
      </c>
      <c r="J163" t="str">
        <f>IFERROR(INDEX(TableRBCalcPts[TM],MATCH(TableRBRanks[[#This Row],[RK]],TableRBCalcPts[RK],0)),"")</f>
        <v/>
      </c>
      <c r="K163" t="str">
        <f>IFERROR(INDEX(TableRBCalcPts[BYE],MATCH(TableRBRanks[[#This Row],[RK]],TableRBCalcPts[RK],0)),"")</f>
        <v/>
      </c>
      <c r="L163" s="58" t="str">
        <f>IFERROR(INDEX(TableRBCalcPts[Custom],MATCH(TableRBRanks[[#This Row],[RK]],TableRBCalcPts[RK],0)),"")</f>
        <v/>
      </c>
      <c r="M163" s="133" t="e">
        <f>(((VLOOKUP(TableRBRanks[[#This Row],[Player]],'OVR &amp; VORP Ranks'!$I:$M,5,FALSE)))/('OVR &amp; VORP Ranks'!$BM$6))*(Settings!$E$10*TEAMS)</f>
        <v>#VALUE!</v>
      </c>
      <c r="O163">
        <v>162</v>
      </c>
      <c r="P163" t="str">
        <f>IFERROR(INDEX(TableWRCalcPts[PLAYER],MATCH(TableWRRanks[[#This Row],[RK]],TableWRCalcPts[RK],0)),"")</f>
        <v>Danny Gray</v>
      </c>
      <c r="Q163" t="str">
        <f>IFERROR(INDEX(TableWRCalcPts[TM],MATCH(TableWRRanks[[#This Row],[RK]],TableWRCalcPts[RK],0)),"")</f>
        <v>SF</v>
      </c>
      <c r="R163">
        <f>IFERROR(INDEX(TableWRCalcPts[BYE],MATCH(TableWRRanks[[#This Row],[RK]],TableWRCalcPts[RK],0)),"")</f>
        <v>9</v>
      </c>
      <c r="S163" s="58">
        <f>IFERROR(INDEX(TableWRCalcPts[Custom],MATCH(TableWRRanks[[#This Row],[RK]],TableWRCalcPts[RK],0)),"")</f>
        <v>6.1474887920832781</v>
      </c>
      <c r="T163" s="133">
        <f>(((VLOOKUP(TableWRRanks[[#This Row],[Player]],'OVR &amp; VORP Ranks'!$P:$T,5,FALSE)))/('OVR &amp; VORP Ranks'!$BM$6))*(Settings!$E$10*TEAMS)</f>
        <v>-42.515500296703415</v>
      </c>
    </row>
    <row r="164" spans="8:20" x14ac:dyDescent="0.2">
      <c r="H164">
        <v>163</v>
      </c>
      <c r="I164" t="str">
        <f>IFERROR(INDEX(TableRBCalcPts[PLAYER],MATCH(TableRBRanks[[#This Row],[RK]],TableRBCalcPts[RK],0)),"")</f>
        <v/>
      </c>
      <c r="J164" t="str">
        <f>IFERROR(INDEX(TableRBCalcPts[TM],MATCH(TableRBRanks[[#This Row],[RK]],TableRBCalcPts[RK],0)),"")</f>
        <v/>
      </c>
      <c r="K164" t="str">
        <f>IFERROR(INDEX(TableRBCalcPts[BYE],MATCH(TableRBRanks[[#This Row],[RK]],TableRBCalcPts[RK],0)),"")</f>
        <v/>
      </c>
      <c r="L164" s="58" t="str">
        <f>IFERROR(INDEX(TableRBCalcPts[Custom],MATCH(TableRBRanks[[#This Row],[RK]],TableRBCalcPts[RK],0)),"")</f>
        <v/>
      </c>
      <c r="M164" s="133" t="e">
        <f>(((VLOOKUP(TableRBRanks[[#This Row],[Player]],'OVR &amp; VORP Ranks'!$I:$M,5,FALSE)))/('OVR &amp; VORP Ranks'!$BM$6))*(Settings!$E$10*TEAMS)</f>
        <v>#VALUE!</v>
      </c>
      <c r="O164">
        <v>163</v>
      </c>
      <c r="P164" t="str">
        <f>IFERROR(INDEX(TableWRCalcPts[PLAYER],MATCH(TableWRRanks[[#This Row],[RK]],TableWRCalcPts[RK],0)),"")</f>
        <v/>
      </c>
      <c r="Q164" t="str">
        <f>IFERROR(INDEX(TableWRCalcPts[TM],MATCH(TableWRRanks[[#This Row],[RK]],TableWRCalcPts[RK],0)),"")</f>
        <v/>
      </c>
      <c r="R164" t="str">
        <f>IFERROR(INDEX(TableWRCalcPts[BYE],MATCH(TableWRRanks[[#This Row],[RK]],TableWRCalcPts[RK],0)),"")</f>
        <v/>
      </c>
      <c r="S164" s="58" t="str">
        <f>IFERROR(INDEX(TableWRCalcPts[Custom],MATCH(TableWRRanks[[#This Row],[RK]],TableWRCalcPts[RK],0)),"")</f>
        <v/>
      </c>
      <c r="T164" s="133" t="e">
        <f>(((VLOOKUP(TableWRRanks[[#This Row],[Player]],'OVR &amp; VORP Ranks'!$P:$T,5,FALSE)))/('OVR &amp; VORP Ranks'!$BM$6))*(Settings!$E$10*TEAMS)</f>
        <v>#VALUE!</v>
      </c>
    </row>
    <row r="165" spans="8:20" x14ac:dyDescent="0.2">
      <c r="H165">
        <v>164</v>
      </c>
      <c r="I165" t="str">
        <f>IFERROR(INDEX(TableRBCalcPts[PLAYER],MATCH(TableRBRanks[[#This Row],[RK]],TableRBCalcPts[RK],0)),"")</f>
        <v/>
      </c>
      <c r="J165" t="str">
        <f>IFERROR(INDEX(TableRBCalcPts[TM],MATCH(TableRBRanks[[#This Row],[RK]],TableRBCalcPts[RK],0)),"")</f>
        <v/>
      </c>
      <c r="K165" t="str">
        <f>IFERROR(INDEX(TableRBCalcPts[BYE],MATCH(TableRBRanks[[#This Row],[RK]],TableRBCalcPts[RK],0)),"")</f>
        <v/>
      </c>
      <c r="L165" s="58" t="str">
        <f>IFERROR(INDEX(TableRBCalcPts[Custom],MATCH(TableRBRanks[[#This Row],[RK]],TableRBCalcPts[RK],0)),"")</f>
        <v/>
      </c>
      <c r="M165" s="133" t="e">
        <f>(((VLOOKUP(TableRBRanks[[#This Row],[Player]],'OVR &amp; VORP Ranks'!$I:$M,5,FALSE)))/('OVR &amp; VORP Ranks'!$BM$6))*(Settings!$E$10*TEAMS)</f>
        <v>#VALUE!</v>
      </c>
      <c r="O165">
        <v>164</v>
      </c>
      <c r="P165" t="str">
        <f>IFERROR(INDEX(TableWRCalcPts[PLAYER],MATCH(TableWRRanks[[#This Row],[RK]],TableWRCalcPts[RK],0)),"")</f>
        <v/>
      </c>
      <c r="Q165" t="str">
        <f>IFERROR(INDEX(TableWRCalcPts[TM],MATCH(TableWRRanks[[#This Row],[RK]],TableWRCalcPts[RK],0)),"")</f>
        <v/>
      </c>
      <c r="R165" t="str">
        <f>IFERROR(INDEX(TableWRCalcPts[BYE],MATCH(TableWRRanks[[#This Row],[RK]],TableWRCalcPts[RK],0)),"")</f>
        <v/>
      </c>
      <c r="S165" s="58" t="str">
        <f>IFERROR(INDEX(TableWRCalcPts[Custom],MATCH(TableWRRanks[[#This Row],[RK]],TableWRCalcPts[RK],0)),"")</f>
        <v/>
      </c>
      <c r="T165" s="133" t="e">
        <f>(((VLOOKUP(TableWRRanks[[#This Row],[Player]],'OVR &amp; VORP Ranks'!$P:$T,5,FALSE)))/('OVR &amp; VORP Ranks'!$BM$6))*(Settings!$E$10*TEAMS)</f>
        <v>#VALUE!</v>
      </c>
    </row>
    <row r="166" spans="8:20" x14ac:dyDescent="0.2">
      <c r="H166">
        <v>165</v>
      </c>
      <c r="I166" t="str">
        <f>IFERROR(INDEX(TableRBCalcPts[PLAYER],MATCH(TableRBRanks[[#This Row],[RK]],TableRBCalcPts[RK],0)),"")</f>
        <v/>
      </c>
      <c r="J166" t="str">
        <f>IFERROR(INDEX(TableRBCalcPts[TM],MATCH(TableRBRanks[[#This Row],[RK]],TableRBCalcPts[RK],0)),"")</f>
        <v/>
      </c>
      <c r="K166" t="str">
        <f>IFERROR(INDEX(TableRBCalcPts[BYE],MATCH(TableRBRanks[[#This Row],[RK]],TableRBCalcPts[RK],0)),"")</f>
        <v/>
      </c>
      <c r="L166" s="58" t="str">
        <f>IFERROR(INDEX(TableRBCalcPts[Custom],MATCH(TableRBRanks[[#This Row],[RK]],TableRBCalcPts[RK],0)),"")</f>
        <v/>
      </c>
      <c r="M166" s="133" t="e">
        <f>(((VLOOKUP(TableRBRanks[[#This Row],[Player]],'OVR &amp; VORP Ranks'!$I:$M,5,FALSE)))/('OVR &amp; VORP Ranks'!$BM$6))*(Settings!$E$10*TEAMS)</f>
        <v>#VALUE!</v>
      </c>
      <c r="O166">
        <v>165</v>
      </c>
      <c r="P166" t="str">
        <f>IFERROR(INDEX(TableWRCalcPts[PLAYER],MATCH(TableWRRanks[[#This Row],[RK]],TableWRCalcPts[RK],0)),"")</f>
        <v/>
      </c>
      <c r="Q166" t="str">
        <f>IFERROR(INDEX(TableWRCalcPts[TM],MATCH(TableWRRanks[[#This Row],[RK]],TableWRCalcPts[RK],0)),"")</f>
        <v/>
      </c>
      <c r="R166" t="str">
        <f>IFERROR(INDEX(TableWRCalcPts[BYE],MATCH(TableWRRanks[[#This Row],[RK]],TableWRCalcPts[RK],0)),"")</f>
        <v/>
      </c>
      <c r="S166" s="58" t="str">
        <f>IFERROR(INDEX(TableWRCalcPts[Custom],MATCH(TableWRRanks[[#This Row],[RK]],TableWRCalcPts[RK],0)),"")</f>
        <v/>
      </c>
      <c r="T166" s="133" t="e">
        <f>(((VLOOKUP(TableWRRanks[[#This Row],[Player]],'OVR &amp; VORP Ranks'!$P:$T,5,FALSE)))/('OVR &amp; VORP Ranks'!$BM$6))*(Settings!$E$10*TEAMS)</f>
        <v>#VALUE!</v>
      </c>
    </row>
    <row r="167" spans="8:20" x14ac:dyDescent="0.2">
      <c r="H167">
        <v>166</v>
      </c>
      <c r="I167" t="str">
        <f>IFERROR(INDEX(TableRBCalcPts[PLAYER],MATCH(TableRBRanks[[#This Row],[RK]],TableRBCalcPts[RK],0)),"")</f>
        <v/>
      </c>
      <c r="J167" t="str">
        <f>IFERROR(INDEX(TableRBCalcPts[TM],MATCH(TableRBRanks[[#This Row],[RK]],TableRBCalcPts[RK],0)),"")</f>
        <v/>
      </c>
      <c r="K167" t="str">
        <f>IFERROR(INDEX(TableRBCalcPts[BYE],MATCH(TableRBRanks[[#This Row],[RK]],TableRBCalcPts[RK],0)),"")</f>
        <v/>
      </c>
      <c r="L167" s="58" t="str">
        <f>IFERROR(INDEX(TableRBCalcPts[Custom],MATCH(TableRBRanks[[#This Row],[RK]],TableRBCalcPts[RK],0)),"")</f>
        <v/>
      </c>
      <c r="M167" s="133" t="e">
        <f>(((VLOOKUP(TableRBRanks[[#This Row],[Player]],'OVR &amp; VORP Ranks'!$I:$M,5,FALSE)))/('OVR &amp; VORP Ranks'!$BM$6))*(Settings!$E$10*TEAMS)</f>
        <v>#VALUE!</v>
      </c>
      <c r="O167">
        <v>166</v>
      </c>
      <c r="P167" t="str">
        <f>IFERROR(INDEX(TableWRCalcPts[PLAYER],MATCH(TableWRRanks[[#This Row],[RK]],TableWRCalcPts[RK],0)),"")</f>
        <v/>
      </c>
      <c r="Q167" t="str">
        <f>IFERROR(INDEX(TableWRCalcPts[TM],MATCH(TableWRRanks[[#This Row],[RK]],TableWRCalcPts[RK],0)),"")</f>
        <v/>
      </c>
      <c r="R167" t="str">
        <f>IFERROR(INDEX(TableWRCalcPts[BYE],MATCH(TableWRRanks[[#This Row],[RK]],TableWRCalcPts[RK],0)),"")</f>
        <v/>
      </c>
      <c r="S167" s="58" t="str">
        <f>IFERROR(INDEX(TableWRCalcPts[Custom],MATCH(TableWRRanks[[#This Row],[RK]],TableWRCalcPts[RK],0)),"")</f>
        <v/>
      </c>
      <c r="T167" s="133" t="e">
        <f>(((VLOOKUP(TableWRRanks[[#This Row],[Player]],'OVR &amp; VORP Ranks'!$P:$T,5,FALSE)))/('OVR &amp; VORP Ranks'!$BM$6))*(Settings!$E$10*TEAMS)</f>
        <v>#VALUE!</v>
      </c>
    </row>
    <row r="168" spans="8:20" x14ac:dyDescent="0.2">
      <c r="H168">
        <v>167</v>
      </c>
      <c r="I168" t="str">
        <f>IFERROR(INDEX(TableRBCalcPts[PLAYER],MATCH(TableRBRanks[[#This Row],[RK]],TableRBCalcPts[RK],0)),"")</f>
        <v/>
      </c>
      <c r="J168" t="str">
        <f>IFERROR(INDEX(TableRBCalcPts[TM],MATCH(TableRBRanks[[#This Row],[RK]],TableRBCalcPts[RK],0)),"")</f>
        <v/>
      </c>
      <c r="K168" t="str">
        <f>IFERROR(INDEX(TableRBCalcPts[BYE],MATCH(TableRBRanks[[#This Row],[RK]],TableRBCalcPts[RK],0)),"")</f>
        <v/>
      </c>
      <c r="L168" s="58" t="str">
        <f>IFERROR(INDEX(TableRBCalcPts[Custom],MATCH(TableRBRanks[[#This Row],[RK]],TableRBCalcPts[RK],0)),"")</f>
        <v/>
      </c>
      <c r="M168" s="133" t="e">
        <f>(((VLOOKUP(TableRBRanks[[#This Row],[Player]],'OVR &amp; VORP Ranks'!$I:$M,5,FALSE)))/('OVR &amp; VORP Ranks'!$BM$6))*(Settings!$E$10*TEAMS)</f>
        <v>#VALUE!</v>
      </c>
      <c r="O168">
        <v>167</v>
      </c>
      <c r="P168" t="str">
        <f>IFERROR(INDEX(TableWRCalcPts[PLAYER],MATCH(TableWRRanks[[#This Row],[RK]],TableWRCalcPts[RK],0)),"")</f>
        <v/>
      </c>
      <c r="Q168" t="str">
        <f>IFERROR(INDEX(TableWRCalcPts[TM],MATCH(TableWRRanks[[#This Row],[RK]],TableWRCalcPts[RK],0)),"")</f>
        <v/>
      </c>
      <c r="R168" t="str">
        <f>IFERROR(INDEX(TableWRCalcPts[BYE],MATCH(TableWRRanks[[#This Row],[RK]],TableWRCalcPts[RK],0)),"")</f>
        <v/>
      </c>
      <c r="S168" s="58" t="str">
        <f>IFERROR(INDEX(TableWRCalcPts[Custom],MATCH(TableWRRanks[[#This Row],[RK]],TableWRCalcPts[RK],0)),"")</f>
        <v/>
      </c>
      <c r="T168" s="133" t="e">
        <f>(((VLOOKUP(TableWRRanks[[#This Row],[Player]],'OVR &amp; VORP Ranks'!$P:$T,5,FALSE)))/('OVR &amp; VORP Ranks'!$BM$6))*(Settings!$E$10*TEAMS)</f>
        <v>#VALUE!</v>
      </c>
    </row>
    <row r="169" spans="8:20" x14ac:dyDescent="0.2">
      <c r="H169">
        <v>168</v>
      </c>
      <c r="I169" t="str">
        <f>IFERROR(INDEX(TableRBCalcPts[PLAYER],MATCH(TableRBRanks[[#This Row],[RK]],TableRBCalcPts[RK],0)),"")</f>
        <v/>
      </c>
      <c r="J169" t="str">
        <f>IFERROR(INDEX(TableRBCalcPts[TM],MATCH(TableRBRanks[[#This Row],[RK]],TableRBCalcPts[RK],0)),"")</f>
        <v/>
      </c>
      <c r="K169" t="str">
        <f>IFERROR(INDEX(TableRBCalcPts[BYE],MATCH(TableRBRanks[[#This Row],[RK]],TableRBCalcPts[RK],0)),"")</f>
        <v/>
      </c>
      <c r="L169" s="58" t="str">
        <f>IFERROR(INDEX(TableRBCalcPts[Custom],MATCH(TableRBRanks[[#This Row],[RK]],TableRBCalcPts[RK],0)),"")</f>
        <v/>
      </c>
      <c r="M169" s="133" t="e">
        <f>(((VLOOKUP(TableRBRanks[[#This Row],[Player]],'OVR &amp; VORP Ranks'!$I:$M,5,FALSE)))/('OVR &amp; VORP Ranks'!$BM$6))*(Settings!$E$10*TEAMS)</f>
        <v>#VALUE!</v>
      </c>
      <c r="O169">
        <v>168</v>
      </c>
      <c r="P169" t="str">
        <f>IFERROR(INDEX(TableWRCalcPts[PLAYER],MATCH(TableWRRanks[[#This Row],[RK]],TableWRCalcPts[RK],0)),"")</f>
        <v/>
      </c>
      <c r="Q169" t="str">
        <f>IFERROR(INDEX(TableWRCalcPts[TM],MATCH(TableWRRanks[[#This Row],[RK]],TableWRCalcPts[RK],0)),"")</f>
        <v/>
      </c>
      <c r="R169" t="str">
        <f>IFERROR(INDEX(TableWRCalcPts[BYE],MATCH(TableWRRanks[[#This Row],[RK]],TableWRCalcPts[RK],0)),"")</f>
        <v/>
      </c>
      <c r="S169" s="58" t="str">
        <f>IFERROR(INDEX(TableWRCalcPts[Custom],MATCH(TableWRRanks[[#This Row],[RK]],TableWRCalcPts[RK],0)),"")</f>
        <v/>
      </c>
      <c r="T169" s="133" t="e">
        <f>(((VLOOKUP(TableWRRanks[[#This Row],[Player]],'OVR &amp; VORP Ranks'!$P:$T,5,FALSE)))/('OVR &amp; VORP Ranks'!$BM$6))*(Settings!$E$10*TEAMS)</f>
        <v>#VALUE!</v>
      </c>
    </row>
    <row r="170" spans="8:20" x14ac:dyDescent="0.2">
      <c r="H170">
        <v>169</v>
      </c>
      <c r="I170" t="str">
        <f>IFERROR(INDEX(TableRBCalcPts[PLAYER],MATCH(TableRBRanks[[#This Row],[RK]],TableRBCalcPts[RK],0)),"")</f>
        <v/>
      </c>
      <c r="J170" t="str">
        <f>IFERROR(INDEX(TableRBCalcPts[TM],MATCH(TableRBRanks[[#This Row],[RK]],TableRBCalcPts[RK],0)),"")</f>
        <v/>
      </c>
      <c r="K170" t="str">
        <f>IFERROR(INDEX(TableRBCalcPts[BYE],MATCH(TableRBRanks[[#This Row],[RK]],TableRBCalcPts[RK],0)),"")</f>
        <v/>
      </c>
      <c r="L170" s="58" t="str">
        <f>IFERROR(INDEX(TableRBCalcPts[Custom],MATCH(TableRBRanks[[#This Row],[RK]],TableRBCalcPts[RK],0)),"")</f>
        <v/>
      </c>
      <c r="M170" s="133" t="e">
        <f>(((VLOOKUP(TableRBRanks[[#This Row],[Player]],'OVR &amp; VORP Ranks'!$I:$M,5,FALSE)))/('OVR &amp; VORP Ranks'!$BM$6))*(Settings!$E$10*TEAMS)</f>
        <v>#VALUE!</v>
      </c>
      <c r="O170">
        <v>169</v>
      </c>
      <c r="P170" t="str">
        <f>IFERROR(INDEX(TableWRCalcPts[PLAYER],MATCH(TableWRRanks[[#This Row],[RK]],TableWRCalcPts[RK],0)),"")</f>
        <v/>
      </c>
      <c r="Q170" t="str">
        <f>IFERROR(INDEX(TableWRCalcPts[TM],MATCH(TableWRRanks[[#This Row],[RK]],TableWRCalcPts[RK],0)),"")</f>
        <v/>
      </c>
      <c r="R170" t="str">
        <f>IFERROR(INDEX(TableWRCalcPts[BYE],MATCH(TableWRRanks[[#This Row],[RK]],TableWRCalcPts[RK],0)),"")</f>
        <v/>
      </c>
      <c r="S170" s="58" t="str">
        <f>IFERROR(INDEX(TableWRCalcPts[Custom],MATCH(TableWRRanks[[#This Row],[RK]],TableWRCalcPts[RK],0)),"")</f>
        <v/>
      </c>
      <c r="T170" s="133" t="e">
        <f>(((VLOOKUP(TableWRRanks[[#This Row],[Player]],'OVR &amp; VORP Ranks'!$P:$T,5,FALSE)))/('OVR &amp; VORP Ranks'!$BM$6))*(Settings!$E$10*TEAMS)</f>
        <v>#VALUE!</v>
      </c>
    </row>
    <row r="171" spans="8:20" x14ac:dyDescent="0.2">
      <c r="H171">
        <v>170</v>
      </c>
      <c r="I171" t="str">
        <f>IFERROR(INDEX(TableRBCalcPts[PLAYER],MATCH(TableRBRanks[[#This Row],[RK]],TableRBCalcPts[RK],0)),"")</f>
        <v/>
      </c>
      <c r="J171" t="str">
        <f>IFERROR(INDEX(TableRBCalcPts[TM],MATCH(TableRBRanks[[#This Row],[RK]],TableRBCalcPts[RK],0)),"")</f>
        <v/>
      </c>
      <c r="K171" t="str">
        <f>IFERROR(INDEX(TableRBCalcPts[BYE],MATCH(TableRBRanks[[#This Row],[RK]],TableRBCalcPts[RK],0)),"")</f>
        <v/>
      </c>
      <c r="L171" s="58" t="str">
        <f>IFERROR(INDEX(TableRBCalcPts[Custom],MATCH(TableRBRanks[[#This Row],[RK]],TableRBCalcPts[RK],0)),"")</f>
        <v/>
      </c>
      <c r="M171" s="133" t="e">
        <f>(((VLOOKUP(TableRBRanks[[#This Row],[Player]],'OVR &amp; VORP Ranks'!$I:$M,5,FALSE)))/('OVR &amp; VORP Ranks'!$BM$6))*(Settings!$E$10*TEAMS)</f>
        <v>#VALUE!</v>
      </c>
      <c r="O171">
        <v>170</v>
      </c>
      <c r="P171" t="str">
        <f>IFERROR(INDEX(TableWRCalcPts[PLAYER],MATCH(TableWRRanks[[#This Row],[RK]],TableWRCalcPts[RK],0)),"")</f>
        <v/>
      </c>
      <c r="Q171" t="str">
        <f>IFERROR(INDEX(TableWRCalcPts[TM],MATCH(TableWRRanks[[#This Row],[RK]],TableWRCalcPts[RK],0)),"")</f>
        <v/>
      </c>
      <c r="R171" t="str">
        <f>IFERROR(INDEX(TableWRCalcPts[BYE],MATCH(TableWRRanks[[#This Row],[RK]],TableWRCalcPts[RK],0)),"")</f>
        <v/>
      </c>
      <c r="S171" s="58" t="str">
        <f>IFERROR(INDEX(TableWRCalcPts[Custom],MATCH(TableWRRanks[[#This Row],[RK]],TableWRCalcPts[RK],0)),"")</f>
        <v/>
      </c>
      <c r="T171" s="133" t="e">
        <f>(((VLOOKUP(TableWRRanks[[#This Row],[Player]],'OVR &amp; VORP Ranks'!$P:$T,5,FALSE)))/('OVR &amp; VORP Ranks'!$BM$6))*(Settings!$E$10*TEAMS)</f>
        <v>#VALUE!</v>
      </c>
    </row>
    <row r="172" spans="8:20" x14ac:dyDescent="0.2">
      <c r="O172">
        <v>171</v>
      </c>
      <c r="P172" t="str">
        <f>IFERROR(INDEX(TableWRCalcPts[PLAYER],MATCH(TableWRRanks[[#This Row],[RK]],TableWRCalcPts[RK],0)),"")</f>
        <v/>
      </c>
      <c r="Q172" t="str">
        <f>IFERROR(INDEX(TableWRCalcPts[TM],MATCH(TableWRRanks[[#This Row],[RK]],TableWRCalcPts[RK],0)),"")</f>
        <v/>
      </c>
      <c r="R172" t="str">
        <f>IFERROR(INDEX(TableWRCalcPts[BYE],MATCH(TableWRRanks[[#This Row],[RK]],TableWRCalcPts[RK],0)),"")</f>
        <v/>
      </c>
      <c r="S172" s="58" t="str">
        <f>IFERROR(INDEX(TableWRCalcPts[Custom],MATCH(TableWRRanks[[#This Row],[RK]],TableWRCalcPts[RK],0)),"")</f>
        <v/>
      </c>
      <c r="T172" s="133" t="e">
        <f>(((VLOOKUP(TableWRRanks[[#This Row],[Player]],'OVR &amp; VORP Ranks'!$P:$T,5,FALSE)))/('OVR &amp; VORP Ranks'!$BM$6))*(Settings!$E$10*TEAMS)</f>
        <v>#VALUE!</v>
      </c>
    </row>
    <row r="173" spans="8:20" x14ac:dyDescent="0.2">
      <c r="O173">
        <v>172</v>
      </c>
      <c r="P173" t="str">
        <f>IFERROR(INDEX(TableWRCalcPts[PLAYER],MATCH(TableWRRanks[[#This Row],[RK]],TableWRCalcPts[RK],0)),"")</f>
        <v/>
      </c>
      <c r="Q173" t="str">
        <f>IFERROR(INDEX(TableWRCalcPts[TM],MATCH(TableWRRanks[[#This Row],[RK]],TableWRCalcPts[RK],0)),"")</f>
        <v/>
      </c>
      <c r="R173" t="str">
        <f>IFERROR(INDEX(TableWRCalcPts[BYE],MATCH(TableWRRanks[[#This Row],[RK]],TableWRCalcPts[RK],0)),"")</f>
        <v/>
      </c>
      <c r="S173" s="58" t="str">
        <f>IFERROR(INDEX(TableWRCalcPts[Custom],MATCH(TableWRRanks[[#This Row],[RK]],TableWRCalcPts[RK],0)),"")</f>
        <v/>
      </c>
      <c r="T173" s="133" t="e">
        <f>(((VLOOKUP(TableWRRanks[[#This Row],[Player]],'OVR &amp; VORP Ranks'!$P:$T,5,FALSE)))/('OVR &amp; VORP Ranks'!$BM$6))*(Settings!$E$10*TEAMS)</f>
        <v>#VALUE!</v>
      </c>
    </row>
    <row r="174" spans="8:20" x14ac:dyDescent="0.2">
      <c r="O174">
        <v>173</v>
      </c>
      <c r="P174" t="str">
        <f>IFERROR(INDEX(TableWRCalcPts[PLAYER],MATCH(TableWRRanks[[#This Row],[RK]],TableWRCalcPts[RK],0)),"")</f>
        <v/>
      </c>
      <c r="Q174" t="str">
        <f>IFERROR(INDEX(TableWRCalcPts[TM],MATCH(TableWRRanks[[#This Row],[RK]],TableWRCalcPts[RK],0)),"")</f>
        <v/>
      </c>
      <c r="R174" t="str">
        <f>IFERROR(INDEX(TableWRCalcPts[BYE],MATCH(TableWRRanks[[#This Row],[RK]],TableWRCalcPts[RK],0)),"")</f>
        <v/>
      </c>
      <c r="S174" s="58" t="str">
        <f>IFERROR(INDEX(TableWRCalcPts[Custom],MATCH(TableWRRanks[[#This Row],[RK]],TableWRCalcPts[RK],0)),"")</f>
        <v/>
      </c>
      <c r="T174" s="133" t="e">
        <f>(((VLOOKUP(TableWRRanks[[#This Row],[Player]],'OVR &amp; VORP Ranks'!$P:$T,5,FALSE)))/('OVR &amp; VORP Ranks'!$BM$6))*(Settings!$E$10*TEAMS)</f>
        <v>#VALUE!</v>
      </c>
    </row>
    <row r="175" spans="8:20" x14ac:dyDescent="0.2">
      <c r="O175">
        <v>174</v>
      </c>
      <c r="P175" t="str">
        <f>IFERROR(INDEX(TableWRCalcPts[PLAYER],MATCH(TableWRRanks[[#This Row],[RK]],TableWRCalcPts[RK],0)),"")</f>
        <v/>
      </c>
      <c r="Q175" t="str">
        <f>IFERROR(INDEX(TableWRCalcPts[TM],MATCH(TableWRRanks[[#This Row],[RK]],TableWRCalcPts[RK],0)),"")</f>
        <v/>
      </c>
      <c r="R175" t="str">
        <f>IFERROR(INDEX(TableWRCalcPts[BYE],MATCH(TableWRRanks[[#This Row],[RK]],TableWRCalcPts[RK],0)),"")</f>
        <v/>
      </c>
      <c r="S175" s="58" t="str">
        <f>IFERROR(INDEX(TableWRCalcPts[Custom],MATCH(TableWRRanks[[#This Row],[RK]],TableWRCalcPts[RK],0)),"")</f>
        <v/>
      </c>
      <c r="T175" s="133" t="e">
        <f>(((VLOOKUP(TableWRRanks[[#This Row],[Player]],'OVR &amp; VORP Ranks'!$P:$T,5,FALSE)))/('OVR &amp; VORP Ranks'!$BM$6))*(Settings!$E$10*TEAMS)</f>
        <v>#VALUE!</v>
      </c>
    </row>
    <row r="176" spans="8:20" x14ac:dyDescent="0.2">
      <c r="O176">
        <v>175</v>
      </c>
      <c r="P176" t="str">
        <f>IFERROR(INDEX(TableWRCalcPts[PLAYER],MATCH(TableWRRanks[[#This Row],[RK]],TableWRCalcPts[RK],0)),"")</f>
        <v/>
      </c>
      <c r="Q176" t="str">
        <f>IFERROR(INDEX(TableWRCalcPts[TM],MATCH(TableWRRanks[[#This Row],[RK]],TableWRCalcPts[RK],0)),"")</f>
        <v/>
      </c>
      <c r="R176" t="str">
        <f>IFERROR(INDEX(TableWRCalcPts[BYE],MATCH(TableWRRanks[[#This Row],[RK]],TableWRCalcPts[RK],0)),"")</f>
        <v/>
      </c>
      <c r="S176" s="58" t="str">
        <f>IFERROR(INDEX(TableWRCalcPts[Custom],MATCH(TableWRRanks[[#This Row],[RK]],TableWRCalcPts[RK],0)),"")</f>
        <v/>
      </c>
      <c r="T176" s="133" t="e">
        <f>(((VLOOKUP(TableWRRanks[[#This Row],[Player]],'OVR &amp; VORP Ranks'!$P:$T,5,FALSE)))/('OVR &amp; VORP Ranks'!$BM$6))*(Settings!$E$10*TEAMS)</f>
        <v>#VALUE!</v>
      </c>
    </row>
    <row r="177" spans="15:20" x14ac:dyDescent="0.2">
      <c r="O177">
        <v>176</v>
      </c>
      <c r="P177" t="str">
        <f>IFERROR(INDEX(TableWRCalcPts[PLAYER],MATCH(TableWRRanks[[#This Row],[RK]],TableWRCalcPts[RK],0)),"")</f>
        <v/>
      </c>
      <c r="Q177" t="str">
        <f>IFERROR(INDEX(TableWRCalcPts[TM],MATCH(TableWRRanks[[#This Row],[RK]],TableWRCalcPts[RK],0)),"")</f>
        <v/>
      </c>
      <c r="R177" t="str">
        <f>IFERROR(INDEX(TableWRCalcPts[BYE],MATCH(TableWRRanks[[#This Row],[RK]],TableWRCalcPts[RK],0)),"")</f>
        <v/>
      </c>
      <c r="S177" s="58" t="str">
        <f>IFERROR(INDEX(TableWRCalcPts[Custom],MATCH(TableWRRanks[[#This Row],[RK]],TableWRCalcPts[RK],0)),"")</f>
        <v/>
      </c>
      <c r="T177" s="133" t="e">
        <f>(((VLOOKUP(TableWRRanks[[#This Row],[Player]],'OVR &amp; VORP Ranks'!$P:$T,5,FALSE)))/('OVR &amp; VORP Ranks'!$BM$6))*(Settings!$E$10*TEAMS)</f>
        <v>#VALUE!</v>
      </c>
    </row>
    <row r="178" spans="15:20" x14ac:dyDescent="0.2">
      <c r="O178">
        <v>177</v>
      </c>
      <c r="P178" t="str">
        <f>IFERROR(INDEX(TableWRCalcPts[PLAYER],MATCH(TableWRRanks[[#This Row],[RK]],TableWRCalcPts[RK],0)),"")</f>
        <v/>
      </c>
      <c r="Q178" t="str">
        <f>IFERROR(INDEX(TableWRCalcPts[TM],MATCH(TableWRRanks[[#This Row],[RK]],TableWRCalcPts[RK],0)),"")</f>
        <v/>
      </c>
      <c r="R178" t="str">
        <f>IFERROR(INDEX(TableWRCalcPts[BYE],MATCH(TableWRRanks[[#This Row],[RK]],TableWRCalcPts[RK],0)),"")</f>
        <v/>
      </c>
      <c r="S178" s="58" t="str">
        <f>IFERROR(INDEX(TableWRCalcPts[Custom],MATCH(TableWRRanks[[#This Row],[RK]],TableWRCalcPts[RK],0)),"")</f>
        <v/>
      </c>
      <c r="T178" s="133" t="e">
        <f>(((VLOOKUP(TableWRRanks[[#This Row],[Player]],'OVR &amp; VORP Ranks'!$P:$T,5,FALSE)))/('OVR &amp; VORP Ranks'!$BM$6))*(Settings!$E$10*TEAMS)</f>
        <v>#VALUE!</v>
      </c>
    </row>
    <row r="179" spans="15:20" x14ac:dyDescent="0.2">
      <c r="O179">
        <v>178</v>
      </c>
      <c r="P179" t="str">
        <f>IFERROR(INDEX(TableWRCalcPts[PLAYER],MATCH(TableWRRanks[[#This Row],[RK]],TableWRCalcPts[RK],0)),"")</f>
        <v/>
      </c>
      <c r="Q179" t="str">
        <f>IFERROR(INDEX(TableWRCalcPts[TM],MATCH(TableWRRanks[[#This Row],[RK]],TableWRCalcPts[RK],0)),"")</f>
        <v/>
      </c>
      <c r="R179" t="str">
        <f>IFERROR(INDEX(TableWRCalcPts[BYE],MATCH(TableWRRanks[[#This Row],[RK]],TableWRCalcPts[RK],0)),"")</f>
        <v/>
      </c>
      <c r="S179" s="58" t="str">
        <f>IFERROR(INDEX(TableWRCalcPts[Custom],MATCH(TableWRRanks[[#This Row],[RK]],TableWRCalcPts[RK],0)),"")</f>
        <v/>
      </c>
      <c r="T179" s="133" t="e">
        <f>(((VLOOKUP(TableWRRanks[[#This Row],[Player]],'OVR &amp; VORP Ranks'!$P:$T,5,FALSE)))/('OVR &amp; VORP Ranks'!$BM$6))*(Settings!$E$10*TEAMS)</f>
        <v>#VALUE!</v>
      </c>
    </row>
    <row r="180" spans="15:20" x14ac:dyDescent="0.2">
      <c r="O180">
        <v>179</v>
      </c>
      <c r="P180" t="str">
        <f>IFERROR(INDEX(TableWRCalcPts[PLAYER],MATCH(TableWRRanks[[#This Row],[RK]],TableWRCalcPts[RK],0)),"")</f>
        <v/>
      </c>
      <c r="Q180" t="str">
        <f>IFERROR(INDEX(TableWRCalcPts[TM],MATCH(TableWRRanks[[#This Row],[RK]],TableWRCalcPts[RK],0)),"")</f>
        <v/>
      </c>
      <c r="R180" t="str">
        <f>IFERROR(INDEX(TableWRCalcPts[BYE],MATCH(TableWRRanks[[#This Row],[RK]],TableWRCalcPts[RK],0)),"")</f>
        <v/>
      </c>
      <c r="S180" s="58" t="str">
        <f>IFERROR(INDEX(TableWRCalcPts[Custom],MATCH(TableWRRanks[[#This Row],[RK]],TableWRCalcPts[RK],0)),"")</f>
        <v/>
      </c>
      <c r="T180" s="133" t="e">
        <f>(((VLOOKUP(TableWRRanks[[#This Row],[Player]],'OVR &amp; VORP Ranks'!$P:$T,5,FALSE)))/('OVR &amp; VORP Ranks'!$BM$6))*(Settings!$E$10*TEAMS)</f>
        <v>#VALUE!</v>
      </c>
    </row>
    <row r="181" spans="15:20" x14ac:dyDescent="0.2">
      <c r="O181">
        <v>180</v>
      </c>
      <c r="P181" t="str">
        <f>IFERROR(INDEX(TableWRCalcPts[PLAYER],MATCH(TableWRRanks[[#This Row],[RK]],TableWRCalcPts[RK],0)),"")</f>
        <v/>
      </c>
      <c r="Q181" t="str">
        <f>IFERROR(INDEX(TableWRCalcPts[TM],MATCH(TableWRRanks[[#This Row],[RK]],TableWRCalcPts[RK],0)),"")</f>
        <v/>
      </c>
      <c r="R181" t="str">
        <f>IFERROR(INDEX(TableWRCalcPts[BYE],MATCH(TableWRRanks[[#This Row],[RK]],TableWRCalcPts[RK],0)),"")</f>
        <v/>
      </c>
      <c r="S181" s="58" t="str">
        <f>IFERROR(INDEX(TableWRCalcPts[Custom],MATCH(TableWRRanks[[#This Row],[RK]],TableWRCalcPts[RK],0)),"")</f>
        <v/>
      </c>
      <c r="T181" s="133" t="e">
        <f>(((VLOOKUP(TableWRRanks[[#This Row],[Player]],'OVR &amp; VORP Ranks'!$P:$T,5,FALSE)))/('OVR &amp; VORP Ranks'!$BM$6))*(Settings!$E$10*TEAMS)</f>
        <v>#VALUE!</v>
      </c>
    </row>
    <row r="182" spans="15:20" x14ac:dyDescent="0.2">
      <c r="O182">
        <v>181</v>
      </c>
      <c r="P182" t="str">
        <f>IFERROR(INDEX(TableWRCalcPts[PLAYER],MATCH(TableWRRanks[[#This Row],[RK]],TableWRCalcPts[RK],0)),"")</f>
        <v/>
      </c>
      <c r="Q182" t="str">
        <f>IFERROR(INDEX(TableWRCalcPts[TM],MATCH(TableWRRanks[[#This Row],[RK]],TableWRCalcPts[RK],0)),"")</f>
        <v/>
      </c>
      <c r="R182" t="str">
        <f>IFERROR(INDEX(TableWRCalcPts[BYE],MATCH(TableWRRanks[[#This Row],[RK]],TableWRCalcPts[RK],0)),"")</f>
        <v/>
      </c>
      <c r="S182" s="58" t="str">
        <f>IFERROR(INDEX(TableWRCalcPts[Custom],MATCH(TableWRRanks[[#This Row],[RK]],TableWRCalcPts[RK],0)),"")</f>
        <v/>
      </c>
      <c r="T182" s="133" t="e">
        <f>(((VLOOKUP(TableWRRanks[[#This Row],[Player]],'OVR &amp; VORP Ranks'!$P:$T,5,FALSE)))/('OVR &amp; VORP Ranks'!$BM$6))*(Settings!$E$10*TEAMS)</f>
        <v>#VALUE!</v>
      </c>
    </row>
    <row r="183" spans="15:20" x14ac:dyDescent="0.2">
      <c r="O183">
        <v>182</v>
      </c>
      <c r="P183" t="str">
        <f>IFERROR(INDEX(TableWRCalcPts[PLAYER],MATCH(TableWRRanks[[#This Row],[RK]],TableWRCalcPts[RK],0)),"")</f>
        <v/>
      </c>
      <c r="Q183" t="str">
        <f>IFERROR(INDEX(TableWRCalcPts[TM],MATCH(TableWRRanks[[#This Row],[RK]],TableWRCalcPts[RK],0)),"")</f>
        <v/>
      </c>
      <c r="R183" t="str">
        <f>IFERROR(INDEX(TableWRCalcPts[BYE],MATCH(TableWRRanks[[#This Row],[RK]],TableWRCalcPts[RK],0)),"")</f>
        <v/>
      </c>
      <c r="S183" s="58" t="str">
        <f>IFERROR(INDEX(TableWRCalcPts[Custom],MATCH(TableWRRanks[[#This Row],[RK]],TableWRCalcPts[RK],0)),"")</f>
        <v/>
      </c>
      <c r="T183" s="133" t="e">
        <f>(((VLOOKUP(TableWRRanks[[#This Row],[Player]],'OVR &amp; VORP Ranks'!$P:$T,5,FALSE)))/('OVR &amp; VORP Ranks'!$BM$6))*(Settings!$E$10*TEAMS)</f>
        <v>#VALUE!</v>
      </c>
    </row>
    <row r="184" spans="15:20" x14ac:dyDescent="0.2">
      <c r="O184">
        <v>183</v>
      </c>
      <c r="P184" t="str">
        <f>IFERROR(INDEX(TableWRCalcPts[PLAYER],MATCH(TableWRRanks[[#This Row],[RK]],TableWRCalcPts[RK],0)),"")</f>
        <v/>
      </c>
      <c r="Q184" t="str">
        <f>IFERROR(INDEX(TableWRCalcPts[TM],MATCH(TableWRRanks[[#This Row],[RK]],TableWRCalcPts[RK],0)),"")</f>
        <v/>
      </c>
      <c r="R184" t="str">
        <f>IFERROR(INDEX(TableWRCalcPts[BYE],MATCH(TableWRRanks[[#This Row],[RK]],TableWRCalcPts[RK],0)),"")</f>
        <v/>
      </c>
      <c r="S184" s="58" t="str">
        <f>IFERROR(INDEX(TableWRCalcPts[Custom],MATCH(TableWRRanks[[#This Row],[RK]],TableWRCalcPts[RK],0)),"")</f>
        <v/>
      </c>
      <c r="T184" s="133" t="e">
        <f>(((VLOOKUP(TableWRRanks[[#This Row],[Player]],'OVR &amp; VORP Ranks'!$P:$T,5,FALSE)))/('OVR &amp; VORP Ranks'!$BM$6))*(Settings!$E$10*TEAMS)</f>
        <v>#VALUE!</v>
      </c>
    </row>
    <row r="185" spans="15:20" x14ac:dyDescent="0.2">
      <c r="O185">
        <v>184</v>
      </c>
      <c r="P185" t="str">
        <f>IFERROR(INDEX(TableWRCalcPts[PLAYER],MATCH(TableWRRanks[[#This Row],[RK]],TableWRCalcPts[RK],0)),"")</f>
        <v/>
      </c>
      <c r="Q185" t="str">
        <f>IFERROR(INDEX(TableWRCalcPts[TM],MATCH(TableWRRanks[[#This Row],[RK]],TableWRCalcPts[RK],0)),"")</f>
        <v/>
      </c>
      <c r="R185" t="str">
        <f>IFERROR(INDEX(TableWRCalcPts[BYE],MATCH(TableWRRanks[[#This Row],[RK]],TableWRCalcPts[RK],0)),"")</f>
        <v/>
      </c>
      <c r="S185" s="58" t="str">
        <f>IFERROR(INDEX(TableWRCalcPts[Custom],MATCH(TableWRRanks[[#This Row],[RK]],TableWRCalcPts[RK],0)),"")</f>
        <v/>
      </c>
      <c r="T185" s="133" t="e">
        <f>(((VLOOKUP(TableWRRanks[[#This Row],[Player]],'OVR &amp; VORP Ranks'!$P:$T,5,FALSE)))/('OVR &amp; VORP Ranks'!$BM$6))*(Settings!$E$10*TEAMS)</f>
        <v>#VALUE!</v>
      </c>
    </row>
    <row r="186" spans="15:20" x14ac:dyDescent="0.2">
      <c r="O186">
        <v>185</v>
      </c>
      <c r="P186" t="str">
        <f>IFERROR(INDEX(TableWRCalcPts[PLAYER],MATCH(TableWRRanks[[#This Row],[RK]],TableWRCalcPts[RK],0)),"")</f>
        <v/>
      </c>
      <c r="Q186" t="str">
        <f>IFERROR(INDEX(TableWRCalcPts[TM],MATCH(TableWRRanks[[#This Row],[RK]],TableWRCalcPts[RK],0)),"")</f>
        <v/>
      </c>
      <c r="R186" t="str">
        <f>IFERROR(INDEX(TableWRCalcPts[BYE],MATCH(TableWRRanks[[#This Row],[RK]],TableWRCalcPts[RK],0)),"")</f>
        <v/>
      </c>
      <c r="S186" s="58" t="str">
        <f>IFERROR(INDEX(TableWRCalcPts[Custom],MATCH(TableWRRanks[[#This Row],[RK]],TableWRCalcPts[RK],0)),"")</f>
        <v/>
      </c>
      <c r="T186" s="133" t="e">
        <f>(((VLOOKUP(TableWRRanks[[#This Row],[Player]],'OVR &amp; VORP Ranks'!$P:$T,5,FALSE)))/('OVR &amp; VORP Ranks'!$BM$6))*(Settings!$E$10*TEAMS)</f>
        <v>#VALUE!</v>
      </c>
    </row>
    <row r="187" spans="15:20" x14ac:dyDescent="0.2">
      <c r="O187">
        <v>186</v>
      </c>
      <c r="P187" t="str">
        <f>IFERROR(INDEX(TableWRCalcPts[PLAYER],MATCH(TableWRRanks[[#This Row],[RK]],TableWRCalcPts[RK],0)),"")</f>
        <v/>
      </c>
      <c r="Q187" t="str">
        <f>IFERROR(INDEX(TableWRCalcPts[TM],MATCH(TableWRRanks[[#This Row],[RK]],TableWRCalcPts[RK],0)),"")</f>
        <v/>
      </c>
      <c r="R187" t="str">
        <f>IFERROR(INDEX(TableWRCalcPts[BYE],MATCH(TableWRRanks[[#This Row],[RK]],TableWRCalcPts[RK],0)),"")</f>
        <v/>
      </c>
      <c r="S187" s="58" t="str">
        <f>IFERROR(INDEX(TableWRCalcPts[Custom],MATCH(TableWRRanks[[#This Row],[RK]],TableWRCalcPts[RK],0)),"")</f>
        <v/>
      </c>
      <c r="T187" s="133" t="e">
        <f>(((VLOOKUP(TableWRRanks[[#This Row],[Player]],'OVR &amp; VORP Ranks'!$P:$T,5,FALSE)))/('OVR &amp; VORP Ranks'!$BM$6))*(Settings!$E$10*TEAMS)</f>
        <v>#VALUE!</v>
      </c>
    </row>
    <row r="188" spans="15:20" x14ac:dyDescent="0.2">
      <c r="O188">
        <v>187</v>
      </c>
      <c r="P188" t="str">
        <f>IFERROR(INDEX(TableWRCalcPts[PLAYER],MATCH(TableWRRanks[[#This Row],[RK]],TableWRCalcPts[RK],0)),"")</f>
        <v/>
      </c>
      <c r="Q188" t="str">
        <f>IFERROR(INDEX(TableWRCalcPts[TM],MATCH(TableWRRanks[[#This Row],[RK]],TableWRCalcPts[RK],0)),"")</f>
        <v/>
      </c>
      <c r="R188" t="str">
        <f>IFERROR(INDEX(TableWRCalcPts[BYE],MATCH(TableWRRanks[[#This Row],[RK]],TableWRCalcPts[RK],0)),"")</f>
        <v/>
      </c>
      <c r="S188" s="58" t="str">
        <f>IFERROR(INDEX(TableWRCalcPts[Custom],MATCH(TableWRRanks[[#This Row],[RK]],TableWRCalcPts[RK],0)),"")</f>
        <v/>
      </c>
      <c r="T188" s="133" t="e">
        <f>(((VLOOKUP(TableWRRanks[[#This Row],[Player]],'OVR &amp; VORP Ranks'!$P:$T,5,FALSE)))/('OVR &amp; VORP Ranks'!$BM$6))*(Settings!$E$10*TEAMS)</f>
        <v>#VALUE!</v>
      </c>
    </row>
    <row r="189" spans="15:20" x14ac:dyDescent="0.2">
      <c r="O189">
        <v>188</v>
      </c>
      <c r="P189" t="str">
        <f>IFERROR(INDEX(TableWRCalcPts[PLAYER],MATCH(TableWRRanks[[#This Row],[RK]],TableWRCalcPts[RK],0)),"")</f>
        <v/>
      </c>
      <c r="Q189" t="str">
        <f>IFERROR(INDEX(TableWRCalcPts[TM],MATCH(TableWRRanks[[#This Row],[RK]],TableWRCalcPts[RK],0)),"")</f>
        <v/>
      </c>
      <c r="R189" t="str">
        <f>IFERROR(INDEX(TableWRCalcPts[BYE],MATCH(TableWRRanks[[#This Row],[RK]],TableWRCalcPts[RK],0)),"")</f>
        <v/>
      </c>
      <c r="S189" s="58" t="str">
        <f>IFERROR(INDEX(TableWRCalcPts[Custom],MATCH(TableWRRanks[[#This Row],[RK]],TableWRCalcPts[RK],0)),"")</f>
        <v/>
      </c>
      <c r="T189" s="133" t="e">
        <f>(((VLOOKUP(TableWRRanks[[#This Row],[Player]],'OVR &amp; VORP Ranks'!$P:$T,5,FALSE)))/('OVR &amp; VORP Ranks'!$BM$6))*(Settings!$E$10*TEAMS)</f>
        <v>#VALUE!</v>
      </c>
    </row>
    <row r="190" spans="15:20" x14ac:dyDescent="0.2">
      <c r="O190">
        <v>189</v>
      </c>
      <c r="P190" t="str">
        <f>IFERROR(INDEX(TableWRCalcPts[PLAYER],MATCH(TableWRRanks[[#This Row],[RK]],TableWRCalcPts[RK],0)),"")</f>
        <v/>
      </c>
      <c r="Q190" t="str">
        <f>IFERROR(INDEX(TableWRCalcPts[TM],MATCH(TableWRRanks[[#This Row],[RK]],TableWRCalcPts[RK],0)),"")</f>
        <v/>
      </c>
      <c r="R190" t="str">
        <f>IFERROR(INDEX(TableWRCalcPts[BYE],MATCH(TableWRRanks[[#This Row],[RK]],TableWRCalcPts[RK],0)),"")</f>
        <v/>
      </c>
      <c r="S190" s="58" t="str">
        <f>IFERROR(INDEX(TableWRCalcPts[Custom],MATCH(TableWRRanks[[#This Row],[RK]],TableWRCalcPts[RK],0)),"")</f>
        <v/>
      </c>
      <c r="T190" s="133" t="e">
        <f>(((VLOOKUP(TableWRRanks[[#This Row],[Player]],'OVR &amp; VORP Ranks'!$P:$T,5,FALSE)))/('OVR &amp; VORP Ranks'!$BM$6))*(Settings!$E$10*TEAMS)</f>
        <v>#VALUE!</v>
      </c>
    </row>
    <row r="191" spans="15:20" x14ac:dyDescent="0.2">
      <c r="O191">
        <v>190</v>
      </c>
      <c r="P191" t="str">
        <f>IFERROR(INDEX(TableWRCalcPts[PLAYER],MATCH(TableWRRanks[[#This Row],[RK]],TableWRCalcPts[RK],0)),"")</f>
        <v/>
      </c>
      <c r="Q191" t="str">
        <f>IFERROR(INDEX(TableWRCalcPts[TM],MATCH(TableWRRanks[[#This Row],[RK]],TableWRCalcPts[RK],0)),"")</f>
        <v/>
      </c>
      <c r="R191" t="str">
        <f>IFERROR(INDEX(TableWRCalcPts[BYE],MATCH(TableWRRanks[[#This Row],[RK]],TableWRCalcPts[RK],0)),"")</f>
        <v/>
      </c>
      <c r="S191" s="58" t="str">
        <f>IFERROR(INDEX(TableWRCalcPts[Custom],MATCH(TableWRRanks[[#This Row],[RK]],TableWRCalcPts[RK],0)),"")</f>
        <v/>
      </c>
      <c r="T191" s="133" t="e">
        <f>(((VLOOKUP(TableWRRanks[[#This Row],[Player]],'OVR &amp; VORP Ranks'!$P:$T,5,FALSE)))/('OVR &amp; VORP Ranks'!$BM$6))*(Settings!$E$10*TEAMS)</f>
        <v>#VALUE!</v>
      </c>
    </row>
    <row r="192" spans="15:20" x14ac:dyDescent="0.2">
      <c r="O192">
        <v>191</v>
      </c>
      <c r="P192" t="str">
        <f>IFERROR(INDEX(TableWRCalcPts[PLAYER],MATCH(TableWRRanks[[#This Row],[RK]],TableWRCalcPts[RK],0)),"")</f>
        <v/>
      </c>
      <c r="Q192" t="str">
        <f>IFERROR(INDEX(TableWRCalcPts[TM],MATCH(TableWRRanks[[#This Row],[RK]],TableWRCalcPts[RK],0)),"")</f>
        <v/>
      </c>
      <c r="R192" t="str">
        <f>IFERROR(INDEX(TableWRCalcPts[BYE],MATCH(TableWRRanks[[#This Row],[RK]],TableWRCalcPts[RK],0)),"")</f>
        <v/>
      </c>
      <c r="S192" s="58" t="str">
        <f>IFERROR(INDEX(TableWRCalcPts[Custom],MATCH(TableWRRanks[[#This Row],[RK]],TableWRCalcPts[RK],0)),"")</f>
        <v/>
      </c>
      <c r="T192" s="133" t="e">
        <f>(((VLOOKUP(TableWRRanks[[#This Row],[Player]],'OVR &amp; VORP Ranks'!$P:$T,5,FALSE)))/('OVR &amp; VORP Ranks'!$BM$6))*(Settings!$E$10*TEAMS)</f>
        <v>#VALUE!</v>
      </c>
    </row>
    <row r="193" spans="15:20" x14ac:dyDescent="0.2">
      <c r="O193">
        <v>192</v>
      </c>
      <c r="P193" t="str">
        <f>IFERROR(INDEX(TableWRCalcPts[PLAYER],MATCH(TableWRRanks[[#This Row],[RK]],TableWRCalcPts[RK],0)),"")</f>
        <v/>
      </c>
      <c r="Q193" t="str">
        <f>IFERROR(INDEX(TableWRCalcPts[TM],MATCH(TableWRRanks[[#This Row],[RK]],TableWRCalcPts[RK],0)),"")</f>
        <v/>
      </c>
      <c r="R193" t="str">
        <f>IFERROR(INDEX(TableWRCalcPts[BYE],MATCH(TableWRRanks[[#This Row],[RK]],TableWRCalcPts[RK],0)),"")</f>
        <v/>
      </c>
      <c r="S193" s="58" t="str">
        <f>IFERROR(INDEX(TableWRCalcPts[Custom],MATCH(TableWRRanks[[#This Row],[RK]],TableWRCalcPts[RK],0)),"")</f>
        <v/>
      </c>
      <c r="T193" s="133" t="e">
        <f>(((VLOOKUP(TableWRRanks[[#This Row],[Player]],'OVR &amp; VORP Ranks'!$P:$T,5,FALSE)))/('OVR &amp; VORP Ranks'!$BM$6))*(Settings!$E$10*TEAMS)</f>
        <v>#VALUE!</v>
      </c>
    </row>
    <row r="194" spans="15:20" x14ac:dyDescent="0.2">
      <c r="O194">
        <v>193</v>
      </c>
      <c r="P194" t="str">
        <f>IFERROR(INDEX(TableWRCalcPts[PLAYER],MATCH(TableWRRanks[[#This Row],[RK]],TableWRCalcPts[RK],0)),"")</f>
        <v/>
      </c>
      <c r="Q194" t="str">
        <f>IFERROR(INDEX(TableWRCalcPts[TM],MATCH(TableWRRanks[[#This Row],[RK]],TableWRCalcPts[RK],0)),"")</f>
        <v/>
      </c>
      <c r="R194" t="str">
        <f>IFERROR(INDEX(TableWRCalcPts[BYE],MATCH(TableWRRanks[[#This Row],[RK]],TableWRCalcPts[RK],0)),"")</f>
        <v/>
      </c>
      <c r="S194" s="58" t="str">
        <f>IFERROR(INDEX(TableWRCalcPts[Custom],MATCH(TableWRRanks[[#This Row],[RK]],TableWRCalcPts[RK],0)),"")</f>
        <v/>
      </c>
      <c r="T194" s="133" t="e">
        <f>(((VLOOKUP(TableWRRanks[[#This Row],[Player]],'OVR &amp; VORP Ranks'!$P:$T,5,FALSE)))/('OVR &amp; VORP Ranks'!$BM$6))*(Settings!$E$10*TEAMS)</f>
        <v>#VALUE!</v>
      </c>
    </row>
    <row r="195" spans="15:20" x14ac:dyDescent="0.2">
      <c r="O195">
        <v>194</v>
      </c>
      <c r="P195" t="str">
        <f>IFERROR(INDEX(TableWRCalcPts[PLAYER],MATCH(TableWRRanks[[#This Row],[RK]],TableWRCalcPts[RK],0)),"")</f>
        <v/>
      </c>
      <c r="Q195" t="str">
        <f>IFERROR(INDEX(TableWRCalcPts[TM],MATCH(TableWRRanks[[#This Row],[RK]],TableWRCalcPts[RK],0)),"")</f>
        <v/>
      </c>
      <c r="R195" t="str">
        <f>IFERROR(INDEX(TableWRCalcPts[BYE],MATCH(TableWRRanks[[#This Row],[RK]],TableWRCalcPts[RK],0)),"")</f>
        <v/>
      </c>
      <c r="S195" s="58" t="str">
        <f>IFERROR(INDEX(TableWRCalcPts[Custom],MATCH(TableWRRanks[[#This Row],[RK]],TableWRCalcPts[RK],0)),"")</f>
        <v/>
      </c>
      <c r="T195" s="133" t="e">
        <f>(((VLOOKUP(TableWRRanks[[#This Row],[Player]],'OVR &amp; VORP Ranks'!$P:$T,5,FALSE)))/('OVR &amp; VORP Ranks'!$BM$6))*(Settings!$E$10*TEAMS)</f>
        <v>#VALUE!</v>
      </c>
    </row>
    <row r="196" spans="15:20" x14ac:dyDescent="0.2">
      <c r="O196">
        <v>195</v>
      </c>
      <c r="P196" t="str">
        <f>IFERROR(INDEX(TableWRCalcPts[PLAYER],MATCH(TableWRRanks[[#This Row],[RK]],TableWRCalcPts[RK],0)),"")</f>
        <v/>
      </c>
      <c r="Q196" t="str">
        <f>IFERROR(INDEX(TableWRCalcPts[TM],MATCH(TableWRRanks[[#This Row],[RK]],TableWRCalcPts[RK],0)),"")</f>
        <v/>
      </c>
      <c r="R196" t="str">
        <f>IFERROR(INDEX(TableWRCalcPts[BYE],MATCH(TableWRRanks[[#This Row],[RK]],TableWRCalcPts[RK],0)),"")</f>
        <v/>
      </c>
      <c r="S196" s="58" t="str">
        <f>IFERROR(INDEX(TableWRCalcPts[Custom],MATCH(TableWRRanks[[#This Row],[RK]],TableWRCalcPts[RK],0)),"")</f>
        <v/>
      </c>
      <c r="T196" s="133" t="e">
        <f>(((VLOOKUP(TableWRRanks[[#This Row],[Player]],'OVR &amp; VORP Ranks'!$P:$T,5,FALSE)))/('OVR &amp; VORP Ranks'!$BM$6))*(Settings!$E$10*TEAMS)</f>
        <v>#VALUE!</v>
      </c>
    </row>
    <row r="197" spans="15:20" x14ac:dyDescent="0.2">
      <c r="O197">
        <v>196</v>
      </c>
      <c r="P197" t="str">
        <f>IFERROR(INDEX(TableWRCalcPts[PLAYER],MATCH(TableWRRanks[[#This Row],[RK]],TableWRCalcPts[RK],0)),"")</f>
        <v/>
      </c>
      <c r="Q197" t="str">
        <f>IFERROR(INDEX(TableWRCalcPts[TM],MATCH(TableWRRanks[[#This Row],[RK]],TableWRCalcPts[RK],0)),"")</f>
        <v/>
      </c>
      <c r="R197" t="str">
        <f>IFERROR(INDEX(TableWRCalcPts[BYE],MATCH(TableWRRanks[[#This Row],[RK]],TableWRCalcPts[RK],0)),"")</f>
        <v/>
      </c>
      <c r="S197" s="58" t="str">
        <f>IFERROR(INDEX(TableWRCalcPts[Custom],MATCH(TableWRRanks[[#This Row],[RK]],TableWRCalcPts[RK],0)),"")</f>
        <v/>
      </c>
      <c r="T197" s="133" t="e">
        <f>(((VLOOKUP(TableWRRanks[[#This Row],[Player]],'OVR &amp; VORP Ranks'!$P:$T,5,FALSE)))/('OVR &amp; VORP Ranks'!$BM$6))*(Settings!$E$10*TEAMS)</f>
        <v>#VALUE!</v>
      </c>
    </row>
    <row r="198" spans="15:20" x14ac:dyDescent="0.2">
      <c r="O198">
        <v>197</v>
      </c>
      <c r="P198" t="str">
        <f>IFERROR(INDEX(TableWRCalcPts[PLAYER],MATCH(TableWRRanks[[#This Row],[RK]],TableWRCalcPts[RK],0)),"")</f>
        <v/>
      </c>
      <c r="Q198" t="str">
        <f>IFERROR(INDEX(TableWRCalcPts[TM],MATCH(TableWRRanks[[#This Row],[RK]],TableWRCalcPts[RK],0)),"")</f>
        <v/>
      </c>
      <c r="R198" t="str">
        <f>IFERROR(INDEX(TableWRCalcPts[BYE],MATCH(TableWRRanks[[#This Row],[RK]],TableWRCalcPts[RK],0)),"")</f>
        <v/>
      </c>
      <c r="S198" s="58" t="str">
        <f>IFERROR(INDEX(TableWRCalcPts[Custom],MATCH(TableWRRanks[[#This Row],[RK]],TableWRCalcPts[RK],0)),"")</f>
        <v/>
      </c>
      <c r="T198" s="133" t="e">
        <f>(((VLOOKUP(TableWRRanks[[#This Row],[Player]],'OVR &amp; VORP Ranks'!$P:$T,5,FALSE)))/('OVR &amp; VORP Ranks'!$BM$6))*(Settings!$E$10*TEAMS)</f>
        <v>#VALUE!</v>
      </c>
    </row>
    <row r="199" spans="15:20" x14ac:dyDescent="0.2">
      <c r="O199">
        <v>198</v>
      </c>
      <c r="P199" t="str">
        <f>IFERROR(INDEX(TableWRCalcPts[PLAYER],MATCH(TableWRRanks[[#This Row],[RK]],TableWRCalcPts[RK],0)),"")</f>
        <v/>
      </c>
      <c r="Q199" t="str">
        <f>IFERROR(INDEX(TableWRCalcPts[TM],MATCH(TableWRRanks[[#This Row],[RK]],TableWRCalcPts[RK],0)),"")</f>
        <v/>
      </c>
      <c r="R199" t="str">
        <f>IFERROR(INDEX(TableWRCalcPts[BYE],MATCH(TableWRRanks[[#This Row],[RK]],TableWRCalcPts[RK],0)),"")</f>
        <v/>
      </c>
      <c r="S199" s="58" t="str">
        <f>IFERROR(INDEX(TableWRCalcPts[Custom],MATCH(TableWRRanks[[#This Row],[RK]],TableWRCalcPts[RK],0)),"")</f>
        <v/>
      </c>
      <c r="T199" s="133" t="e">
        <f>(((VLOOKUP(TableWRRanks[[#This Row],[Player]],'OVR &amp; VORP Ranks'!$P:$T,5,FALSE)))/('OVR &amp; VORP Ranks'!$BM$6))*(Settings!$E$10*TEAMS)</f>
        <v>#VALUE!</v>
      </c>
    </row>
    <row r="200" spans="15:20" x14ac:dyDescent="0.2">
      <c r="O200">
        <v>199</v>
      </c>
      <c r="P200" t="str">
        <f>IFERROR(INDEX(TableWRCalcPts[PLAYER],MATCH(TableWRRanks[[#This Row],[RK]],TableWRCalcPts[RK],0)),"")</f>
        <v/>
      </c>
      <c r="Q200" t="str">
        <f>IFERROR(INDEX(TableWRCalcPts[TM],MATCH(TableWRRanks[[#This Row],[RK]],TableWRCalcPts[RK],0)),"")</f>
        <v/>
      </c>
      <c r="R200" t="str">
        <f>IFERROR(INDEX(TableWRCalcPts[BYE],MATCH(TableWRRanks[[#This Row],[RK]],TableWRCalcPts[RK],0)),"")</f>
        <v/>
      </c>
      <c r="S200" s="58" t="str">
        <f>IFERROR(INDEX(TableWRCalcPts[Custom],MATCH(TableWRRanks[[#This Row],[RK]],TableWRCalcPts[RK],0)),"")</f>
        <v/>
      </c>
      <c r="T200" s="133" t="e">
        <f>(((VLOOKUP(TableWRRanks[[#This Row],[Player]],'OVR &amp; VORP Ranks'!$P:$T,5,FALSE)))/('OVR &amp; VORP Ranks'!$BM$6))*(Settings!$E$10*TEAMS)</f>
        <v>#VALUE!</v>
      </c>
    </row>
    <row r="201" spans="15:20" x14ac:dyDescent="0.2">
      <c r="O201">
        <v>200</v>
      </c>
      <c r="P201" t="str">
        <f>IFERROR(INDEX(TableWRCalcPts[PLAYER],MATCH(TableWRRanks[[#This Row],[RK]],TableWRCalcPts[RK],0)),"")</f>
        <v/>
      </c>
      <c r="Q201" t="str">
        <f>IFERROR(INDEX(TableWRCalcPts[TM],MATCH(TableWRRanks[[#This Row],[RK]],TableWRCalcPts[RK],0)),"")</f>
        <v/>
      </c>
      <c r="R201" t="str">
        <f>IFERROR(INDEX(TableWRCalcPts[BYE],MATCH(TableWRRanks[[#This Row],[RK]],TableWRCalcPts[RK],0)),"")</f>
        <v/>
      </c>
      <c r="S201" s="58" t="str">
        <f>IFERROR(INDEX(TableWRCalcPts[Custom],MATCH(TableWRRanks[[#This Row],[RK]],TableWRCalcPts[RK],0)),"")</f>
        <v/>
      </c>
      <c r="T201" s="133" t="e">
        <f>(((VLOOKUP(TableWRRanks[[#This Row],[Player]],'OVR &amp; VORP Ranks'!$P:$T,5,FALSE)))/('OVR &amp; VORP Ranks'!$BM$6))*(Settings!$E$10*TEAMS)</f>
        <v>#VALUE!</v>
      </c>
    </row>
    <row r="202" spans="15:20" x14ac:dyDescent="0.2">
      <c r="O202">
        <v>201</v>
      </c>
      <c r="P202" t="str">
        <f>IFERROR(INDEX(TableWRCalcPts[PLAYER],MATCH(TableWRRanks[[#This Row],[RK]],TableWRCalcPts[RK],0)),"")</f>
        <v/>
      </c>
      <c r="Q202" t="str">
        <f>IFERROR(INDEX(TableWRCalcPts[TM],MATCH(TableWRRanks[[#This Row],[RK]],TableWRCalcPts[RK],0)),"")</f>
        <v/>
      </c>
      <c r="R202" t="str">
        <f>IFERROR(INDEX(TableWRCalcPts[BYE],MATCH(TableWRRanks[[#This Row],[RK]],TableWRCalcPts[RK],0)),"")</f>
        <v/>
      </c>
      <c r="S202" s="58" t="str">
        <f>IFERROR(INDEX(TableWRCalcPts[Custom],MATCH(TableWRRanks[[#This Row],[RK]],TableWRCalcPts[RK],0)),"")</f>
        <v/>
      </c>
      <c r="T202" s="133" t="e">
        <f>(((VLOOKUP(TableWRRanks[[#This Row],[Player]],'OVR &amp; VORP Ranks'!$P:$T,5,FALSE)))/('OVR &amp; VORP Ranks'!$BM$6))*(Settings!$E$10*TEAMS)</f>
        <v>#VALUE!</v>
      </c>
    </row>
    <row r="203" spans="15:20" x14ac:dyDescent="0.2">
      <c r="O203">
        <v>202</v>
      </c>
      <c r="P203" t="str">
        <f>IFERROR(INDEX(TableWRCalcPts[PLAYER],MATCH(TableWRRanks[[#This Row],[RK]],TableWRCalcPts[RK],0)),"")</f>
        <v/>
      </c>
      <c r="Q203" t="str">
        <f>IFERROR(INDEX(TableWRCalcPts[TM],MATCH(TableWRRanks[[#This Row],[RK]],TableWRCalcPts[RK],0)),"")</f>
        <v/>
      </c>
      <c r="R203" t="str">
        <f>IFERROR(INDEX(TableWRCalcPts[BYE],MATCH(TableWRRanks[[#This Row],[RK]],TableWRCalcPts[RK],0)),"")</f>
        <v/>
      </c>
      <c r="S203" s="58" t="str">
        <f>IFERROR(INDEX(TableWRCalcPts[Custom],MATCH(TableWRRanks[[#This Row],[RK]],TableWRCalcPts[RK],0)),"")</f>
        <v/>
      </c>
      <c r="T203" s="133" t="e">
        <f>(((VLOOKUP(TableWRRanks[[#This Row],[Player]],'OVR &amp; VORP Ranks'!$P:$T,5,FALSE)))/('OVR &amp; VORP Ranks'!$BM$6))*(Settings!$E$10*TEAMS)</f>
        <v>#VALUE!</v>
      </c>
    </row>
    <row r="204" spans="15:20" x14ac:dyDescent="0.2">
      <c r="O204">
        <v>203</v>
      </c>
      <c r="P204" t="str">
        <f>IFERROR(INDEX(TableWRCalcPts[PLAYER],MATCH(TableWRRanks[[#This Row],[RK]],TableWRCalcPts[RK],0)),"")</f>
        <v/>
      </c>
      <c r="Q204" t="str">
        <f>IFERROR(INDEX(TableWRCalcPts[TM],MATCH(TableWRRanks[[#This Row],[RK]],TableWRCalcPts[RK],0)),"")</f>
        <v/>
      </c>
      <c r="R204" t="str">
        <f>IFERROR(INDEX(TableWRCalcPts[BYE],MATCH(TableWRRanks[[#This Row],[RK]],TableWRCalcPts[RK],0)),"")</f>
        <v/>
      </c>
      <c r="S204" s="58" t="str">
        <f>IFERROR(INDEX(TableWRCalcPts[Custom],MATCH(TableWRRanks[[#This Row],[RK]],TableWRCalcPts[RK],0)),"")</f>
        <v/>
      </c>
      <c r="T204" s="133" t="e">
        <f>(((VLOOKUP(TableWRRanks[[#This Row],[Player]],'OVR &amp; VORP Ranks'!$P:$T,5,FALSE)))/('OVR &amp; VORP Ranks'!$BM$6))*(Settings!$E$10*TEAMS)</f>
        <v>#VALUE!</v>
      </c>
    </row>
    <row r="205" spans="15:20" x14ac:dyDescent="0.2">
      <c r="O205">
        <v>204</v>
      </c>
      <c r="P205" t="str">
        <f>IFERROR(INDEX(TableWRCalcPts[PLAYER],MATCH(TableWRRanks[[#This Row],[RK]],TableWRCalcPts[RK],0)),"")</f>
        <v/>
      </c>
      <c r="Q205" t="str">
        <f>IFERROR(INDEX(TableWRCalcPts[TM],MATCH(TableWRRanks[[#This Row],[RK]],TableWRCalcPts[RK],0)),"")</f>
        <v/>
      </c>
      <c r="R205" t="str">
        <f>IFERROR(INDEX(TableWRCalcPts[BYE],MATCH(TableWRRanks[[#This Row],[RK]],TableWRCalcPts[RK],0)),"")</f>
        <v/>
      </c>
      <c r="S205" s="58" t="str">
        <f>IFERROR(INDEX(TableWRCalcPts[Custom],MATCH(TableWRRanks[[#This Row],[RK]],TableWRCalcPts[RK],0)),"")</f>
        <v/>
      </c>
      <c r="T205" s="133" t="e">
        <f>(((VLOOKUP(TableWRRanks[[#This Row],[Player]],'OVR &amp; VORP Ranks'!$P:$T,5,FALSE)))/('OVR &amp; VORP Ranks'!$BM$6))*(Settings!$E$10*TEAMS)</f>
        <v>#VALUE!</v>
      </c>
    </row>
    <row r="206" spans="15:20" x14ac:dyDescent="0.2">
      <c r="O206">
        <v>205</v>
      </c>
      <c r="P206" t="str">
        <f>IFERROR(INDEX(TableWRCalcPts[PLAYER],MATCH(TableWRRanks[[#This Row],[RK]],TableWRCalcPts[RK],0)),"")</f>
        <v/>
      </c>
      <c r="Q206" t="str">
        <f>IFERROR(INDEX(TableWRCalcPts[TM],MATCH(TableWRRanks[[#This Row],[RK]],TableWRCalcPts[RK],0)),"")</f>
        <v/>
      </c>
      <c r="R206" t="str">
        <f>IFERROR(INDEX(TableWRCalcPts[BYE],MATCH(TableWRRanks[[#This Row],[RK]],TableWRCalcPts[RK],0)),"")</f>
        <v/>
      </c>
      <c r="S206" s="58" t="str">
        <f>IFERROR(INDEX(TableWRCalcPts[Custom],MATCH(TableWRRanks[[#This Row],[RK]],TableWRCalcPts[RK],0)),"")</f>
        <v/>
      </c>
      <c r="T206" s="133" t="e">
        <f>(((VLOOKUP(TableWRRanks[[#This Row],[Player]],'OVR &amp; VORP Ranks'!$P:$T,5,FALSE)))/('OVR &amp; VORP Ranks'!$BM$6))*(Settings!$E$10*TEAMS)</f>
        <v>#VALUE!</v>
      </c>
    </row>
    <row r="207" spans="15:20" x14ac:dyDescent="0.2">
      <c r="O207">
        <v>206</v>
      </c>
      <c r="P207" t="str">
        <f>IFERROR(INDEX(TableWRCalcPts[PLAYER],MATCH(TableWRRanks[[#This Row],[RK]],TableWRCalcPts[RK],0)),"")</f>
        <v/>
      </c>
      <c r="Q207" t="str">
        <f>IFERROR(INDEX(TableWRCalcPts[TM],MATCH(TableWRRanks[[#This Row],[RK]],TableWRCalcPts[RK],0)),"")</f>
        <v/>
      </c>
      <c r="R207" t="str">
        <f>IFERROR(INDEX(TableWRCalcPts[BYE],MATCH(TableWRRanks[[#This Row],[RK]],TableWRCalcPts[RK],0)),"")</f>
        <v/>
      </c>
      <c r="S207" s="58" t="str">
        <f>IFERROR(INDEX(TableWRCalcPts[Custom],MATCH(TableWRRanks[[#This Row],[RK]],TableWRCalcPts[RK],0)),"")</f>
        <v/>
      </c>
      <c r="T207" s="133" t="e">
        <f>(((VLOOKUP(TableWRRanks[[#This Row],[Player]],'OVR &amp; VORP Ranks'!$P:$T,5,FALSE)))/('OVR &amp; VORP Ranks'!$BM$6))*(Settings!$E$10*TEAMS)</f>
        <v>#VALUE!</v>
      </c>
    </row>
    <row r="208" spans="15:20" x14ac:dyDescent="0.2">
      <c r="O208">
        <v>207</v>
      </c>
      <c r="P208" t="str">
        <f>IFERROR(INDEX(TableWRCalcPts[PLAYER],MATCH(TableWRRanks[[#This Row],[RK]],TableWRCalcPts[RK],0)),"")</f>
        <v/>
      </c>
      <c r="Q208" t="str">
        <f>IFERROR(INDEX(TableWRCalcPts[TM],MATCH(TableWRRanks[[#This Row],[RK]],TableWRCalcPts[RK],0)),"")</f>
        <v/>
      </c>
      <c r="R208" t="str">
        <f>IFERROR(INDEX(TableWRCalcPts[BYE],MATCH(TableWRRanks[[#This Row],[RK]],TableWRCalcPts[RK],0)),"")</f>
        <v/>
      </c>
      <c r="S208" s="58" t="str">
        <f>IFERROR(INDEX(TableWRCalcPts[Custom],MATCH(TableWRRanks[[#This Row],[RK]],TableWRCalcPts[RK],0)),"")</f>
        <v/>
      </c>
      <c r="T208" s="133" t="e">
        <f>(((VLOOKUP(TableWRRanks[[#This Row],[Player]],'OVR &amp; VORP Ranks'!$P:$T,5,FALSE)))/('OVR &amp; VORP Ranks'!$BM$6))*(Settings!$E$10*TEAMS)</f>
        <v>#VALUE!</v>
      </c>
    </row>
    <row r="209" spans="15:20" x14ac:dyDescent="0.2">
      <c r="O209">
        <v>208</v>
      </c>
      <c r="P209" t="str">
        <f>IFERROR(INDEX(TableWRCalcPts[PLAYER],MATCH(TableWRRanks[[#This Row],[RK]],TableWRCalcPts[RK],0)),"")</f>
        <v/>
      </c>
      <c r="Q209" t="str">
        <f>IFERROR(INDEX(TableWRCalcPts[TM],MATCH(TableWRRanks[[#This Row],[RK]],TableWRCalcPts[RK],0)),"")</f>
        <v/>
      </c>
      <c r="R209" t="str">
        <f>IFERROR(INDEX(TableWRCalcPts[BYE],MATCH(TableWRRanks[[#This Row],[RK]],TableWRCalcPts[RK],0)),"")</f>
        <v/>
      </c>
      <c r="S209" s="58" t="str">
        <f>IFERROR(INDEX(TableWRCalcPts[Custom],MATCH(TableWRRanks[[#This Row],[RK]],TableWRCalcPts[RK],0)),"")</f>
        <v/>
      </c>
      <c r="T209" s="133" t="e">
        <f>(((VLOOKUP(TableWRRanks[[#This Row],[Player]],'OVR &amp; VORP Ranks'!$P:$T,5,FALSE)))/('OVR &amp; VORP Ranks'!$BM$6))*(Settings!$E$10*TEAMS)</f>
        <v>#VALUE!</v>
      </c>
    </row>
    <row r="210" spans="15:20" x14ac:dyDescent="0.2">
      <c r="O210">
        <v>209</v>
      </c>
      <c r="P210" t="str">
        <f>IFERROR(INDEX(TableWRCalcPts[PLAYER],MATCH(TableWRRanks[[#This Row],[RK]],TableWRCalcPts[RK],0)),"")</f>
        <v/>
      </c>
      <c r="Q210" t="str">
        <f>IFERROR(INDEX(TableWRCalcPts[TM],MATCH(TableWRRanks[[#This Row],[RK]],TableWRCalcPts[RK],0)),"")</f>
        <v/>
      </c>
      <c r="R210" t="str">
        <f>IFERROR(INDEX(TableWRCalcPts[BYE],MATCH(TableWRRanks[[#This Row],[RK]],TableWRCalcPts[RK],0)),"")</f>
        <v/>
      </c>
      <c r="S210" s="58" t="str">
        <f>IFERROR(INDEX(TableWRCalcPts[Custom],MATCH(TableWRRanks[[#This Row],[RK]],TableWRCalcPts[RK],0)),"")</f>
        <v/>
      </c>
      <c r="T210" s="133" t="e">
        <f>(((VLOOKUP(TableWRRanks[[#This Row],[Player]],'OVR &amp; VORP Ranks'!$P:$T,5,FALSE)))/('OVR &amp; VORP Ranks'!$BM$6))*(Settings!$E$10*TEAMS)</f>
        <v>#VALUE!</v>
      </c>
    </row>
    <row r="211" spans="15:20" x14ac:dyDescent="0.2">
      <c r="O211">
        <v>210</v>
      </c>
      <c r="P211" t="str">
        <f>IFERROR(INDEX(TableWRCalcPts[PLAYER],MATCH(TableWRRanks[[#This Row],[RK]],TableWRCalcPts[RK],0)),"")</f>
        <v/>
      </c>
      <c r="Q211" t="str">
        <f>IFERROR(INDEX(TableWRCalcPts[TM],MATCH(TableWRRanks[[#This Row],[RK]],TableWRCalcPts[RK],0)),"")</f>
        <v/>
      </c>
      <c r="R211" t="str">
        <f>IFERROR(INDEX(TableWRCalcPts[BYE],MATCH(TableWRRanks[[#This Row],[RK]],TableWRCalcPts[RK],0)),"")</f>
        <v/>
      </c>
      <c r="S211" s="58" t="str">
        <f>IFERROR(INDEX(TableWRCalcPts[Custom],MATCH(TableWRRanks[[#This Row],[RK]],TableWRCalcPts[RK],0)),"")</f>
        <v/>
      </c>
      <c r="T211" s="133" t="e">
        <f>(((VLOOKUP(TableWRRanks[[#This Row],[Player]],'OVR &amp; VORP Ranks'!$P:$T,5,FALSE)))/('OVR &amp; VORP Ranks'!$BM$6))*(Settings!$E$10*TEAMS)</f>
        <v>#VALUE!</v>
      </c>
    </row>
    <row r="212" spans="15:20" x14ac:dyDescent="0.2">
      <c r="O212">
        <v>211</v>
      </c>
      <c r="P212" t="str">
        <f>IFERROR(INDEX(TableWRCalcPts[PLAYER],MATCH(TableWRRanks[[#This Row],[RK]],TableWRCalcPts[RK],0)),"")</f>
        <v/>
      </c>
      <c r="Q212" t="str">
        <f>IFERROR(INDEX(TableWRCalcPts[TM],MATCH(TableWRRanks[[#This Row],[RK]],TableWRCalcPts[RK],0)),"")</f>
        <v/>
      </c>
      <c r="R212" t="str">
        <f>IFERROR(INDEX(TableWRCalcPts[BYE],MATCH(TableWRRanks[[#This Row],[RK]],TableWRCalcPts[RK],0)),"")</f>
        <v/>
      </c>
      <c r="S212" s="58" t="str">
        <f>IFERROR(INDEX(TableWRCalcPts[Custom],MATCH(TableWRRanks[[#This Row],[RK]],TableWRCalcPts[RK],0)),"")</f>
        <v/>
      </c>
      <c r="T212" s="133" t="e">
        <f>(((VLOOKUP(TableWRRanks[[#This Row],[Player]],'OVR &amp; VORP Ranks'!$P:$T,5,FALSE)))/('OVR &amp; VORP Ranks'!$BM$6))*(Settings!$E$10*TEAMS)</f>
        <v>#VALUE!</v>
      </c>
    </row>
    <row r="213" spans="15:20" x14ac:dyDescent="0.2">
      <c r="O213">
        <v>212</v>
      </c>
      <c r="P213" t="str">
        <f>IFERROR(INDEX(TableWRCalcPts[PLAYER],MATCH(TableWRRanks[[#This Row],[RK]],TableWRCalcPts[RK],0)),"")</f>
        <v/>
      </c>
      <c r="Q213" t="str">
        <f>IFERROR(INDEX(TableWRCalcPts[TM],MATCH(TableWRRanks[[#This Row],[RK]],TableWRCalcPts[RK],0)),"")</f>
        <v/>
      </c>
      <c r="R213" t="str">
        <f>IFERROR(INDEX(TableWRCalcPts[BYE],MATCH(TableWRRanks[[#This Row],[RK]],TableWRCalcPts[RK],0)),"")</f>
        <v/>
      </c>
      <c r="S213" s="58" t="str">
        <f>IFERROR(INDEX(TableWRCalcPts[Custom],MATCH(TableWRRanks[[#This Row],[RK]],TableWRCalcPts[RK],0)),"")</f>
        <v/>
      </c>
      <c r="T213" s="133" t="e">
        <f>(((VLOOKUP(TableWRRanks[[#This Row],[Player]],'OVR &amp; VORP Ranks'!$P:$T,5,FALSE)))/('OVR &amp; VORP Ranks'!$BM$6))*(Settings!$E$10*TEAMS)</f>
        <v>#VALUE!</v>
      </c>
    </row>
    <row r="214" spans="15:20" x14ac:dyDescent="0.2">
      <c r="O214">
        <v>213</v>
      </c>
      <c r="P214" t="str">
        <f>IFERROR(INDEX(TableWRCalcPts[PLAYER],MATCH(TableWRRanks[[#This Row],[RK]],TableWRCalcPts[RK],0)),"")</f>
        <v/>
      </c>
      <c r="Q214" t="str">
        <f>IFERROR(INDEX(TableWRCalcPts[TM],MATCH(TableWRRanks[[#This Row],[RK]],TableWRCalcPts[RK],0)),"")</f>
        <v/>
      </c>
      <c r="R214" t="str">
        <f>IFERROR(INDEX(TableWRCalcPts[BYE],MATCH(TableWRRanks[[#This Row],[RK]],TableWRCalcPts[RK],0)),"")</f>
        <v/>
      </c>
      <c r="S214" s="58" t="str">
        <f>IFERROR(INDEX(TableWRCalcPts[Custom],MATCH(TableWRRanks[[#This Row],[RK]],TableWRCalcPts[RK],0)),"")</f>
        <v/>
      </c>
      <c r="T214" s="133" t="e">
        <f>(((VLOOKUP(TableWRRanks[[#This Row],[Player]],'OVR &amp; VORP Ranks'!$P:$T,5,FALSE)))/('OVR &amp; VORP Ranks'!$BM$6))*(Settings!$E$10*TEAMS)</f>
        <v>#VALUE!</v>
      </c>
    </row>
    <row r="215" spans="15:20" x14ac:dyDescent="0.2">
      <c r="O215">
        <v>214</v>
      </c>
      <c r="P215" t="str">
        <f>IFERROR(INDEX(TableWRCalcPts[PLAYER],MATCH(TableWRRanks[[#This Row],[RK]],TableWRCalcPts[RK],0)),"")</f>
        <v/>
      </c>
      <c r="Q215" t="str">
        <f>IFERROR(INDEX(TableWRCalcPts[TM],MATCH(TableWRRanks[[#This Row],[RK]],TableWRCalcPts[RK],0)),"")</f>
        <v/>
      </c>
      <c r="R215" t="str">
        <f>IFERROR(INDEX(TableWRCalcPts[BYE],MATCH(TableWRRanks[[#This Row],[RK]],TableWRCalcPts[RK],0)),"")</f>
        <v/>
      </c>
      <c r="S215" s="58" t="str">
        <f>IFERROR(INDEX(TableWRCalcPts[Custom],MATCH(TableWRRanks[[#This Row],[RK]],TableWRCalcPts[RK],0)),"")</f>
        <v/>
      </c>
      <c r="T215" s="133" t="e">
        <f>(((VLOOKUP(TableWRRanks[[#This Row],[Player]],'OVR &amp; VORP Ranks'!$P:$T,5,FALSE)))/('OVR &amp; VORP Ranks'!$BM$6))*(Settings!$E$10*TEAMS)</f>
        <v>#VALUE!</v>
      </c>
    </row>
    <row r="216" spans="15:20" x14ac:dyDescent="0.2">
      <c r="O216">
        <v>215</v>
      </c>
      <c r="P216" t="str">
        <f>IFERROR(INDEX(TableWRCalcPts[PLAYER],MATCH(TableWRRanks[[#This Row],[RK]],TableWRCalcPts[RK],0)),"")</f>
        <v/>
      </c>
      <c r="Q216" t="str">
        <f>IFERROR(INDEX(TableWRCalcPts[TM],MATCH(TableWRRanks[[#This Row],[RK]],TableWRCalcPts[RK],0)),"")</f>
        <v/>
      </c>
      <c r="R216" t="str">
        <f>IFERROR(INDEX(TableWRCalcPts[BYE],MATCH(TableWRRanks[[#This Row],[RK]],TableWRCalcPts[RK],0)),"")</f>
        <v/>
      </c>
      <c r="S216" s="58" t="str">
        <f>IFERROR(INDEX(TableWRCalcPts[Custom],MATCH(TableWRRanks[[#This Row],[RK]],TableWRCalcPts[RK],0)),"")</f>
        <v/>
      </c>
      <c r="T216" s="133" t="e">
        <f>(((VLOOKUP(TableWRRanks[[#This Row],[Player]],'OVR &amp; VORP Ranks'!$P:$T,5,FALSE)))/('OVR &amp; VORP Ranks'!$BM$6))*(Settings!$E$10*TEAMS)</f>
        <v>#VALUE!</v>
      </c>
    </row>
    <row r="217" spans="15:20" x14ac:dyDescent="0.2">
      <c r="O217">
        <v>216</v>
      </c>
      <c r="P217" t="str">
        <f>IFERROR(INDEX(TableWRCalcPts[PLAYER],MATCH(TableWRRanks[[#This Row],[RK]],TableWRCalcPts[RK],0)),"")</f>
        <v/>
      </c>
      <c r="Q217" t="str">
        <f>IFERROR(INDEX(TableWRCalcPts[TM],MATCH(TableWRRanks[[#This Row],[RK]],TableWRCalcPts[RK],0)),"")</f>
        <v/>
      </c>
      <c r="R217" t="str">
        <f>IFERROR(INDEX(TableWRCalcPts[BYE],MATCH(TableWRRanks[[#This Row],[RK]],TableWRCalcPts[RK],0)),"")</f>
        <v/>
      </c>
      <c r="S217" s="58" t="str">
        <f>IFERROR(INDEX(TableWRCalcPts[Custom],MATCH(TableWRRanks[[#This Row],[RK]],TableWRCalcPts[RK],0)),"")</f>
        <v/>
      </c>
      <c r="T217" s="133" t="e">
        <f>(((VLOOKUP(TableWRRanks[[#This Row],[Player]],'OVR &amp; VORP Ranks'!$P:$T,5,FALSE)))/('OVR &amp; VORP Ranks'!$BM$6))*(Settings!$E$10*TEAMS)</f>
        <v>#VALUE!</v>
      </c>
    </row>
    <row r="218" spans="15:20" x14ac:dyDescent="0.2">
      <c r="O218">
        <v>217</v>
      </c>
      <c r="P218" t="str">
        <f>IFERROR(INDEX(TableWRCalcPts[PLAYER],MATCH(TableWRRanks[[#This Row],[RK]],TableWRCalcPts[RK],0)),"")</f>
        <v/>
      </c>
      <c r="Q218" t="str">
        <f>IFERROR(INDEX(TableWRCalcPts[TM],MATCH(TableWRRanks[[#This Row],[RK]],TableWRCalcPts[RK],0)),"")</f>
        <v/>
      </c>
      <c r="R218" t="str">
        <f>IFERROR(INDEX(TableWRCalcPts[BYE],MATCH(TableWRRanks[[#This Row],[RK]],TableWRCalcPts[RK],0)),"")</f>
        <v/>
      </c>
      <c r="S218" s="58" t="str">
        <f>IFERROR(INDEX(TableWRCalcPts[Custom],MATCH(TableWRRanks[[#This Row],[RK]],TableWRCalcPts[RK],0)),"")</f>
        <v/>
      </c>
      <c r="T218" s="133" t="e">
        <f>(((VLOOKUP(TableWRRanks[[#This Row],[Player]],'OVR &amp; VORP Ranks'!$P:$T,5,FALSE)))/('OVR &amp; VORP Ranks'!$BM$6))*(Settings!$E$10*TEAMS)</f>
        <v>#VALUE!</v>
      </c>
    </row>
    <row r="219" spans="15:20" x14ac:dyDescent="0.2">
      <c r="O219">
        <v>218</v>
      </c>
      <c r="P219" t="str">
        <f>IFERROR(INDEX(TableWRCalcPts[PLAYER],MATCH(TableWRRanks[[#This Row],[RK]],TableWRCalcPts[RK],0)),"")</f>
        <v/>
      </c>
      <c r="Q219" t="str">
        <f>IFERROR(INDEX(TableWRCalcPts[TM],MATCH(TableWRRanks[[#This Row],[RK]],TableWRCalcPts[RK],0)),"")</f>
        <v/>
      </c>
      <c r="R219" t="str">
        <f>IFERROR(INDEX(TableWRCalcPts[BYE],MATCH(TableWRRanks[[#This Row],[RK]],TableWRCalcPts[RK],0)),"")</f>
        <v/>
      </c>
      <c r="S219" s="58" t="str">
        <f>IFERROR(INDEX(TableWRCalcPts[Custom],MATCH(TableWRRanks[[#This Row],[RK]],TableWRCalcPts[RK],0)),"")</f>
        <v/>
      </c>
      <c r="T219" s="133" t="e">
        <f>(((VLOOKUP(TableWRRanks[[#This Row],[Player]],'OVR &amp; VORP Ranks'!$P:$T,5,FALSE)))/('OVR &amp; VORP Ranks'!$BM$6))*(Settings!$E$10*TEAMS)</f>
        <v>#VALUE!</v>
      </c>
    </row>
    <row r="220" spans="15:20" x14ac:dyDescent="0.2">
      <c r="O220">
        <v>219</v>
      </c>
      <c r="P220" t="str">
        <f>IFERROR(INDEX(TableWRCalcPts[PLAYER],MATCH(TableWRRanks[[#This Row],[RK]],TableWRCalcPts[RK],0)),"")</f>
        <v/>
      </c>
      <c r="Q220" t="str">
        <f>IFERROR(INDEX(TableWRCalcPts[TM],MATCH(TableWRRanks[[#This Row],[RK]],TableWRCalcPts[RK],0)),"")</f>
        <v/>
      </c>
      <c r="R220" t="str">
        <f>IFERROR(INDEX(TableWRCalcPts[BYE],MATCH(TableWRRanks[[#This Row],[RK]],TableWRCalcPts[RK],0)),"")</f>
        <v/>
      </c>
      <c r="S220" s="58" t="str">
        <f>IFERROR(INDEX(TableWRCalcPts[Custom],MATCH(TableWRRanks[[#This Row],[RK]],TableWRCalcPts[RK],0)),"")</f>
        <v/>
      </c>
      <c r="T220" s="133" t="e">
        <f>(((VLOOKUP(TableWRRanks[[#This Row],[Player]],'OVR &amp; VORP Ranks'!$P:$T,5,FALSE)))/('OVR &amp; VORP Ranks'!$BM$6))*(Settings!$E$10*TEAMS)</f>
        <v>#VALUE!</v>
      </c>
    </row>
    <row r="221" spans="15:20" x14ac:dyDescent="0.2">
      <c r="O221">
        <v>220</v>
      </c>
      <c r="P221" t="str">
        <f>IFERROR(INDEX(TableWRCalcPts[PLAYER],MATCH(TableWRRanks[[#This Row],[RK]],TableWRCalcPts[RK],0)),"")</f>
        <v/>
      </c>
      <c r="Q221" t="str">
        <f>IFERROR(INDEX(TableWRCalcPts[TM],MATCH(TableWRRanks[[#This Row],[RK]],TableWRCalcPts[RK],0)),"")</f>
        <v/>
      </c>
      <c r="R221" t="str">
        <f>IFERROR(INDEX(TableWRCalcPts[BYE],MATCH(TableWRRanks[[#This Row],[RK]],TableWRCalcPts[RK],0)),"")</f>
        <v/>
      </c>
      <c r="S221" s="58" t="str">
        <f>IFERROR(INDEX(TableWRCalcPts[Custom],MATCH(TableWRRanks[[#This Row],[RK]],TableWRCalcPts[RK],0)),"")</f>
        <v/>
      </c>
      <c r="T221" s="133" t="e">
        <f>(((VLOOKUP(TableWRRanks[[#This Row],[Player]],'OVR &amp; VORP Ranks'!$P:$T,5,FALSE)))/('OVR &amp; VORP Ranks'!$BM$6))*(Settings!$E$10*TEAMS)</f>
        <v>#VALUE!</v>
      </c>
    </row>
  </sheetData>
  <sheetProtection sheet="1" objects="1" scenarios="1" sort="0" autoFilter="0"/>
  <protectedRanges>
    <protectedRange sqref="A1:AG239" name="QBRanks"/>
  </protectedRanges>
  <phoneticPr fontId="20" type="noConversion"/>
  <pageMargins left="0.7" right="0.7" top="0.75" bottom="0.75" header="0.3" footer="0.3"/>
  <pageSetup orientation="portrait" horizontalDpi="90" verticalDpi="90" r:id="rId1"/>
  <ignoredErrors>
    <ignoredError sqref="A2:A68 H2:H150 V2:V97 AC2:AC33 H151:H171 V98:V101 O2:O221" calculatedColumn="1"/>
  </ignoredErrors>
  <tableParts count="5">
    <tablePart r:id="rId2"/>
    <tablePart r:id="rId3"/>
    <tablePart r:id="rId4"/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1">
    <tabColor rgb="FFF5DCFF"/>
  </sheetPr>
  <dimension ref="A1:BN306"/>
  <sheetViews>
    <sheetView showGridLines="0" zoomScale="85" zoomScaleNormal="85" workbookViewId="0">
      <pane ySplit="1" topLeftCell="A2" activePane="bottomLeft" state="frozen"/>
      <selection pane="bottomLeft" activeCell="BP31" sqref="BP31"/>
    </sheetView>
  </sheetViews>
  <sheetFormatPr baseColWidth="10" defaultColWidth="4.796875" defaultRowHeight="14" x14ac:dyDescent="0.2"/>
  <cols>
    <col min="1" max="1" width="4.19921875" bestFit="1" customWidth="1"/>
    <col min="2" max="2" width="23.59765625" bestFit="1" customWidth="1"/>
    <col min="3" max="3" width="4.796875" bestFit="1" customWidth="1"/>
    <col min="4" max="4" width="4" bestFit="1" customWidth="1"/>
    <col min="5" max="5" width="5.796875" style="53" bestFit="1" customWidth="1"/>
    <col min="6" max="6" width="7.59765625" style="132" bestFit="1" customWidth="1"/>
    <col min="7" max="7" width="4.796875" customWidth="1"/>
    <col min="8" max="8" width="4.19921875" bestFit="1" customWidth="1"/>
    <col min="9" max="9" width="19.19921875" bestFit="1" customWidth="1"/>
    <col min="10" max="10" width="4.796875" bestFit="1" customWidth="1"/>
    <col min="11" max="11" width="4" bestFit="1" customWidth="1"/>
    <col min="12" max="12" width="5.796875" style="53" bestFit="1" customWidth="1"/>
    <col min="13" max="13" width="7" style="53" bestFit="1" customWidth="1"/>
    <col min="14" max="14" width="4.796875" customWidth="1"/>
    <col min="15" max="15" width="4.19921875" bestFit="1" customWidth="1"/>
    <col min="16" max="16" width="22" bestFit="1" customWidth="1"/>
    <col min="17" max="17" width="4.796875" bestFit="1" customWidth="1"/>
    <col min="18" max="18" width="4" bestFit="1" customWidth="1"/>
    <col min="19" max="19" width="5.796875" style="53" bestFit="1" customWidth="1"/>
    <col min="20" max="20" width="7" style="53" bestFit="1" customWidth="1"/>
    <col min="21" max="21" width="4.796875" customWidth="1"/>
    <col min="22" max="22" width="4.19921875" bestFit="1" customWidth="1"/>
    <col min="23" max="23" width="18.19921875" bestFit="1" customWidth="1"/>
    <col min="24" max="24" width="4.796875" bestFit="1" customWidth="1"/>
    <col min="25" max="25" width="4" bestFit="1" customWidth="1"/>
    <col min="26" max="26" width="5.796875" style="53" bestFit="1" customWidth="1"/>
    <col min="27" max="27" width="6.59765625" style="53" bestFit="1" customWidth="1"/>
    <col min="28" max="28" width="4.796875" hidden="1" customWidth="1"/>
    <col min="29" max="29" width="5.59765625" hidden="1" customWidth="1"/>
    <col min="30" max="30" width="4.19921875" hidden="1" customWidth="1"/>
    <col min="31" max="31" width="3.796875" customWidth="1"/>
    <col min="32" max="33" width="4.19921875" hidden="1" customWidth="1"/>
    <col min="34" max="34" width="6.796875" hidden="1" customWidth="1"/>
    <col min="35" max="35" width="22" hidden="1" customWidth="1"/>
    <col min="36" max="36" width="6.796875" style="58" hidden="1" customWidth="1"/>
    <col min="37" max="37" width="4" style="58" hidden="1" customWidth="1"/>
    <col min="38" max="38" width="7" style="85" hidden="1" customWidth="1"/>
    <col min="39" max="39" width="7.59765625" hidden="1" customWidth="1"/>
    <col min="40" max="40" width="6" hidden="1" customWidth="1"/>
    <col min="41" max="41" width="4.19921875" bestFit="1" customWidth="1"/>
    <col min="42" max="42" width="22" bestFit="1" customWidth="1"/>
    <col min="43" max="43" width="6.796875" style="58" bestFit="1" customWidth="1"/>
    <col min="44" max="44" width="4" style="58" bestFit="1" customWidth="1"/>
    <col min="45" max="45" width="5.796875" bestFit="1" customWidth="1"/>
    <col min="46" max="46" width="7.59765625" bestFit="1" customWidth="1"/>
    <col min="47" max="47" width="4.796875" customWidth="1"/>
    <col min="48" max="48" width="4.19921875" bestFit="1" customWidth="1"/>
    <col min="49" max="49" width="22" bestFit="1" customWidth="1"/>
    <col min="50" max="50" width="6.796875" bestFit="1" customWidth="1"/>
    <col min="51" max="51" width="4" style="53" bestFit="1" customWidth="1"/>
    <col min="52" max="52" width="5.796875" style="53" bestFit="1" customWidth="1"/>
    <col min="53" max="53" width="7" bestFit="1" customWidth="1"/>
    <col min="54" max="54" width="4.796875" hidden="1" customWidth="1"/>
    <col min="55" max="56" width="4.19921875" hidden="1" customWidth="1"/>
    <col min="57" max="57" width="7.59765625" hidden="1" customWidth="1"/>
    <col min="58" max="58" width="22" hidden="1" customWidth="1"/>
    <col min="59" max="59" width="6.796875" hidden="1" customWidth="1"/>
    <col min="60" max="60" width="4" hidden="1" customWidth="1"/>
    <col min="61" max="62" width="7" hidden="1" customWidth="1"/>
    <col min="63" max="63" width="0" hidden="1" customWidth="1"/>
    <col min="64" max="64" width="3.796875" hidden="1" customWidth="1"/>
    <col min="65" max="65" width="4.796875" hidden="1" customWidth="1"/>
  </cols>
  <sheetData>
    <row r="1" spans="1:66" s="117" customFormat="1" x14ac:dyDescent="0.2">
      <c r="A1" s="117" t="s">
        <v>158</v>
      </c>
      <c r="B1" s="117" t="s">
        <v>454</v>
      </c>
      <c r="C1" s="117" t="s">
        <v>106</v>
      </c>
      <c r="D1" s="117" t="s">
        <v>143</v>
      </c>
      <c r="E1" s="118" t="s">
        <v>138</v>
      </c>
      <c r="F1" s="119" t="s">
        <v>448</v>
      </c>
      <c r="H1" s="117" t="s">
        <v>158</v>
      </c>
      <c r="I1" s="117" t="s">
        <v>453</v>
      </c>
      <c r="J1" s="117" t="s">
        <v>106</v>
      </c>
      <c r="K1" s="117" t="s">
        <v>143</v>
      </c>
      <c r="L1" s="118" t="s">
        <v>138</v>
      </c>
      <c r="M1" s="119" t="s">
        <v>448</v>
      </c>
      <c r="O1" s="117" t="s">
        <v>158</v>
      </c>
      <c r="P1" s="117" t="s">
        <v>452</v>
      </c>
      <c r="Q1" s="117" t="s">
        <v>106</v>
      </c>
      <c r="R1" s="117" t="s">
        <v>143</v>
      </c>
      <c r="S1" s="118" t="s">
        <v>138</v>
      </c>
      <c r="T1" s="119" t="s">
        <v>448</v>
      </c>
      <c r="V1" s="117" t="s">
        <v>158</v>
      </c>
      <c r="W1" s="117" t="s">
        <v>451</v>
      </c>
      <c r="X1" s="117" t="s">
        <v>106</v>
      </c>
      <c r="Y1" s="117" t="s">
        <v>143</v>
      </c>
      <c r="Z1" s="118" t="s">
        <v>138</v>
      </c>
      <c r="AA1" s="119" t="s">
        <v>448</v>
      </c>
      <c r="AC1" s="117" t="s">
        <v>455</v>
      </c>
      <c r="AD1" s="117" t="s">
        <v>456</v>
      </c>
      <c r="AF1" s="117" t="s">
        <v>8</v>
      </c>
      <c r="AG1" s="117" t="s">
        <v>158</v>
      </c>
      <c r="AH1" s="117" t="s">
        <v>457</v>
      </c>
      <c r="AI1" s="117" t="s">
        <v>450</v>
      </c>
      <c r="AJ1" s="117" t="s">
        <v>459</v>
      </c>
      <c r="AK1" s="117" t="s">
        <v>143</v>
      </c>
      <c r="AL1" s="118" t="s">
        <v>401</v>
      </c>
      <c r="AM1" s="119" t="s">
        <v>448</v>
      </c>
      <c r="AO1" s="117" t="s">
        <v>158</v>
      </c>
      <c r="AP1" s="117" t="s">
        <v>450</v>
      </c>
      <c r="AQ1" s="117" t="s">
        <v>459</v>
      </c>
      <c r="AR1" s="117" t="s">
        <v>143</v>
      </c>
      <c r="AS1" s="118" t="s">
        <v>138</v>
      </c>
      <c r="AT1" s="119" t="s">
        <v>448</v>
      </c>
      <c r="AV1" s="117" t="s">
        <v>158</v>
      </c>
      <c r="AW1" s="117" t="s">
        <v>449</v>
      </c>
      <c r="AX1" s="117" t="s">
        <v>459</v>
      </c>
      <c r="AY1" s="117" t="s">
        <v>143</v>
      </c>
      <c r="AZ1" s="118" t="s">
        <v>138</v>
      </c>
      <c r="BA1" s="119" t="s">
        <v>448</v>
      </c>
      <c r="BC1" s="117" t="s">
        <v>8</v>
      </c>
      <c r="BD1" s="117" t="s">
        <v>158</v>
      </c>
      <c r="BE1" s="117" t="s">
        <v>457</v>
      </c>
      <c r="BF1" s="117" t="s">
        <v>450</v>
      </c>
      <c r="BG1" s="117" t="s">
        <v>459</v>
      </c>
      <c r="BH1" s="117" t="s">
        <v>143</v>
      </c>
      <c r="BI1" s="118" t="s">
        <v>401</v>
      </c>
      <c r="BJ1" s="119" t="s">
        <v>448</v>
      </c>
    </row>
    <row r="2" spans="1:66" x14ac:dyDescent="0.2">
      <c r="A2">
        <v>1</v>
      </c>
      <c r="B2" s="120" t="str">
        <f>IFERROR(INDEX(TableQBCalcPts[PLAYER],MATCH(TableQBVORP[[#This Row],[RK]],TableQBCalcPts[RK],0)),"")</f>
        <v>Josh Allen</v>
      </c>
      <c r="C2" s="120" t="str">
        <f>IFERROR(INDEX(TableQBCalcPts[TM],MATCH(TableQBVORP[[#This Row],[RK]],TableQBCalcPts[RK],0)),"")</f>
        <v>BUF</v>
      </c>
      <c r="D2" s="120">
        <f>IFERROR(INDEX(TableQBCalcPts[BYE],MATCH(TableQBVORP[[#This Row],[RK]],TableQBCalcPts[RK],0)),"")</f>
        <v>13</v>
      </c>
      <c r="E2" s="121">
        <f>IFERROR(INDEX(TableQBCalcPts[Custom],MATCH(TableQBVORP[[#This Row],[RK]],TableQBCalcPts[RK],0)),"")</f>
        <v>420.77642148998893</v>
      </c>
      <c r="F2" s="122">
        <f>(IFERROR((TableQBVORP[[#This Row],[FPS]]-INDEX(TableQBVORP[FPS],MATCH(QBVORPCalc,TableQBVORP[RK],0)))/INDEX(TableQBVORP[FPS],MATCH(QBVORPCalc,TableQBVORP[RK],0)),""))+(TableRBVORP[[#This Row],[VORP]]*0.45)</f>
        <v>0.66652499444353508</v>
      </c>
      <c r="H2">
        <v>1</v>
      </c>
      <c r="I2" s="120" t="str">
        <f>IFERROR(INDEX(TableRBCalcPts[PLAYER],MATCH(TableRBVORP[[#This Row],[RK]],TableRBCalcPts[RK],0)),"")</f>
        <v>Christian McCaffrey</v>
      </c>
      <c r="J2" s="120" t="str">
        <f>IFERROR(INDEX(TableRBCalcPts[TM],MATCH(TableRBVORP[[#This Row],[RK]],TableRBCalcPts[RK],0)),"")</f>
        <v>SF</v>
      </c>
      <c r="K2" s="120">
        <f>IFERROR(INDEX(TableRBCalcPts[BYE],MATCH(TableRBVORP[[#This Row],[RK]],TableRBCalcPts[RK],0)),"")</f>
        <v>9</v>
      </c>
      <c r="L2" s="121">
        <f>IFERROR(INDEX(TableRBCalcPts[Custom],MATCH(TableRBVORP[[#This Row],[RK]],TableRBCalcPts[RK],0)),"")</f>
        <v>300.48334873167357</v>
      </c>
      <c r="M2" s="122">
        <f>IFERROR((TableRBVORP[[#This Row],[FPS]]-INDEX(TableRBVORP[FPS],MATCH(RBVORPCalc,TableRBVORP[RK],0)))/INDEX(TableRBVORP[FPS],MATCH(RBVORPCalc,TableRBVORP[RK],0)),"")</f>
        <v>1.4536680954913339</v>
      </c>
      <c r="O2">
        <v>1</v>
      </c>
      <c r="P2" s="120" t="str">
        <f>IFERROR(INDEX(TableWRCalcPts[PLAYER],MATCH(TableWRVORP[[#This Row],[RK]],TableWRCalcPts[RK],0)),"")</f>
        <v>Justin Jefferson</v>
      </c>
      <c r="Q2" s="120" t="str">
        <f>IFERROR(INDEX(TableWRCalcPts[TM],MATCH(TableWRVORP[[#This Row],[RK]],TableWRCalcPts[RK],0)),"")</f>
        <v>MIN</v>
      </c>
      <c r="R2" s="120">
        <f>IFERROR(INDEX(TableWRCalcPts[BYE],MATCH(TableWRVORP[[#This Row],[RK]],TableWRCalcPts[RK],0)),"")</f>
        <v>13</v>
      </c>
      <c r="S2" s="121">
        <f>IFERROR(INDEX(TableWRCalcPts[Custom],MATCH(TableWRVORP[[#This Row],[RK]],TableWRCalcPts[RK],0)),"")</f>
        <v>277.31918748577561</v>
      </c>
      <c r="T2" s="122">
        <f>IFERROR((TableWRVORP[[#This Row],[FPS]]-INDEX(TableWRVORP[FPS],MATCH(WRVORPCalc,TableWRVORP[RK],0)))/INDEX(TableWRVORP[FPS],MATCH(WRVORPCalc,TableWRVORP[RK],0)),"")</f>
        <v>1.1284422215918688</v>
      </c>
      <c r="V2">
        <v>1</v>
      </c>
      <c r="W2" s="120" t="str">
        <f>IFERROR(INDEX(TableTECalcPts[PLAYER],MATCH(TableTEVORP[[#This Row],[RK]],TableTECalcPts[RK],0)),"")</f>
        <v>Travis Kelce</v>
      </c>
      <c r="X2" s="120" t="str">
        <f>IFERROR(INDEX(TableTECalcPts[TM],MATCH(TableTEVORP[[#This Row],[RK]],TableTECalcPts[RK],0)),"")</f>
        <v>KC</v>
      </c>
      <c r="Y2" s="120">
        <f>IFERROR(INDEX(TableTECalcPts[BYE],MATCH(TableTEVORP[[#This Row],[RK]],TableTECalcPts[RK],0)),"")</f>
        <v>10</v>
      </c>
      <c r="Z2" s="121">
        <f>IFERROR(INDEX(TableTECalcPts[Custom],MATCH(TableTEVORP[[#This Row],[RK]],TableTECalcPts[RK],0)),"")</f>
        <v>224.5527577004236</v>
      </c>
      <c r="AA2" s="122">
        <f>IFERROR((TableTEVORP[[#This Row],[FPS]]-INDEX(TableTEVORP[FPS],MATCH(TEVORPCalc,TableTEVORP[RK],0)))/INDEX(TableTEVORP[FPS],MATCH(TEVORPCalc,TableTEVORP[RK],0)),"")</f>
        <v>0.88969455556832755</v>
      </c>
      <c r="AC2" t="s">
        <v>9</v>
      </c>
      <c r="AD2" s="86">
        <f>IF(STARTING_QB=2,((STARTING_QB*TEAMS)+(AD10)),IF(STARTING_SUPERFLEX=1,((STARTING_QB*(TEAMS*2))+(AD10)),IF(STARTING_SUPERFLEX=2,((STARTING_QB*(TEAMS*2))+(AD10)),((STARTING_QB*TEAMS)+(AD10-(TEAMS))))))</f>
        <v>2</v>
      </c>
      <c r="AF2" t="s">
        <v>9</v>
      </c>
      <c r="AG2">
        <v>1</v>
      </c>
      <c r="AH2" s="86">
        <f>RANK(TableOverallMaster[[#This Row],[VORP]],TableOverallMaster[VORP])+COUNTIF($AM$2:AM2,AM2)-1</f>
        <v>25</v>
      </c>
      <c r="AI2" s="123" t="str">
        <f>IFERROR(INDEX(TableQBVORP[QUARTERBACK],MATCH(TableOverallMaster[[#This Row],[RK]],TableQBVORP[RK],0)),"")</f>
        <v>Josh Allen</v>
      </c>
      <c r="AJ2" s="123" t="str">
        <f t="shared" ref="AJ2:AJ65" si="0">CONCATENATE(AF2,AG2)</f>
        <v>QB1</v>
      </c>
      <c r="AK2" s="123">
        <f>IFERROR(INDEX(TableQBVORP[BYE],MATCH(TableOverallMaster[[#This Row],[RK]],TableQBVORP[RK],0)),"")</f>
        <v>13</v>
      </c>
      <c r="AL2" s="124">
        <f>IFERROR(INDEX(TableQBVORP[FPS],MATCH(TableOverallMaster[[#This Row],[RK]],TableQBVORP[RK],0)),"")</f>
        <v>420.77642148998893</v>
      </c>
      <c r="AM2" s="125">
        <f>IFERROR(INDEX(TableQBVORP[VORP],MATCH(TableOverallMaster[[#This Row],[RK]],TableQBVORP[RK],0)),"")</f>
        <v>0.66652499444353508</v>
      </c>
      <c r="AO2">
        <v>1</v>
      </c>
      <c r="AP2" s="126" t="str">
        <f>IFERROR(INDEX(TableOverallMaster[OVERALL PLAYER],MATCH(TableOverallRank[[#This Row],[RK]],TableOverallMaster[OVR RK],0)),"")</f>
        <v>Christian McCaffrey</v>
      </c>
      <c r="AQ2" s="127" t="str">
        <f>IFERROR(INDEX(TableOverallMaster[POS RK],MATCH(TableOverallRank[[#This Row],[OVERALL PLAYER]],TableOverallMaster[OVERALL PLAYER],0)),"")</f>
        <v>RB1</v>
      </c>
      <c r="AR2" s="128">
        <f>IFERROR(INDEX(TableOverallMaster[BYE],MATCH(TableOverallRank[[#This Row],[OVERALL PLAYER]],TableOverallMaster[OVERALL PLAYER],0)),"")</f>
        <v>9</v>
      </c>
      <c r="AS2" s="127">
        <f>IFERROR(INDEX(TableOverallMaster[Custom],MATCH(TableOverallRank[[#This Row],[OVERALL PLAYER]],TableOverallMaster[OVERALL PLAYER],0)),"")</f>
        <v>300.48334873167357</v>
      </c>
      <c r="AT2" s="129">
        <f>IFERROR(INDEX(TableOverallMaster[VORP],MATCH(TableOverallRank[[#This Row],[OVERALL PLAYER]],TableOverallMaster[OVERALL PLAYER],0)),"")</f>
        <v>1.4536680954913339</v>
      </c>
      <c r="AV2">
        <v>1</v>
      </c>
      <c r="AW2" s="130" t="str">
        <f>IFERROR(INDEX(TableWRTECalcPts[PLAYER],MATCH(TableWRTERank[[#This Row],[RK]],TableWRTECalcPts[RK],0)),"")</f>
        <v>Justin Jefferson</v>
      </c>
      <c r="AX2" s="130" t="str">
        <f>IFERROR(INDEX(TableWRTECalcPts[POS RK],MATCH(TableWRTERank[[#This Row],[WR and TE COMBINED]],TableWRTECalcPts[PLAYER],0)),"")</f>
        <v>WR1</v>
      </c>
      <c r="AY2" s="130">
        <f>IFERROR(INDEX(TableWRTECalcPts[BYE],MATCH(TableWRTERank[[#This Row],[RK]],TableWRTECalcPts[RK],0)),"")</f>
        <v>13</v>
      </c>
      <c r="AZ2" s="131">
        <f>IFERROR(INDEX(TableWRTECalcPts[Custom],MATCH(TableWRTERank[[#This Row],[RK]],TableWRTECalcPts[RK],0)),"")</f>
        <v>277.31918748577561</v>
      </c>
      <c r="BA2" s="188">
        <f>IFERROR((TableWRTERank[[#This Row],[FPS]]-INDEX(TableWRTERank[FPS],MATCH(WRTEVORPCalc,TableWRTERank[RK],0)))/INDEX(TableWRTERank[FPS],MATCH(WRTEVORPCalc,TableWRTERank[RK],0)),"")</f>
        <v>1.0038959888644319</v>
      </c>
      <c r="BC2" t="s">
        <v>257</v>
      </c>
      <c r="BD2">
        <v>1</v>
      </c>
      <c r="BE2" s="86">
        <f>RANK(TableWRTEMaster[[#This Row],[VORP]],TableWRTEMaster[VORP])+COUNTIF($BJ$2:BJ2,BJ2)-1</f>
        <v>1</v>
      </c>
      <c r="BF2" s="123" t="str">
        <f>IFERROR(INDEX(TableWRVORP[WIDE RECEIVER],MATCH(TableWRTEMaster[[#This Row],[RK]],TableWRVORP[RK],0)),"")</f>
        <v>Justin Jefferson</v>
      </c>
      <c r="BG2" s="123" t="str">
        <f>_xlfn.CONCAT(TableWRTEMaster[[#This Row],[POS]],TableWRTEMaster[[#This Row],[RK]])</f>
        <v>WR1</v>
      </c>
      <c r="BH2" s="123">
        <f>IFERROR(INDEX(TableWRVORP[BYE],MATCH(TableWRTEMaster[[#This Row],[RK]],TableWRVORP[RK],0)),"")</f>
        <v>13</v>
      </c>
      <c r="BI2" s="124">
        <f>IFERROR(INDEX(TableWRVORP[FPS],MATCH(TableWRTEMaster[[#This Row],[RK]],TableWRVORP[RK],0)),"")</f>
        <v>277.31918748577561</v>
      </c>
      <c r="BJ2" s="125">
        <f>IFERROR(INDEX(TableWRVORP[VORP],MATCH(TableWRTEMaster[[#This Row],[RK]],TableWRVORP[RK],0)),"")</f>
        <v>1.1284422215918688</v>
      </c>
      <c r="BL2" t="s">
        <v>9</v>
      </c>
      <c r="BM2" s="58">
        <f>SUMIF(F:F,"&gt;0")</f>
        <v>3.9655898816809882</v>
      </c>
    </row>
    <row r="3" spans="1:66" x14ac:dyDescent="0.2">
      <c r="A3">
        <v>2</v>
      </c>
      <c r="B3" s="120" t="str">
        <f>IFERROR(INDEX(TableQBCalcPts[PLAYER],MATCH(TableQBVORP[[#This Row],[RK]],TableQBCalcPts[RK],0)),"")</f>
        <v>Patrick Mahomes</v>
      </c>
      <c r="C3" s="120" t="str">
        <f>IFERROR(INDEX(TableQBCalcPts[TM],MATCH(TableQBVORP[[#This Row],[RK]],TableQBCalcPts[RK],0)),"")</f>
        <v>KC</v>
      </c>
      <c r="D3" s="120">
        <f>IFERROR(INDEX(TableQBCalcPts[BYE],MATCH(TableQBVORP[[#This Row],[RK]],TableQBCalcPts[RK],0)),"")</f>
        <v>10</v>
      </c>
      <c r="E3" s="121">
        <f>IFERROR(INDEX(TableQBCalcPts[Custom],MATCH(TableQBVORP[[#This Row],[RK]],TableQBCalcPts[RK],0)),"")</f>
        <v>415.63322982056599</v>
      </c>
      <c r="F3" s="122">
        <f>(IFERROR((TableQBVORP[[#This Row],[FPS]]-INDEX(TableQBVORP[FPS],MATCH(QBVORPCalc,TableQBVORP[RK],0)))/INDEX(TableQBVORP[FPS],MATCH(QBVORPCalc,TableQBVORP[RK],0)),""))+(TableRBVORP[[#This Row],[VORP]]*0.45)</f>
        <v>0.55453135641470142</v>
      </c>
      <c r="H3">
        <v>2</v>
      </c>
      <c r="I3" s="120" t="str">
        <f>IFERROR(INDEX(TableRBCalcPts[PLAYER],MATCH(TableRBVORP[[#This Row],[RK]],TableRBCalcPts[RK],0)),"")</f>
        <v>Austin Ekeler</v>
      </c>
      <c r="J3" s="120" t="str">
        <f>IFERROR(INDEX(TableRBCalcPts[TM],MATCH(TableRBVORP[[#This Row],[RK]],TableRBCalcPts[RK],0)),"")</f>
        <v>LAC</v>
      </c>
      <c r="K3" s="120">
        <f>IFERROR(INDEX(TableRBCalcPts[BYE],MATCH(TableRBVORP[[#This Row],[RK]],TableRBCalcPts[RK],0)),"")</f>
        <v>5</v>
      </c>
      <c r="L3" s="121">
        <f>IFERROR(INDEX(TableRBCalcPts[Custom],MATCH(TableRBVORP[[#This Row],[RK]],TableRBCalcPts[RK],0)),"")</f>
        <v>273.37297478652124</v>
      </c>
      <c r="M3" s="122">
        <f>IFERROR((TableRBVORP[[#This Row],[FPS]]-INDEX(TableRBVORP[FPS],MATCH(RBVORPCalc,TableRBVORP[RK],0)))/INDEX(TableRBVORP[FPS],MATCH(RBVORPCalc,TableRBVORP[RK],0)),"")</f>
        <v>1.2322919031437809</v>
      </c>
      <c r="O3">
        <v>2</v>
      </c>
      <c r="P3" s="120" t="str">
        <f>IFERROR(INDEX(TableWRCalcPts[PLAYER],MATCH(TableWRVORP[[#This Row],[RK]],TableWRCalcPts[RK],0)),"")</f>
        <v>Tyreek Hill</v>
      </c>
      <c r="Q3" s="120" t="str">
        <f>IFERROR(INDEX(TableWRCalcPts[TM],MATCH(TableWRVORP[[#This Row],[RK]],TableWRCalcPts[RK],0)),"")</f>
        <v>MIA</v>
      </c>
      <c r="R3" s="120">
        <f>IFERROR(INDEX(TableWRCalcPts[BYE],MATCH(TableWRVORP[[#This Row],[RK]],TableWRCalcPts[RK],0)),"")</f>
        <v>10</v>
      </c>
      <c r="S3" s="121">
        <f>IFERROR(INDEX(TableWRCalcPts[Custom],MATCH(TableWRVORP[[#This Row],[RK]],TableWRCalcPts[RK],0)),"")</f>
        <v>265.79784894083116</v>
      </c>
      <c r="T3" s="122">
        <f>IFERROR((TableWRVORP[[#This Row],[FPS]]-INDEX(TableWRVORP[FPS],MATCH(WRVORPCalc,TableWRVORP[RK],0)))/INDEX(TableWRVORP[FPS],MATCH(WRVORPCalc,TableWRVORP[RK],0)),"")</f>
        <v>1.0400152229747197</v>
      </c>
      <c r="V3">
        <v>2</v>
      </c>
      <c r="W3" s="120" t="str">
        <f>IFERROR(INDEX(TableTECalcPts[PLAYER],MATCH(TableTEVORP[[#This Row],[RK]],TableTECalcPts[RK],0)),"")</f>
        <v>Mark Andrews</v>
      </c>
      <c r="X3" s="120" t="str">
        <f>IFERROR(INDEX(TableTECalcPts[TM],MATCH(TableTEVORP[[#This Row],[RK]],TableTECalcPts[RK],0)),"")</f>
        <v>BAL</v>
      </c>
      <c r="Y3" s="120">
        <f>IFERROR(INDEX(TableTECalcPts[BYE],MATCH(TableTEVORP[[#This Row],[RK]],TableTECalcPts[RK],0)),"")</f>
        <v>13</v>
      </c>
      <c r="Z3" s="121">
        <f>IFERROR(INDEX(TableTECalcPts[Custom],MATCH(TableTEVORP[[#This Row],[RK]],TableTECalcPts[RK],0)),"")</f>
        <v>182.44202704799619</v>
      </c>
      <c r="AA3" s="122">
        <f>IFERROR((TableTEVORP[[#This Row],[FPS]]-INDEX(TableTEVORP[FPS],MATCH(TEVORPCalc,TableTEVORP[RK],0)))/INDEX(TableTEVORP[FPS],MATCH(TEVORPCalc,TableTEVORP[RK],0)),"")</f>
        <v>0.5353171733450397</v>
      </c>
      <c r="AC3" t="s">
        <v>256</v>
      </c>
      <c r="AD3" s="86">
        <f>(TEAMS*STARTING_RB)+(STARTING_RB)+(FLEXVORPCalc)</f>
        <v>44</v>
      </c>
      <c r="AF3" t="s">
        <v>9</v>
      </c>
      <c r="AG3">
        <v>2</v>
      </c>
      <c r="AH3" s="86">
        <f>RANK(TableOverallMaster[[#This Row],[VORP]],TableOverallMaster[VORP])+COUNTIF($AM$2:AM3,AM3)-1</f>
        <v>37</v>
      </c>
      <c r="AI3" s="123" t="str">
        <f>IFERROR(INDEX(TableQBVORP[QUARTERBACK],MATCH(TableOverallMaster[[#This Row],[RK]],TableQBVORP[RK],0)),"")</f>
        <v>Patrick Mahomes</v>
      </c>
      <c r="AJ3" s="123" t="str">
        <f t="shared" si="0"/>
        <v>QB2</v>
      </c>
      <c r="AK3" s="123">
        <f>IFERROR(INDEX(TableQBVORP[BYE],MATCH(TableOverallMaster[[#This Row],[RK]],TableQBVORP[RK],0)),"")</f>
        <v>10</v>
      </c>
      <c r="AL3" s="124">
        <f>IFERROR(INDEX(TableQBVORP[FPS],MATCH(TableOverallMaster[[#This Row],[RK]],TableQBVORP[RK],0)),"")</f>
        <v>415.63322982056599</v>
      </c>
      <c r="AM3" s="125">
        <f>IFERROR(INDEX(TableQBVORP[VORP],MATCH(TableOverallMaster[[#This Row],[RK]],TableQBVORP[RK],0)),"")</f>
        <v>0.55453135641470142</v>
      </c>
      <c r="AO3">
        <v>2</v>
      </c>
      <c r="AP3" s="126" t="str">
        <f>IFERROR(INDEX(TableOverallMaster[OVERALL PLAYER],MATCH(TableOverallRank[[#This Row],[RK]],TableOverallMaster[OVR RK],0)),"")</f>
        <v>Austin Ekeler</v>
      </c>
      <c r="AQ3" s="127" t="str">
        <f>IFERROR(INDEX(TableOverallMaster[POS RK],MATCH(TableOverallRank[[#This Row],[OVERALL PLAYER]],TableOverallMaster[OVERALL PLAYER],0)),"")</f>
        <v>RB2</v>
      </c>
      <c r="AR3" s="128">
        <f>IFERROR(INDEX(TableOverallMaster[BYE],MATCH(TableOverallRank[[#This Row],[OVERALL PLAYER]],TableOverallMaster[OVERALL PLAYER],0)),"")</f>
        <v>5</v>
      </c>
      <c r="AS3" s="127">
        <f>IFERROR(INDEX(TableOverallMaster[Custom],MATCH(TableOverallRank[[#This Row],[OVERALL PLAYER]],TableOverallMaster[OVERALL PLAYER],0)),"")</f>
        <v>273.37297478652124</v>
      </c>
      <c r="AT3" s="129">
        <f>IFERROR(INDEX(TableOverallMaster[VORP],MATCH(TableOverallRank[[#This Row],[OVERALL PLAYER]],TableOverallMaster[OVERALL PLAYER],0)),"")</f>
        <v>1.2322919031437809</v>
      </c>
      <c r="AV3">
        <v>2</v>
      </c>
      <c r="AW3" s="130" t="str">
        <f>IFERROR(INDEX(TableWRTECalcPts[PLAYER],MATCH(TableWRTERank[[#This Row],[RK]],TableWRTECalcPts[RK],0)),"")</f>
        <v>Tyreek Hill</v>
      </c>
      <c r="AX3" s="130" t="str">
        <f>IFERROR(INDEX(TableWRTECalcPts[POS RK],MATCH(TableWRTERank[[#This Row],[WR and TE COMBINED]],TableWRTECalcPts[PLAYER],0)),"")</f>
        <v>WR2</v>
      </c>
      <c r="AY3" s="130">
        <f>IFERROR(INDEX(TableWRTECalcPts[BYE],MATCH(TableWRTERank[[#This Row],[RK]],TableWRTECalcPts[RK],0)),"")</f>
        <v>10</v>
      </c>
      <c r="AZ3" s="131">
        <f>IFERROR(INDEX(TableWRTECalcPts[Custom],MATCH(TableWRTERank[[#This Row],[RK]],TableWRTECalcPts[RK],0)),"")</f>
        <v>265.79784894083116</v>
      </c>
      <c r="BA3" s="188">
        <f>IFERROR((TableWRTERank[[#This Row],[FPS]]-INDEX(TableWRTERank[FPS],MATCH(WRTEVORPCalc,TableWRTERank[RK],0)))/INDEX(TableWRTERank[FPS],MATCH(WRTEVORPCalc,TableWRTERank[RK],0)),"")</f>
        <v>0.92064331419060474</v>
      </c>
      <c r="BC3" t="s">
        <v>257</v>
      </c>
      <c r="BD3">
        <v>2</v>
      </c>
      <c r="BE3" s="86">
        <f>RANK(TableWRTEMaster[[#This Row],[VORP]],TableWRTEMaster[VORP])+COUNTIF($BJ$2:BJ3,BJ3)-1</f>
        <v>2</v>
      </c>
      <c r="BF3" s="123" t="str">
        <f>IFERROR(INDEX(TableWRVORP[WIDE RECEIVER],MATCH(TableWRTEMaster[[#This Row],[RK]],TableWRVORP[RK],0)),"")</f>
        <v>Tyreek Hill</v>
      </c>
      <c r="BG3" s="123" t="str">
        <f>_xlfn.CONCAT(TableWRTEMaster[[#This Row],[POS]],TableWRTEMaster[[#This Row],[RK]])</f>
        <v>WR2</v>
      </c>
      <c r="BH3" s="123">
        <f>IFERROR(INDEX(TableWRVORP[BYE],MATCH(TableWRTEMaster[[#This Row],[RK]],TableWRVORP[RK],0)),"")</f>
        <v>10</v>
      </c>
      <c r="BI3" s="124">
        <f>IFERROR(INDEX(TableWRVORP[FPS],MATCH(TableWRTEMaster[[#This Row],[RK]],TableWRVORP[RK],0)),"")</f>
        <v>265.79784894083116</v>
      </c>
      <c r="BJ3" s="125">
        <f>IFERROR(INDEX(TableWRVORP[VORP],MATCH(TableWRTEMaster[[#This Row],[RK]],TableWRVORP[RK],0)),"")</f>
        <v>1.0400152229747197</v>
      </c>
      <c r="BL3" t="s">
        <v>256</v>
      </c>
      <c r="BM3" s="58">
        <f>SUMIF(M:M,"&gt;0")</f>
        <v>24.693763506693724</v>
      </c>
    </row>
    <row r="4" spans="1:66" x14ac:dyDescent="0.2">
      <c r="A4">
        <v>3</v>
      </c>
      <c r="B4" s="120" t="str">
        <f>IFERROR(INDEX(TableQBCalcPts[PLAYER],MATCH(TableQBVORP[[#This Row],[RK]],TableQBCalcPts[RK],0)),"")</f>
        <v>Jalen Hurts</v>
      </c>
      <c r="C4" s="120" t="str">
        <f>IFERROR(INDEX(TableQBCalcPts[TM],MATCH(TableQBVORP[[#This Row],[RK]],TableQBCalcPts[RK],0)),"")</f>
        <v>PHI</v>
      </c>
      <c r="D4" s="120">
        <f>IFERROR(INDEX(TableQBCalcPts[BYE],MATCH(TableQBVORP[[#This Row],[RK]],TableQBCalcPts[RK],0)),"")</f>
        <v>10</v>
      </c>
      <c r="E4" s="121">
        <f>IFERROR(INDEX(TableQBCalcPts[Custom],MATCH(TableQBVORP[[#This Row],[RK]],TableQBCalcPts[RK],0)),"")</f>
        <v>398.11075336168085</v>
      </c>
      <c r="F4" s="122">
        <f>(IFERROR((TableQBVORP[[#This Row],[FPS]]-INDEX(TableQBVORP[FPS],MATCH(QBVORPCalc,TableQBVORP[RK],0)))/INDEX(TableQBVORP[FPS],MATCH(QBVORPCalc,TableQBVORP[RK],0)),""))+(TableRBVORP[[#This Row],[VORP]]*0.45)</f>
        <v>0.4833903554199695</v>
      </c>
      <c r="H4">
        <v>3</v>
      </c>
      <c r="I4" s="120" t="str">
        <f>IFERROR(INDEX(TableRBCalcPts[PLAYER],MATCH(TableRBVORP[[#This Row],[RK]],TableRBCalcPts[RK],0)),"")</f>
        <v>Nick Chubb</v>
      </c>
      <c r="J4" s="120" t="str">
        <f>IFERROR(INDEX(TableRBCalcPts[TM],MATCH(TableRBVORP[[#This Row],[RK]],TableRBCalcPts[RK],0)),"")</f>
        <v>CLE</v>
      </c>
      <c r="K4" s="120">
        <f>IFERROR(INDEX(TableRBCalcPts[BYE],MATCH(TableRBVORP[[#This Row],[RK]],TableRBCalcPts[RK],0)),"")</f>
        <v>5</v>
      </c>
      <c r="L4" s="121">
        <f>IFERROR(INDEX(TableRBCalcPts[Custom],MATCH(TableRBVORP[[#This Row],[RK]],TableRBCalcPts[RK],0)),"")</f>
        <v>265.48568433042442</v>
      </c>
      <c r="M4" s="122">
        <f>IFERROR((TableRBVORP[[#This Row],[FPS]]-INDEX(TableRBVORP[FPS],MATCH(RBVORPCalc,TableRBVORP[RK],0)))/INDEX(TableRBVORP[FPS],MATCH(RBVORPCalc,TableRBVORP[RK],0)),"")</f>
        <v>1.1678863610939958</v>
      </c>
      <c r="O4">
        <v>3</v>
      </c>
      <c r="P4" s="120" t="str">
        <f>IFERROR(INDEX(TableWRCalcPts[PLAYER],MATCH(TableWRVORP[[#This Row],[RK]],TableWRCalcPts[RK],0)),"")</f>
        <v>Cooper Kupp</v>
      </c>
      <c r="Q4" s="120" t="str">
        <f>IFERROR(INDEX(TableWRCalcPts[TM],MATCH(TableWRVORP[[#This Row],[RK]],TableWRCalcPts[RK],0)),"")</f>
        <v>LAR</v>
      </c>
      <c r="R4" s="120">
        <f>IFERROR(INDEX(TableWRCalcPts[BYE],MATCH(TableWRVORP[[#This Row],[RK]],TableWRCalcPts[RK],0)),"")</f>
        <v>10</v>
      </c>
      <c r="S4" s="121">
        <f>IFERROR(INDEX(TableWRCalcPts[Custom],MATCH(TableWRVORP[[#This Row],[RK]],TableWRCalcPts[RK],0)),"")</f>
        <v>258.64512105109765</v>
      </c>
      <c r="T4" s="122">
        <f>IFERROR((TableWRVORP[[#This Row],[FPS]]-INDEX(TableWRVORP[FPS],MATCH(WRVORPCalc,TableWRVORP[RK],0)))/INDEX(TableWRVORP[FPS],MATCH(WRVORPCalc,TableWRVORP[RK],0)),"")</f>
        <v>0.98511758614658851</v>
      </c>
      <c r="V4">
        <v>3</v>
      </c>
      <c r="W4" s="120" t="str">
        <f>IFERROR(INDEX(TableTECalcPts[PLAYER],MATCH(TableTEVORP[[#This Row],[RK]],TableTECalcPts[RK],0)),"")</f>
        <v>Darren Waller</v>
      </c>
      <c r="X4" s="120" t="str">
        <f>IFERROR(INDEX(TableTECalcPts[TM],MATCH(TableTEVORP[[#This Row],[RK]],TableTECalcPts[RK],0)),"")</f>
        <v>NYG</v>
      </c>
      <c r="Y4" s="120">
        <f>IFERROR(INDEX(TableTECalcPts[BYE],MATCH(TableTEVORP[[#This Row],[RK]],TableTECalcPts[RK],0)),"")</f>
        <v>13</v>
      </c>
      <c r="Z4" s="121">
        <f>IFERROR(INDEX(TableTECalcPts[Custom],MATCH(TableTEVORP[[#This Row],[RK]],TableTECalcPts[RK],0)),"")</f>
        <v>181.80931561622648</v>
      </c>
      <c r="AA4" s="122">
        <f>IFERROR((TableTEVORP[[#This Row],[FPS]]-INDEX(TableTEVORP[FPS],MATCH(TEVORPCalc,TableTEVORP[RK],0)))/INDEX(TableTEVORP[FPS],MATCH(TEVORPCalc,TableTEVORP[RK],0)),"")</f>
        <v>0.52999267250120607</v>
      </c>
      <c r="AC4" t="s">
        <v>257</v>
      </c>
      <c r="AD4" s="86">
        <f>(TEAMS*STARTING_WR)+(STARTING_WR)+(FLEXVORPCalc)</f>
        <v>57</v>
      </c>
      <c r="AF4" t="s">
        <v>9</v>
      </c>
      <c r="AG4">
        <v>3</v>
      </c>
      <c r="AH4" s="86">
        <f>RANK(TableOverallMaster[[#This Row],[VORP]],TableOverallMaster[VORP])+COUNTIF($AM$2:AM4,AM4)-1</f>
        <v>47</v>
      </c>
      <c r="AI4" s="123" t="str">
        <f>IFERROR(INDEX(TableQBVORP[QUARTERBACK],MATCH(TableOverallMaster[[#This Row],[RK]],TableQBVORP[RK],0)),"")</f>
        <v>Jalen Hurts</v>
      </c>
      <c r="AJ4" s="123" t="str">
        <f t="shared" si="0"/>
        <v>QB3</v>
      </c>
      <c r="AK4" s="123">
        <f>IFERROR(INDEX(TableQBVORP[BYE],MATCH(TableOverallMaster[[#This Row],[RK]],TableQBVORP[RK],0)),"")</f>
        <v>10</v>
      </c>
      <c r="AL4" s="124">
        <f>IFERROR(INDEX(TableQBVORP[FPS],MATCH(TableOverallMaster[[#This Row],[RK]],TableQBVORP[RK],0)),"")</f>
        <v>398.11075336168085</v>
      </c>
      <c r="AM4" s="125">
        <f>IFERROR(INDEX(TableQBVORP[VORP],MATCH(TableOverallMaster[[#This Row],[RK]],TableQBVORP[RK],0)),"")</f>
        <v>0.4833903554199695</v>
      </c>
      <c r="AO4">
        <v>3</v>
      </c>
      <c r="AP4" s="126" t="str">
        <f>IFERROR(INDEX(TableOverallMaster[OVERALL PLAYER],MATCH(TableOverallRank[[#This Row],[RK]],TableOverallMaster[OVR RK],0)),"")</f>
        <v>Nick Chubb</v>
      </c>
      <c r="AQ4" s="127" t="str">
        <f>IFERROR(INDEX(TableOverallMaster[POS RK],MATCH(TableOverallRank[[#This Row],[OVERALL PLAYER]],TableOverallMaster[OVERALL PLAYER],0)),"")</f>
        <v>RB3</v>
      </c>
      <c r="AR4" s="128">
        <f>IFERROR(INDEX(TableOverallMaster[BYE],MATCH(TableOverallRank[[#This Row],[OVERALL PLAYER]],TableOverallMaster[OVERALL PLAYER],0)),"")</f>
        <v>5</v>
      </c>
      <c r="AS4" s="127">
        <f>IFERROR(INDEX(TableOverallMaster[Custom],MATCH(TableOverallRank[[#This Row],[OVERALL PLAYER]],TableOverallMaster[OVERALL PLAYER],0)),"")</f>
        <v>265.48568433042442</v>
      </c>
      <c r="AT4" s="129">
        <f>IFERROR(INDEX(TableOverallMaster[VORP],MATCH(TableOverallRank[[#This Row],[OVERALL PLAYER]],TableOverallMaster[OVERALL PLAYER],0)),"")</f>
        <v>1.1678863610939958</v>
      </c>
      <c r="AV4">
        <v>3</v>
      </c>
      <c r="AW4" s="130" t="str">
        <f>IFERROR(INDEX(TableWRTECalcPts[PLAYER],MATCH(TableWRTERank[[#This Row],[RK]],TableWRTECalcPts[RK],0)),"")</f>
        <v>Cooper Kupp</v>
      </c>
      <c r="AX4" s="130" t="str">
        <f>IFERROR(INDEX(TableWRTECalcPts[POS RK],MATCH(TableWRTERank[[#This Row],[WR and TE COMBINED]],TableWRTECalcPts[PLAYER],0)),"")</f>
        <v>WR3</v>
      </c>
      <c r="AY4" s="130">
        <f>IFERROR(INDEX(TableWRTECalcPts[BYE],MATCH(TableWRTERank[[#This Row],[RK]],TableWRTECalcPts[RK],0)),"")</f>
        <v>10</v>
      </c>
      <c r="AZ4" s="131">
        <f>IFERROR(INDEX(TableWRTECalcPts[Custom],MATCH(TableWRTERank[[#This Row],[RK]],TableWRTECalcPts[RK],0)),"")</f>
        <v>258.64512105109765</v>
      </c>
      <c r="BA4" s="188">
        <f>IFERROR((TableWRTERank[[#This Row],[FPS]]-INDEX(TableWRTERank[FPS],MATCH(WRTEVORPCalc,TableWRTERank[RK],0)))/INDEX(TableWRTERank[FPS],MATCH(WRTEVORPCalc,TableWRTERank[RK],0)),"")</f>
        <v>0.86895802383033738</v>
      </c>
      <c r="BC4" t="s">
        <v>257</v>
      </c>
      <c r="BD4">
        <v>3</v>
      </c>
      <c r="BE4" s="86">
        <f>RANK(TableWRTEMaster[[#This Row],[VORP]],TableWRTEMaster[VORP])+COUNTIF($BJ$2:BJ4,BJ4)-1</f>
        <v>3</v>
      </c>
      <c r="BF4" s="123" t="str">
        <f>IFERROR(INDEX(TableWRVORP[WIDE RECEIVER],MATCH(TableWRTEMaster[[#This Row],[RK]],TableWRVORP[RK],0)),"")</f>
        <v>Cooper Kupp</v>
      </c>
      <c r="BG4" s="123" t="str">
        <f>_xlfn.CONCAT(TableWRTEMaster[[#This Row],[POS]],TableWRTEMaster[[#This Row],[RK]])</f>
        <v>WR3</v>
      </c>
      <c r="BH4" s="123">
        <f>IFERROR(INDEX(TableWRVORP[BYE],MATCH(TableWRTEMaster[[#This Row],[RK]],TableWRVORP[RK],0)),"")</f>
        <v>10</v>
      </c>
      <c r="BI4" s="124">
        <f>IFERROR(INDEX(TableWRVORP[FPS],MATCH(TableWRTEMaster[[#This Row],[RK]],TableWRVORP[RK],0)),"")</f>
        <v>258.64512105109765</v>
      </c>
      <c r="BJ4" s="125">
        <f>IFERROR(INDEX(TableWRVORP[VORP],MATCH(TableWRTEMaster[[#This Row],[RK]],TableWRVORP[RK],0)),"")</f>
        <v>0.98511758614658851</v>
      </c>
      <c r="BL4" t="s">
        <v>257</v>
      </c>
      <c r="BM4" s="58">
        <f>SUMIF(T:T,"&gt;0")</f>
        <v>21.594198609524238</v>
      </c>
    </row>
    <row r="5" spans="1:66" x14ac:dyDescent="0.2">
      <c r="A5">
        <v>4</v>
      </c>
      <c r="B5" s="120" t="str">
        <f>IFERROR(INDEX(TableQBCalcPts[PLAYER],MATCH(TableQBVORP[[#This Row],[RK]],TableQBCalcPts[RK],0)),"")</f>
        <v>Lamar Jackson</v>
      </c>
      <c r="C5" s="120" t="str">
        <f>IFERROR(INDEX(TableQBCalcPts[TM],MATCH(TableQBVORP[[#This Row],[RK]],TableQBCalcPts[RK],0)),"")</f>
        <v>BAL</v>
      </c>
      <c r="D5" s="120">
        <f>IFERROR(INDEX(TableQBCalcPts[BYE],MATCH(TableQBVORP[[#This Row],[RK]],TableQBCalcPts[RK],0)),"")</f>
        <v>13</v>
      </c>
      <c r="E5" s="121">
        <f>IFERROR(INDEX(TableQBCalcPts[Custom],MATCH(TableQBVORP[[#This Row],[RK]],TableQBCalcPts[RK],0)),"")</f>
        <v>361.60434219642514</v>
      </c>
      <c r="F5" s="122">
        <f>(IFERROR((TableQBVORP[[#This Row],[FPS]]-INDEX(TableQBVORP[FPS],MATCH(QBVORPCalc,TableQBVORP[RK],0)))/INDEX(TableQBVORP[FPS],MATCH(QBVORPCalc,TableQBVORP[RK],0)),""))+(TableRBVORP[[#This Row],[VORP]]*0.45)</f>
        <v>0.36783024586407997</v>
      </c>
      <c r="H5">
        <v>4</v>
      </c>
      <c r="I5" s="120" t="str">
        <f>IFERROR(INDEX(TableRBCalcPts[PLAYER],MATCH(TableRBVORP[[#This Row],[RK]],TableRBCalcPts[RK],0)),"")</f>
        <v>Derrick Henry</v>
      </c>
      <c r="J5" s="120" t="str">
        <f>IFERROR(INDEX(TableRBCalcPts[TM],MATCH(TableRBVORP[[#This Row],[RK]],TableRBCalcPts[RK],0)),"")</f>
        <v>TEN</v>
      </c>
      <c r="K5" s="120">
        <f>IFERROR(INDEX(TableRBCalcPts[BYE],MATCH(TableRBVORP[[#This Row],[RK]],TableRBCalcPts[RK],0)),"")</f>
        <v>7</v>
      </c>
      <c r="L5" s="121">
        <f>IFERROR(INDEX(TableRBCalcPts[Custom],MATCH(TableRBVORP[[#This Row],[RK]],TableRBCalcPts[RK],0)),"")</f>
        <v>257.94009790393397</v>
      </c>
      <c r="M5" s="122">
        <f>IFERROR((TableRBVORP[[#This Row],[FPS]]-INDEX(TableRBVORP[FPS],MATCH(RBVORPCalc,TableRBVORP[RK],0)))/INDEX(TableRBVORP[FPS],MATCH(RBVORPCalc,TableRBVORP[RK],0)),"")</f>
        <v>1.1062710843919743</v>
      </c>
      <c r="O5">
        <v>4</v>
      </c>
      <c r="P5" s="120" t="str">
        <f>IFERROR(INDEX(TableWRCalcPts[PLAYER],MATCH(TableWRVORP[[#This Row],[RK]],TableWRCalcPts[RK],0)),"")</f>
        <v>Davante Adams</v>
      </c>
      <c r="Q5" s="120" t="str">
        <f>IFERROR(INDEX(TableWRCalcPts[TM],MATCH(TableWRVORP[[#This Row],[RK]],TableWRCalcPts[RK],0)),"")</f>
        <v>LV</v>
      </c>
      <c r="R5" s="120">
        <f>IFERROR(INDEX(TableWRCalcPts[BYE],MATCH(TableWRVORP[[#This Row],[RK]],TableWRCalcPts[RK],0)),"")</f>
        <v>13</v>
      </c>
      <c r="S5" s="121">
        <f>IFERROR(INDEX(TableWRCalcPts[Custom],MATCH(TableWRVORP[[#This Row],[RK]],TableWRCalcPts[RK],0)),"")</f>
        <v>254.78207097985711</v>
      </c>
      <c r="T5" s="122">
        <f>IFERROR((TableWRVORP[[#This Row],[FPS]]-INDEX(TableWRVORP[FPS],MATCH(WRVORPCalc,TableWRVORP[RK],0)))/INDEX(TableWRVORP[FPS],MATCH(WRVORPCalc,TableWRVORP[RK],0)),"")</f>
        <v>0.95546843366530354</v>
      </c>
      <c r="V5">
        <v>4</v>
      </c>
      <c r="W5" s="120" t="str">
        <f>IFERROR(INDEX(TableTECalcPts[PLAYER],MATCH(TableTEVORP[[#This Row],[RK]],TableTECalcPts[RK],0)),"")</f>
        <v>T.J. Hockenson</v>
      </c>
      <c r="X5" s="120" t="str">
        <f>IFERROR(INDEX(TableTECalcPts[TM],MATCH(TableTEVORP[[#This Row],[RK]],TableTECalcPts[RK],0)),"")</f>
        <v>MIN</v>
      </c>
      <c r="Y5" s="120">
        <f>IFERROR(INDEX(TableTECalcPts[BYE],MATCH(TableTEVORP[[#This Row],[RK]],TableTECalcPts[RK],0)),"")</f>
        <v>13</v>
      </c>
      <c r="Z5" s="121">
        <f>IFERROR(INDEX(TableTECalcPts[Custom],MATCH(TableTEVORP[[#This Row],[RK]],TableTECalcPts[RK],0)),"")</f>
        <v>173.66456609490382</v>
      </c>
      <c r="AA5" s="122">
        <f>IFERROR((TableTEVORP[[#This Row],[FPS]]-INDEX(TableTEVORP[FPS],MATCH(TEVORPCalc,TableTEVORP[RK],0)))/INDEX(TableTEVORP[FPS],MATCH(TEVORPCalc,TableTEVORP[RK],0)),"")</f>
        <v>0.46145159117792761</v>
      </c>
      <c r="AC5" t="s">
        <v>10</v>
      </c>
      <c r="AD5" s="86">
        <f>TEAMS*STARTING_TE</f>
        <v>12</v>
      </c>
      <c r="AF5" t="s">
        <v>9</v>
      </c>
      <c r="AG5">
        <v>4</v>
      </c>
      <c r="AH5" s="86">
        <f>RANK(TableOverallMaster[[#This Row],[VORP]],TableOverallMaster[VORP])+COUNTIF($AM$2:AM5,AM5)-1</f>
        <v>66</v>
      </c>
      <c r="AI5" s="123" t="str">
        <f>IFERROR(INDEX(TableQBVORP[QUARTERBACK],MATCH(TableOverallMaster[[#This Row],[RK]],TableQBVORP[RK],0)),"")</f>
        <v>Lamar Jackson</v>
      </c>
      <c r="AJ5" s="123" t="str">
        <f t="shared" si="0"/>
        <v>QB4</v>
      </c>
      <c r="AK5" s="123">
        <f>IFERROR(INDEX(TableQBVORP[BYE],MATCH(TableOverallMaster[[#This Row],[RK]],TableQBVORP[RK],0)),"")</f>
        <v>13</v>
      </c>
      <c r="AL5" s="124">
        <f>IFERROR(INDEX(TableQBVORP[FPS],MATCH(TableOverallMaster[[#This Row],[RK]],TableQBVORP[RK],0)),"")</f>
        <v>361.60434219642514</v>
      </c>
      <c r="AM5" s="125">
        <f>IFERROR(INDEX(TableQBVORP[VORP],MATCH(TableOverallMaster[[#This Row],[RK]],TableQBVORP[RK],0)),"")</f>
        <v>0.36783024586407997</v>
      </c>
      <c r="AO5">
        <v>4</v>
      </c>
      <c r="AP5" s="126" t="str">
        <f>IFERROR(INDEX(TableOverallMaster[OVERALL PLAYER],MATCH(TableOverallRank[[#This Row],[RK]],TableOverallMaster[OVR RK],0)),"")</f>
        <v>Justin Jefferson</v>
      </c>
      <c r="AQ5" s="127" t="str">
        <f>IFERROR(INDEX(TableOverallMaster[POS RK],MATCH(TableOverallRank[[#This Row],[OVERALL PLAYER]],TableOverallMaster[OVERALL PLAYER],0)),"")</f>
        <v>WR1</v>
      </c>
      <c r="AR5" s="128">
        <f>IFERROR(INDEX(TableOverallMaster[BYE],MATCH(TableOverallRank[[#This Row],[OVERALL PLAYER]],TableOverallMaster[OVERALL PLAYER],0)),"")</f>
        <v>13</v>
      </c>
      <c r="AS5" s="127">
        <f>IFERROR(INDEX(TableOverallMaster[Custom],MATCH(TableOverallRank[[#This Row],[OVERALL PLAYER]],TableOverallMaster[OVERALL PLAYER],0)),"")</f>
        <v>277.31918748577561</v>
      </c>
      <c r="AT5" s="129">
        <f>IFERROR(INDEX(TableOverallMaster[VORP],MATCH(TableOverallRank[[#This Row],[OVERALL PLAYER]],TableOverallMaster[OVERALL PLAYER],0)),"")</f>
        <v>1.1284422215918688</v>
      </c>
      <c r="AV5">
        <v>4</v>
      </c>
      <c r="AW5" s="130" t="str">
        <f>IFERROR(INDEX(TableWRTECalcPts[PLAYER],MATCH(TableWRTERank[[#This Row],[RK]],TableWRTECalcPts[RK],0)),"")</f>
        <v>Davante Adams</v>
      </c>
      <c r="AX5" s="130" t="str">
        <f>IFERROR(INDEX(TableWRTECalcPts[POS RK],MATCH(TableWRTERank[[#This Row],[WR and TE COMBINED]],TableWRTECalcPts[PLAYER],0)),"")</f>
        <v>WR4</v>
      </c>
      <c r="AY5" s="130">
        <f>IFERROR(INDEX(TableWRTECalcPts[BYE],MATCH(TableWRTERank[[#This Row],[RK]],TableWRTECalcPts[RK],0)),"")</f>
        <v>13</v>
      </c>
      <c r="AZ5" s="131">
        <f>IFERROR(INDEX(TableWRTECalcPts[Custom],MATCH(TableWRTERank[[#This Row],[RK]],TableWRTECalcPts[RK],0)),"")</f>
        <v>254.78207097985711</v>
      </c>
      <c r="BA5" s="188">
        <f>IFERROR((TableWRTERank[[#This Row],[FPS]]-INDEX(TableWRTERank[FPS],MATCH(WRTEVORPCalc,TableWRTERank[RK],0)))/INDEX(TableWRTERank[FPS],MATCH(WRTEVORPCalc,TableWRTERank[RK],0)),"")</f>
        <v>0.8410437975817896</v>
      </c>
      <c r="BC5" t="s">
        <v>257</v>
      </c>
      <c r="BD5">
        <v>4</v>
      </c>
      <c r="BE5" s="86">
        <f>RANK(TableWRTEMaster[[#This Row],[VORP]],TableWRTEMaster[VORP])+COUNTIF($BJ$2:BJ5,BJ5)-1</f>
        <v>4</v>
      </c>
      <c r="BF5" s="123" t="str">
        <f>IFERROR(INDEX(TableWRVORP[WIDE RECEIVER],MATCH(TableWRTEMaster[[#This Row],[RK]],TableWRVORP[RK],0)),"")</f>
        <v>Davante Adams</v>
      </c>
      <c r="BG5" s="123" t="str">
        <f>_xlfn.CONCAT(TableWRTEMaster[[#This Row],[POS]],TableWRTEMaster[[#This Row],[RK]])</f>
        <v>WR4</v>
      </c>
      <c r="BH5" s="123">
        <f>IFERROR(INDEX(TableWRVORP[BYE],MATCH(TableWRTEMaster[[#This Row],[RK]],TableWRVORP[RK],0)),"")</f>
        <v>13</v>
      </c>
      <c r="BI5" s="124">
        <f>IFERROR(INDEX(TableWRVORP[FPS],MATCH(TableWRTEMaster[[#This Row],[RK]],TableWRVORP[RK],0)),"")</f>
        <v>254.78207097985711</v>
      </c>
      <c r="BJ5" s="125">
        <f>IFERROR(INDEX(TableWRVORP[VORP],MATCH(TableWRTEMaster[[#This Row],[RK]],TableWRVORP[RK],0)),"")</f>
        <v>0.95546843366530354</v>
      </c>
      <c r="BL5" t="s">
        <v>10</v>
      </c>
      <c r="BM5" s="58">
        <f>SUMIF(AA:AA,"&gt;0")</f>
        <v>3.5330037689981375</v>
      </c>
    </row>
    <row r="6" spans="1:66" x14ac:dyDescent="0.2">
      <c r="A6">
        <v>5</v>
      </c>
      <c r="B6" s="120" t="str">
        <f>IFERROR(INDEX(TableQBCalcPts[PLAYER],MATCH(TableQBVORP[[#This Row],[RK]],TableQBCalcPts[RK],0)),"")</f>
        <v>Justin Fields</v>
      </c>
      <c r="C6" s="120" t="str">
        <f>IFERROR(INDEX(TableQBCalcPts[TM],MATCH(TableQBVORP[[#This Row],[RK]],TableQBCalcPts[RK],0)),"")</f>
        <v>CHI</v>
      </c>
      <c r="D6" s="120">
        <f>IFERROR(INDEX(TableQBCalcPts[BYE],MATCH(TableQBVORP[[#This Row],[RK]],TableQBCalcPts[RK],0)),"")</f>
        <v>13</v>
      </c>
      <c r="E6" s="121">
        <f>IFERROR(INDEX(TableQBCalcPts[Custom],MATCH(TableQBVORP[[#This Row],[RK]],TableQBCalcPts[RK],0)),"")</f>
        <v>356.81311597053582</v>
      </c>
      <c r="F6" s="122">
        <f>(IFERROR((TableQBVORP[[#This Row],[FPS]]-INDEX(TableQBVORP[FPS],MATCH(QBVORPCalc,TableQBVORP[RK],0)))/INDEX(TableQBVORP[FPS],MATCH(QBVORPCalc,TableQBVORP[RK],0)),""))+(TableRBVORP[[#This Row],[VORP]]*0.45)</f>
        <v>0.35445721551331011</v>
      </c>
      <c r="H6">
        <v>5</v>
      </c>
      <c r="I6" s="120" t="str">
        <f>IFERROR(INDEX(TableRBCalcPts[PLAYER],MATCH(TableRBVORP[[#This Row],[RK]],TableRBCalcPts[RK],0)),"")</f>
        <v>Saquon Barkley</v>
      </c>
      <c r="J6" s="120" t="str">
        <f>IFERROR(INDEX(TableRBCalcPts[TM],MATCH(TableRBVORP[[#This Row],[RK]],TableRBCalcPts[RK],0)),"")</f>
        <v>NYG</v>
      </c>
      <c r="K6" s="120">
        <f>IFERROR(INDEX(TableRBCalcPts[BYE],MATCH(TableRBVORP[[#This Row],[RK]],TableRBCalcPts[RK],0)),"")</f>
        <v>13</v>
      </c>
      <c r="L6" s="121">
        <f>IFERROR(INDEX(TableRBCalcPts[Custom],MATCH(TableRBVORP[[#This Row],[RK]],TableRBCalcPts[RK],0)),"")</f>
        <v>257.43786489805166</v>
      </c>
      <c r="M6" s="122">
        <f>IFERROR((TableRBVORP[[#This Row],[FPS]]-INDEX(TableRBVORP[FPS],MATCH(RBVORPCalc,TableRBVORP[RK],0)))/INDEX(TableRBVORP[FPS],MATCH(RBVORPCalc,TableRBVORP[RK],0)),"")</f>
        <v>1.1021699815913111</v>
      </c>
      <c r="O6">
        <v>5</v>
      </c>
      <c r="P6" s="120" t="str">
        <f>IFERROR(INDEX(TableWRCalcPts[PLAYER],MATCH(TableWRVORP[[#This Row],[RK]],TableWRCalcPts[RK],0)),"")</f>
        <v>Ja'Marr Chase</v>
      </c>
      <c r="Q6" s="120" t="str">
        <f>IFERROR(INDEX(TableWRCalcPts[TM],MATCH(TableWRVORP[[#This Row],[RK]],TableWRCalcPts[RK],0)),"")</f>
        <v>CIN</v>
      </c>
      <c r="R6" s="120">
        <f>IFERROR(INDEX(TableWRCalcPts[BYE],MATCH(TableWRVORP[[#This Row],[RK]],TableWRCalcPts[RK],0)),"")</f>
        <v>7</v>
      </c>
      <c r="S6" s="121">
        <f>IFERROR(INDEX(TableWRCalcPts[Custom],MATCH(TableWRVORP[[#This Row],[RK]],TableWRCalcPts[RK],0)),"")</f>
        <v>251.63020846296595</v>
      </c>
      <c r="T6" s="122">
        <f>IFERROR((TableWRVORP[[#This Row],[FPS]]-INDEX(TableWRVORP[FPS],MATCH(WRVORPCalc,TableWRVORP[RK],0)))/INDEX(TableWRVORP[FPS],MATCH(WRVORPCalc,TableWRVORP[RK],0)),"")</f>
        <v>0.93127769043392128</v>
      </c>
      <c r="V6">
        <v>5</v>
      </c>
      <c r="W6" s="120" t="str">
        <f>IFERROR(INDEX(TableTECalcPts[PLAYER],MATCH(TableTEVORP[[#This Row],[RK]],TableTECalcPts[RK],0)),"")</f>
        <v>George Kittle</v>
      </c>
      <c r="X6" s="120" t="str">
        <f>IFERROR(INDEX(TableTECalcPts[TM],MATCH(TableTEVORP[[#This Row],[RK]],TableTECalcPts[RK],0)),"")</f>
        <v>SF</v>
      </c>
      <c r="Y6" s="120">
        <f>IFERROR(INDEX(TableTECalcPts[BYE],MATCH(TableTEVORP[[#This Row],[RK]],TableTECalcPts[RK],0)),"")</f>
        <v>9</v>
      </c>
      <c r="Z6" s="121">
        <f>IFERROR(INDEX(TableTECalcPts[Custom],MATCH(TableTEVORP[[#This Row],[RK]],TableTECalcPts[RK],0)),"")</f>
        <v>160.72749918287673</v>
      </c>
      <c r="AA6" s="122">
        <f>IFERROR((TableTEVORP[[#This Row],[FPS]]-INDEX(TableTEVORP[FPS],MATCH(TEVORPCalc,TableTEVORP[RK],0)))/INDEX(TableTEVORP[FPS],MATCH(TEVORPCalc,TableTEVORP[RK],0)),"")</f>
        <v>0.35258138553433588</v>
      </c>
      <c r="AC6" t="s">
        <v>447</v>
      </c>
      <c r="AD6" s="86">
        <f>(TEAMS*STARTING_FLEX)*1.5</f>
        <v>18</v>
      </c>
      <c r="AF6" t="s">
        <v>9</v>
      </c>
      <c r="AG6">
        <v>5</v>
      </c>
      <c r="AH6" s="86">
        <f>RANK(TableOverallMaster[[#This Row],[VORP]],TableOverallMaster[VORP])+COUNTIF($AM$2:AM6,AM6)-1</f>
        <v>68</v>
      </c>
      <c r="AI6" s="123" t="str">
        <f>IFERROR(INDEX(TableQBVORP[QUARTERBACK],MATCH(TableOverallMaster[[#This Row],[RK]],TableQBVORP[RK],0)),"")</f>
        <v>Justin Fields</v>
      </c>
      <c r="AJ6" s="123" t="str">
        <f t="shared" si="0"/>
        <v>QB5</v>
      </c>
      <c r="AK6" s="123">
        <f>IFERROR(INDEX(TableQBVORP[BYE],MATCH(TableOverallMaster[[#This Row],[RK]],TableQBVORP[RK],0)),"")</f>
        <v>13</v>
      </c>
      <c r="AL6" s="124">
        <f>IFERROR(INDEX(TableQBVORP[FPS],MATCH(TableOverallMaster[[#This Row],[RK]],TableQBVORP[RK],0)),"")</f>
        <v>356.81311597053582</v>
      </c>
      <c r="AM6" s="125">
        <f>IFERROR(INDEX(TableQBVORP[VORP],MATCH(TableOverallMaster[[#This Row],[RK]],TableQBVORP[RK],0)),"")</f>
        <v>0.35445721551331011</v>
      </c>
      <c r="AO6">
        <v>5</v>
      </c>
      <c r="AP6" s="126" t="str">
        <f>IFERROR(INDEX(TableOverallMaster[OVERALL PLAYER],MATCH(TableOverallRank[[#This Row],[RK]],TableOverallMaster[OVR RK],0)),"")</f>
        <v>Derrick Henry</v>
      </c>
      <c r="AQ6" s="127" t="str">
        <f>IFERROR(INDEX(TableOverallMaster[POS RK],MATCH(TableOverallRank[[#This Row],[OVERALL PLAYER]],TableOverallMaster[OVERALL PLAYER],0)),"")</f>
        <v>RB4</v>
      </c>
      <c r="AR6" s="128">
        <f>IFERROR(INDEX(TableOverallMaster[BYE],MATCH(TableOverallRank[[#This Row],[OVERALL PLAYER]],TableOverallMaster[OVERALL PLAYER],0)),"")</f>
        <v>7</v>
      </c>
      <c r="AS6" s="127">
        <f>IFERROR(INDEX(TableOverallMaster[Custom],MATCH(TableOverallRank[[#This Row],[OVERALL PLAYER]],TableOverallMaster[OVERALL PLAYER],0)),"")</f>
        <v>257.94009790393397</v>
      </c>
      <c r="AT6" s="129">
        <f>IFERROR(INDEX(TableOverallMaster[VORP],MATCH(TableOverallRank[[#This Row],[OVERALL PLAYER]],TableOverallMaster[OVERALL PLAYER],0)),"")</f>
        <v>1.1062710843919743</v>
      </c>
      <c r="AV6">
        <v>5</v>
      </c>
      <c r="AW6" s="130" t="str">
        <f>IFERROR(INDEX(TableWRTECalcPts[PLAYER],MATCH(TableWRTERank[[#This Row],[RK]],TableWRTECalcPts[RK],0)),"")</f>
        <v>Ja'Marr Chase</v>
      </c>
      <c r="AX6" s="130" t="str">
        <f>IFERROR(INDEX(TableWRTECalcPts[POS RK],MATCH(TableWRTERank[[#This Row],[WR and TE COMBINED]],TableWRTECalcPts[PLAYER],0)),"")</f>
        <v>WR5</v>
      </c>
      <c r="AY6" s="130">
        <f>IFERROR(INDEX(TableWRTECalcPts[BYE],MATCH(TableWRTERank[[#This Row],[RK]],TableWRTECalcPts[RK],0)),"")</f>
        <v>7</v>
      </c>
      <c r="AZ6" s="131">
        <f>IFERROR(INDEX(TableWRTECalcPts[Custom],MATCH(TableWRTERank[[#This Row],[RK]],TableWRTECalcPts[RK],0)),"")</f>
        <v>251.63020846296595</v>
      </c>
      <c r="BA6" s="188">
        <f>IFERROR((TableWRTERank[[#This Row],[FPS]]-INDEX(TableWRTERank[FPS],MATCH(WRTEVORPCalc,TableWRTERank[RK],0)))/INDEX(TableWRTERank[FPS],MATCH(WRTEVORPCalc,TableWRTERank[RK],0)),"")</f>
        <v>0.8182685806474248</v>
      </c>
      <c r="BC6" t="s">
        <v>257</v>
      </c>
      <c r="BD6">
        <v>5</v>
      </c>
      <c r="BE6" s="86">
        <f>RANK(TableWRTEMaster[[#This Row],[VORP]],TableWRTEMaster[VORP])+COUNTIF($BJ$2:BJ6,BJ6)-1</f>
        <v>5</v>
      </c>
      <c r="BF6" s="123" t="str">
        <f>IFERROR(INDEX(TableWRVORP[WIDE RECEIVER],MATCH(TableWRTEMaster[[#This Row],[RK]],TableWRVORP[RK],0)),"")</f>
        <v>Ja'Marr Chase</v>
      </c>
      <c r="BG6" s="123" t="str">
        <f>_xlfn.CONCAT(TableWRTEMaster[[#This Row],[POS]],TableWRTEMaster[[#This Row],[RK]])</f>
        <v>WR5</v>
      </c>
      <c r="BH6" s="123">
        <f>IFERROR(INDEX(TableWRVORP[BYE],MATCH(TableWRTEMaster[[#This Row],[RK]],TableWRVORP[RK],0)),"")</f>
        <v>7</v>
      </c>
      <c r="BI6" s="124">
        <f>IFERROR(INDEX(TableWRVORP[FPS],MATCH(TableWRTEMaster[[#This Row],[RK]],TableWRVORP[RK],0)),"")</f>
        <v>251.63020846296595</v>
      </c>
      <c r="BJ6" s="125">
        <f>IFERROR(INDEX(TableWRVORP[VORP],MATCH(TableWRTEMaster[[#This Row],[RK]],TableWRVORP[RK],0)),"")</f>
        <v>0.93127769043392128</v>
      </c>
      <c r="BM6" s="58">
        <f>SUM(BM2:BM5)</f>
        <v>53.786555766897088</v>
      </c>
      <c r="BN6" s="83"/>
    </row>
    <row r="7" spans="1:66" x14ac:dyDescent="0.2">
      <c r="A7">
        <v>6</v>
      </c>
      <c r="B7" s="120" t="str">
        <f>IFERROR(INDEX(TableQBCalcPts[PLAYER],MATCH(TableQBVORP[[#This Row],[RK]],TableQBCalcPts[RK],0)),"")</f>
        <v>Joe Burrow</v>
      </c>
      <c r="C7" s="120" t="str">
        <f>IFERROR(INDEX(TableQBCalcPts[TM],MATCH(TableQBVORP[[#This Row],[RK]],TableQBCalcPts[RK],0)),"")</f>
        <v>CIN</v>
      </c>
      <c r="D7" s="120">
        <f>IFERROR(INDEX(TableQBCalcPts[BYE],MATCH(TableQBVORP[[#This Row],[RK]],TableQBCalcPts[RK],0)),"")</f>
        <v>7</v>
      </c>
      <c r="E7" s="121">
        <f>IFERROR(INDEX(TableQBCalcPts[Custom],MATCH(TableQBVORP[[#This Row],[RK]],TableQBCalcPts[RK],0)),"")</f>
        <v>349.60554170617019</v>
      </c>
      <c r="F7" s="122">
        <f>(IFERROR((TableQBVORP[[#This Row],[FPS]]-INDEX(TableQBVORP[FPS],MATCH(QBVORPCalc,TableQBVORP[RK],0)))/INDEX(TableQBVORP[FPS],MATCH(QBVORPCalc,TableQBVORP[RK],0)),""))+(TableRBVORP[[#This Row],[VORP]]*0.45)</f>
        <v>0.32737491197803337</v>
      </c>
      <c r="H7">
        <v>6</v>
      </c>
      <c r="I7" s="120" t="str">
        <f>IFERROR(INDEX(TableRBCalcPts[PLAYER],MATCH(TableRBVORP[[#This Row],[RK]],TableRBCalcPts[RK],0)),"")</f>
        <v>Tony Pollard</v>
      </c>
      <c r="J7" s="120" t="str">
        <f>IFERROR(INDEX(TableRBCalcPts[TM],MATCH(TableRBVORP[[#This Row],[RK]],TableRBCalcPts[RK],0)),"")</f>
        <v>DAL</v>
      </c>
      <c r="K7" s="120">
        <f>IFERROR(INDEX(TableRBCalcPts[BYE],MATCH(TableRBVORP[[#This Row],[RK]],TableRBCalcPts[RK],0)),"")</f>
        <v>7</v>
      </c>
      <c r="L7" s="121">
        <f>IFERROR(INDEX(TableRBCalcPts[Custom],MATCH(TableRBVORP[[#This Row],[RK]],TableRBCalcPts[RK],0)),"")</f>
        <v>254.78691973258191</v>
      </c>
      <c r="M7" s="122">
        <f>IFERROR((TableRBVORP[[#This Row],[FPS]]-INDEX(TableRBVORP[FPS],MATCH(RBVORPCalc,TableRBVORP[RK],0)))/INDEX(TableRBVORP[FPS],MATCH(RBVORPCalc,TableRBVORP[RK],0)),"")</f>
        <v>1.0805230597140574</v>
      </c>
      <c r="O7">
        <v>6</v>
      </c>
      <c r="P7" s="120" t="str">
        <f>IFERROR(INDEX(TableWRCalcPts[PLAYER],MATCH(TableWRVORP[[#This Row],[RK]],TableWRCalcPts[RK],0)),"")</f>
        <v>Amon-Ra St. Brown</v>
      </c>
      <c r="Q7" s="120" t="str">
        <f>IFERROR(INDEX(TableWRCalcPts[TM],MATCH(TableWRVORP[[#This Row],[RK]],TableWRCalcPts[RK],0)),"")</f>
        <v>DET</v>
      </c>
      <c r="R7" s="120">
        <f>IFERROR(INDEX(TableWRCalcPts[BYE],MATCH(TableWRVORP[[#This Row],[RK]],TableWRCalcPts[RK],0)),"")</f>
        <v>9</v>
      </c>
      <c r="S7" s="121">
        <f>IFERROR(INDEX(TableWRCalcPts[Custom],MATCH(TableWRVORP[[#This Row],[RK]],TableWRCalcPts[RK],0)),"")</f>
        <v>235.77471963299024</v>
      </c>
      <c r="T7" s="122">
        <f>IFERROR((TableWRVORP[[#This Row],[FPS]]-INDEX(TableWRVORP[FPS],MATCH(WRVORPCalc,TableWRVORP[RK],0)))/INDEX(TableWRVORP[FPS],MATCH(WRVORPCalc,TableWRVORP[RK],0)),"")</f>
        <v>0.80958581553821263</v>
      </c>
      <c r="V7">
        <v>6</v>
      </c>
      <c r="W7" s="120" t="str">
        <f>IFERROR(INDEX(TableTECalcPts[PLAYER],MATCH(TableTEVORP[[#This Row],[RK]],TableTECalcPts[RK],0)),"")</f>
        <v>Dallas Goedert</v>
      </c>
      <c r="X7" s="120" t="str">
        <f>IFERROR(INDEX(TableTECalcPts[TM],MATCH(TableTEVORP[[#This Row],[RK]],TableTECalcPts[RK],0)),"")</f>
        <v>PHI</v>
      </c>
      <c r="Y7" s="120">
        <f>IFERROR(INDEX(TableTECalcPts[BYE],MATCH(TableTEVORP[[#This Row],[RK]],TableTECalcPts[RK],0)),"")</f>
        <v>10</v>
      </c>
      <c r="Z7" s="121">
        <f>IFERROR(INDEX(TableTECalcPts[Custom],MATCH(TableTEVORP[[#This Row],[RK]],TableTECalcPts[RK],0)),"")</f>
        <v>140.56778839078723</v>
      </c>
      <c r="AA7" s="122">
        <f>IFERROR((TableTEVORP[[#This Row],[FPS]]-INDEX(TableTEVORP[FPS],MATCH(TEVORPCalc,TableTEVORP[RK],0)))/INDEX(TableTEVORP[FPS],MATCH(TEVORPCalc,TableTEVORP[RK],0)),"")</f>
        <v>0.18292995877934967</v>
      </c>
      <c r="AC7" t="s">
        <v>446</v>
      </c>
      <c r="AD7" s="86">
        <f>TEAMS*STARTING_SUPERFLEX</f>
        <v>0</v>
      </c>
      <c r="AF7" t="s">
        <v>9</v>
      </c>
      <c r="AG7">
        <v>6</v>
      </c>
      <c r="AH7" s="86">
        <f>RANK(TableOverallMaster[[#This Row],[VORP]],TableOverallMaster[VORP])+COUNTIF($AM$2:AM7,AM7)-1</f>
        <v>71</v>
      </c>
      <c r="AI7" s="123" t="str">
        <f>IFERROR(INDEX(TableQBVORP[QUARTERBACK],MATCH(TableOverallMaster[[#This Row],[RK]],TableQBVORP[RK],0)),"")</f>
        <v>Joe Burrow</v>
      </c>
      <c r="AJ7" s="123" t="str">
        <f t="shared" si="0"/>
        <v>QB6</v>
      </c>
      <c r="AK7" s="123">
        <f>IFERROR(INDEX(TableQBVORP[BYE],MATCH(TableOverallMaster[[#This Row],[RK]],TableQBVORP[RK],0)),"")</f>
        <v>7</v>
      </c>
      <c r="AL7" s="124">
        <f>IFERROR(INDEX(TableQBVORP[FPS],MATCH(TableOverallMaster[[#This Row],[RK]],TableQBVORP[RK],0)),"")</f>
        <v>349.60554170617019</v>
      </c>
      <c r="AM7" s="125">
        <f>IFERROR(INDEX(TableQBVORP[VORP],MATCH(TableOverallMaster[[#This Row],[RK]],TableQBVORP[RK],0)),"")</f>
        <v>0.32737491197803337</v>
      </c>
      <c r="AO7">
        <v>6</v>
      </c>
      <c r="AP7" s="126" t="str">
        <f>IFERROR(INDEX(TableOverallMaster[OVERALL PLAYER],MATCH(TableOverallRank[[#This Row],[RK]],TableOverallMaster[OVR RK],0)),"")</f>
        <v>Saquon Barkley</v>
      </c>
      <c r="AQ7" s="127" t="str">
        <f>IFERROR(INDEX(TableOverallMaster[POS RK],MATCH(TableOverallRank[[#This Row],[OVERALL PLAYER]],TableOverallMaster[OVERALL PLAYER],0)),"")</f>
        <v>RB5</v>
      </c>
      <c r="AR7" s="128">
        <f>IFERROR(INDEX(TableOverallMaster[BYE],MATCH(TableOverallRank[[#This Row],[OVERALL PLAYER]],TableOverallMaster[OVERALL PLAYER],0)),"")</f>
        <v>13</v>
      </c>
      <c r="AS7" s="127">
        <f>IFERROR(INDEX(TableOverallMaster[Custom],MATCH(TableOverallRank[[#This Row],[OVERALL PLAYER]],TableOverallMaster[OVERALL PLAYER],0)),"")</f>
        <v>257.43786489805166</v>
      </c>
      <c r="AT7" s="129">
        <f>IFERROR(INDEX(TableOverallMaster[VORP],MATCH(TableOverallRank[[#This Row],[OVERALL PLAYER]],TableOverallMaster[OVERALL PLAYER],0)),"")</f>
        <v>1.1021699815913111</v>
      </c>
      <c r="AV7">
        <v>6</v>
      </c>
      <c r="AW7" s="130" t="str">
        <f>IFERROR(INDEX(TableWRTECalcPts[PLAYER],MATCH(TableWRTERank[[#This Row],[RK]],TableWRTECalcPts[RK],0)),"")</f>
        <v>Amon-Ra St. Brown</v>
      </c>
      <c r="AX7" s="130" t="str">
        <f>IFERROR(INDEX(TableWRTECalcPts[POS RK],MATCH(TableWRTERank[[#This Row],[WR and TE COMBINED]],TableWRTECalcPts[PLAYER],0)),"")</f>
        <v>WR6</v>
      </c>
      <c r="AY7" s="130">
        <f>IFERROR(INDEX(TableWRTECalcPts[BYE],MATCH(TableWRTERank[[#This Row],[RK]],TableWRTECalcPts[RK],0)),"")</f>
        <v>9</v>
      </c>
      <c r="AZ7" s="131">
        <f>IFERROR(INDEX(TableWRTECalcPts[Custom],MATCH(TableWRTERank[[#This Row],[RK]],TableWRTECalcPts[RK],0)),"")</f>
        <v>235.77471963299024</v>
      </c>
      <c r="BA7" s="188">
        <f>IFERROR((TableWRTERank[[#This Row],[FPS]]-INDEX(TableWRTERank[FPS],MATCH(WRTEVORPCalc,TableWRTERank[RK],0)))/INDEX(TableWRTERank[FPS],MATCH(WRTEVORPCalc,TableWRTERank[RK],0)),"")</f>
        <v>0.70369753074665709</v>
      </c>
      <c r="BC7" t="s">
        <v>257</v>
      </c>
      <c r="BD7">
        <v>6</v>
      </c>
      <c r="BE7" s="86">
        <f>RANK(TableWRTEMaster[[#This Row],[VORP]],TableWRTEMaster[VORP])+COUNTIF($BJ$2:BJ7,BJ7)-1</f>
        <v>7</v>
      </c>
      <c r="BF7" s="123" t="str">
        <f>IFERROR(INDEX(TableWRVORP[WIDE RECEIVER],MATCH(TableWRTEMaster[[#This Row],[RK]],TableWRVORP[RK],0)),"")</f>
        <v>Amon-Ra St. Brown</v>
      </c>
      <c r="BG7" s="123" t="str">
        <f>_xlfn.CONCAT(TableWRTEMaster[[#This Row],[POS]],TableWRTEMaster[[#This Row],[RK]])</f>
        <v>WR6</v>
      </c>
      <c r="BH7" s="123">
        <f>IFERROR(INDEX(TableWRVORP[BYE],MATCH(TableWRTEMaster[[#This Row],[RK]],TableWRVORP[RK],0)),"")</f>
        <v>9</v>
      </c>
      <c r="BI7" s="124">
        <f>IFERROR(INDEX(TableWRVORP[FPS],MATCH(TableWRTEMaster[[#This Row],[RK]],TableWRVORP[RK],0)),"")</f>
        <v>235.77471963299024</v>
      </c>
      <c r="BJ7" s="125">
        <f>IFERROR(INDEX(TableWRVORP[VORP],MATCH(TableWRTEMaster[[#This Row],[RK]],TableWRVORP[RK],0)),"")</f>
        <v>0.80958581553821263</v>
      </c>
    </row>
    <row r="8" spans="1:66" x14ac:dyDescent="0.2">
      <c r="A8">
        <v>7</v>
      </c>
      <c r="B8" s="120" t="str">
        <f>IFERROR(INDEX(TableQBCalcPts[PLAYER],MATCH(TableQBVORP[[#This Row],[RK]],TableQBCalcPts[RK],0)),"")</f>
        <v>Trevor Lawrence</v>
      </c>
      <c r="C8" s="120" t="str">
        <f>IFERROR(INDEX(TableQBCalcPts[TM],MATCH(TableQBVORP[[#This Row],[RK]],TableQBCalcPts[RK],0)),"")</f>
        <v>JAX</v>
      </c>
      <c r="D8" s="120">
        <f>IFERROR(INDEX(TableQBCalcPts[BYE],MATCH(TableQBVORP[[#This Row],[RK]],TableQBCalcPts[RK],0)),"")</f>
        <v>9</v>
      </c>
      <c r="E8" s="121">
        <f>IFERROR(INDEX(TableQBCalcPts[Custom],MATCH(TableQBVORP[[#This Row],[RK]],TableQBCalcPts[RK],0)),"")</f>
        <v>342.58985660825209</v>
      </c>
      <c r="F8" s="122">
        <f>(IFERROR((TableQBVORP[[#This Row],[FPS]]-INDEX(TableQBVORP[FPS],MATCH(QBVORPCalc,TableQBVORP[RK],0)))/INDEX(TableQBVORP[FPS],MATCH(QBVORPCalc,TableQBVORP[RK],0)),""))+(TableRBVORP[[#This Row],[VORP]]*0.45)</f>
        <v>0.30820935610799982</v>
      </c>
      <c r="H8">
        <v>7</v>
      </c>
      <c r="I8" s="120" t="str">
        <f>IFERROR(INDEX(TableRBCalcPts[PLAYER],MATCH(TableRBVORP[[#This Row],[RK]],TableRBCalcPts[RK],0)),"")</f>
        <v>Bijan Robinson</v>
      </c>
      <c r="J8" s="120" t="str">
        <f>IFERROR(INDEX(TableRBCalcPts[TM],MATCH(TableRBVORP[[#This Row],[RK]],TableRBCalcPts[RK],0)),"")</f>
        <v>ATL</v>
      </c>
      <c r="K8" s="120">
        <f>IFERROR(INDEX(TableRBCalcPts[BYE],MATCH(TableRBVORP[[#This Row],[RK]],TableRBCalcPts[RK],0)),"")</f>
        <v>11</v>
      </c>
      <c r="L8" s="121">
        <f>IFERROR(INDEX(TableRBCalcPts[Custom],MATCH(TableRBVORP[[#This Row],[RK]],TableRBCalcPts[RK],0)),"")</f>
        <v>254.16479553306854</v>
      </c>
      <c r="M8" s="122">
        <f>IFERROR((TableRBVORP[[#This Row],[FPS]]-INDEX(TableRBVORP[FPS],MATCH(RBVORPCalc,TableRBVORP[RK],0)))/INDEX(TableRBVORP[FPS],MATCH(RBVORPCalc,TableRBVORP[RK],0)),"")</f>
        <v>1.0754429569189365</v>
      </c>
      <c r="O8">
        <v>7</v>
      </c>
      <c r="P8" s="120" t="str">
        <f>IFERROR(INDEX(TableWRCalcPts[PLAYER],MATCH(TableWRVORP[[#This Row],[RK]],TableWRCalcPts[RK],0)),"")</f>
        <v>Stefon Diggs</v>
      </c>
      <c r="Q8" s="120" t="str">
        <f>IFERROR(INDEX(TableWRCalcPts[TM],MATCH(TableWRVORP[[#This Row],[RK]],TableWRCalcPts[RK],0)),"")</f>
        <v>BUF</v>
      </c>
      <c r="R8" s="120">
        <f>IFERROR(INDEX(TableWRCalcPts[BYE],MATCH(TableWRVORP[[#This Row],[RK]],TableWRCalcPts[RK],0)),"")</f>
        <v>13</v>
      </c>
      <c r="S8" s="121">
        <f>IFERROR(INDEX(TableWRCalcPts[Custom],MATCH(TableWRVORP[[#This Row],[RK]],TableWRCalcPts[RK],0)),"")</f>
        <v>230.83501137252614</v>
      </c>
      <c r="T8" s="122">
        <f>IFERROR((TableWRVORP[[#This Row],[FPS]]-INDEX(TableWRVORP[FPS],MATCH(WRVORPCalc,TableWRVORP[RK],0)))/INDEX(TableWRVORP[FPS],MATCH(WRVORPCalc,TableWRVORP[RK],0)),"")</f>
        <v>0.77167324367746748</v>
      </c>
      <c r="V8">
        <v>7</v>
      </c>
      <c r="W8" s="120" t="str">
        <f>IFERROR(INDEX(TableTECalcPts[PLAYER],MATCH(TableTEVORP[[#This Row],[RK]],TableTECalcPts[RK],0)),"")</f>
        <v>Kyle Pitts</v>
      </c>
      <c r="X8" s="120" t="str">
        <f>IFERROR(INDEX(TableTECalcPts[TM],MATCH(TableTEVORP[[#This Row],[RK]],TableTECalcPts[RK],0)),"")</f>
        <v>ATL</v>
      </c>
      <c r="Y8" s="120">
        <f>IFERROR(INDEX(TableTECalcPts[BYE],MATCH(TableTEVORP[[#This Row],[RK]],TableTECalcPts[RK],0)),"")</f>
        <v>11</v>
      </c>
      <c r="Z8" s="121">
        <f>IFERROR(INDEX(TableTECalcPts[Custom],MATCH(TableTEVORP[[#This Row],[RK]],TableTECalcPts[RK],0)),"")</f>
        <v>138.52950994352989</v>
      </c>
      <c r="AA8" s="122">
        <f>IFERROR((TableTEVORP[[#This Row],[FPS]]-INDEX(TableTEVORP[FPS],MATCH(TEVORPCalc,TableTEVORP[RK],0)))/INDEX(TableTEVORP[FPS],MATCH(TEVORPCalc,TableTEVORP[RK],0)),"")</f>
        <v>0.16577709134650764</v>
      </c>
      <c r="AC8" t="s">
        <v>461</v>
      </c>
      <c r="AD8" s="86">
        <f>(TEAMS*STARTING_WR)+(TEAMS*STARTING_TE)+(TEAMS*STARTING_FLEX)</f>
        <v>60</v>
      </c>
      <c r="AF8" t="s">
        <v>9</v>
      </c>
      <c r="AG8">
        <v>7</v>
      </c>
      <c r="AH8" s="86">
        <f>RANK(TableOverallMaster[[#This Row],[VORP]],TableOverallMaster[VORP])+COUNTIF($AM$2:AM8,AM8)-1</f>
        <v>74</v>
      </c>
      <c r="AI8" s="123" t="str">
        <f>IFERROR(INDEX(TableQBVORP[QUARTERBACK],MATCH(TableOverallMaster[[#This Row],[RK]],TableQBVORP[RK],0)),"")</f>
        <v>Trevor Lawrence</v>
      </c>
      <c r="AJ8" s="123" t="str">
        <f t="shared" si="0"/>
        <v>QB7</v>
      </c>
      <c r="AK8" s="123">
        <f>IFERROR(INDEX(TableQBVORP[BYE],MATCH(TableOverallMaster[[#This Row],[RK]],TableQBVORP[RK],0)),"")</f>
        <v>9</v>
      </c>
      <c r="AL8" s="124">
        <f>IFERROR(INDEX(TableQBVORP[FPS],MATCH(TableOverallMaster[[#This Row],[RK]],TableQBVORP[RK],0)),"")</f>
        <v>342.58985660825209</v>
      </c>
      <c r="AM8" s="125">
        <f>IFERROR(INDEX(TableQBVORP[VORP],MATCH(TableOverallMaster[[#This Row],[RK]],TableQBVORP[RK],0)),"")</f>
        <v>0.30820935610799982</v>
      </c>
      <c r="AO8">
        <v>7</v>
      </c>
      <c r="AP8" s="126" t="str">
        <f>IFERROR(INDEX(TableOverallMaster[OVERALL PLAYER],MATCH(TableOverallRank[[#This Row],[RK]],TableOverallMaster[OVR RK],0)),"")</f>
        <v>Tony Pollard</v>
      </c>
      <c r="AQ8" s="127" t="str">
        <f>IFERROR(INDEX(TableOverallMaster[POS RK],MATCH(TableOverallRank[[#This Row],[OVERALL PLAYER]],TableOverallMaster[OVERALL PLAYER],0)),"")</f>
        <v>RB6</v>
      </c>
      <c r="AR8" s="128">
        <f>IFERROR(INDEX(TableOverallMaster[BYE],MATCH(TableOverallRank[[#This Row],[OVERALL PLAYER]],TableOverallMaster[OVERALL PLAYER],0)),"")</f>
        <v>7</v>
      </c>
      <c r="AS8" s="127">
        <f>IFERROR(INDEX(TableOverallMaster[Custom],MATCH(TableOverallRank[[#This Row],[OVERALL PLAYER]],TableOverallMaster[OVERALL PLAYER],0)),"")</f>
        <v>254.78691973258191</v>
      </c>
      <c r="AT8" s="129">
        <f>IFERROR(INDEX(TableOverallMaster[VORP],MATCH(TableOverallRank[[#This Row],[OVERALL PLAYER]],TableOverallMaster[OVERALL PLAYER],0)),"")</f>
        <v>1.0805230597140574</v>
      </c>
      <c r="AV8">
        <v>7</v>
      </c>
      <c r="AW8" s="130" t="str">
        <f>IFERROR(INDEX(TableWRTECalcPts[PLAYER],MATCH(TableWRTERank[[#This Row],[RK]],TableWRTECalcPts[RK],0)),"")</f>
        <v>Stefon Diggs</v>
      </c>
      <c r="AX8" s="130" t="str">
        <f>IFERROR(INDEX(TableWRTECalcPts[POS RK],MATCH(TableWRTERank[[#This Row],[WR and TE COMBINED]],TableWRTECalcPts[PLAYER],0)),"")</f>
        <v>WR7</v>
      </c>
      <c r="AY8" s="130">
        <f>IFERROR(INDEX(TableWRTECalcPts[BYE],MATCH(TableWRTERank[[#This Row],[RK]],TableWRTECalcPts[RK],0)),"")</f>
        <v>13</v>
      </c>
      <c r="AZ8" s="131">
        <f>IFERROR(INDEX(TableWRTECalcPts[Custom],MATCH(TableWRTERank[[#This Row],[RK]],TableWRTECalcPts[RK],0)),"")</f>
        <v>230.83501137252614</v>
      </c>
      <c r="BA8" s="188">
        <f>IFERROR((TableWRTERank[[#This Row],[FPS]]-INDEX(TableWRTERank[FPS],MATCH(WRTEVORPCalc,TableWRTERank[RK],0)))/INDEX(TableWRTERank[FPS],MATCH(WRTEVORPCalc,TableWRTERank[RK],0)),"")</f>
        <v>0.66800342079686414</v>
      </c>
      <c r="BC8" t="s">
        <v>257</v>
      </c>
      <c r="BD8">
        <v>7</v>
      </c>
      <c r="BE8" s="86">
        <f>RANK(TableWRTEMaster[[#This Row],[VORP]],TableWRTEMaster[VORP])+COUNTIF($BJ$2:BJ8,BJ8)-1</f>
        <v>8</v>
      </c>
      <c r="BF8" s="123" t="str">
        <f>IFERROR(INDEX(TableWRVORP[WIDE RECEIVER],MATCH(TableWRTEMaster[[#This Row],[RK]],TableWRVORP[RK],0)),"")</f>
        <v>Stefon Diggs</v>
      </c>
      <c r="BG8" s="123" t="str">
        <f>_xlfn.CONCAT(TableWRTEMaster[[#This Row],[POS]],TableWRTEMaster[[#This Row],[RK]])</f>
        <v>WR7</v>
      </c>
      <c r="BH8" s="123">
        <f>IFERROR(INDEX(TableWRVORP[BYE],MATCH(TableWRTEMaster[[#This Row],[RK]],TableWRVORP[RK],0)),"")</f>
        <v>13</v>
      </c>
      <c r="BI8" s="124">
        <f>IFERROR(INDEX(TableWRVORP[FPS],MATCH(TableWRTEMaster[[#This Row],[RK]],TableWRVORP[RK],0)),"")</f>
        <v>230.83501137252614</v>
      </c>
      <c r="BJ8" s="125">
        <f>IFERROR(INDEX(TableWRVORP[VORP],MATCH(TableWRTEMaster[[#This Row],[RK]],TableWRVORP[RK],0)),"")</f>
        <v>0.77167324367746748</v>
      </c>
    </row>
    <row r="9" spans="1:66" x14ac:dyDescent="0.2">
      <c r="A9">
        <v>8</v>
      </c>
      <c r="B9" s="120" t="str">
        <f>IFERROR(INDEX(TableQBCalcPts[PLAYER],MATCH(TableQBVORP[[#This Row],[RK]],TableQBCalcPts[RK],0)),"")</f>
        <v>Justin Herbert</v>
      </c>
      <c r="C9" s="120" t="str">
        <f>IFERROR(INDEX(TableQBCalcPts[TM],MATCH(TableQBVORP[[#This Row],[RK]],TableQBCalcPts[RK],0)),"")</f>
        <v>LAC</v>
      </c>
      <c r="D9" s="120">
        <f>IFERROR(INDEX(TableQBCalcPts[BYE],MATCH(TableQBVORP[[#This Row],[RK]],TableQBCalcPts[RK],0)),"")</f>
        <v>5</v>
      </c>
      <c r="E9" s="121">
        <f>IFERROR(INDEX(TableQBCalcPts[Custom],MATCH(TableQBVORP[[#This Row],[RK]],TableQBCalcPts[RK],0)),"")</f>
        <v>340.26559345336074</v>
      </c>
      <c r="F9" s="122">
        <f>(IFERROR((TableQBVORP[[#This Row],[FPS]]-INDEX(TableQBVORP[FPS],MATCH(QBVORPCalc,TableQBVORP[RK],0)))/INDEX(TableQBVORP[FPS],MATCH(QBVORPCalc,TableQBVORP[RK],0)),""))+(TableRBVORP[[#This Row],[VORP]]*0.45)</f>
        <v>0.20663908485422017</v>
      </c>
      <c r="H9">
        <v>8</v>
      </c>
      <c r="I9" s="120" t="str">
        <f>IFERROR(INDEX(TableRBCalcPts[PLAYER],MATCH(TableRBVORP[[#This Row],[RK]],TableRBCalcPts[RK],0)),"")</f>
        <v>Josh Jacobs</v>
      </c>
      <c r="J9" s="120" t="str">
        <f>IFERROR(INDEX(TableRBCalcPts[TM],MATCH(TableRBVORP[[#This Row],[RK]],TableRBCalcPts[RK],0)),"")</f>
        <v>LV</v>
      </c>
      <c r="K9" s="120">
        <f>IFERROR(INDEX(TableRBCalcPts[BYE],MATCH(TableRBVORP[[#This Row],[RK]],TableRBCalcPts[RK],0)),"")</f>
        <v>13</v>
      </c>
      <c r="L9" s="121">
        <f>IFERROR(INDEX(TableRBCalcPts[Custom],MATCH(TableRBVORP[[#This Row],[RK]],TableRBCalcPts[RK],0)),"")</f>
        <v>228.04531439642474</v>
      </c>
      <c r="M9" s="122">
        <f>IFERROR((TableRBVORP[[#This Row],[FPS]]-INDEX(TableRBVORP[FPS],MATCH(RBVORPCalc,TableRBVORP[RK],0)))/INDEX(TableRBVORP[FPS],MATCH(RBVORPCalc,TableRBVORP[RK],0)),"")</f>
        <v>0.86215813496029758</v>
      </c>
      <c r="O9">
        <v>8</v>
      </c>
      <c r="P9" s="120" t="str">
        <f>IFERROR(INDEX(TableWRCalcPts[PLAYER],MATCH(TableWRVORP[[#This Row],[RK]],TableWRCalcPts[RK],0)),"")</f>
        <v>CeeDee Lamb</v>
      </c>
      <c r="Q9" s="120" t="str">
        <f>IFERROR(INDEX(TableWRCalcPts[TM],MATCH(TableWRVORP[[#This Row],[RK]],TableWRCalcPts[RK],0)),"")</f>
        <v>DAL</v>
      </c>
      <c r="R9" s="120">
        <f>IFERROR(INDEX(TableWRCalcPts[BYE],MATCH(TableWRVORP[[#This Row],[RK]],TableWRCalcPts[RK],0)),"")</f>
        <v>7</v>
      </c>
      <c r="S9" s="121">
        <f>IFERROR(INDEX(TableWRCalcPts[Custom],MATCH(TableWRVORP[[#This Row],[RK]],TableWRCalcPts[RK],0)),"")</f>
        <v>217.43365166733861</v>
      </c>
      <c r="T9" s="122">
        <f>IFERROR((TableWRVORP[[#This Row],[FPS]]-INDEX(TableWRVORP[FPS],MATCH(WRVORPCalc,TableWRVORP[RK],0)))/INDEX(TableWRVORP[FPS],MATCH(WRVORPCalc,TableWRVORP[RK],0)),"")</f>
        <v>0.66881696430543824</v>
      </c>
      <c r="V9">
        <v>8</v>
      </c>
      <c r="W9" s="120" t="str">
        <f>IFERROR(INDEX(TableTECalcPts[PLAYER],MATCH(TableTEVORP[[#This Row],[RK]],TableTECalcPts[RK],0)),"")</f>
        <v>Tyler Higbee</v>
      </c>
      <c r="X9" s="120" t="str">
        <f>IFERROR(INDEX(TableTECalcPts[TM],MATCH(TableTEVORP[[#This Row],[RK]],TableTECalcPts[RK],0)),"")</f>
        <v>LAR</v>
      </c>
      <c r="Y9" s="120">
        <f>IFERROR(INDEX(TableTECalcPts[BYE],MATCH(TableTEVORP[[#This Row],[RK]],TableTECalcPts[RK],0)),"")</f>
        <v>10</v>
      </c>
      <c r="Z9" s="121">
        <f>IFERROR(INDEX(TableTECalcPts[Custom],MATCH(TableTEVORP[[#This Row],[RK]],TableTECalcPts[RK],0)),"")</f>
        <v>138.39001077242881</v>
      </c>
      <c r="AA9" s="122">
        <f>IFERROR((TableTEVORP[[#This Row],[FPS]]-INDEX(TableTEVORP[FPS],MATCH(TEVORPCalc,TableTEVORP[RK],0)))/INDEX(TableTEVORP[FPS],MATCH(TEVORPCalc,TableTEVORP[RK],0)),"")</f>
        <v>0.16460315419768096</v>
      </c>
      <c r="AF9" t="s">
        <v>9</v>
      </c>
      <c r="AG9">
        <v>8</v>
      </c>
      <c r="AH9" s="86">
        <f>RANK(TableOverallMaster[[#This Row],[VORP]],TableOverallMaster[VORP])+COUNTIF($AM$2:AM9,AM9)-1</f>
        <v>89</v>
      </c>
      <c r="AI9" s="123" t="str">
        <f>IFERROR(INDEX(TableQBVORP[QUARTERBACK],MATCH(TableOverallMaster[[#This Row],[RK]],TableQBVORP[RK],0)),"")</f>
        <v>Justin Herbert</v>
      </c>
      <c r="AJ9" s="123" t="str">
        <f t="shared" si="0"/>
        <v>QB8</v>
      </c>
      <c r="AK9" s="123">
        <f>IFERROR(INDEX(TableQBVORP[BYE],MATCH(TableOverallMaster[[#This Row],[RK]],TableQBVORP[RK],0)),"")</f>
        <v>5</v>
      </c>
      <c r="AL9" s="124">
        <f>IFERROR(INDEX(TableQBVORP[FPS],MATCH(TableOverallMaster[[#This Row],[RK]],TableQBVORP[RK],0)),"")</f>
        <v>340.26559345336074</v>
      </c>
      <c r="AM9" s="125">
        <f>IFERROR(INDEX(TableQBVORP[VORP],MATCH(TableOverallMaster[[#This Row],[RK]],TableQBVORP[RK],0)),"")</f>
        <v>0.20663908485422017</v>
      </c>
      <c r="AO9">
        <v>8</v>
      </c>
      <c r="AP9" s="126" t="str">
        <f>IFERROR(INDEX(TableOverallMaster[OVERALL PLAYER],MATCH(TableOverallRank[[#This Row],[RK]],TableOverallMaster[OVR RK],0)),"")</f>
        <v>Bijan Robinson</v>
      </c>
      <c r="AQ9" s="127" t="str">
        <f>IFERROR(INDEX(TableOverallMaster[POS RK],MATCH(TableOverallRank[[#This Row],[OVERALL PLAYER]],TableOverallMaster[OVERALL PLAYER],0)),"")</f>
        <v>RB7</v>
      </c>
      <c r="AR9" s="128">
        <f>IFERROR(INDEX(TableOverallMaster[BYE],MATCH(TableOverallRank[[#This Row],[OVERALL PLAYER]],TableOverallMaster[OVERALL PLAYER],0)),"")</f>
        <v>11</v>
      </c>
      <c r="AS9" s="127">
        <f>IFERROR(INDEX(TableOverallMaster[Custom],MATCH(TableOverallRank[[#This Row],[OVERALL PLAYER]],TableOverallMaster[OVERALL PLAYER],0)),"")</f>
        <v>254.16479553306854</v>
      </c>
      <c r="AT9" s="129">
        <f>IFERROR(INDEX(TableOverallMaster[VORP],MATCH(TableOverallRank[[#This Row],[OVERALL PLAYER]],TableOverallMaster[OVERALL PLAYER],0)),"")</f>
        <v>1.0754429569189365</v>
      </c>
      <c r="AV9">
        <v>8</v>
      </c>
      <c r="AW9" s="130" t="str">
        <f>IFERROR(INDEX(TableWRTECalcPts[PLAYER],MATCH(TableWRTERank[[#This Row],[RK]],TableWRTECalcPts[RK],0)),"")</f>
        <v>Travis Kelce</v>
      </c>
      <c r="AX9" s="130" t="str">
        <f>IFERROR(INDEX(TableWRTECalcPts[POS RK],MATCH(TableWRTERank[[#This Row],[WR and TE COMBINED]],TableWRTECalcPts[PLAYER],0)),"")</f>
        <v>TE1</v>
      </c>
      <c r="AY9" s="130">
        <f>IFERROR(INDEX(TableWRTECalcPts[BYE],MATCH(TableWRTERank[[#This Row],[RK]],TableWRTECalcPts[RK],0)),"")</f>
        <v>10</v>
      </c>
      <c r="AZ9" s="131">
        <f>IFERROR(INDEX(TableWRTECalcPts[Custom],MATCH(TableWRTERank[[#This Row],[RK]],TableWRTECalcPts[RK],0)),"")</f>
        <v>224.5527577004236</v>
      </c>
      <c r="BA9" s="188">
        <f>IFERROR((TableWRTERank[[#This Row],[FPS]]-INDEX(TableWRTERank[FPS],MATCH(WRTEVORPCalc,TableWRTERank[RK],0)))/INDEX(TableWRTERank[FPS],MATCH(WRTEVORPCalc,TableWRTERank[RK],0)),"")</f>
        <v>0.62260813802292758</v>
      </c>
      <c r="BC9" t="s">
        <v>257</v>
      </c>
      <c r="BD9">
        <v>8</v>
      </c>
      <c r="BE9" s="86">
        <f>RANK(TableWRTEMaster[[#This Row],[VORP]],TableWRTEMaster[VORP])+COUNTIF($BJ$2:BJ9,BJ9)-1</f>
        <v>9</v>
      </c>
      <c r="BF9" s="123" t="str">
        <f>IFERROR(INDEX(TableWRVORP[WIDE RECEIVER],MATCH(TableWRTEMaster[[#This Row],[RK]],TableWRVORP[RK],0)),"")</f>
        <v>CeeDee Lamb</v>
      </c>
      <c r="BG9" s="123" t="str">
        <f>_xlfn.CONCAT(TableWRTEMaster[[#This Row],[POS]],TableWRTEMaster[[#This Row],[RK]])</f>
        <v>WR8</v>
      </c>
      <c r="BH9" s="123">
        <f>IFERROR(INDEX(TableWRVORP[BYE],MATCH(TableWRTEMaster[[#This Row],[RK]],TableWRVORP[RK],0)),"")</f>
        <v>7</v>
      </c>
      <c r="BI9" s="124">
        <f>IFERROR(INDEX(TableWRVORP[FPS],MATCH(TableWRTEMaster[[#This Row],[RK]],TableWRVORP[RK],0)),"")</f>
        <v>217.43365166733861</v>
      </c>
      <c r="BJ9" s="125">
        <f>IFERROR(INDEX(TableWRVORP[VORP],MATCH(TableWRTEMaster[[#This Row],[RK]],TableWRVORP[RK],0)),"")</f>
        <v>0.66881696430543824</v>
      </c>
    </row>
    <row r="10" spans="1:66" x14ac:dyDescent="0.2">
      <c r="A10">
        <v>9</v>
      </c>
      <c r="B10" s="120" t="str">
        <f>IFERROR(INDEX(TableQBCalcPts[PLAYER],MATCH(TableQBVORP[[#This Row],[RK]],TableQBCalcPts[RK],0)),"")</f>
        <v>Deshaun Watson</v>
      </c>
      <c r="C10" s="120" t="str">
        <f>IFERROR(INDEX(TableQBCalcPts[TM],MATCH(TableQBVORP[[#This Row],[RK]],TableQBCalcPts[RK],0)),"")</f>
        <v>CLE</v>
      </c>
      <c r="D10" s="120">
        <f>IFERROR(INDEX(TableQBCalcPts[BYE],MATCH(TableQBVORP[[#This Row],[RK]],TableQBCalcPts[RK],0)),"")</f>
        <v>5</v>
      </c>
      <c r="E10" s="121">
        <f>IFERROR(INDEX(TableQBCalcPts[Custom],MATCH(TableQBVORP[[#This Row],[RK]],TableQBCalcPts[RK],0)),"")</f>
        <v>335.72963468077643</v>
      </c>
      <c r="F10" s="122">
        <f>(IFERROR((TableQBVORP[[#This Row],[FPS]]-INDEX(TableQBVORP[FPS],MATCH(QBVORPCalc,TableQBVORP[RK],0)))/INDEX(TableQBVORP[FPS],MATCH(QBVORPCalc,TableQBVORP[RK],0)),""))+(TableRBVORP[[#This Row],[VORP]]*0.45)</f>
        <v>0.16493528888401612</v>
      </c>
      <c r="H10">
        <v>9</v>
      </c>
      <c r="I10" s="120" t="str">
        <f>IFERROR(INDEX(TableRBCalcPts[PLAYER],MATCH(TableRBVORP[[#This Row],[RK]],TableRBCalcPts[RK],0)),"")</f>
        <v>Rhamondre Stevenson</v>
      </c>
      <c r="J10" s="120" t="str">
        <f>IFERROR(INDEX(TableRBCalcPts[TM],MATCH(TableRBVORP[[#This Row],[RK]],TableRBCalcPts[RK],0)),"")</f>
        <v>NE</v>
      </c>
      <c r="K10" s="120">
        <f>IFERROR(INDEX(TableRBCalcPts[BYE],MATCH(TableRBVORP[[#This Row],[RK]],TableRBCalcPts[RK],0)),"")</f>
        <v>11</v>
      </c>
      <c r="L10" s="121">
        <f>IFERROR(INDEX(TableRBCalcPts[Custom],MATCH(TableRBVORP[[#This Row],[RK]],TableRBCalcPts[RK],0)),"")</f>
        <v>219.66601335836557</v>
      </c>
      <c r="M10" s="122">
        <f>IFERROR((TableRBVORP[[#This Row],[FPS]]-INDEX(TableRBVORP[FPS],MATCH(RBVORPCalc,TableRBVORP[RK],0)))/INDEX(TableRBVORP[FPS],MATCH(RBVORPCalc,TableRBVORP[RK],0)),"")</f>
        <v>0.7937349637383776</v>
      </c>
      <c r="O10">
        <v>9</v>
      </c>
      <c r="P10" s="120" t="str">
        <f>IFERROR(INDEX(TableWRCalcPts[PLAYER],MATCH(TableWRVORP[[#This Row],[RK]],TableWRCalcPts[RK],0)),"")</f>
        <v>Jaylen Waddle</v>
      </c>
      <c r="Q10" s="120" t="str">
        <f>IFERROR(INDEX(TableWRCalcPts[TM],MATCH(TableWRVORP[[#This Row],[RK]],TableWRCalcPts[RK],0)),"")</f>
        <v>MIA</v>
      </c>
      <c r="R10" s="120">
        <f>IFERROR(INDEX(TableWRCalcPts[BYE],MATCH(TableWRVORP[[#This Row],[RK]],TableWRCalcPts[RK],0)),"")</f>
        <v>10</v>
      </c>
      <c r="S10" s="121">
        <f>IFERROR(INDEX(TableWRCalcPts[Custom],MATCH(TableWRVORP[[#This Row],[RK]],TableWRCalcPts[RK],0)),"")</f>
        <v>213.97580424242801</v>
      </c>
      <c r="T10" s="122">
        <f>IFERROR((TableWRVORP[[#This Row],[FPS]]-INDEX(TableWRVORP[FPS],MATCH(WRVORPCalc,TableWRVORP[RK],0)))/INDEX(TableWRVORP[FPS],MATCH(WRVORPCalc,TableWRVORP[RK],0)),"")</f>
        <v>0.64227776764282019</v>
      </c>
      <c r="V10">
        <v>9</v>
      </c>
      <c r="W10" s="120" t="str">
        <f>IFERROR(INDEX(TableTECalcPts[PLAYER],MATCH(TableTEVORP[[#This Row],[RK]],TableTECalcPts[RK],0)),"")</f>
        <v>David Njoku</v>
      </c>
      <c r="X10" s="120" t="str">
        <f>IFERROR(INDEX(TableTECalcPts[TM],MATCH(TableTEVORP[[#This Row],[RK]],TableTECalcPts[RK],0)),"")</f>
        <v>CLE</v>
      </c>
      <c r="Y10" s="120">
        <f>IFERROR(INDEX(TableTECalcPts[BYE],MATCH(TableTEVORP[[#This Row],[RK]],TableTECalcPts[RK],0)),"")</f>
        <v>5</v>
      </c>
      <c r="Z10" s="121">
        <f>IFERROR(INDEX(TableTECalcPts[Custom],MATCH(TableTEVORP[[#This Row],[RK]],TableTECalcPts[RK],0)),"")</f>
        <v>132.8430292226715</v>
      </c>
      <c r="AA10" s="122">
        <f>IFERROR((TableTEVORP[[#This Row],[FPS]]-INDEX(TableTEVORP[FPS],MATCH(TEVORPCalc,TableTEVORP[RK],0)))/INDEX(TableTEVORP[FPS],MATCH(TEVORPCalc,TableTEVORP[RK],0)),"")</f>
        <v>0.11792325170279136</v>
      </c>
      <c r="AD10">
        <f>IF(AND(TEAMS&gt;0,TEAMS&lt;8),8,IF(AND(TEAMS&gt;7,TEAMS&lt;12),6,IF(AND(TEAMS&gt;11,TEAMS&lt;14),2,2)))</f>
        <v>2</v>
      </c>
      <c r="AF10" t="s">
        <v>9</v>
      </c>
      <c r="AG10">
        <v>9</v>
      </c>
      <c r="AH10" s="86">
        <f>RANK(TableOverallMaster[[#This Row],[VORP]],TableOverallMaster[VORP])+COUNTIF($AM$2:AM10,AM10)-1</f>
        <v>94</v>
      </c>
      <c r="AI10" s="123" t="str">
        <f>IFERROR(INDEX(TableQBVORP[QUARTERBACK],MATCH(TableOverallMaster[[#This Row],[RK]],TableQBVORP[RK],0)),"")</f>
        <v>Deshaun Watson</v>
      </c>
      <c r="AJ10" s="123" t="str">
        <f t="shared" si="0"/>
        <v>QB9</v>
      </c>
      <c r="AK10" s="123">
        <f>IFERROR(INDEX(TableQBVORP[BYE],MATCH(TableOverallMaster[[#This Row],[RK]],TableQBVORP[RK],0)),"")</f>
        <v>5</v>
      </c>
      <c r="AL10" s="124">
        <f>IFERROR(INDEX(TableQBVORP[FPS],MATCH(TableOverallMaster[[#This Row],[RK]],TableQBVORP[RK],0)),"")</f>
        <v>335.72963468077643</v>
      </c>
      <c r="AM10" s="125">
        <f>IFERROR(INDEX(TableQBVORP[VORP],MATCH(TableOverallMaster[[#This Row],[RK]],TableQBVORP[RK],0)),"")</f>
        <v>0.16493528888401612</v>
      </c>
      <c r="AO10">
        <v>9</v>
      </c>
      <c r="AP10" s="126" t="str">
        <f>IFERROR(INDEX(TableOverallMaster[OVERALL PLAYER],MATCH(TableOverallRank[[#This Row],[RK]],TableOverallMaster[OVR RK],0)),"")</f>
        <v>Tyreek Hill</v>
      </c>
      <c r="AQ10" s="127" t="str">
        <f>IFERROR(INDEX(TableOverallMaster[POS RK],MATCH(TableOverallRank[[#This Row],[OVERALL PLAYER]],TableOverallMaster[OVERALL PLAYER],0)),"")</f>
        <v>WR2</v>
      </c>
      <c r="AR10" s="128">
        <f>IFERROR(INDEX(TableOverallMaster[BYE],MATCH(TableOverallRank[[#This Row],[OVERALL PLAYER]],TableOverallMaster[OVERALL PLAYER],0)),"")</f>
        <v>10</v>
      </c>
      <c r="AS10" s="127">
        <f>IFERROR(INDEX(TableOverallMaster[Custom],MATCH(TableOverallRank[[#This Row],[OVERALL PLAYER]],TableOverallMaster[OVERALL PLAYER],0)),"")</f>
        <v>265.79784894083116</v>
      </c>
      <c r="AT10" s="129">
        <f>IFERROR(INDEX(TableOverallMaster[VORP],MATCH(TableOverallRank[[#This Row],[OVERALL PLAYER]],TableOverallMaster[OVERALL PLAYER],0)),"")</f>
        <v>1.0400152229747197</v>
      </c>
      <c r="AV10">
        <v>9</v>
      </c>
      <c r="AW10" s="130" t="str">
        <f>IFERROR(INDEX(TableWRTECalcPts[PLAYER],MATCH(TableWRTERank[[#This Row],[RK]],TableWRTECalcPts[RK],0)),"")</f>
        <v>CeeDee Lamb</v>
      </c>
      <c r="AX10" s="130" t="str">
        <f>IFERROR(INDEX(TableWRTECalcPts[POS RK],MATCH(TableWRTERank[[#This Row],[WR and TE COMBINED]],TableWRTECalcPts[PLAYER],0)),"")</f>
        <v>WR8</v>
      </c>
      <c r="AY10" s="130">
        <f>IFERROR(INDEX(TableWRTECalcPts[BYE],MATCH(TableWRTERank[[#This Row],[RK]],TableWRTECalcPts[RK],0)),"")</f>
        <v>7</v>
      </c>
      <c r="AZ10" s="131">
        <f>IFERROR(INDEX(TableWRTECalcPts[Custom],MATCH(TableWRTERank[[#This Row],[RK]],TableWRTECalcPts[RK],0)),"")</f>
        <v>217.43365166733861</v>
      </c>
      <c r="BA10" s="188">
        <f>IFERROR((TableWRTERank[[#This Row],[FPS]]-INDEX(TableWRTERank[FPS],MATCH(WRTEVORPCalc,TableWRTERank[RK],0)))/INDEX(TableWRTERank[FPS],MATCH(WRTEVORPCalc,TableWRTERank[RK],0)),"")</f>
        <v>0.57116579768817766</v>
      </c>
      <c r="BC10" t="s">
        <v>257</v>
      </c>
      <c r="BD10">
        <v>9</v>
      </c>
      <c r="BE10" s="86">
        <f>RANK(TableWRTEMaster[[#This Row],[VORP]],TableWRTEMaster[VORP])+COUNTIF($BJ$2:BJ10,BJ10)-1</f>
        <v>10</v>
      </c>
      <c r="BF10" s="123" t="str">
        <f>IFERROR(INDEX(TableWRVORP[WIDE RECEIVER],MATCH(TableWRTEMaster[[#This Row],[RK]],TableWRVORP[RK],0)),"")</f>
        <v>Jaylen Waddle</v>
      </c>
      <c r="BG10" s="123" t="str">
        <f>_xlfn.CONCAT(TableWRTEMaster[[#This Row],[POS]],TableWRTEMaster[[#This Row],[RK]])</f>
        <v>WR9</v>
      </c>
      <c r="BH10" s="123">
        <f>IFERROR(INDEX(TableWRVORP[BYE],MATCH(TableWRTEMaster[[#This Row],[RK]],TableWRVORP[RK],0)),"")</f>
        <v>10</v>
      </c>
      <c r="BI10" s="124">
        <f>IFERROR(INDEX(TableWRVORP[FPS],MATCH(TableWRTEMaster[[#This Row],[RK]],TableWRVORP[RK],0)),"")</f>
        <v>213.97580424242801</v>
      </c>
      <c r="BJ10" s="125">
        <f>IFERROR(INDEX(TableWRVORP[VORP],MATCH(TableWRTEMaster[[#This Row],[RK]],TableWRVORP[RK],0)),"")</f>
        <v>0.64227776764282019</v>
      </c>
    </row>
    <row r="11" spans="1:66" x14ac:dyDescent="0.2">
      <c r="A11">
        <v>10</v>
      </c>
      <c r="B11" s="120" t="str">
        <f>IFERROR(INDEX(TableQBCalcPts[PLAYER],MATCH(TableQBVORP[[#This Row],[RK]],TableQBCalcPts[RK],0)),"")</f>
        <v>Anthony Richardson</v>
      </c>
      <c r="C11" s="120" t="str">
        <f>IFERROR(INDEX(TableQBCalcPts[TM],MATCH(TableQBVORP[[#This Row],[RK]],TableQBCalcPts[RK],0)),"")</f>
        <v>IND</v>
      </c>
      <c r="D11" s="120">
        <f>IFERROR(INDEX(TableQBCalcPts[BYE],MATCH(TableQBVORP[[#This Row],[RK]],TableQBCalcPts[RK],0)),"")</f>
        <v>11</v>
      </c>
      <c r="E11" s="121">
        <f>IFERROR(INDEX(TableQBCalcPts[Custom],MATCH(TableQBVORP[[#This Row],[RK]],TableQBCalcPts[RK],0)),"")</f>
        <v>317.19789503289041</v>
      </c>
      <c r="F11" s="122">
        <f>(IFERROR((TableQBVORP[[#This Row],[FPS]]-INDEX(TableQBVORP[FPS],MATCH(QBVORPCalc,TableQBVORP[RK],0)))/INDEX(TableQBVORP[FPS],MATCH(QBVORPCalc,TableQBVORP[RK],0)),""))+(TableRBVORP[[#This Row],[VORP]]*0.45)</f>
        <v>0.11715373834302692</v>
      </c>
      <c r="H11">
        <v>10</v>
      </c>
      <c r="I11" s="120" t="str">
        <f>IFERROR(INDEX(TableRBCalcPts[PLAYER],MATCH(TableRBVORP[[#This Row],[RK]],TableRBCalcPts[RK],0)),"")</f>
        <v>Joe Mixon</v>
      </c>
      <c r="J11" s="120" t="str">
        <f>IFERROR(INDEX(TableRBCalcPts[TM],MATCH(TableRBVORP[[#This Row],[RK]],TableRBCalcPts[RK],0)),"")</f>
        <v>CIN</v>
      </c>
      <c r="K11" s="120">
        <f>IFERROR(INDEX(TableRBCalcPts[BYE],MATCH(TableRBVORP[[#This Row],[RK]],TableRBCalcPts[RK],0)),"")</f>
        <v>7</v>
      </c>
      <c r="L11" s="121">
        <f>IFERROR(INDEX(TableRBCalcPts[Custom],MATCH(TableRBVORP[[#This Row],[RK]],TableRBCalcPts[RK],0)),"")</f>
        <v>218.79658404116833</v>
      </c>
      <c r="M11" s="122">
        <f>IFERROR((TableRBVORP[[#This Row],[FPS]]-INDEX(TableRBVORP[FPS],MATCH(RBVORPCalc,TableRBVORP[RK],0)))/INDEX(TableRBVORP[FPS],MATCH(RBVORPCalc,TableRBVORP[RK],0)),"")</f>
        <v>0.78663543231377042</v>
      </c>
      <c r="O11">
        <v>10</v>
      </c>
      <c r="P11" s="120" t="str">
        <f>IFERROR(INDEX(TableWRCalcPts[PLAYER],MATCH(TableWRVORP[[#This Row],[RK]],TableWRCalcPts[RK],0)),"")</f>
        <v>Garrett Wilson</v>
      </c>
      <c r="Q11" s="120" t="str">
        <f>IFERROR(INDEX(TableWRCalcPts[TM],MATCH(TableWRVORP[[#This Row],[RK]],TableWRCalcPts[RK],0)),"")</f>
        <v>NYJ</v>
      </c>
      <c r="R11" s="120">
        <f>IFERROR(INDEX(TableWRCalcPts[BYE],MATCH(TableWRVORP[[#This Row],[RK]],TableWRCalcPts[RK],0)),"")</f>
        <v>7</v>
      </c>
      <c r="S11" s="121">
        <f>IFERROR(INDEX(TableWRCalcPts[Custom],MATCH(TableWRVORP[[#This Row],[RK]],TableWRCalcPts[RK],0)),"")</f>
        <v>207.71072219166814</v>
      </c>
      <c r="T11" s="122">
        <f>IFERROR((TableWRVORP[[#This Row],[FPS]]-INDEX(TableWRVORP[FPS],MATCH(WRVORPCalc,TableWRVORP[RK],0)))/INDEX(TableWRVORP[FPS],MATCH(WRVORPCalc,TableWRVORP[RK],0)),"")</f>
        <v>0.59419286850738384</v>
      </c>
      <c r="V11">
        <v>10</v>
      </c>
      <c r="W11" s="120" t="str">
        <f>IFERROR(INDEX(TableTECalcPts[PLAYER],MATCH(TableTEVORP[[#This Row],[RK]],TableTECalcPts[RK],0)),"")</f>
        <v>Evan Engram</v>
      </c>
      <c r="X11" s="120" t="str">
        <f>IFERROR(INDEX(TableTECalcPts[TM],MATCH(TableTEVORP[[#This Row],[RK]],TableTECalcPts[RK],0)),"")</f>
        <v>JAX</v>
      </c>
      <c r="Y11" s="120">
        <f>IFERROR(INDEX(TableTECalcPts[BYE],MATCH(TableTEVORP[[#This Row],[RK]],TableTECalcPts[RK],0)),"")</f>
        <v>9</v>
      </c>
      <c r="Z11" s="121">
        <f>IFERROR(INDEX(TableTECalcPts[Custom],MATCH(TableTEVORP[[#This Row],[RK]],TableTECalcPts[RK],0)),"")</f>
        <v>132.11341947692489</v>
      </c>
      <c r="AA11" s="122">
        <f>IFERROR((TableTEVORP[[#This Row],[FPS]]-INDEX(TableTEVORP[FPS],MATCH(TEVORPCalc,TableTEVORP[RK],0)))/INDEX(TableTEVORP[FPS],MATCH(TEVORPCalc,TableTEVORP[RK],0)),"")</f>
        <v>0.11178331568799367</v>
      </c>
      <c r="AF11" t="s">
        <v>9</v>
      </c>
      <c r="AG11">
        <v>10</v>
      </c>
      <c r="AH11" s="86">
        <f>RANK(TableOverallMaster[[#This Row],[VORP]],TableOverallMaster[VORP])+COUNTIF($AM$2:AM11,AM11)-1</f>
        <v>105</v>
      </c>
      <c r="AI11" s="123" t="str">
        <f>IFERROR(INDEX(TableQBVORP[QUARTERBACK],MATCH(TableOverallMaster[[#This Row],[RK]],TableQBVORP[RK],0)),"")</f>
        <v>Anthony Richardson</v>
      </c>
      <c r="AJ11" s="123" t="str">
        <f t="shared" si="0"/>
        <v>QB10</v>
      </c>
      <c r="AK11" s="123">
        <f>IFERROR(INDEX(TableQBVORP[BYE],MATCH(TableOverallMaster[[#This Row],[RK]],TableQBVORP[RK],0)),"")</f>
        <v>11</v>
      </c>
      <c r="AL11" s="124">
        <f>IFERROR(INDEX(TableQBVORP[FPS],MATCH(TableOverallMaster[[#This Row],[RK]],TableQBVORP[RK],0)),"")</f>
        <v>317.19789503289041</v>
      </c>
      <c r="AM11" s="125">
        <f>IFERROR(INDEX(TableQBVORP[VORP],MATCH(TableOverallMaster[[#This Row],[RK]],TableQBVORP[RK],0)),"")</f>
        <v>0.11715373834302692</v>
      </c>
      <c r="AO11">
        <v>10</v>
      </c>
      <c r="AP11" s="126" t="str">
        <f>IFERROR(INDEX(TableOverallMaster[OVERALL PLAYER],MATCH(TableOverallRank[[#This Row],[RK]],TableOverallMaster[OVR RK],0)),"")</f>
        <v>Cooper Kupp</v>
      </c>
      <c r="AQ11" s="127" t="str">
        <f>IFERROR(INDEX(TableOverallMaster[POS RK],MATCH(TableOverallRank[[#This Row],[OVERALL PLAYER]],TableOverallMaster[OVERALL PLAYER],0)),"")</f>
        <v>WR3</v>
      </c>
      <c r="AR11" s="128">
        <f>IFERROR(INDEX(TableOverallMaster[BYE],MATCH(TableOverallRank[[#This Row],[OVERALL PLAYER]],TableOverallMaster[OVERALL PLAYER],0)),"")</f>
        <v>10</v>
      </c>
      <c r="AS11" s="127">
        <f>IFERROR(INDEX(TableOverallMaster[Custom],MATCH(TableOverallRank[[#This Row],[OVERALL PLAYER]],TableOverallMaster[OVERALL PLAYER],0)),"")</f>
        <v>258.64512105109765</v>
      </c>
      <c r="AT11" s="129">
        <f>IFERROR(INDEX(TableOverallMaster[VORP],MATCH(TableOverallRank[[#This Row],[OVERALL PLAYER]],TableOverallMaster[OVERALL PLAYER],0)),"")</f>
        <v>0.98511758614658851</v>
      </c>
      <c r="AV11">
        <v>10</v>
      </c>
      <c r="AW11" s="130" t="str">
        <f>IFERROR(INDEX(TableWRTECalcPts[PLAYER],MATCH(TableWRTERank[[#This Row],[RK]],TableWRTECalcPts[RK],0)),"")</f>
        <v>Jaylen Waddle</v>
      </c>
      <c r="AX11" s="130" t="str">
        <f>IFERROR(INDEX(TableWRTECalcPts[POS RK],MATCH(TableWRTERank[[#This Row],[WR and TE COMBINED]],TableWRTECalcPts[PLAYER],0)),"")</f>
        <v>WR9</v>
      </c>
      <c r="AY11" s="130">
        <f>IFERROR(INDEX(TableWRTECalcPts[BYE],MATCH(TableWRTERank[[#This Row],[RK]],TableWRTECalcPts[RK],0)),"")</f>
        <v>10</v>
      </c>
      <c r="AZ11" s="131">
        <f>IFERROR(INDEX(TableWRTECalcPts[Custom],MATCH(TableWRTERank[[#This Row],[RK]],TableWRTECalcPts[RK],0)),"")</f>
        <v>213.97580424242801</v>
      </c>
      <c r="BA11" s="188">
        <f>IFERROR((TableWRTERank[[#This Row],[FPS]]-INDEX(TableWRTERank[FPS],MATCH(WRTEVORPCalc,TableWRTERank[RK],0)))/INDEX(TableWRTERank[FPS],MATCH(WRTEVORPCalc,TableWRTERank[RK],0)),"")</f>
        <v>0.54617954755631848</v>
      </c>
      <c r="BC11" t="s">
        <v>257</v>
      </c>
      <c r="BD11">
        <v>10</v>
      </c>
      <c r="BE11" s="86">
        <f>RANK(TableWRTEMaster[[#This Row],[VORP]],TableWRTEMaster[VORP])+COUNTIF($BJ$2:BJ11,BJ11)-1</f>
        <v>11</v>
      </c>
      <c r="BF11" s="123" t="str">
        <f>IFERROR(INDEX(TableWRVORP[WIDE RECEIVER],MATCH(TableWRTEMaster[[#This Row],[RK]],TableWRVORP[RK],0)),"")</f>
        <v>Garrett Wilson</v>
      </c>
      <c r="BG11" s="123" t="str">
        <f>_xlfn.CONCAT(TableWRTEMaster[[#This Row],[POS]],TableWRTEMaster[[#This Row],[RK]])</f>
        <v>WR10</v>
      </c>
      <c r="BH11" s="123">
        <f>IFERROR(INDEX(TableWRVORP[BYE],MATCH(TableWRTEMaster[[#This Row],[RK]],TableWRVORP[RK],0)),"")</f>
        <v>7</v>
      </c>
      <c r="BI11" s="124">
        <f>IFERROR(INDEX(TableWRVORP[FPS],MATCH(TableWRTEMaster[[#This Row],[RK]],TableWRVORP[RK],0)),"")</f>
        <v>207.71072219166814</v>
      </c>
      <c r="BJ11" s="125">
        <f>IFERROR(INDEX(TableWRVORP[VORP],MATCH(TableWRTEMaster[[#This Row],[RK]],TableWRVORP[RK],0)),"")</f>
        <v>0.59419286850738384</v>
      </c>
    </row>
    <row r="12" spans="1:66" x14ac:dyDescent="0.2">
      <c r="A12">
        <v>11</v>
      </c>
      <c r="B12" s="120" t="str">
        <f>IFERROR(INDEX(TableQBCalcPts[PLAYER],MATCH(TableQBVORP[[#This Row],[RK]],TableQBCalcPts[RK],0)),"")</f>
        <v>Tua Tagovailoa</v>
      </c>
      <c r="C12" s="120" t="str">
        <f>IFERROR(INDEX(TableQBCalcPts[TM],MATCH(TableQBVORP[[#This Row],[RK]],TableQBCalcPts[RK],0)),"")</f>
        <v>MIA</v>
      </c>
      <c r="D12" s="120">
        <f>IFERROR(INDEX(TableQBCalcPts[BYE],MATCH(TableQBVORP[[#This Row],[RK]],TableQBCalcPts[RK],0)),"")</f>
        <v>10</v>
      </c>
      <c r="E12" s="121">
        <f>IFERROR(INDEX(TableQBCalcPts[Custom],MATCH(TableQBVORP[[#This Row],[RK]],TableQBCalcPts[RK],0)),"")</f>
        <v>314.106028120644</v>
      </c>
      <c r="F12" s="122">
        <f>(IFERROR((TableQBVORP[[#This Row],[FPS]]-INDEX(TableQBVORP[FPS],MATCH(QBVORPCalc,TableQBVORP[RK],0)))/INDEX(TableQBVORP[FPS],MATCH(QBVORPCalc,TableQBVORP[RK],0)),""))+(TableRBVORP[[#This Row],[VORP]]*0.45)</f>
        <v>0.10840758363293973</v>
      </c>
      <c r="H12">
        <v>11</v>
      </c>
      <c r="I12" s="120" t="str">
        <f>IFERROR(INDEX(TableRBCalcPts[PLAYER],MATCH(TableRBVORP[[#This Row],[RK]],TableRBCalcPts[RK],0)),"")</f>
        <v>Jahmyr Gibbs</v>
      </c>
      <c r="J12" s="120" t="str">
        <f>IFERROR(INDEX(TableRBCalcPts[TM],MATCH(TableRBVORP[[#This Row],[RK]],TableRBCalcPts[RK],0)),"")</f>
        <v>DET</v>
      </c>
      <c r="K12" s="120">
        <f>IFERROR(INDEX(TableRBCalcPts[BYE],MATCH(TableRBVORP[[#This Row],[RK]],TableRBCalcPts[RK],0)),"")</f>
        <v>9</v>
      </c>
      <c r="L12" s="121">
        <f>IFERROR(INDEX(TableRBCalcPts[Custom],MATCH(TableRBVORP[[#This Row],[RK]],TableRBCalcPts[RK],0)),"")</f>
        <v>218.44083642233855</v>
      </c>
      <c r="M12" s="122">
        <f>IFERROR((TableRBVORP[[#This Row],[FPS]]-INDEX(TableRBVORP[FPS],MATCH(RBVORPCalc,TableRBVORP[RK],0)))/INDEX(TableRBVORP[FPS],MATCH(RBVORPCalc,TableRBVORP[RK],0)),"")</f>
        <v>0.78373049070534506</v>
      </c>
      <c r="O12">
        <v>11</v>
      </c>
      <c r="P12" s="120" t="str">
        <f>IFERROR(INDEX(TableWRCalcPts[PLAYER],MATCH(TableWRVORP[[#This Row],[RK]],TableWRCalcPts[RK],0)),"")</f>
        <v>A.J. Brown</v>
      </c>
      <c r="Q12" s="120" t="str">
        <f>IFERROR(INDEX(TableWRCalcPts[TM],MATCH(TableWRVORP[[#This Row],[RK]],TableWRCalcPts[RK],0)),"")</f>
        <v>PHI</v>
      </c>
      <c r="R12" s="120">
        <f>IFERROR(INDEX(TableWRCalcPts[BYE],MATCH(TableWRVORP[[#This Row],[RK]],TableWRCalcPts[RK],0)),"")</f>
        <v>10</v>
      </c>
      <c r="S12" s="121">
        <f>IFERROR(INDEX(TableWRCalcPts[Custom],MATCH(TableWRVORP[[#This Row],[RK]],TableWRCalcPts[RK],0)),"")</f>
        <v>206.51176008611552</v>
      </c>
      <c r="T12" s="122">
        <f>IFERROR((TableWRVORP[[#This Row],[FPS]]-INDEX(TableWRVORP[FPS],MATCH(WRVORPCalc,TableWRVORP[RK],0)))/INDEX(TableWRVORP[FPS],MATCH(WRVORPCalc,TableWRVORP[RK],0)),"")</f>
        <v>0.58499075887089225</v>
      </c>
      <c r="V12">
        <v>11</v>
      </c>
      <c r="W12" s="120" t="str">
        <f>IFERROR(INDEX(TableTECalcPts[PLAYER],MATCH(TableTEVORP[[#This Row],[RK]],TableTECalcPts[RK],0)),"")</f>
        <v>Pat Freiermuth</v>
      </c>
      <c r="X12" s="120" t="str">
        <f>IFERROR(INDEX(TableTECalcPts[TM],MATCH(TableTEVORP[[#This Row],[RK]],TableTECalcPts[RK],0)),"")</f>
        <v>PIT</v>
      </c>
      <c r="Y12" s="120">
        <f>IFERROR(INDEX(TableTECalcPts[BYE],MATCH(TableTEVORP[[#This Row],[RK]],TableTECalcPts[RK],0)),"")</f>
        <v>6</v>
      </c>
      <c r="Z12" s="121">
        <f>IFERROR(INDEX(TableTECalcPts[Custom],MATCH(TableTEVORP[[#This Row],[RK]],TableTECalcPts[RK],0)),"")</f>
        <v>121.31963431833421</v>
      </c>
      <c r="AA12" s="122">
        <f>IFERROR((TableTEVORP[[#This Row],[FPS]]-INDEX(TableTEVORP[FPS],MATCH(TEVORPCalc,TableTEVORP[RK],0)))/INDEX(TableTEVORP[FPS],MATCH(TEVORPCalc,TableTEVORP[RK],0)),"")</f>
        <v>2.094961915697776E-2</v>
      </c>
      <c r="AF12" t="s">
        <v>9</v>
      </c>
      <c r="AG12">
        <v>11</v>
      </c>
      <c r="AH12" s="86">
        <f>RANK(TableOverallMaster[[#This Row],[VORP]],TableOverallMaster[VORP])+COUNTIF($AM$2:AM12,AM12)-1</f>
        <v>109</v>
      </c>
      <c r="AI12" s="123" t="str">
        <f>IFERROR(INDEX(TableQBVORP[QUARTERBACK],MATCH(TableOverallMaster[[#This Row],[RK]],TableQBVORP[RK],0)),"")</f>
        <v>Tua Tagovailoa</v>
      </c>
      <c r="AJ12" s="123" t="str">
        <f t="shared" si="0"/>
        <v>QB11</v>
      </c>
      <c r="AK12" s="123">
        <f>IFERROR(INDEX(TableQBVORP[BYE],MATCH(TableOverallMaster[[#This Row],[RK]],TableQBVORP[RK],0)),"")</f>
        <v>10</v>
      </c>
      <c r="AL12" s="124">
        <f>IFERROR(INDEX(TableQBVORP[FPS],MATCH(TableOverallMaster[[#This Row],[RK]],TableQBVORP[RK],0)),"")</f>
        <v>314.106028120644</v>
      </c>
      <c r="AM12" s="125">
        <f>IFERROR(INDEX(TableQBVORP[VORP],MATCH(TableOverallMaster[[#This Row],[RK]],TableQBVORP[RK],0)),"")</f>
        <v>0.10840758363293973</v>
      </c>
      <c r="AO12">
        <v>11</v>
      </c>
      <c r="AP12" s="126" t="str">
        <f>IFERROR(INDEX(TableOverallMaster[OVERALL PLAYER],MATCH(TableOverallRank[[#This Row],[RK]],TableOverallMaster[OVR RK],0)),"")</f>
        <v>Davante Adams</v>
      </c>
      <c r="AQ12" s="127" t="str">
        <f>IFERROR(INDEX(TableOverallMaster[POS RK],MATCH(TableOverallRank[[#This Row],[OVERALL PLAYER]],TableOverallMaster[OVERALL PLAYER],0)),"")</f>
        <v>WR4</v>
      </c>
      <c r="AR12" s="128">
        <f>IFERROR(INDEX(TableOverallMaster[BYE],MATCH(TableOverallRank[[#This Row],[OVERALL PLAYER]],TableOverallMaster[OVERALL PLAYER],0)),"")</f>
        <v>13</v>
      </c>
      <c r="AS12" s="127">
        <f>IFERROR(INDEX(TableOverallMaster[Custom],MATCH(TableOverallRank[[#This Row],[OVERALL PLAYER]],TableOverallMaster[OVERALL PLAYER],0)),"")</f>
        <v>254.78207097985711</v>
      </c>
      <c r="AT12" s="129">
        <f>IFERROR(INDEX(TableOverallMaster[VORP],MATCH(TableOverallRank[[#This Row],[OVERALL PLAYER]],TableOverallMaster[OVERALL PLAYER],0)),"")</f>
        <v>0.95546843366530354</v>
      </c>
      <c r="AV12">
        <v>11</v>
      </c>
      <c r="AW12" s="130" t="str">
        <f>IFERROR(INDEX(TableWRTECalcPts[PLAYER],MATCH(TableWRTERank[[#This Row],[RK]],TableWRTECalcPts[RK],0)),"")</f>
        <v>Garrett Wilson</v>
      </c>
      <c r="AX12" s="130" t="str">
        <f>IFERROR(INDEX(TableWRTECalcPts[POS RK],MATCH(TableWRTERank[[#This Row],[WR and TE COMBINED]],TableWRTECalcPts[PLAYER],0)),"")</f>
        <v>WR10</v>
      </c>
      <c r="AY12" s="130">
        <f>IFERROR(INDEX(TableWRTECalcPts[BYE],MATCH(TableWRTERank[[#This Row],[RK]],TableWRTECalcPts[RK],0)),"")</f>
        <v>7</v>
      </c>
      <c r="AZ12" s="131">
        <f>IFERROR(INDEX(TableWRTECalcPts[Custom],MATCH(TableWRTERank[[#This Row],[RK]],TableWRTECalcPts[RK],0)),"")</f>
        <v>207.71072219166814</v>
      </c>
      <c r="BA12" s="188">
        <f>IFERROR((TableWRTERank[[#This Row],[FPS]]-INDEX(TableWRTERank[FPS],MATCH(WRTEVORPCalc,TableWRTERank[RK],0)))/INDEX(TableWRTERank[FPS],MATCH(WRTEVORPCalc,TableWRTERank[RK],0)),"")</f>
        <v>0.50090834614668567</v>
      </c>
      <c r="BC12" t="s">
        <v>257</v>
      </c>
      <c r="BD12">
        <v>11</v>
      </c>
      <c r="BE12" s="86">
        <f>RANK(TableWRTEMaster[[#This Row],[VORP]],TableWRTEMaster[VORP])+COUNTIF($BJ$2:BJ12,BJ12)-1</f>
        <v>12</v>
      </c>
      <c r="BF12" s="123" t="str">
        <f>IFERROR(INDEX(TableWRVORP[WIDE RECEIVER],MATCH(TableWRTEMaster[[#This Row],[RK]],TableWRVORP[RK],0)),"")</f>
        <v>A.J. Brown</v>
      </c>
      <c r="BG12" s="123" t="str">
        <f>_xlfn.CONCAT(TableWRTEMaster[[#This Row],[POS]],TableWRTEMaster[[#This Row],[RK]])</f>
        <v>WR11</v>
      </c>
      <c r="BH12" s="123">
        <f>IFERROR(INDEX(TableWRVORP[BYE],MATCH(TableWRTEMaster[[#This Row],[RK]],TableWRVORP[RK],0)),"")</f>
        <v>10</v>
      </c>
      <c r="BI12" s="124">
        <f>IFERROR(INDEX(TableWRVORP[FPS],MATCH(TableWRTEMaster[[#This Row],[RK]],TableWRVORP[RK],0)),"")</f>
        <v>206.51176008611552</v>
      </c>
      <c r="BJ12" s="125">
        <f>IFERROR(INDEX(TableWRVORP[VORP],MATCH(TableWRTEMaster[[#This Row],[RK]],TableWRVORP[RK],0)),"")</f>
        <v>0.58499075887089225</v>
      </c>
    </row>
    <row r="13" spans="1:66" x14ac:dyDescent="0.2">
      <c r="A13">
        <v>12</v>
      </c>
      <c r="B13" s="120" t="str">
        <f>IFERROR(INDEX(TableQBCalcPts[PLAYER],MATCH(TableQBVORP[[#This Row],[RK]],TableQBCalcPts[RK],0)),"")</f>
        <v>Daniel Jones</v>
      </c>
      <c r="C13" s="120" t="str">
        <f>IFERROR(INDEX(TableQBCalcPts[TM],MATCH(TableQBVORP[[#This Row],[RK]],TableQBCalcPts[RK],0)),"")</f>
        <v>NYG</v>
      </c>
      <c r="D13" s="120">
        <f>IFERROR(INDEX(TableQBCalcPts[BYE],MATCH(TableQBVORP[[#This Row],[RK]],TableQBCalcPts[RK],0)),"")</f>
        <v>13</v>
      </c>
      <c r="E13" s="121">
        <f>IFERROR(INDEX(TableQBCalcPts[Custom],MATCH(TableQBVORP[[#This Row],[RK]],TableQBCalcPts[RK],0)),"")</f>
        <v>313.74877869477359</v>
      </c>
      <c r="F13" s="122">
        <f>(IFERROR((TableQBVORP[[#This Row],[FPS]]-INDEX(TableQBVORP[FPS],MATCH(QBVORPCalc,TableQBVORP[RK],0)))/INDEX(TableQBVORP[FPS],MATCH(QBVORPCalc,TableQBVORP[RK],0)),""))+(TableRBVORP[[#This Row],[VORP]]*0.45)</f>
        <v>0.10618870468696001</v>
      </c>
      <c r="H13">
        <v>12</v>
      </c>
      <c r="I13" s="120" t="str">
        <f>IFERROR(INDEX(TableRBCalcPts[PLAYER],MATCH(TableRBVORP[[#This Row],[RK]],TableRBCalcPts[RK],0)),"")</f>
        <v>Dameon Pierce</v>
      </c>
      <c r="J13" s="120" t="str">
        <f>IFERROR(INDEX(TableRBCalcPts[TM],MATCH(TableRBVORP[[#This Row],[RK]],TableRBCalcPts[RK],0)),"")</f>
        <v>HOU</v>
      </c>
      <c r="K13" s="120">
        <f>IFERROR(INDEX(TableRBCalcPts[BYE],MATCH(TableRBVORP[[#This Row],[RK]],TableRBCalcPts[RK],0)),"")</f>
        <v>7</v>
      </c>
      <c r="L13" s="121">
        <f>IFERROR(INDEX(TableRBCalcPts[Custom],MATCH(TableRBVORP[[#This Row],[RK]],TableRBCalcPts[RK],0)),"")</f>
        <v>218.07090358355615</v>
      </c>
      <c r="M13" s="122">
        <f>IFERROR((TableRBVORP[[#This Row],[FPS]]-INDEX(TableRBVORP[FPS],MATCH(RBVORPCalc,TableRBVORP[RK],0)))/INDEX(TableRBVORP[FPS],MATCH(RBVORPCalc,TableRBVORP[RK],0)),"")</f>
        <v>0.78070971631692632</v>
      </c>
      <c r="O13">
        <v>12</v>
      </c>
      <c r="P13" s="120" t="str">
        <f>IFERROR(INDEX(TableWRCalcPts[PLAYER],MATCH(TableWRVORP[[#This Row],[RK]],TableWRCalcPts[RK],0)),"")</f>
        <v>Tee Higgins</v>
      </c>
      <c r="Q13" s="120" t="str">
        <f>IFERROR(INDEX(TableWRCalcPts[TM],MATCH(TableWRVORP[[#This Row],[RK]],TableWRCalcPts[RK],0)),"")</f>
        <v>CIN</v>
      </c>
      <c r="R13" s="120">
        <f>IFERROR(INDEX(TableWRCalcPts[BYE],MATCH(TableWRVORP[[#This Row],[RK]],TableWRCalcPts[RK],0)),"")</f>
        <v>7</v>
      </c>
      <c r="S13" s="121">
        <f>IFERROR(INDEX(TableWRCalcPts[Custom],MATCH(TableWRVORP[[#This Row],[RK]],TableWRCalcPts[RK],0)),"")</f>
        <v>206.05871828961045</v>
      </c>
      <c r="T13" s="122">
        <f>IFERROR((TableWRVORP[[#This Row],[FPS]]-INDEX(TableWRVORP[FPS],MATCH(WRVORPCalc,TableWRVORP[RK],0)))/INDEX(TableWRVORP[FPS],MATCH(WRVORPCalc,TableWRVORP[RK],0)),"")</f>
        <v>0.58151363456308836</v>
      </c>
      <c r="V13">
        <v>12</v>
      </c>
      <c r="W13" s="120" t="str">
        <f>IFERROR(INDEX(TableTECalcPts[PLAYER],MATCH(TableTEVORP[[#This Row],[RK]],TableTECalcPts[RK],0)),"")</f>
        <v>Chigoziem Okonkwo</v>
      </c>
      <c r="X13" s="120" t="str">
        <f>IFERROR(INDEX(TableTECalcPts[TM],MATCH(TableTEVORP[[#This Row],[RK]],TableTECalcPts[RK],0)),"")</f>
        <v>TEN</v>
      </c>
      <c r="Y13" s="120">
        <f>IFERROR(INDEX(TableTECalcPts[BYE],MATCH(TableTEVORP[[#This Row],[RK]],TableTECalcPts[RK],0)),"")</f>
        <v>7</v>
      </c>
      <c r="Z13" s="121">
        <f>IFERROR(INDEX(TableTECalcPts[Custom],MATCH(TableTEVORP[[#This Row],[RK]],TableTECalcPts[RK],0)),"")</f>
        <v>118.83018715312387</v>
      </c>
      <c r="AA13" s="122">
        <f>IFERROR((TableTEVORP[[#This Row],[FPS]]-INDEX(TableTEVORP[FPS],MATCH(TEVORPCalc,TableTEVORP[RK],0)))/INDEX(TableTEVORP[FPS],MATCH(TEVORPCalc,TableTEVORP[RK],0)),"")</f>
        <v>0</v>
      </c>
      <c r="AF13" t="s">
        <v>9</v>
      </c>
      <c r="AG13">
        <v>12</v>
      </c>
      <c r="AH13" s="86">
        <f>RANK(TableOverallMaster[[#This Row],[VORP]],TableOverallMaster[VORP])+COUNTIF($AM$2:AM13,AM13)-1</f>
        <v>110</v>
      </c>
      <c r="AI13" s="123" t="str">
        <f>IFERROR(INDEX(TableQBVORP[QUARTERBACK],MATCH(TableOverallMaster[[#This Row],[RK]],TableQBVORP[RK],0)),"")</f>
        <v>Daniel Jones</v>
      </c>
      <c r="AJ13" s="123" t="str">
        <f t="shared" si="0"/>
        <v>QB12</v>
      </c>
      <c r="AK13" s="123">
        <f>IFERROR(INDEX(TableQBVORP[BYE],MATCH(TableOverallMaster[[#This Row],[RK]],TableQBVORP[RK],0)),"")</f>
        <v>13</v>
      </c>
      <c r="AL13" s="124">
        <f>IFERROR(INDEX(TableQBVORP[FPS],MATCH(TableOverallMaster[[#This Row],[RK]],TableQBVORP[RK],0)),"")</f>
        <v>313.74877869477359</v>
      </c>
      <c r="AM13" s="125">
        <f>IFERROR(INDEX(TableQBVORP[VORP],MATCH(TableOverallMaster[[#This Row],[RK]],TableQBVORP[RK],0)),"")</f>
        <v>0.10618870468696001</v>
      </c>
      <c r="AO13">
        <v>12</v>
      </c>
      <c r="AP13" s="126" t="str">
        <f>IFERROR(INDEX(TableOverallMaster[OVERALL PLAYER],MATCH(TableOverallRank[[#This Row],[RK]],TableOverallMaster[OVR RK],0)),"")</f>
        <v>Ja'Marr Chase</v>
      </c>
      <c r="AQ13" s="127" t="str">
        <f>IFERROR(INDEX(TableOverallMaster[POS RK],MATCH(TableOverallRank[[#This Row],[OVERALL PLAYER]],TableOverallMaster[OVERALL PLAYER],0)),"")</f>
        <v>WR5</v>
      </c>
      <c r="AR13" s="128">
        <f>IFERROR(INDEX(TableOverallMaster[BYE],MATCH(TableOverallRank[[#This Row],[OVERALL PLAYER]],TableOverallMaster[OVERALL PLAYER],0)),"")</f>
        <v>7</v>
      </c>
      <c r="AS13" s="127">
        <f>IFERROR(INDEX(TableOverallMaster[Custom],MATCH(TableOverallRank[[#This Row],[OVERALL PLAYER]],TableOverallMaster[OVERALL PLAYER],0)),"")</f>
        <v>251.63020846296595</v>
      </c>
      <c r="AT13" s="129">
        <f>IFERROR(INDEX(TableOverallMaster[VORP],MATCH(TableOverallRank[[#This Row],[OVERALL PLAYER]],TableOverallMaster[OVERALL PLAYER],0)),"")</f>
        <v>0.93127769043392128</v>
      </c>
      <c r="AV13">
        <v>12</v>
      </c>
      <c r="AW13" s="130" t="str">
        <f>IFERROR(INDEX(TableWRTECalcPts[PLAYER],MATCH(TableWRTERank[[#This Row],[RK]],TableWRTECalcPts[RK],0)),"")</f>
        <v>A.J. Brown</v>
      </c>
      <c r="AX13" s="130" t="str">
        <f>IFERROR(INDEX(TableWRTECalcPts[POS RK],MATCH(TableWRTERank[[#This Row],[WR and TE COMBINED]],TableWRTECalcPts[PLAYER],0)),"")</f>
        <v>WR11</v>
      </c>
      <c r="AY13" s="130">
        <f>IFERROR(INDEX(TableWRTECalcPts[BYE],MATCH(TableWRTERank[[#This Row],[RK]],TableWRTECalcPts[RK],0)),"")</f>
        <v>10</v>
      </c>
      <c r="AZ13" s="131">
        <f>IFERROR(INDEX(TableWRTECalcPts[Custom],MATCH(TableWRTERank[[#This Row],[RK]],TableWRTECalcPts[RK],0)),"")</f>
        <v>206.51176008611552</v>
      </c>
      <c r="BA13" s="188">
        <f>IFERROR((TableWRTERank[[#This Row],[FPS]]-INDEX(TableWRTERank[FPS],MATCH(WRTEVORPCalc,TableWRTERank[RK],0)))/INDEX(TableWRTERank[FPS],MATCH(WRTEVORPCalc,TableWRTERank[RK],0)),"")</f>
        <v>0.49224469984114255</v>
      </c>
      <c r="BC13" t="s">
        <v>257</v>
      </c>
      <c r="BD13">
        <v>12</v>
      </c>
      <c r="BE13" s="86">
        <f>RANK(TableWRTEMaster[[#This Row],[VORP]],TableWRTEMaster[VORP])+COUNTIF($BJ$2:BJ13,BJ13)-1</f>
        <v>13</v>
      </c>
      <c r="BF13" s="123" t="str">
        <f>IFERROR(INDEX(TableWRVORP[WIDE RECEIVER],MATCH(TableWRTEMaster[[#This Row],[RK]],TableWRVORP[RK],0)),"")</f>
        <v>Tee Higgins</v>
      </c>
      <c r="BG13" s="123" t="str">
        <f>_xlfn.CONCAT(TableWRTEMaster[[#This Row],[POS]],TableWRTEMaster[[#This Row],[RK]])</f>
        <v>WR12</v>
      </c>
      <c r="BH13" s="123">
        <f>IFERROR(INDEX(TableWRVORP[BYE],MATCH(TableWRTEMaster[[#This Row],[RK]],TableWRVORP[RK],0)),"")</f>
        <v>7</v>
      </c>
      <c r="BI13" s="124">
        <f>IFERROR(INDEX(TableWRVORP[FPS],MATCH(TableWRTEMaster[[#This Row],[RK]],TableWRVORP[RK],0)),"")</f>
        <v>206.05871828961045</v>
      </c>
      <c r="BJ13" s="125">
        <f>IFERROR(INDEX(TableWRVORP[VORP],MATCH(TableWRTEMaster[[#This Row],[RK]],TableWRVORP[RK],0)),"")</f>
        <v>0.58151363456308836</v>
      </c>
    </row>
    <row r="14" spans="1:66" x14ac:dyDescent="0.2">
      <c r="A14">
        <v>13</v>
      </c>
      <c r="B14" s="120" t="str">
        <f>IFERROR(INDEX(TableQBCalcPts[PLAYER],MATCH(TableQBVORP[[#This Row],[RK]],TableQBCalcPts[RK],0)),"")</f>
        <v>Kirk Cousins</v>
      </c>
      <c r="C14" s="120" t="str">
        <f>IFERROR(INDEX(TableQBCalcPts[TM],MATCH(TableQBVORP[[#This Row],[RK]],TableQBCalcPts[RK],0)),"")</f>
        <v>MIN</v>
      </c>
      <c r="D14" s="120">
        <f>IFERROR(INDEX(TableQBCalcPts[BYE],MATCH(TableQBVORP[[#This Row],[RK]],TableQBCalcPts[RK],0)),"")</f>
        <v>13</v>
      </c>
      <c r="E14" s="121">
        <f>IFERROR(INDEX(TableQBCalcPts[Custom],MATCH(TableQBVORP[[#This Row],[RK]],TableQBCalcPts[RK],0)),"")</f>
        <v>313.66400847738322</v>
      </c>
      <c r="F14" s="122">
        <f>(IFERROR((TableQBVORP[[#This Row],[FPS]]-INDEX(TableQBVORP[FPS],MATCH(QBVORPCalc,TableQBVORP[RK],0)))/INDEX(TableQBVORP[FPS],MATCH(QBVORPCalc,TableQBVORP[RK],0)),""))+(TableRBVORP[[#This Row],[VORP]]*0.45)</f>
        <v>9.9247874528514718E-2</v>
      </c>
      <c r="H14">
        <v>13</v>
      </c>
      <c r="I14" s="120" t="str">
        <f>IFERROR(INDEX(TableRBCalcPts[PLAYER],MATCH(TableRBVORP[[#This Row],[RK]],TableRBCalcPts[RK],0)),"")</f>
        <v>Najee Harris</v>
      </c>
      <c r="J14" s="120" t="str">
        <f>IFERROR(INDEX(TableRBCalcPts[TM],MATCH(TableRBVORP[[#This Row],[RK]],TableRBCalcPts[RK],0)),"")</f>
        <v>PIT</v>
      </c>
      <c r="K14" s="120">
        <f>IFERROR(INDEX(TableRBCalcPts[BYE],MATCH(TableRBVORP[[#This Row],[RK]],TableRBCalcPts[RK],0)),"")</f>
        <v>6</v>
      </c>
      <c r="L14" s="121">
        <f>IFERROR(INDEX(TableRBCalcPts[Custom],MATCH(TableRBVORP[[#This Row],[RK]],TableRBCalcPts[RK],0)),"")</f>
        <v>216.23753147350604</v>
      </c>
      <c r="M14" s="122">
        <f>IFERROR((TableRBVORP[[#This Row],[FPS]]-INDEX(TableRBVORP[FPS],MATCH(RBVORPCalc,TableRBVORP[RK],0)))/INDEX(TableRBVORP[FPS],MATCH(RBVORPCalc,TableRBVORP[RK],0)),"")</f>
        <v>0.76573888125208334</v>
      </c>
      <c r="O14">
        <v>13</v>
      </c>
      <c r="P14" s="120" t="str">
        <f>IFERROR(INDEX(TableWRCalcPts[PLAYER],MATCH(TableWRVORP[[#This Row],[RK]],TableWRCalcPts[RK],0)),"")</f>
        <v>Calvin Ridley</v>
      </c>
      <c r="Q14" s="120" t="str">
        <f>IFERROR(INDEX(TableWRCalcPts[TM],MATCH(TableWRVORP[[#This Row],[RK]],TableWRCalcPts[RK],0)),"")</f>
        <v>JAX</v>
      </c>
      <c r="R14" s="120">
        <f>IFERROR(INDEX(TableWRCalcPts[BYE],MATCH(TableWRVORP[[#This Row],[RK]],TableWRCalcPts[RK],0)),"")</f>
        <v>9</v>
      </c>
      <c r="S14" s="121">
        <f>IFERROR(INDEX(TableWRCalcPts[Custom],MATCH(TableWRVORP[[#This Row],[RK]],TableWRCalcPts[RK],0)),"")</f>
        <v>205.85347666981542</v>
      </c>
      <c r="T14" s="122">
        <f>IFERROR((TableWRVORP[[#This Row],[FPS]]-INDEX(TableWRVORP[FPS],MATCH(WRVORPCalc,TableWRVORP[RK],0)))/INDEX(TableWRVORP[FPS],MATCH(WRVORPCalc,TableWRVORP[RK],0)),"")</f>
        <v>0.5799383922109087</v>
      </c>
      <c r="V14">
        <v>13</v>
      </c>
      <c r="W14" s="120" t="str">
        <f>IFERROR(INDEX(TableTECalcPts[PLAYER],MATCH(TableTEVORP[[#This Row],[RK]],TableTECalcPts[RK],0)),"")</f>
        <v>Hunter Henry</v>
      </c>
      <c r="X14" s="120" t="str">
        <f>IFERROR(INDEX(TableTECalcPts[TM],MATCH(TableTEVORP[[#This Row],[RK]],TableTECalcPts[RK],0)),"")</f>
        <v>NE</v>
      </c>
      <c r="Y14" s="120">
        <f>IFERROR(INDEX(TableTECalcPts[BYE],MATCH(TableTEVORP[[#This Row],[RK]],TableTECalcPts[RK],0)),"")</f>
        <v>11</v>
      </c>
      <c r="Z14" s="121">
        <f>IFERROR(INDEX(TableTECalcPts[Custom],MATCH(TableTEVORP[[#This Row],[RK]],TableTECalcPts[RK],0)),"")</f>
        <v>112.32468213400713</v>
      </c>
      <c r="AA14" s="122">
        <f>IFERROR((TableTEVORP[[#This Row],[FPS]]-INDEX(TableTEVORP[FPS],MATCH(TEVORPCalc,TableTEVORP[RK],0)))/INDEX(TableTEVORP[FPS],MATCH(TEVORPCalc,TableTEVORP[RK],0)),"")</f>
        <v>-5.4746232207257106E-2</v>
      </c>
      <c r="AF14" t="s">
        <v>9</v>
      </c>
      <c r="AG14">
        <v>13</v>
      </c>
      <c r="AH14" s="86">
        <f>RANK(TableOverallMaster[[#This Row],[VORP]],TableOverallMaster[VORP])+COUNTIF($AM$2:AM14,AM14)-1</f>
        <v>111</v>
      </c>
      <c r="AI14" s="123" t="str">
        <f>IFERROR(INDEX(TableQBVORP[QUARTERBACK],MATCH(TableOverallMaster[[#This Row],[RK]],TableQBVORP[RK],0)),"")</f>
        <v>Kirk Cousins</v>
      </c>
      <c r="AJ14" s="123" t="str">
        <f t="shared" si="0"/>
        <v>QB13</v>
      </c>
      <c r="AK14" s="123">
        <f>IFERROR(INDEX(TableQBVORP[BYE],MATCH(TableOverallMaster[[#This Row],[RK]],TableQBVORP[RK],0)),"")</f>
        <v>13</v>
      </c>
      <c r="AL14" s="124">
        <f>IFERROR(INDEX(TableQBVORP[FPS],MATCH(TableOverallMaster[[#This Row],[RK]],TableQBVORP[RK],0)),"")</f>
        <v>313.66400847738322</v>
      </c>
      <c r="AM14" s="125">
        <f>IFERROR(INDEX(TableQBVORP[VORP],MATCH(TableOverallMaster[[#This Row],[RK]],TableQBVORP[RK],0)),"")</f>
        <v>9.9247874528514718E-2</v>
      </c>
      <c r="AO14">
        <v>13</v>
      </c>
      <c r="AP14" s="126" t="str">
        <f>IFERROR(INDEX(TableOverallMaster[OVERALL PLAYER],MATCH(TableOverallRank[[#This Row],[RK]],TableOverallMaster[OVR RK],0)),"")</f>
        <v>Travis Kelce</v>
      </c>
      <c r="AQ14" s="127" t="str">
        <f>IFERROR(INDEX(TableOverallMaster[POS RK],MATCH(TableOverallRank[[#This Row],[OVERALL PLAYER]],TableOverallMaster[OVERALL PLAYER],0)),"")</f>
        <v>TE1</v>
      </c>
      <c r="AR14" s="128">
        <f>IFERROR(INDEX(TableOverallMaster[BYE],MATCH(TableOverallRank[[#This Row],[OVERALL PLAYER]],TableOverallMaster[OVERALL PLAYER],0)),"")</f>
        <v>10</v>
      </c>
      <c r="AS14" s="127">
        <f>IFERROR(INDEX(TableOverallMaster[Custom],MATCH(TableOverallRank[[#This Row],[OVERALL PLAYER]],TableOverallMaster[OVERALL PLAYER],0)),"")</f>
        <v>224.5527577004236</v>
      </c>
      <c r="AT14" s="129">
        <f>IFERROR(INDEX(TableOverallMaster[VORP],MATCH(TableOverallRank[[#This Row],[OVERALL PLAYER]],TableOverallMaster[OVERALL PLAYER],0)),"")</f>
        <v>0.88969455556832755</v>
      </c>
      <c r="AV14">
        <v>13</v>
      </c>
      <c r="AW14" s="130" t="str">
        <f>IFERROR(INDEX(TableWRTECalcPts[PLAYER],MATCH(TableWRTERank[[#This Row],[RK]],TableWRTECalcPts[RK],0)),"")</f>
        <v>Tee Higgins</v>
      </c>
      <c r="AX14" s="130" t="str">
        <f>IFERROR(INDEX(TableWRTECalcPts[POS RK],MATCH(TableWRTERank[[#This Row],[WR and TE COMBINED]],TableWRTECalcPts[PLAYER],0)),"")</f>
        <v>WR12</v>
      </c>
      <c r="AY14" s="130">
        <f>IFERROR(INDEX(TableWRTECalcPts[BYE],MATCH(TableWRTERank[[#This Row],[RK]],TableWRTECalcPts[RK],0)),"")</f>
        <v>7</v>
      </c>
      <c r="AZ14" s="131">
        <f>IFERROR(INDEX(TableWRTECalcPts[Custom],MATCH(TableWRTERank[[#This Row],[RK]],TableWRTECalcPts[RK],0)),"")</f>
        <v>206.05871828961045</v>
      </c>
      <c r="BA14" s="188">
        <f>IFERROR((TableWRTERank[[#This Row],[FPS]]-INDEX(TableWRTERank[FPS],MATCH(WRTEVORPCalc,TableWRTERank[RK],0)))/INDEX(TableWRTERank[FPS],MATCH(WRTEVORPCalc,TableWRTERank[RK],0)),"")</f>
        <v>0.48897104017469417</v>
      </c>
      <c r="BC14" t="s">
        <v>257</v>
      </c>
      <c r="BD14">
        <v>13</v>
      </c>
      <c r="BE14" s="86">
        <f>RANK(TableWRTEMaster[[#This Row],[VORP]],TableWRTEMaster[VORP])+COUNTIF($BJ$2:BJ14,BJ14)-1</f>
        <v>14</v>
      </c>
      <c r="BF14" s="123" t="str">
        <f>IFERROR(INDEX(TableWRVORP[WIDE RECEIVER],MATCH(TableWRTEMaster[[#This Row],[RK]],TableWRVORP[RK],0)),"")</f>
        <v>Calvin Ridley</v>
      </c>
      <c r="BG14" s="123" t="str">
        <f>_xlfn.CONCAT(TableWRTEMaster[[#This Row],[POS]],TableWRTEMaster[[#This Row],[RK]])</f>
        <v>WR13</v>
      </c>
      <c r="BH14" s="123">
        <f>IFERROR(INDEX(TableWRVORP[BYE],MATCH(TableWRTEMaster[[#This Row],[RK]],TableWRVORP[RK],0)),"")</f>
        <v>9</v>
      </c>
      <c r="BI14" s="124">
        <f>IFERROR(INDEX(TableWRVORP[FPS],MATCH(TableWRTEMaster[[#This Row],[RK]],TableWRVORP[RK],0)),"")</f>
        <v>205.85347666981542</v>
      </c>
      <c r="BJ14" s="125">
        <f>IFERROR(INDEX(TableWRVORP[VORP],MATCH(TableWRTEMaster[[#This Row],[RK]],TableWRVORP[RK],0)),"")</f>
        <v>0.5799383922109087</v>
      </c>
    </row>
    <row r="15" spans="1:66" x14ac:dyDescent="0.2">
      <c r="A15">
        <v>14</v>
      </c>
      <c r="B15" s="120" t="str">
        <f>IFERROR(INDEX(TableQBCalcPts[PLAYER],MATCH(TableQBVORP[[#This Row],[RK]],TableQBCalcPts[RK],0)),"")</f>
        <v>Geno Smith</v>
      </c>
      <c r="C15" s="120" t="str">
        <f>IFERROR(INDEX(TableQBCalcPts[TM],MATCH(TableQBVORP[[#This Row],[RK]],TableQBCalcPts[RK],0)),"")</f>
        <v>SEA</v>
      </c>
      <c r="D15" s="120">
        <f>IFERROR(INDEX(TableQBCalcPts[BYE],MATCH(TableQBVORP[[#This Row],[RK]],TableQBCalcPts[RK],0)),"")</f>
        <v>5</v>
      </c>
      <c r="E15" s="121">
        <f>IFERROR(INDEX(TableQBCalcPts[Custom],MATCH(TableQBVORP[[#This Row],[RK]],TableQBCalcPts[RK],0)),"")</f>
        <v>308.46388356938525</v>
      </c>
      <c r="F15" s="122">
        <f>(IFERROR((TableQBVORP[[#This Row],[FPS]]-INDEX(TableQBVORP[FPS],MATCH(QBVORPCalc,TableQBVORP[RK],0)))/INDEX(TableQBVORP[FPS],MATCH(QBVORPCalc,TableQBVORP[RK],0)),""))+(TableRBVORP[[#This Row],[VORP]]*0.45)</f>
        <v>5.1070699266711317E-2</v>
      </c>
      <c r="H15">
        <v>14</v>
      </c>
      <c r="I15" s="120" t="str">
        <f>IFERROR(INDEX(TableRBCalcPts[PLAYER],MATCH(TableRBVORP[[#This Row],[RK]],TableRBCalcPts[RK],0)),"")</f>
        <v>Rachaad White</v>
      </c>
      <c r="J15" s="120" t="str">
        <f>IFERROR(INDEX(TableRBCalcPts[TM],MATCH(TableRBVORP[[#This Row],[RK]],TableRBCalcPts[RK],0)),"")</f>
        <v>TB</v>
      </c>
      <c r="K15" s="120">
        <f>IFERROR(INDEX(TableRBCalcPts[BYE],MATCH(TableRBVORP[[#This Row],[RK]],TableRBCalcPts[RK],0)),"")</f>
        <v>5</v>
      </c>
      <c r="L15" s="121">
        <f>IFERROR(INDEX(TableRBCalcPts[Custom],MATCH(TableRBVORP[[#This Row],[RK]],TableRBCalcPts[RK],0)),"")</f>
        <v>206.53143530729474</v>
      </c>
      <c r="M15" s="122">
        <f>IFERROR((TableRBVORP[[#This Row],[FPS]]-INDEX(TableRBVORP[FPS],MATCH(RBVORPCalc,TableRBVORP[RK],0)))/INDEX(TableRBVORP[FPS],MATCH(RBVORPCalc,TableRBVORP[RK],0)),"")</f>
        <v>0.68648144953306234</v>
      </c>
      <c r="O15">
        <v>14</v>
      </c>
      <c r="P15" s="120" t="str">
        <f>IFERROR(INDEX(TableWRCalcPts[PLAYER],MATCH(TableWRVORP[[#This Row],[RK]],TableWRCalcPts[RK],0)),"")</f>
        <v>Christian Watson</v>
      </c>
      <c r="Q15" s="120" t="str">
        <f>IFERROR(INDEX(TableWRCalcPts[TM],MATCH(TableWRVORP[[#This Row],[RK]],TableWRCalcPts[RK],0)),"")</f>
        <v>GB</v>
      </c>
      <c r="R15" s="120">
        <f>IFERROR(INDEX(TableWRCalcPts[BYE],MATCH(TableWRVORP[[#This Row],[RK]],TableWRCalcPts[RK],0)),"")</f>
        <v>6</v>
      </c>
      <c r="S15" s="121">
        <f>IFERROR(INDEX(TableWRCalcPts[Custom],MATCH(TableWRVORP[[#This Row],[RK]],TableWRCalcPts[RK],0)),"")</f>
        <v>194.98899947146739</v>
      </c>
      <c r="T15" s="122">
        <f>IFERROR((TableWRVORP[[#This Row],[FPS]]-INDEX(TableWRVORP[FPS],MATCH(WRVORPCalc,TableWRVORP[RK],0)))/INDEX(TableWRVORP[FPS],MATCH(WRVORPCalc,TableWRVORP[RK],0)),"")</f>
        <v>0.49655284577924613</v>
      </c>
      <c r="V15">
        <v>14</v>
      </c>
      <c r="W15" s="120" t="str">
        <f>IFERROR(INDEX(TableTECalcPts[PLAYER],MATCH(TableTEVORP[[#This Row],[RK]],TableTECalcPts[RK],0)),"")</f>
        <v>Cole Kmet</v>
      </c>
      <c r="X15" s="120" t="str">
        <f>IFERROR(INDEX(TableTECalcPts[TM],MATCH(TableTEVORP[[#This Row],[RK]],TableTECalcPts[RK],0)),"")</f>
        <v>CHI</v>
      </c>
      <c r="Y15" s="120">
        <f>IFERROR(INDEX(TableTECalcPts[BYE],MATCH(TableTEVORP[[#This Row],[RK]],TableTECalcPts[RK],0)),"")</f>
        <v>13</v>
      </c>
      <c r="Z15" s="121">
        <f>IFERROR(INDEX(TableTECalcPts[Custom],MATCH(TableTEVORP[[#This Row],[RK]],TableTECalcPts[RK],0)),"")</f>
        <v>112.27012334528251</v>
      </c>
      <c r="AA15" s="122">
        <f>IFERROR((TableTEVORP[[#This Row],[FPS]]-INDEX(TableTEVORP[FPS],MATCH(TEVORPCalc,TableTEVORP[RK],0)))/INDEX(TableTEVORP[FPS],MATCH(TEVORPCalc,TableTEVORP[RK],0)),"")</f>
        <v>-5.5205364604770844E-2</v>
      </c>
      <c r="AF15" t="s">
        <v>9</v>
      </c>
      <c r="AG15">
        <v>14</v>
      </c>
      <c r="AH15" s="86">
        <f>RANK(TableOverallMaster[[#This Row],[VORP]],TableOverallMaster[VORP])+COUNTIF($AM$2:AM15,AM15)-1</f>
        <v>116</v>
      </c>
      <c r="AI15" s="123" t="str">
        <f>IFERROR(INDEX(TableQBVORP[QUARTERBACK],MATCH(TableOverallMaster[[#This Row],[RK]],TableQBVORP[RK],0)),"")</f>
        <v>Geno Smith</v>
      </c>
      <c r="AJ15" s="123" t="str">
        <f t="shared" si="0"/>
        <v>QB14</v>
      </c>
      <c r="AK15" s="123">
        <f>IFERROR(INDEX(TableQBVORP[BYE],MATCH(TableOverallMaster[[#This Row],[RK]],TableQBVORP[RK],0)),"")</f>
        <v>5</v>
      </c>
      <c r="AL15" s="124">
        <f>IFERROR(INDEX(TableQBVORP[FPS],MATCH(TableOverallMaster[[#This Row],[RK]],TableQBVORP[RK],0)),"")</f>
        <v>308.46388356938525</v>
      </c>
      <c r="AM15" s="125">
        <f>IFERROR(INDEX(TableQBVORP[VORP],MATCH(TableOverallMaster[[#This Row],[RK]],TableQBVORP[RK],0)),"")</f>
        <v>5.1070699266711317E-2</v>
      </c>
      <c r="AO15">
        <v>14</v>
      </c>
      <c r="AP15" s="126" t="str">
        <f>IFERROR(INDEX(TableOverallMaster[OVERALL PLAYER],MATCH(TableOverallRank[[#This Row],[RK]],TableOverallMaster[OVR RK],0)),"")</f>
        <v>Josh Jacobs</v>
      </c>
      <c r="AQ15" s="127" t="str">
        <f>IFERROR(INDEX(TableOverallMaster[POS RK],MATCH(TableOverallRank[[#This Row],[OVERALL PLAYER]],TableOverallMaster[OVERALL PLAYER],0)),"")</f>
        <v>RB8</v>
      </c>
      <c r="AR15" s="128">
        <f>IFERROR(INDEX(TableOverallMaster[BYE],MATCH(TableOverallRank[[#This Row],[OVERALL PLAYER]],TableOverallMaster[OVERALL PLAYER],0)),"")</f>
        <v>13</v>
      </c>
      <c r="AS15" s="127">
        <f>IFERROR(INDEX(TableOverallMaster[Custom],MATCH(TableOverallRank[[#This Row],[OVERALL PLAYER]],TableOverallMaster[OVERALL PLAYER],0)),"")</f>
        <v>228.04531439642474</v>
      </c>
      <c r="AT15" s="129">
        <f>IFERROR(INDEX(TableOverallMaster[VORP],MATCH(TableOverallRank[[#This Row],[OVERALL PLAYER]],TableOverallMaster[OVERALL PLAYER],0)),"")</f>
        <v>0.86215813496029758</v>
      </c>
      <c r="AV15">
        <v>14</v>
      </c>
      <c r="AW15" s="130" t="str">
        <f>IFERROR(INDEX(TableWRTECalcPts[PLAYER],MATCH(TableWRTERank[[#This Row],[RK]],TableWRTECalcPts[RK],0)),"")</f>
        <v>Calvin Ridley</v>
      </c>
      <c r="AX15" s="130" t="str">
        <f>IFERROR(INDEX(TableWRTECalcPts[POS RK],MATCH(TableWRTERank[[#This Row],[WR and TE COMBINED]],TableWRTECalcPts[PLAYER],0)),"")</f>
        <v>WR13</v>
      </c>
      <c r="AY15" s="130">
        <f>IFERROR(INDEX(TableWRTECalcPts[BYE],MATCH(TableWRTERank[[#This Row],[RK]],TableWRTECalcPts[RK],0)),"")</f>
        <v>9</v>
      </c>
      <c r="AZ15" s="131">
        <f>IFERROR(INDEX(TableWRTECalcPts[Custom],MATCH(TableWRTERank[[#This Row],[RK]],TableWRTECalcPts[RK],0)),"")</f>
        <v>205.85347666981542</v>
      </c>
      <c r="BA15" s="188">
        <f>IFERROR((TableWRTERank[[#This Row],[FPS]]-INDEX(TableWRTERank[FPS],MATCH(WRTEVORPCalc,TableWRTERank[RK],0)))/INDEX(TableWRTERank[FPS],MATCH(WRTEVORPCalc,TableWRTERank[RK],0)),"")</f>
        <v>0.48748797345152917</v>
      </c>
      <c r="BC15" t="s">
        <v>257</v>
      </c>
      <c r="BD15">
        <v>14</v>
      </c>
      <c r="BE15" s="86">
        <f>RANK(TableWRTEMaster[[#This Row],[VORP]],TableWRTEMaster[VORP])+COUNTIF($BJ$2:BJ15,BJ15)-1</f>
        <v>17</v>
      </c>
      <c r="BF15" s="123" t="str">
        <f>IFERROR(INDEX(TableWRVORP[WIDE RECEIVER],MATCH(TableWRTEMaster[[#This Row],[RK]],TableWRVORP[RK],0)),"")</f>
        <v>Christian Watson</v>
      </c>
      <c r="BG15" s="123" t="str">
        <f>_xlfn.CONCAT(TableWRTEMaster[[#This Row],[POS]],TableWRTEMaster[[#This Row],[RK]])</f>
        <v>WR14</v>
      </c>
      <c r="BH15" s="123">
        <f>IFERROR(INDEX(TableWRVORP[BYE],MATCH(TableWRTEMaster[[#This Row],[RK]],TableWRVORP[RK],0)),"")</f>
        <v>6</v>
      </c>
      <c r="BI15" s="124">
        <f>IFERROR(INDEX(TableWRVORP[FPS],MATCH(TableWRTEMaster[[#This Row],[RK]],TableWRVORP[RK],0)),"")</f>
        <v>194.98899947146739</v>
      </c>
      <c r="BJ15" s="125">
        <f>IFERROR(INDEX(TableWRVORP[VORP],MATCH(TableWRTEMaster[[#This Row],[RK]],TableWRVORP[RK],0)),"")</f>
        <v>0.49655284577924613</v>
      </c>
    </row>
    <row r="16" spans="1:66" x14ac:dyDescent="0.2">
      <c r="A16">
        <v>15</v>
      </c>
      <c r="B16" s="120" t="str">
        <f>IFERROR(INDEX(TableQBCalcPts[PLAYER],MATCH(TableQBVORP[[#This Row],[RK]],TableQBCalcPts[RK],0)),"")</f>
        <v>Dak Prescott</v>
      </c>
      <c r="C16" s="120" t="str">
        <f>IFERROR(INDEX(TableQBCalcPts[TM],MATCH(TableQBVORP[[#This Row],[RK]],TableQBCalcPts[RK],0)),"")</f>
        <v>DAL</v>
      </c>
      <c r="D16" s="120">
        <f>IFERROR(INDEX(TableQBCalcPts[BYE],MATCH(TableQBVORP[[#This Row],[RK]],TableQBCalcPts[RK],0)),"")</f>
        <v>7</v>
      </c>
      <c r="E16" s="121">
        <f>IFERROR(INDEX(TableQBCalcPts[Custom],MATCH(TableQBVORP[[#This Row],[RK]],TableQBCalcPts[RK],0)),"")</f>
        <v>306.21396082571579</v>
      </c>
      <c r="F16" s="122">
        <f>(IFERROR((TableQBVORP[[#This Row],[FPS]]-INDEX(TableQBVORP[FPS],MATCH(QBVORPCalc,TableQBVORP[RK],0)))/INDEX(TableQBVORP[FPS],MATCH(QBVORPCalc,TableQBVORP[RK],0)),""))+(TableRBVORP[[#This Row],[VORP]]*0.45)</f>
        <v>3.6864875810591502E-2</v>
      </c>
      <c r="H16">
        <v>15</v>
      </c>
      <c r="I16" s="120" t="str">
        <f>IFERROR(INDEX(TableRBCalcPts[PLAYER],MATCH(TableRBVORP[[#This Row],[RK]],TableRBCalcPts[RK],0)),"")</f>
        <v>Aaron Jones</v>
      </c>
      <c r="J16" s="120" t="str">
        <f>IFERROR(INDEX(TableRBCalcPts[TM],MATCH(TableRBVORP[[#This Row],[RK]],TableRBCalcPts[RK],0)),"")</f>
        <v>GB</v>
      </c>
      <c r="K16" s="120">
        <f>IFERROR(INDEX(TableRBCalcPts[BYE],MATCH(TableRBVORP[[#This Row],[RK]],TableRBCalcPts[RK],0)),"")</f>
        <v>6</v>
      </c>
      <c r="L16" s="121">
        <f>IFERROR(INDEX(TableRBCalcPts[Custom],MATCH(TableRBVORP[[#This Row],[RK]],TableRBCalcPts[RK],0)),"")</f>
        <v>204.13862350454943</v>
      </c>
      <c r="M16" s="122">
        <f>IFERROR((TableRBVORP[[#This Row],[FPS]]-INDEX(TableRBVORP[FPS],MATCH(RBVORPCalc,TableRBVORP[RK],0)))/INDEX(TableRBVORP[FPS],MATCH(RBVORPCalc,TableRBVORP[RK],0)),"")</f>
        <v>0.6669423768899585</v>
      </c>
      <c r="O16">
        <v>15</v>
      </c>
      <c r="P16" s="120" t="str">
        <f>IFERROR(INDEX(TableWRCalcPts[PLAYER],MATCH(TableWRVORP[[#This Row],[RK]],TableWRCalcPts[RK],0)),"")</f>
        <v>Jahan Dotson</v>
      </c>
      <c r="Q16" s="120" t="str">
        <f>IFERROR(INDEX(TableWRCalcPts[TM],MATCH(TableWRVORP[[#This Row],[RK]],TableWRCalcPts[RK],0)),"")</f>
        <v>WSH</v>
      </c>
      <c r="R16" s="120">
        <f>IFERROR(INDEX(TableWRCalcPts[BYE],MATCH(TableWRVORP[[#This Row],[RK]],TableWRCalcPts[RK],0)),"")</f>
        <v>14</v>
      </c>
      <c r="S16" s="121">
        <f>IFERROR(INDEX(TableWRCalcPts[Custom],MATCH(TableWRVORP[[#This Row],[RK]],TableWRCalcPts[RK],0)),"")</f>
        <v>191.8214704728</v>
      </c>
      <c r="T16" s="122">
        <f>IFERROR((TableWRVORP[[#This Row],[FPS]]-INDEX(TableWRVORP[FPS],MATCH(WRVORPCalc,TableWRVORP[RK],0)))/INDEX(TableWRVORP[FPS],MATCH(WRVORPCalc,TableWRVORP[RK],0)),"")</f>
        <v>0.47224186131400386</v>
      </c>
      <c r="V16">
        <v>15</v>
      </c>
      <c r="W16" s="120" t="str">
        <f>IFERROR(INDEX(TableTECalcPts[PLAYER],MATCH(TableTEVORP[[#This Row],[RK]],TableTECalcPts[RK],0)),"")</f>
        <v>Dalton Kincaid</v>
      </c>
      <c r="X16" s="120" t="str">
        <f>IFERROR(INDEX(TableTECalcPts[TM],MATCH(TableTEVORP[[#This Row],[RK]],TableTECalcPts[RK],0)),"")</f>
        <v>BUF</v>
      </c>
      <c r="Y16" s="120">
        <f>IFERROR(INDEX(TableTECalcPts[BYE],MATCH(TableTEVORP[[#This Row],[RK]],TableTECalcPts[RK],0)),"")</f>
        <v>13</v>
      </c>
      <c r="Z16" s="121">
        <f>IFERROR(INDEX(TableTECalcPts[Custom],MATCH(TableTEVORP[[#This Row],[RK]],TableTECalcPts[RK],0)),"")</f>
        <v>111.19421970139238</v>
      </c>
      <c r="AA16" s="122">
        <f>IFERROR((TableTEVORP[[#This Row],[FPS]]-INDEX(TableTEVORP[FPS],MATCH(TEVORPCalc,TableTEVORP[RK],0)))/INDEX(TableTEVORP[FPS],MATCH(TEVORPCalc,TableTEVORP[RK],0)),"")</f>
        <v>-6.4259491924319082E-2</v>
      </c>
      <c r="AF16" t="s">
        <v>9</v>
      </c>
      <c r="AG16">
        <v>15</v>
      </c>
      <c r="AH16" s="86">
        <f>RANK(TableOverallMaster[[#This Row],[VORP]],TableOverallMaster[VORP])+COUNTIF($AM$2:AM16,AM16)-1</f>
        <v>119</v>
      </c>
      <c r="AI16" s="123" t="str">
        <f>IFERROR(INDEX(TableQBVORP[QUARTERBACK],MATCH(TableOverallMaster[[#This Row],[RK]],TableQBVORP[RK],0)),"")</f>
        <v>Dak Prescott</v>
      </c>
      <c r="AJ16" s="123" t="str">
        <f t="shared" si="0"/>
        <v>QB15</v>
      </c>
      <c r="AK16" s="123">
        <f>IFERROR(INDEX(TableQBVORP[BYE],MATCH(TableOverallMaster[[#This Row],[RK]],TableQBVORP[RK],0)),"")</f>
        <v>7</v>
      </c>
      <c r="AL16" s="124">
        <f>IFERROR(INDEX(TableQBVORP[FPS],MATCH(TableOverallMaster[[#This Row],[RK]],TableQBVORP[RK],0)),"")</f>
        <v>306.21396082571579</v>
      </c>
      <c r="AM16" s="125">
        <f>IFERROR(INDEX(TableQBVORP[VORP],MATCH(TableOverallMaster[[#This Row],[RK]],TableQBVORP[RK],0)),"")</f>
        <v>3.6864875810591502E-2</v>
      </c>
      <c r="AO16">
        <v>15</v>
      </c>
      <c r="AP16" s="126" t="str">
        <f>IFERROR(INDEX(TableOverallMaster[OVERALL PLAYER],MATCH(TableOverallRank[[#This Row],[RK]],TableOverallMaster[OVR RK],0)),"")</f>
        <v>Amon-Ra St. Brown</v>
      </c>
      <c r="AQ16" s="127" t="str">
        <f>IFERROR(INDEX(TableOverallMaster[POS RK],MATCH(TableOverallRank[[#This Row],[OVERALL PLAYER]],TableOverallMaster[OVERALL PLAYER],0)),"")</f>
        <v>WR6</v>
      </c>
      <c r="AR16" s="128">
        <f>IFERROR(INDEX(TableOverallMaster[BYE],MATCH(TableOverallRank[[#This Row],[OVERALL PLAYER]],TableOverallMaster[OVERALL PLAYER],0)),"")</f>
        <v>9</v>
      </c>
      <c r="AS16" s="127">
        <f>IFERROR(INDEX(TableOverallMaster[Custom],MATCH(TableOverallRank[[#This Row],[OVERALL PLAYER]],TableOverallMaster[OVERALL PLAYER],0)),"")</f>
        <v>235.77471963299024</v>
      </c>
      <c r="AT16" s="129">
        <f>IFERROR(INDEX(TableOverallMaster[VORP],MATCH(TableOverallRank[[#This Row],[OVERALL PLAYER]],TableOverallMaster[OVERALL PLAYER],0)),"")</f>
        <v>0.80958581553821263</v>
      </c>
      <c r="AV16">
        <v>15</v>
      </c>
      <c r="AW16" s="130" t="str">
        <f>IFERROR(INDEX(TableWRTECalcPts[PLAYER],MATCH(TableWRTERank[[#This Row],[RK]],TableWRTECalcPts[RK],0)),"")</f>
        <v>Christian Watson</v>
      </c>
      <c r="AX16" s="130" t="str">
        <f>IFERROR(INDEX(TableWRTECalcPts[POS RK],MATCH(TableWRTERank[[#This Row],[WR and TE COMBINED]],TableWRTECalcPts[PLAYER],0)),"")</f>
        <v>WR14</v>
      </c>
      <c r="AY16" s="130">
        <f>IFERROR(INDEX(TableWRTECalcPts[BYE],MATCH(TableWRTERank[[#This Row],[RK]],TableWRTECalcPts[RK],0)),"")</f>
        <v>6</v>
      </c>
      <c r="AZ16" s="131">
        <f>IFERROR(INDEX(TableWRTECalcPts[Custom],MATCH(TableWRTERank[[#This Row],[RK]],TableWRTECalcPts[RK],0)),"")</f>
        <v>194.98899947146739</v>
      </c>
      <c r="BA16" s="188">
        <f>IFERROR((TableWRTERank[[#This Row],[FPS]]-INDEX(TableWRTERank[FPS],MATCH(WRTEVORPCalc,TableWRTERank[RK],0)))/INDEX(TableWRTERank[FPS],MATCH(WRTEVORPCalc,TableWRTERank[RK],0)),"")</f>
        <v>0.40898174935553006</v>
      </c>
      <c r="BC16" t="s">
        <v>257</v>
      </c>
      <c r="BD16">
        <v>15</v>
      </c>
      <c r="BE16" s="86">
        <f>RANK(TableWRTEMaster[[#This Row],[VORP]],TableWRTEMaster[VORP])+COUNTIF($BJ$2:BJ16,BJ16)-1</f>
        <v>18</v>
      </c>
      <c r="BF16" s="123" t="str">
        <f>IFERROR(INDEX(TableWRVORP[WIDE RECEIVER],MATCH(TableWRTEMaster[[#This Row],[RK]],TableWRVORP[RK],0)),"")</f>
        <v>Jahan Dotson</v>
      </c>
      <c r="BG16" s="123" t="str">
        <f>_xlfn.CONCAT(TableWRTEMaster[[#This Row],[POS]],TableWRTEMaster[[#This Row],[RK]])</f>
        <v>WR15</v>
      </c>
      <c r="BH16" s="123">
        <f>IFERROR(INDEX(TableWRVORP[BYE],MATCH(TableWRTEMaster[[#This Row],[RK]],TableWRVORP[RK],0)),"")</f>
        <v>14</v>
      </c>
      <c r="BI16" s="124">
        <f>IFERROR(INDEX(TableWRVORP[FPS],MATCH(TableWRTEMaster[[#This Row],[RK]],TableWRVORP[RK],0)),"")</f>
        <v>191.8214704728</v>
      </c>
      <c r="BJ16" s="125">
        <f>IFERROR(INDEX(TableWRVORP[VORP],MATCH(TableWRTEMaster[[#This Row],[RK]],TableWRVORP[RK],0)),"")</f>
        <v>0.47224186131400386</v>
      </c>
    </row>
    <row r="17" spans="1:62" x14ac:dyDescent="0.2">
      <c r="A17">
        <v>16</v>
      </c>
      <c r="B17" s="120" t="str">
        <f>IFERROR(INDEX(TableQBCalcPts[PLAYER],MATCH(TableQBVORP[[#This Row],[RK]],TableQBCalcPts[RK],0)),"")</f>
        <v>Aaron Rodgers</v>
      </c>
      <c r="C17" s="120" t="str">
        <f>IFERROR(INDEX(TableQBCalcPts[TM],MATCH(TableQBVORP[[#This Row],[RK]],TableQBCalcPts[RK],0)),"")</f>
        <v>NYJ</v>
      </c>
      <c r="D17" s="120">
        <f>IFERROR(INDEX(TableQBCalcPts[BYE],MATCH(TableQBVORP[[#This Row],[RK]],TableQBCalcPts[RK],0)),"")</f>
        <v>7</v>
      </c>
      <c r="E17" s="121">
        <f>IFERROR(INDEX(TableQBCalcPts[Custom],MATCH(TableQBVORP[[#This Row],[RK]],TableQBCalcPts[RK],0)),"")</f>
        <v>305.28497840435239</v>
      </c>
      <c r="F17" s="122">
        <f>(IFERROR((TableQBVORP[[#This Row],[FPS]]-INDEX(TableQBVORP[FPS],MATCH(QBVORPCalc,TableQBVORP[RK],0)))/INDEX(TableQBVORP[FPS],MATCH(QBVORPCalc,TableQBVORP[RK],0)),""))+(TableRBVORP[[#This Row],[VORP]]*0.45)</f>
        <v>1.2763595932379246E-2</v>
      </c>
      <c r="H17">
        <v>16</v>
      </c>
      <c r="I17" s="120" t="str">
        <f>IFERROR(INDEX(TableRBCalcPts[PLAYER],MATCH(TableRBVORP[[#This Row],[RK]],TableRBCalcPts[RK],0)),"")</f>
        <v>Cam Akers</v>
      </c>
      <c r="J17" s="120" t="str">
        <f>IFERROR(INDEX(TableRBCalcPts[TM],MATCH(TableRBVORP[[#This Row],[RK]],TableRBCalcPts[RK],0)),"")</f>
        <v>LAR</v>
      </c>
      <c r="K17" s="120">
        <f>IFERROR(INDEX(TableRBCalcPts[BYE],MATCH(TableRBVORP[[#This Row],[RK]],TableRBCalcPts[RK],0)),"")</f>
        <v>10</v>
      </c>
      <c r="L17" s="121">
        <f>IFERROR(INDEX(TableRBCalcPts[Custom],MATCH(TableRBVORP[[#This Row],[RK]],TableRBCalcPts[RK],0)),"")</f>
        <v>198.18796580263299</v>
      </c>
      <c r="M17" s="122">
        <f>IFERROR((TableRBVORP[[#This Row],[FPS]]-INDEX(TableRBVORP[FPS],MATCH(RBVORPCalc,TableRBVORP[RK],0)))/INDEX(TableRBVORP[FPS],MATCH(RBVORPCalc,TableRBVORP[RK],0)),"")</f>
        <v>0.61835086920072369</v>
      </c>
      <c r="O17">
        <v>16</v>
      </c>
      <c r="P17" s="120" t="str">
        <f>IFERROR(INDEX(TableWRCalcPts[PLAYER],MATCH(TableWRVORP[[#This Row],[RK]],TableWRCalcPts[RK],0)),"")</f>
        <v>Chris Olave</v>
      </c>
      <c r="Q17" s="120" t="str">
        <f>IFERROR(INDEX(TableWRCalcPts[TM],MATCH(TableWRVORP[[#This Row],[RK]],TableWRCalcPts[RK],0)),"")</f>
        <v>NO</v>
      </c>
      <c r="R17" s="120">
        <f>IFERROR(INDEX(TableWRCalcPts[BYE],MATCH(TableWRVORP[[#This Row],[RK]],TableWRCalcPts[RK],0)),"")</f>
        <v>11</v>
      </c>
      <c r="S17" s="121">
        <f>IFERROR(INDEX(TableWRCalcPts[Custom],MATCH(TableWRVORP[[#This Row],[RK]],TableWRCalcPts[RK],0)),"")</f>
        <v>191.7746675145101</v>
      </c>
      <c r="T17" s="122">
        <f>IFERROR((TableWRVORP[[#This Row],[FPS]]-INDEX(TableWRVORP[FPS],MATCH(WRVORPCalc,TableWRVORP[RK],0)))/INDEX(TableWRVORP[FPS],MATCH(WRVORPCalc,TableWRVORP[RK],0)),"")</f>
        <v>0.47188264566281585</v>
      </c>
      <c r="V17">
        <v>16</v>
      </c>
      <c r="W17" s="120" t="str">
        <f>IFERROR(INDEX(TableTECalcPts[PLAYER],MATCH(TableTEVORP[[#This Row],[RK]],TableTECalcPts[RK],0)),"")</f>
        <v>Dalton Schultz</v>
      </c>
      <c r="X17" s="120" t="str">
        <f>IFERROR(INDEX(TableTECalcPts[TM],MATCH(TableTEVORP[[#This Row],[RK]],TableTECalcPts[RK],0)),"")</f>
        <v>HOU</v>
      </c>
      <c r="Y17" s="120">
        <f>IFERROR(INDEX(TableTECalcPts[BYE],MATCH(TableTEVORP[[#This Row],[RK]],TableTECalcPts[RK],0)),"")</f>
        <v>7</v>
      </c>
      <c r="Z17" s="121">
        <f>IFERROR(INDEX(TableTECalcPts[Custom],MATCH(TableTEVORP[[#This Row],[RK]],TableTECalcPts[RK],0)),"")</f>
        <v>107.78710020429105</v>
      </c>
      <c r="AA17" s="122">
        <f>IFERROR((TableTEVORP[[#This Row],[FPS]]-INDEX(TableTEVORP[FPS],MATCH(TEVORPCalc,TableTEVORP[RK],0)))/INDEX(TableTEVORP[FPS],MATCH(TEVORPCalc,TableTEVORP[RK],0)),"")</f>
        <v>-9.2931663354217958E-2</v>
      </c>
      <c r="AF17" t="s">
        <v>9</v>
      </c>
      <c r="AG17">
        <v>16</v>
      </c>
      <c r="AH17" s="86">
        <f>RANK(TableOverallMaster[[#This Row],[VORP]],TableOverallMaster[VORP])+COUNTIF($AM$2:AM17,AM17)-1</f>
        <v>125</v>
      </c>
      <c r="AI17" s="123" t="str">
        <f>IFERROR(INDEX(TableQBVORP[QUARTERBACK],MATCH(TableOverallMaster[[#This Row],[RK]],TableQBVORP[RK],0)),"")</f>
        <v>Aaron Rodgers</v>
      </c>
      <c r="AJ17" s="123" t="str">
        <f t="shared" si="0"/>
        <v>QB16</v>
      </c>
      <c r="AK17" s="123">
        <f>IFERROR(INDEX(TableQBVORP[BYE],MATCH(TableOverallMaster[[#This Row],[RK]],TableQBVORP[RK],0)),"")</f>
        <v>7</v>
      </c>
      <c r="AL17" s="124">
        <f>IFERROR(INDEX(TableQBVORP[FPS],MATCH(TableOverallMaster[[#This Row],[RK]],TableQBVORP[RK],0)),"")</f>
        <v>305.28497840435239</v>
      </c>
      <c r="AM17" s="125">
        <f>IFERROR(INDEX(TableQBVORP[VORP],MATCH(TableOverallMaster[[#This Row],[RK]],TableQBVORP[RK],0)),"")</f>
        <v>1.2763595932379246E-2</v>
      </c>
      <c r="AO17">
        <v>16</v>
      </c>
      <c r="AP17" s="126" t="str">
        <f>IFERROR(INDEX(TableOverallMaster[OVERALL PLAYER],MATCH(TableOverallRank[[#This Row],[RK]],TableOverallMaster[OVR RK],0)),"")</f>
        <v>Rhamondre Stevenson</v>
      </c>
      <c r="AQ17" s="127" t="str">
        <f>IFERROR(INDEX(TableOverallMaster[POS RK],MATCH(TableOverallRank[[#This Row],[OVERALL PLAYER]],TableOverallMaster[OVERALL PLAYER],0)),"")</f>
        <v>RB9</v>
      </c>
      <c r="AR17" s="128">
        <f>IFERROR(INDEX(TableOverallMaster[BYE],MATCH(TableOverallRank[[#This Row],[OVERALL PLAYER]],TableOverallMaster[OVERALL PLAYER],0)),"")</f>
        <v>11</v>
      </c>
      <c r="AS17" s="127">
        <f>IFERROR(INDEX(TableOverallMaster[Custom],MATCH(TableOverallRank[[#This Row],[OVERALL PLAYER]],TableOverallMaster[OVERALL PLAYER],0)),"")</f>
        <v>219.66601335836557</v>
      </c>
      <c r="AT17" s="129">
        <f>IFERROR(INDEX(TableOverallMaster[VORP],MATCH(TableOverallRank[[#This Row],[OVERALL PLAYER]],TableOverallMaster[OVERALL PLAYER],0)),"")</f>
        <v>0.7937349637383776</v>
      </c>
      <c r="AV17">
        <v>16</v>
      </c>
      <c r="AW17" s="130" t="str">
        <f>IFERROR(INDEX(TableWRTECalcPts[PLAYER],MATCH(TableWRTERank[[#This Row],[RK]],TableWRTECalcPts[RK],0)),"")</f>
        <v>Jahan Dotson</v>
      </c>
      <c r="AX17" s="130" t="str">
        <f>IFERROR(INDEX(TableWRTECalcPts[POS RK],MATCH(TableWRTERank[[#This Row],[WR and TE COMBINED]],TableWRTECalcPts[PLAYER],0)),"")</f>
        <v>WR15</v>
      </c>
      <c r="AY17" s="130">
        <f>IFERROR(INDEX(TableWRTECalcPts[BYE],MATCH(TableWRTERank[[#This Row],[RK]],TableWRTECalcPts[RK],0)),"")</f>
        <v>14</v>
      </c>
      <c r="AZ17" s="131">
        <f>IFERROR(INDEX(TableWRTECalcPts[Custom],MATCH(TableWRTERank[[#This Row],[RK]],TableWRTECalcPts[RK],0)),"")</f>
        <v>191.8214704728</v>
      </c>
      <c r="BA17" s="188">
        <f>IFERROR((TableWRTERank[[#This Row],[FPS]]-INDEX(TableWRTERank[FPS],MATCH(WRTEVORPCalc,TableWRTERank[RK],0)))/INDEX(TableWRTERank[FPS],MATCH(WRTEVORPCalc,TableWRTERank[RK],0)),"")</f>
        <v>0.38609332712774269</v>
      </c>
      <c r="BC17" t="s">
        <v>257</v>
      </c>
      <c r="BD17">
        <v>16</v>
      </c>
      <c r="BE17" s="86">
        <f>RANK(TableWRTEMaster[[#This Row],[VORP]],TableWRTEMaster[VORP])+COUNTIF($BJ$2:BJ17,BJ17)-1</f>
        <v>19</v>
      </c>
      <c r="BF17" s="123" t="str">
        <f>IFERROR(INDEX(TableWRVORP[WIDE RECEIVER],MATCH(TableWRTEMaster[[#This Row],[RK]],TableWRVORP[RK],0)),"")</f>
        <v>Chris Olave</v>
      </c>
      <c r="BG17" s="123" t="str">
        <f>_xlfn.CONCAT(TableWRTEMaster[[#This Row],[POS]],TableWRTEMaster[[#This Row],[RK]])</f>
        <v>WR16</v>
      </c>
      <c r="BH17" s="123">
        <f>IFERROR(INDEX(TableWRVORP[BYE],MATCH(TableWRTEMaster[[#This Row],[RK]],TableWRVORP[RK],0)),"")</f>
        <v>11</v>
      </c>
      <c r="BI17" s="124">
        <f>IFERROR(INDEX(TableWRVORP[FPS],MATCH(TableWRTEMaster[[#This Row],[RK]],TableWRVORP[RK],0)),"")</f>
        <v>191.7746675145101</v>
      </c>
      <c r="BJ17" s="125">
        <f>IFERROR(INDEX(TableWRVORP[VORP],MATCH(TableWRTEMaster[[#This Row],[RK]],TableWRVORP[RK],0)),"")</f>
        <v>0.47188264566281585</v>
      </c>
    </row>
    <row r="18" spans="1:62" x14ac:dyDescent="0.2">
      <c r="A18">
        <v>17</v>
      </c>
      <c r="B18" s="120" t="str">
        <f>IFERROR(INDEX(TableQBCalcPts[PLAYER],MATCH(TableQBVORP[[#This Row],[RK]],TableQBCalcPts[RK],0)),"")</f>
        <v>Russell Wilson</v>
      </c>
      <c r="C18" s="120" t="str">
        <f>IFERROR(INDEX(TableQBCalcPts[TM],MATCH(TableQBVORP[[#This Row],[RK]],TableQBCalcPts[RK],0)),"")</f>
        <v>DEN</v>
      </c>
      <c r="D18" s="120">
        <f>IFERROR(INDEX(TableQBCalcPts[BYE],MATCH(TableQBVORP[[#This Row],[RK]],TableQBCalcPts[RK],0)),"")</f>
        <v>9</v>
      </c>
      <c r="E18" s="121">
        <f>IFERROR(INDEX(TableQBCalcPts[Custom],MATCH(TableQBVORP[[#This Row],[RK]],TableQBCalcPts[RK],0)),"")</f>
        <v>296.59318059087798</v>
      </c>
      <c r="F18" s="122">
        <f>(IFERROR((TableQBVORP[[#This Row],[FPS]]-INDEX(TableQBVORP[FPS],MATCH(QBVORPCalc,TableQBVORP[RK],0)))/INDEX(TableQBVORP[FPS],MATCH(QBVORPCalc,TableQBVORP[RK],0)),""))+(TableRBVORP[[#This Row],[VORP]]*0.45)</f>
        <v>-8.1930834365366856E-3</v>
      </c>
      <c r="H18">
        <v>17</v>
      </c>
      <c r="I18" s="120" t="str">
        <f>IFERROR(INDEX(TableRBCalcPts[PLAYER],MATCH(TableRBVORP[[#This Row],[RK]],TableRBCalcPts[RK],0)),"")</f>
        <v>Miles Sanders</v>
      </c>
      <c r="J18" s="120" t="str">
        <f>IFERROR(INDEX(TableRBCalcPts[TM],MATCH(TableRBVORP[[#This Row],[RK]],TableRBCalcPts[RK],0)),"")</f>
        <v>CAR</v>
      </c>
      <c r="K18" s="120">
        <f>IFERROR(INDEX(TableRBCalcPts[BYE],MATCH(TableRBVORP[[#This Row],[RK]],TableRBCalcPts[RK],0)),"")</f>
        <v>7</v>
      </c>
      <c r="L18" s="121">
        <f>IFERROR(INDEX(TableRBCalcPts[Custom],MATCH(TableRBVORP[[#This Row],[RK]],TableRBCalcPts[RK],0)),"")</f>
        <v>198.17585634036573</v>
      </c>
      <c r="M18" s="122">
        <f>IFERROR((TableRBVORP[[#This Row],[FPS]]-INDEX(TableRBVORP[FPS],MATCH(RBVORPCalc,TableRBVORP[RK],0)))/INDEX(TableRBVORP[FPS],MATCH(RBVORPCalc,TableRBVORP[RK],0)),"")</f>
        <v>0.61825198651273394</v>
      </c>
      <c r="O18">
        <v>17</v>
      </c>
      <c r="P18" s="120" t="str">
        <f>IFERROR(INDEX(TableWRCalcPts[PLAYER],MATCH(TableWRVORP[[#This Row],[RK]],TableWRCalcPts[RK],0)),"")</f>
        <v>DeAndre Hopkins</v>
      </c>
      <c r="Q18" s="120" t="str">
        <f>IFERROR(INDEX(TableWRCalcPts[TM],MATCH(TableWRVORP[[#This Row],[RK]],TableWRCalcPts[RK],0)),"")</f>
        <v>TEN</v>
      </c>
      <c r="R18" s="120">
        <f>IFERROR(INDEX(TableWRCalcPts[BYE],MATCH(TableWRVORP[[#This Row],[RK]],TableWRCalcPts[RK],0)),"")</f>
        <v>7</v>
      </c>
      <c r="S18" s="121">
        <f>IFERROR(INDEX(TableWRCalcPts[Custom],MATCH(TableWRVORP[[#This Row],[RK]],TableWRCalcPts[RK],0)),"")</f>
        <v>189.24061536009924</v>
      </c>
      <c r="T18" s="122">
        <f>IFERROR((TableWRVORP[[#This Row],[FPS]]-INDEX(TableWRVORP[FPS],MATCH(WRVORPCalc,TableWRVORP[RK],0)))/INDEX(TableWRVORP[FPS],MATCH(WRVORPCalc,TableWRVORP[RK],0)),"")</f>
        <v>0.45243363585551372</v>
      </c>
      <c r="V18">
        <v>17</v>
      </c>
      <c r="W18" s="120" t="str">
        <f>IFERROR(INDEX(TableTECalcPts[PLAYER],MATCH(TableTEVORP[[#This Row],[RK]],TableTECalcPts[RK],0)),"")</f>
        <v>Zach Ertz</v>
      </c>
      <c r="X18" s="120" t="str">
        <f>IFERROR(INDEX(TableTECalcPts[TM],MATCH(TableTEVORP[[#This Row],[RK]],TableTECalcPts[RK],0)),"")</f>
        <v>ARI</v>
      </c>
      <c r="Y18" s="120">
        <f>IFERROR(INDEX(TableTECalcPts[BYE],MATCH(TableTEVORP[[#This Row],[RK]],TableTECalcPts[RK],0)),"")</f>
        <v>14</v>
      </c>
      <c r="Z18" s="121">
        <f>IFERROR(INDEX(TableTECalcPts[Custom],MATCH(TableTEVORP[[#This Row],[RK]],TableTECalcPts[RK],0)),"")</f>
        <v>102.28849844849999</v>
      </c>
      <c r="AA18" s="122">
        <f>IFERROR((TableTEVORP[[#This Row],[FPS]]-INDEX(TableTEVORP[FPS],MATCH(TEVORPCalc,TableTEVORP[RK],0)))/INDEX(TableTEVORP[FPS],MATCH(TEVORPCalc,TableTEVORP[RK],0)),"")</f>
        <v>-0.1392044319791263</v>
      </c>
      <c r="AF18" t="s">
        <v>9</v>
      </c>
      <c r="AG18">
        <v>17</v>
      </c>
      <c r="AH18" s="86">
        <f>RANK(TableOverallMaster[[#This Row],[VORP]],TableOverallMaster[VORP])+COUNTIF($AM$2:AM18,AM18)-1</f>
        <v>133</v>
      </c>
      <c r="AI18" s="123" t="str">
        <f>IFERROR(INDEX(TableQBVORP[QUARTERBACK],MATCH(TableOverallMaster[[#This Row],[RK]],TableQBVORP[RK],0)),"")</f>
        <v>Russell Wilson</v>
      </c>
      <c r="AJ18" s="123" t="str">
        <f t="shared" si="0"/>
        <v>QB17</v>
      </c>
      <c r="AK18" s="123">
        <f>IFERROR(INDEX(TableQBVORP[BYE],MATCH(TableOverallMaster[[#This Row],[RK]],TableQBVORP[RK],0)),"")</f>
        <v>9</v>
      </c>
      <c r="AL18" s="124">
        <f>IFERROR(INDEX(TableQBVORP[FPS],MATCH(TableOverallMaster[[#This Row],[RK]],TableQBVORP[RK],0)),"")</f>
        <v>296.59318059087798</v>
      </c>
      <c r="AM18" s="125">
        <f>IFERROR(INDEX(TableQBVORP[VORP],MATCH(TableOverallMaster[[#This Row],[RK]],TableQBVORP[RK],0)),"")</f>
        <v>-8.1930834365366856E-3</v>
      </c>
      <c r="AO18">
        <v>17</v>
      </c>
      <c r="AP18" s="126" t="str">
        <f>IFERROR(INDEX(TableOverallMaster[OVERALL PLAYER],MATCH(TableOverallRank[[#This Row],[RK]],TableOverallMaster[OVR RK],0)),"")</f>
        <v>Joe Mixon</v>
      </c>
      <c r="AQ18" s="127" t="str">
        <f>IFERROR(INDEX(TableOverallMaster[POS RK],MATCH(TableOverallRank[[#This Row],[OVERALL PLAYER]],TableOverallMaster[OVERALL PLAYER],0)),"")</f>
        <v>RB10</v>
      </c>
      <c r="AR18" s="128">
        <f>IFERROR(INDEX(TableOverallMaster[BYE],MATCH(TableOverallRank[[#This Row],[OVERALL PLAYER]],TableOverallMaster[OVERALL PLAYER],0)),"")</f>
        <v>7</v>
      </c>
      <c r="AS18" s="127">
        <f>IFERROR(INDEX(TableOverallMaster[Custom],MATCH(TableOverallRank[[#This Row],[OVERALL PLAYER]],TableOverallMaster[OVERALL PLAYER],0)),"")</f>
        <v>218.79658404116833</v>
      </c>
      <c r="AT18" s="129">
        <f>IFERROR(INDEX(TableOverallMaster[VORP],MATCH(TableOverallRank[[#This Row],[OVERALL PLAYER]],TableOverallMaster[OVERALL PLAYER],0)),"")</f>
        <v>0.78663543231377042</v>
      </c>
      <c r="AV18">
        <v>17</v>
      </c>
      <c r="AW18" s="130" t="str">
        <f>IFERROR(INDEX(TableWRTECalcPts[PLAYER],MATCH(TableWRTERank[[#This Row],[RK]],TableWRTECalcPts[RK],0)),"")</f>
        <v>Chris Olave</v>
      </c>
      <c r="AX18" s="130" t="str">
        <f>IFERROR(INDEX(TableWRTECalcPts[POS RK],MATCH(TableWRTERank[[#This Row],[WR and TE COMBINED]],TableWRTECalcPts[PLAYER],0)),"")</f>
        <v>WR16</v>
      </c>
      <c r="AY18" s="130">
        <f>IFERROR(INDEX(TableWRTECalcPts[BYE],MATCH(TableWRTERank[[#This Row],[RK]],TableWRTECalcPts[RK],0)),"")</f>
        <v>11</v>
      </c>
      <c r="AZ18" s="131">
        <f>IFERROR(INDEX(TableWRTECalcPts[Custom],MATCH(TableWRTERank[[#This Row],[RK]],TableWRTECalcPts[RK],0)),"")</f>
        <v>191.7746675145101</v>
      </c>
      <c r="BA18" s="188">
        <f>IFERROR((TableWRTERank[[#This Row],[FPS]]-INDEX(TableWRTERank[FPS],MATCH(WRTEVORPCalc,TableWRTERank[RK],0)))/INDEX(TableWRTERank[FPS],MATCH(WRTEVORPCalc,TableWRTERank[RK],0)),"")</f>
        <v>0.38575513105398945</v>
      </c>
      <c r="BC18" t="s">
        <v>257</v>
      </c>
      <c r="BD18">
        <v>17</v>
      </c>
      <c r="BE18" s="86">
        <f>RANK(TableWRTEMaster[[#This Row],[VORP]],TableWRTEMaster[VORP])+COUNTIF($BJ$2:BJ18,BJ18)-1</f>
        <v>21</v>
      </c>
      <c r="BF18" s="123" t="str">
        <f>IFERROR(INDEX(TableWRVORP[WIDE RECEIVER],MATCH(TableWRTEMaster[[#This Row],[RK]],TableWRVORP[RK],0)),"")</f>
        <v>DeAndre Hopkins</v>
      </c>
      <c r="BG18" s="123" t="str">
        <f>_xlfn.CONCAT(TableWRTEMaster[[#This Row],[POS]],TableWRTEMaster[[#This Row],[RK]])</f>
        <v>WR17</v>
      </c>
      <c r="BH18" s="123">
        <f>IFERROR(INDEX(TableWRVORP[BYE],MATCH(TableWRTEMaster[[#This Row],[RK]],TableWRVORP[RK],0)),"")</f>
        <v>7</v>
      </c>
      <c r="BI18" s="124">
        <f>IFERROR(INDEX(TableWRVORP[FPS],MATCH(TableWRTEMaster[[#This Row],[RK]],TableWRVORP[RK],0)),"")</f>
        <v>189.24061536009924</v>
      </c>
      <c r="BJ18" s="125">
        <f>IFERROR(INDEX(TableWRVORP[VORP],MATCH(TableWRTEMaster[[#This Row],[RK]],TableWRVORP[RK],0)),"")</f>
        <v>0.45243363585551372</v>
      </c>
    </row>
    <row r="19" spans="1:62" x14ac:dyDescent="0.2">
      <c r="A19">
        <v>18</v>
      </c>
      <c r="B19" s="120" t="str">
        <f>IFERROR(INDEX(TableQBCalcPts[PLAYER],MATCH(TableQBVORP[[#This Row],[RK]],TableQBCalcPts[RK],0)),"")</f>
        <v>Bryce Young</v>
      </c>
      <c r="C19" s="120" t="str">
        <f>IFERROR(INDEX(TableQBCalcPts[TM],MATCH(TableQBVORP[[#This Row],[RK]],TableQBCalcPts[RK],0)),"")</f>
        <v>CAR</v>
      </c>
      <c r="D19" s="120">
        <f>IFERROR(INDEX(TableQBCalcPts[BYE],MATCH(TableQBVORP[[#This Row],[RK]],TableQBCalcPts[RK],0)),"")</f>
        <v>7</v>
      </c>
      <c r="E19" s="121">
        <f>IFERROR(INDEX(TableQBCalcPts[Custom],MATCH(TableQBVORP[[#This Row],[RK]],TableQBCalcPts[RK],0)),"")</f>
        <v>294.26252157990365</v>
      </c>
      <c r="F19" s="122">
        <f>(IFERROR((TableQBVORP[[#This Row],[FPS]]-INDEX(TableQBVORP[FPS],MATCH(QBVORPCalc,TableQBVORP[RK],0)))/INDEX(TableQBVORP[FPS],MATCH(QBVORPCalc,TableQBVORP[RK],0)),""))+(TableRBVORP[[#This Row],[VORP]]*0.45)</f>
        <v>-2.0091354044756926E-2</v>
      </c>
      <c r="H19">
        <v>18</v>
      </c>
      <c r="I19" s="120" t="str">
        <f>IFERROR(INDEX(TableRBCalcPts[PLAYER],MATCH(TableRBVORP[[#This Row],[RK]],TableRBCalcPts[RK],0)),"")</f>
        <v>J.K. Dobbins</v>
      </c>
      <c r="J19" s="120" t="str">
        <f>IFERROR(INDEX(TableRBCalcPts[TM],MATCH(TableRBVORP[[#This Row],[RK]],TableRBCalcPts[RK],0)),"")</f>
        <v>BAL</v>
      </c>
      <c r="K19" s="120">
        <f>IFERROR(INDEX(TableRBCalcPts[BYE],MATCH(TableRBVORP[[#This Row],[RK]],TableRBCalcPts[RK],0)),"")</f>
        <v>13</v>
      </c>
      <c r="L19" s="121">
        <f>IFERROR(INDEX(TableRBCalcPts[Custom],MATCH(TableRBVORP[[#This Row],[RK]],TableRBCalcPts[RK],0)),"")</f>
        <v>196.46388437581254</v>
      </c>
      <c r="M19" s="122">
        <f>IFERROR((TableRBVORP[[#This Row],[FPS]]-INDEX(TableRBVORP[FPS],MATCH(RBVORPCalc,TableRBVORP[RK],0)))/INDEX(TableRBVORP[FPS],MATCH(RBVORPCalc,TableRBVORP[RK],0)),"")</f>
        <v>0.60427247314691734</v>
      </c>
      <c r="O19">
        <v>18</v>
      </c>
      <c r="P19" s="120" t="str">
        <f>IFERROR(INDEX(TableWRCalcPts[PLAYER],MATCH(TableWRVORP[[#This Row],[RK]],TableWRCalcPts[RK],0)),"")</f>
        <v>DeVonta Smith</v>
      </c>
      <c r="Q19" s="120" t="str">
        <f>IFERROR(INDEX(TableWRCalcPts[TM],MATCH(TableWRVORP[[#This Row],[RK]],TableWRCalcPts[RK],0)),"")</f>
        <v>PHI</v>
      </c>
      <c r="R19" s="120">
        <f>IFERROR(INDEX(TableWRCalcPts[BYE],MATCH(TableWRVORP[[#This Row],[RK]],TableWRCalcPts[RK],0)),"")</f>
        <v>10</v>
      </c>
      <c r="S19" s="121">
        <f>IFERROR(INDEX(TableWRCalcPts[Custom],MATCH(TableWRVORP[[#This Row],[RK]],TableWRCalcPts[RK],0)),"")</f>
        <v>189.0966160335829</v>
      </c>
      <c r="T19" s="122">
        <f>IFERROR((TableWRVORP[[#This Row],[FPS]]-INDEX(TableWRVORP[FPS],MATCH(WRVORPCalc,TableWRVORP[RK],0)))/INDEX(TableWRVORP[FPS],MATCH(WRVORPCalc,TableWRVORP[RK],0)),"")</f>
        <v>0.45132843195953776</v>
      </c>
      <c r="V19">
        <v>18</v>
      </c>
      <c r="W19" s="120" t="str">
        <f>IFERROR(INDEX(TableTECalcPts[PLAYER],MATCH(TableTEVORP[[#This Row],[RK]],TableTECalcPts[RK],0)),"")</f>
        <v>Dawson Knox</v>
      </c>
      <c r="X19" s="120" t="str">
        <f>IFERROR(INDEX(TableTECalcPts[TM],MATCH(TableTEVORP[[#This Row],[RK]],TableTECalcPts[RK],0)),"")</f>
        <v>BUF</v>
      </c>
      <c r="Y19" s="120">
        <f>IFERROR(INDEX(TableTECalcPts[BYE],MATCH(TableTEVORP[[#This Row],[RK]],TableTECalcPts[RK],0)),"")</f>
        <v>13</v>
      </c>
      <c r="Z19" s="121">
        <f>IFERROR(INDEX(TableTECalcPts[Custom],MATCH(TableTEVORP[[#This Row],[RK]],TableTECalcPts[RK],0)),"")</f>
        <v>101.98897439520259</v>
      </c>
      <c r="AA19" s="122">
        <f>IFERROR((TableTEVORP[[#This Row],[FPS]]-INDEX(TableTEVORP[FPS],MATCH(TEVORPCalc,TableTEVORP[RK],0)))/INDEX(TableTEVORP[FPS],MATCH(TEVORPCalc,TableTEVORP[RK],0)),"")</f>
        <v>-0.14172503773153025</v>
      </c>
      <c r="AF19" t="s">
        <v>9</v>
      </c>
      <c r="AG19">
        <v>18</v>
      </c>
      <c r="AH19" s="86">
        <f>RANK(TableOverallMaster[[#This Row],[VORP]],TableOverallMaster[VORP])+COUNTIF($AM$2:AM19,AM19)-1</f>
        <v>134</v>
      </c>
      <c r="AI19" s="123" t="str">
        <f>IFERROR(INDEX(TableQBVORP[QUARTERBACK],MATCH(TableOverallMaster[[#This Row],[RK]],TableQBVORP[RK],0)),"")</f>
        <v>Bryce Young</v>
      </c>
      <c r="AJ19" s="123" t="str">
        <f t="shared" si="0"/>
        <v>QB18</v>
      </c>
      <c r="AK19" s="123">
        <f>IFERROR(INDEX(TableQBVORP[BYE],MATCH(TableOverallMaster[[#This Row],[RK]],TableQBVORP[RK],0)),"")</f>
        <v>7</v>
      </c>
      <c r="AL19" s="124">
        <f>IFERROR(INDEX(TableQBVORP[FPS],MATCH(TableOverallMaster[[#This Row],[RK]],TableQBVORP[RK],0)),"")</f>
        <v>294.26252157990365</v>
      </c>
      <c r="AM19" s="125">
        <f>IFERROR(INDEX(TableQBVORP[VORP],MATCH(TableOverallMaster[[#This Row],[RK]],TableQBVORP[RK],0)),"")</f>
        <v>-2.0091354044756926E-2</v>
      </c>
      <c r="AO19">
        <v>18</v>
      </c>
      <c r="AP19" s="126" t="str">
        <f>IFERROR(INDEX(TableOverallMaster[OVERALL PLAYER],MATCH(TableOverallRank[[#This Row],[RK]],TableOverallMaster[OVR RK],0)),"")</f>
        <v>Jahmyr Gibbs</v>
      </c>
      <c r="AQ19" s="127" t="str">
        <f>IFERROR(INDEX(TableOverallMaster[POS RK],MATCH(TableOverallRank[[#This Row],[OVERALL PLAYER]],TableOverallMaster[OVERALL PLAYER],0)),"")</f>
        <v>RB11</v>
      </c>
      <c r="AR19" s="128">
        <f>IFERROR(INDEX(TableOverallMaster[BYE],MATCH(TableOverallRank[[#This Row],[OVERALL PLAYER]],TableOverallMaster[OVERALL PLAYER],0)),"")</f>
        <v>9</v>
      </c>
      <c r="AS19" s="127">
        <f>IFERROR(INDEX(TableOverallMaster[Custom],MATCH(TableOverallRank[[#This Row],[OVERALL PLAYER]],TableOverallMaster[OVERALL PLAYER],0)),"")</f>
        <v>218.44083642233855</v>
      </c>
      <c r="AT19" s="129">
        <f>IFERROR(INDEX(TableOverallMaster[VORP],MATCH(TableOverallRank[[#This Row],[OVERALL PLAYER]],TableOverallMaster[OVERALL PLAYER],0)),"")</f>
        <v>0.78373049070534506</v>
      </c>
      <c r="AV19">
        <v>18</v>
      </c>
      <c r="AW19" s="130" t="str">
        <f>IFERROR(INDEX(TableWRTECalcPts[PLAYER],MATCH(TableWRTERank[[#This Row],[RK]],TableWRTECalcPts[RK],0)),"")</f>
        <v>DeAndre Hopkins</v>
      </c>
      <c r="AX19" s="130" t="str">
        <f>IFERROR(INDEX(TableWRTECalcPts[POS RK],MATCH(TableWRTERank[[#This Row],[WR and TE COMBINED]],TableWRTECalcPts[PLAYER],0)),"")</f>
        <v>WR17</v>
      </c>
      <c r="AY19" s="130">
        <f>IFERROR(INDEX(TableWRTECalcPts[BYE],MATCH(TableWRTERank[[#This Row],[RK]],TableWRTECalcPts[RK],0)),"")</f>
        <v>7</v>
      </c>
      <c r="AZ19" s="131">
        <f>IFERROR(INDEX(TableWRTECalcPts[Custom],MATCH(TableWRTERank[[#This Row],[RK]],TableWRTECalcPts[RK],0)),"")</f>
        <v>189.24061536009924</v>
      </c>
      <c r="BA19" s="188">
        <f>IFERROR((TableWRTERank[[#This Row],[FPS]]-INDEX(TableWRTERank[FPS],MATCH(WRTEVORPCalc,TableWRTERank[RK],0)))/INDEX(TableWRTERank[FPS],MATCH(WRTEVORPCalc,TableWRTERank[RK],0)),"")</f>
        <v>0.36744418404078416</v>
      </c>
      <c r="BC19" t="s">
        <v>257</v>
      </c>
      <c r="BD19">
        <v>18</v>
      </c>
      <c r="BE19" s="86">
        <f>RANK(TableWRTEMaster[[#This Row],[VORP]],TableWRTEMaster[VORP])+COUNTIF($BJ$2:BJ19,BJ19)-1</f>
        <v>22</v>
      </c>
      <c r="BF19" s="123" t="str">
        <f>IFERROR(INDEX(TableWRVORP[WIDE RECEIVER],MATCH(TableWRTEMaster[[#This Row],[RK]],TableWRVORP[RK],0)),"")</f>
        <v>DeVonta Smith</v>
      </c>
      <c r="BG19" s="123" t="str">
        <f>_xlfn.CONCAT(TableWRTEMaster[[#This Row],[POS]],TableWRTEMaster[[#This Row],[RK]])</f>
        <v>WR18</v>
      </c>
      <c r="BH19" s="123">
        <f>IFERROR(INDEX(TableWRVORP[BYE],MATCH(TableWRTEMaster[[#This Row],[RK]],TableWRVORP[RK],0)),"")</f>
        <v>10</v>
      </c>
      <c r="BI19" s="124">
        <f>IFERROR(INDEX(TableWRVORP[FPS],MATCH(TableWRTEMaster[[#This Row],[RK]],TableWRVORP[RK],0)),"")</f>
        <v>189.0966160335829</v>
      </c>
      <c r="BJ19" s="125">
        <f>IFERROR(INDEX(TableWRVORP[VORP],MATCH(TableWRTEMaster[[#This Row],[RK]],TableWRVORP[RK],0)),"")</f>
        <v>0.45132843195953776</v>
      </c>
    </row>
    <row r="20" spans="1:62" x14ac:dyDescent="0.2">
      <c r="A20">
        <v>19</v>
      </c>
      <c r="B20" s="120" t="str">
        <f>IFERROR(INDEX(TableQBCalcPts[PLAYER],MATCH(TableQBVORP[[#This Row],[RK]],TableQBCalcPts[RK],0)),"")</f>
        <v>Matthew Stafford</v>
      </c>
      <c r="C20" s="120" t="str">
        <f>IFERROR(INDEX(TableQBCalcPts[TM],MATCH(TableQBVORP[[#This Row],[RK]],TableQBCalcPts[RK],0)),"")</f>
        <v>LAR</v>
      </c>
      <c r="D20" s="120">
        <f>IFERROR(INDEX(TableQBCalcPts[BYE],MATCH(TableQBVORP[[#This Row],[RK]],TableQBCalcPts[RK],0)),"")</f>
        <v>10</v>
      </c>
      <c r="E20" s="121">
        <f>IFERROR(INDEX(TableQBCalcPts[Custom],MATCH(TableQBVORP[[#This Row],[RK]],TableQBCalcPts[RK],0)),"")</f>
        <v>287.42028298073348</v>
      </c>
      <c r="F20" s="122">
        <f>(IFERROR((TableQBVORP[[#This Row],[FPS]]-INDEX(TableQBVORP[FPS],MATCH(QBVORPCalc,TableQBVORP[RK],0)))/INDEX(TableQBVORP[FPS],MATCH(QBVORPCalc,TableQBVORP[RK],0)),""))+(TableRBVORP[[#This Row],[VORP]]*0.45)</f>
        <v>-4.5594448262709641E-2</v>
      </c>
      <c r="H20">
        <v>19</v>
      </c>
      <c r="I20" s="120" t="str">
        <f>IFERROR(INDEX(TableRBCalcPts[PLAYER],MATCH(TableRBVORP[[#This Row],[RK]],TableRBCalcPts[RK],0)),"")</f>
        <v>Khalil Herbert</v>
      </c>
      <c r="J20" s="120" t="str">
        <f>IFERROR(INDEX(TableRBCalcPts[TM],MATCH(TableRBVORP[[#This Row],[RK]],TableRBCalcPts[RK],0)),"")</f>
        <v>CHI</v>
      </c>
      <c r="K20" s="120">
        <f>IFERROR(INDEX(TableRBCalcPts[BYE],MATCH(TableRBVORP[[#This Row],[RK]],TableRBCalcPts[RK],0)),"")</f>
        <v>13</v>
      </c>
      <c r="L20" s="121">
        <f>IFERROR(INDEX(TableRBCalcPts[Custom],MATCH(TableRBVORP[[#This Row],[RK]],TableRBCalcPts[RK],0)),"")</f>
        <v>194.00349793430235</v>
      </c>
      <c r="M20" s="122">
        <f>IFERROR((TableRBVORP[[#This Row],[FPS]]-INDEX(TableRBVORP[FPS],MATCH(RBVORPCalc,TableRBVORP[RK],0)))/INDEX(TableRBVORP[FPS],MATCH(RBVORPCalc,TableRBVORP[RK],0)),"")</f>
        <v>0.58418160375400485</v>
      </c>
      <c r="O20">
        <v>19</v>
      </c>
      <c r="P20" s="120" t="str">
        <f>IFERROR(INDEX(TableWRCalcPts[PLAYER],MATCH(TableWRVORP[[#This Row],[RK]],TableWRCalcPts[RK],0)),"")</f>
        <v>Keenan Allen</v>
      </c>
      <c r="Q20" s="120" t="str">
        <f>IFERROR(INDEX(TableWRCalcPts[TM],MATCH(TableWRVORP[[#This Row],[RK]],TableWRCalcPts[RK],0)),"")</f>
        <v>LAC</v>
      </c>
      <c r="R20" s="120">
        <f>IFERROR(INDEX(TableWRCalcPts[BYE],MATCH(TableWRVORP[[#This Row],[RK]],TableWRCalcPts[RK],0)),"")</f>
        <v>5</v>
      </c>
      <c r="S20" s="121">
        <f>IFERROR(INDEX(TableWRCalcPts[Custom],MATCH(TableWRVORP[[#This Row],[RK]],TableWRCalcPts[RK],0)),"")</f>
        <v>188.37080588355121</v>
      </c>
      <c r="T20" s="122">
        <f>IFERROR((TableWRVORP[[#This Row],[FPS]]-INDEX(TableWRVORP[FPS],MATCH(WRVORPCalc,TableWRVORP[RK],0)))/INDEX(TableWRVORP[FPS],MATCH(WRVORPCalc,TableWRVORP[RK],0)),"")</f>
        <v>0.44575779336726001</v>
      </c>
      <c r="V20">
        <v>19</v>
      </c>
      <c r="W20" s="120" t="str">
        <f>IFERROR(INDEX(TableTECalcPts[PLAYER],MATCH(TableTEVORP[[#This Row],[RK]],TableTECalcPts[RK],0)),"")</f>
        <v>Jake Ferguson</v>
      </c>
      <c r="X20" s="120" t="str">
        <f>IFERROR(INDEX(TableTECalcPts[TM],MATCH(TableTEVORP[[#This Row],[RK]],TableTECalcPts[RK],0)),"")</f>
        <v>DAL</v>
      </c>
      <c r="Y20" s="120">
        <f>IFERROR(INDEX(TableTECalcPts[BYE],MATCH(TableTEVORP[[#This Row],[RK]],TableTECalcPts[RK],0)),"")</f>
        <v>7</v>
      </c>
      <c r="Z20" s="121">
        <f>IFERROR(INDEX(TableTECalcPts[Custom],MATCH(TableTEVORP[[#This Row],[RK]],TableTECalcPts[RK],0)),"")</f>
        <v>100.82096199922665</v>
      </c>
      <c r="AA20" s="122">
        <f>IFERROR((TableTEVORP[[#This Row],[FPS]]-INDEX(TableTEVORP[FPS],MATCH(TEVORPCalc,TableTEVORP[RK],0)))/INDEX(TableTEVORP[FPS],MATCH(TEVORPCalc,TableTEVORP[RK],0)),"")</f>
        <v>-0.15155429428627121</v>
      </c>
      <c r="AF20" t="s">
        <v>9</v>
      </c>
      <c r="AG20">
        <v>19</v>
      </c>
      <c r="AH20" s="86">
        <f>RANK(TableOverallMaster[[#This Row],[VORP]],TableOverallMaster[VORP])+COUNTIF($AM$2:AM20,AM20)-1</f>
        <v>135</v>
      </c>
      <c r="AI20" s="123" t="str">
        <f>IFERROR(INDEX(TableQBVORP[QUARTERBACK],MATCH(TableOverallMaster[[#This Row],[RK]],TableQBVORP[RK],0)),"")</f>
        <v>Matthew Stafford</v>
      </c>
      <c r="AJ20" s="123" t="str">
        <f t="shared" si="0"/>
        <v>QB19</v>
      </c>
      <c r="AK20" s="123">
        <f>IFERROR(INDEX(TableQBVORP[BYE],MATCH(TableOverallMaster[[#This Row],[RK]],TableQBVORP[RK],0)),"")</f>
        <v>10</v>
      </c>
      <c r="AL20" s="124">
        <f>IFERROR(INDEX(TableQBVORP[FPS],MATCH(TableOverallMaster[[#This Row],[RK]],TableQBVORP[RK],0)),"")</f>
        <v>287.42028298073348</v>
      </c>
      <c r="AM20" s="125">
        <f>IFERROR(INDEX(TableQBVORP[VORP],MATCH(TableOverallMaster[[#This Row],[RK]],TableQBVORP[RK],0)),"")</f>
        <v>-4.5594448262709641E-2</v>
      </c>
      <c r="AO20">
        <v>19</v>
      </c>
      <c r="AP20" s="126" t="str">
        <f>IFERROR(INDEX(TableOverallMaster[OVERALL PLAYER],MATCH(TableOverallRank[[#This Row],[RK]],TableOverallMaster[OVR RK],0)),"")</f>
        <v>Dameon Pierce</v>
      </c>
      <c r="AQ20" s="127" t="str">
        <f>IFERROR(INDEX(TableOverallMaster[POS RK],MATCH(TableOverallRank[[#This Row],[OVERALL PLAYER]],TableOverallMaster[OVERALL PLAYER],0)),"")</f>
        <v>RB12</v>
      </c>
      <c r="AR20" s="128">
        <f>IFERROR(INDEX(TableOverallMaster[BYE],MATCH(TableOverallRank[[#This Row],[OVERALL PLAYER]],TableOverallMaster[OVERALL PLAYER],0)),"")</f>
        <v>7</v>
      </c>
      <c r="AS20" s="127">
        <f>IFERROR(INDEX(TableOverallMaster[Custom],MATCH(TableOverallRank[[#This Row],[OVERALL PLAYER]],TableOverallMaster[OVERALL PLAYER],0)),"")</f>
        <v>218.07090358355615</v>
      </c>
      <c r="AT20" s="129">
        <f>IFERROR(INDEX(TableOverallMaster[VORP],MATCH(TableOverallRank[[#This Row],[OVERALL PLAYER]],TableOverallMaster[OVERALL PLAYER],0)),"")</f>
        <v>0.78070971631692632</v>
      </c>
      <c r="AV20">
        <v>19</v>
      </c>
      <c r="AW20" s="130" t="str">
        <f>IFERROR(INDEX(TableWRTECalcPts[PLAYER],MATCH(TableWRTERank[[#This Row],[RK]],TableWRTECalcPts[RK],0)),"")</f>
        <v>DeVonta Smith</v>
      </c>
      <c r="AX20" s="130" t="str">
        <f>IFERROR(INDEX(TableWRTECalcPts[POS RK],MATCH(TableWRTERank[[#This Row],[WR and TE COMBINED]],TableWRTECalcPts[PLAYER],0)),"")</f>
        <v>WR18</v>
      </c>
      <c r="AY20" s="130">
        <f>IFERROR(INDEX(TableWRTECalcPts[BYE],MATCH(TableWRTERank[[#This Row],[RK]],TableWRTECalcPts[RK],0)),"")</f>
        <v>10</v>
      </c>
      <c r="AZ20" s="131">
        <f>IFERROR(INDEX(TableWRTECalcPts[Custom],MATCH(TableWRTERank[[#This Row],[RK]],TableWRTECalcPts[RK],0)),"")</f>
        <v>189.0966160335829</v>
      </c>
      <c r="BA20" s="188">
        <f>IFERROR((TableWRTERank[[#This Row],[FPS]]-INDEX(TableWRTERank[FPS],MATCH(WRTEVORPCalc,TableWRTERank[RK],0)))/INDEX(TableWRTERank[FPS],MATCH(WRTEVORPCalc,TableWRTERank[RK],0)),"")</f>
        <v>0.36640365137724434</v>
      </c>
      <c r="BC20" t="s">
        <v>257</v>
      </c>
      <c r="BD20">
        <v>19</v>
      </c>
      <c r="BE20" s="86">
        <f>RANK(TableWRTEMaster[[#This Row],[VORP]],TableWRTEMaster[VORP])+COUNTIF($BJ$2:BJ20,BJ20)-1</f>
        <v>23</v>
      </c>
      <c r="BF20" s="123" t="str">
        <f>IFERROR(INDEX(TableWRVORP[WIDE RECEIVER],MATCH(TableWRTEMaster[[#This Row],[RK]],TableWRVORP[RK],0)),"")</f>
        <v>Keenan Allen</v>
      </c>
      <c r="BG20" s="123" t="str">
        <f>_xlfn.CONCAT(TableWRTEMaster[[#This Row],[POS]],TableWRTEMaster[[#This Row],[RK]])</f>
        <v>WR19</v>
      </c>
      <c r="BH20" s="123">
        <f>IFERROR(INDEX(TableWRVORP[BYE],MATCH(TableWRTEMaster[[#This Row],[RK]],TableWRVORP[RK],0)),"")</f>
        <v>5</v>
      </c>
      <c r="BI20" s="124">
        <f>IFERROR(INDEX(TableWRVORP[FPS],MATCH(TableWRTEMaster[[#This Row],[RK]],TableWRVORP[RK],0)),"")</f>
        <v>188.37080588355121</v>
      </c>
      <c r="BJ20" s="125">
        <f>IFERROR(INDEX(TableWRVORP[VORP],MATCH(TableWRTEMaster[[#This Row],[RK]],TableWRVORP[RK],0)),"")</f>
        <v>0.44575779336726001</v>
      </c>
    </row>
    <row r="21" spans="1:62" x14ac:dyDescent="0.2">
      <c r="A21">
        <v>20</v>
      </c>
      <c r="B21" s="120" t="str">
        <f>IFERROR(INDEX(TableQBCalcPts[PLAYER],MATCH(TableQBVORP[[#This Row],[RK]],TableQBCalcPts[RK],0)),"")</f>
        <v>Jared Goff</v>
      </c>
      <c r="C21" s="120" t="str">
        <f>IFERROR(INDEX(TableQBCalcPts[TM],MATCH(TableQBVORP[[#This Row],[RK]],TableQBCalcPts[RK],0)),"")</f>
        <v>DET</v>
      </c>
      <c r="D21" s="120">
        <f>IFERROR(INDEX(TableQBCalcPts[BYE],MATCH(TableQBVORP[[#This Row],[RK]],TableQBCalcPts[RK],0)),"")</f>
        <v>9</v>
      </c>
      <c r="E21" s="121">
        <f>IFERROR(INDEX(TableQBCalcPts[Custom],MATCH(TableQBVORP[[#This Row],[RK]],TableQBCalcPts[RK],0)),"")</f>
        <v>286.03273448914445</v>
      </c>
      <c r="F21" s="122">
        <f>(IFERROR((TableQBVORP[[#This Row],[FPS]]-INDEX(TableQBVORP[FPS],MATCH(QBVORPCalc,TableQBVORP[RK],0)))/INDEX(TableQBVORP[FPS],MATCH(QBVORPCalc,TableQBVORP[RK],0)),""))+(TableRBVORP[[#This Row],[VORP]]*0.45)</f>
        <v>-5.5851241022007392E-2</v>
      </c>
      <c r="H21">
        <v>20</v>
      </c>
      <c r="I21" s="120" t="str">
        <f>IFERROR(INDEX(TableRBCalcPts[PLAYER],MATCH(TableRBVORP[[#This Row],[RK]],TableRBCalcPts[RK],0)),"")</f>
        <v>David Montgomery</v>
      </c>
      <c r="J21" s="120" t="str">
        <f>IFERROR(INDEX(TableRBCalcPts[TM],MATCH(TableRBVORP[[#This Row],[RK]],TableRBCalcPts[RK],0)),"")</f>
        <v>DET</v>
      </c>
      <c r="K21" s="120">
        <f>IFERROR(INDEX(TableRBCalcPts[BYE],MATCH(TableRBVORP[[#This Row],[RK]],TableRBCalcPts[RK],0)),"")</f>
        <v>9</v>
      </c>
      <c r="L21" s="121">
        <f>IFERROR(INDEX(TableRBCalcPts[Custom],MATCH(TableRBVORP[[#This Row],[RK]],TableRBCalcPts[RK],0)),"")</f>
        <v>192.12072685644694</v>
      </c>
      <c r="M21" s="122">
        <f>IFERROR((TableRBVORP[[#This Row],[FPS]]-INDEX(TableRBVORP[FPS],MATCH(RBVORPCalc,TableRBVORP[RK],0)))/INDEX(TableRBVORP[FPS],MATCH(RBVORPCalc,TableRBVORP[RK],0)),"")</f>
        <v>0.56880738969406719</v>
      </c>
      <c r="O21">
        <v>20</v>
      </c>
      <c r="P21" s="120" t="str">
        <f>IFERROR(INDEX(TableWRCalcPts[PLAYER],MATCH(TableWRVORP[[#This Row],[RK]],TableWRCalcPts[RK],0)),"")</f>
        <v>DK Metcalf</v>
      </c>
      <c r="Q21" s="120" t="str">
        <f>IFERROR(INDEX(TableWRCalcPts[TM],MATCH(TableWRVORP[[#This Row],[RK]],TableWRCalcPts[RK],0)),"")</f>
        <v>SEA</v>
      </c>
      <c r="R21" s="120">
        <f>IFERROR(INDEX(TableWRCalcPts[BYE],MATCH(TableWRVORP[[#This Row],[RK]],TableWRCalcPts[RK],0)),"")</f>
        <v>5</v>
      </c>
      <c r="S21" s="121">
        <f>IFERROR(INDEX(TableWRCalcPts[Custom],MATCH(TableWRVORP[[#This Row],[RK]],TableWRCalcPts[RK],0)),"")</f>
        <v>188.35721763550663</v>
      </c>
      <c r="T21" s="122">
        <f>IFERROR((TableWRVORP[[#This Row],[FPS]]-INDEX(TableWRVORP[FPS],MATCH(WRVORPCalc,TableWRVORP[RK],0)))/INDEX(TableWRVORP[FPS],MATCH(WRVORPCalc,TableWRVORP[RK],0)),"")</f>
        <v>0.44565350270811821</v>
      </c>
      <c r="V21">
        <v>20</v>
      </c>
      <c r="W21" s="120" t="str">
        <f>IFERROR(INDEX(TableTECalcPts[PLAYER],MATCH(TableTEVORP[[#This Row],[RK]],TableTECalcPts[RK],0)),"")</f>
        <v>Sam LaPorta</v>
      </c>
      <c r="X21" s="120" t="str">
        <f>IFERROR(INDEX(TableTECalcPts[TM],MATCH(TableTEVORP[[#This Row],[RK]],TableTECalcPts[RK],0)),"")</f>
        <v>DET</v>
      </c>
      <c r="Y21" s="120">
        <f>IFERROR(INDEX(TableTECalcPts[BYE],MATCH(TableTEVORP[[#This Row],[RK]],TableTECalcPts[RK],0)),"")</f>
        <v>9</v>
      </c>
      <c r="Z21" s="121">
        <f>IFERROR(INDEX(TableTECalcPts[Custom],MATCH(TableTEVORP[[#This Row],[RK]],TableTECalcPts[RK],0)),"")</f>
        <v>99.61112532514457</v>
      </c>
      <c r="AA21" s="122">
        <f>IFERROR((TableTEVORP[[#This Row],[FPS]]-INDEX(TableTEVORP[FPS],MATCH(TEVORPCalc,TableTEVORP[RK],0)))/INDEX(TableTEVORP[FPS],MATCH(TEVORPCalc,TableTEVORP[RK],0)),"")</f>
        <v>-0.16173551761905192</v>
      </c>
      <c r="AF21" t="s">
        <v>9</v>
      </c>
      <c r="AG21">
        <v>20</v>
      </c>
      <c r="AH21" s="86">
        <f>RANK(TableOverallMaster[[#This Row],[VORP]],TableOverallMaster[VORP])+COUNTIF($AM$2:AM21,AM21)-1</f>
        <v>139</v>
      </c>
      <c r="AI21" s="123" t="str">
        <f>IFERROR(INDEX(TableQBVORP[QUARTERBACK],MATCH(TableOverallMaster[[#This Row],[RK]],TableQBVORP[RK],0)),"")</f>
        <v>Jared Goff</v>
      </c>
      <c r="AJ21" s="123" t="str">
        <f t="shared" si="0"/>
        <v>QB20</v>
      </c>
      <c r="AK21" s="123">
        <f>IFERROR(INDEX(TableQBVORP[BYE],MATCH(TableOverallMaster[[#This Row],[RK]],TableQBVORP[RK],0)),"")</f>
        <v>9</v>
      </c>
      <c r="AL21" s="124">
        <f>IFERROR(INDEX(TableQBVORP[FPS],MATCH(TableOverallMaster[[#This Row],[RK]],TableQBVORP[RK],0)),"")</f>
        <v>286.03273448914445</v>
      </c>
      <c r="AM21" s="125">
        <f>IFERROR(INDEX(TableQBVORP[VORP],MATCH(TableOverallMaster[[#This Row],[RK]],TableQBVORP[RK],0)),"")</f>
        <v>-5.5851241022007392E-2</v>
      </c>
      <c r="AO21">
        <v>20</v>
      </c>
      <c r="AP21" s="126" t="str">
        <f>IFERROR(INDEX(TableOverallMaster[OVERALL PLAYER],MATCH(TableOverallRank[[#This Row],[RK]],TableOverallMaster[OVR RK],0)),"")</f>
        <v>Stefon Diggs</v>
      </c>
      <c r="AQ21" s="127" t="str">
        <f>IFERROR(INDEX(TableOverallMaster[POS RK],MATCH(TableOverallRank[[#This Row],[OVERALL PLAYER]],TableOverallMaster[OVERALL PLAYER],0)),"")</f>
        <v>WR7</v>
      </c>
      <c r="AR21" s="128">
        <f>IFERROR(INDEX(TableOverallMaster[BYE],MATCH(TableOverallRank[[#This Row],[OVERALL PLAYER]],TableOverallMaster[OVERALL PLAYER],0)),"")</f>
        <v>13</v>
      </c>
      <c r="AS21" s="127">
        <f>IFERROR(INDEX(TableOverallMaster[Custom],MATCH(TableOverallRank[[#This Row],[OVERALL PLAYER]],TableOverallMaster[OVERALL PLAYER],0)),"")</f>
        <v>230.83501137252614</v>
      </c>
      <c r="AT21" s="129">
        <f>IFERROR(INDEX(TableOverallMaster[VORP],MATCH(TableOverallRank[[#This Row],[OVERALL PLAYER]],TableOverallMaster[OVERALL PLAYER],0)),"")</f>
        <v>0.77167324367746748</v>
      </c>
      <c r="AV21">
        <v>20</v>
      </c>
      <c r="AW21" s="130" t="str">
        <f>IFERROR(INDEX(TableWRTECalcPts[PLAYER],MATCH(TableWRTERank[[#This Row],[RK]],TableWRTECalcPts[RK],0)),"")</f>
        <v>Keenan Allen</v>
      </c>
      <c r="AX21" s="130" t="str">
        <f>IFERROR(INDEX(TableWRTECalcPts[POS RK],MATCH(TableWRTERank[[#This Row],[WR and TE COMBINED]],TableWRTECalcPts[PLAYER],0)),"")</f>
        <v>WR19</v>
      </c>
      <c r="AY21" s="130">
        <f>IFERROR(INDEX(TableWRTECalcPts[BYE],MATCH(TableWRTERank[[#This Row],[RK]],TableWRTECalcPts[RK],0)),"")</f>
        <v>5</v>
      </c>
      <c r="AZ21" s="131">
        <f>IFERROR(INDEX(TableWRTECalcPts[Custom],MATCH(TableWRTERank[[#This Row],[RK]],TableWRTECalcPts[RK],0)),"")</f>
        <v>188.37080588355121</v>
      </c>
      <c r="BA21" s="188">
        <f>IFERROR((TableWRTERank[[#This Row],[FPS]]-INDEX(TableWRTERank[FPS],MATCH(WRTEVORPCalc,TableWRTERank[RK],0)))/INDEX(TableWRTERank[FPS],MATCH(WRTEVORPCalc,TableWRTERank[RK],0)),"")</f>
        <v>0.36115897984365203</v>
      </c>
      <c r="BC21" t="s">
        <v>257</v>
      </c>
      <c r="BD21">
        <v>20</v>
      </c>
      <c r="BE21" s="86">
        <f>RANK(TableWRTEMaster[[#This Row],[VORP]],TableWRTEMaster[VORP])+COUNTIF($BJ$2:BJ21,BJ21)-1</f>
        <v>24</v>
      </c>
      <c r="BF21" s="123" t="str">
        <f>IFERROR(INDEX(TableWRVORP[WIDE RECEIVER],MATCH(TableWRTEMaster[[#This Row],[RK]],TableWRVORP[RK],0)),"")</f>
        <v>DK Metcalf</v>
      </c>
      <c r="BG21" s="123" t="str">
        <f>_xlfn.CONCAT(TableWRTEMaster[[#This Row],[POS]],TableWRTEMaster[[#This Row],[RK]])</f>
        <v>WR20</v>
      </c>
      <c r="BH21" s="123">
        <f>IFERROR(INDEX(TableWRVORP[BYE],MATCH(TableWRTEMaster[[#This Row],[RK]],TableWRVORP[RK],0)),"")</f>
        <v>5</v>
      </c>
      <c r="BI21" s="124">
        <f>IFERROR(INDEX(TableWRVORP[FPS],MATCH(TableWRTEMaster[[#This Row],[RK]],TableWRVORP[RK],0)),"")</f>
        <v>188.35721763550663</v>
      </c>
      <c r="BJ21" s="125">
        <f>IFERROR(INDEX(TableWRVORP[VORP],MATCH(TableWRTEMaster[[#This Row],[RK]],TableWRVORP[RK],0)),"")</f>
        <v>0.44565350270811821</v>
      </c>
    </row>
    <row r="22" spans="1:62" x14ac:dyDescent="0.2">
      <c r="A22">
        <v>21</v>
      </c>
      <c r="B22" s="120" t="str">
        <f>IFERROR(INDEX(TableQBCalcPts[PLAYER],MATCH(TableQBVORP[[#This Row],[RK]],TableQBCalcPts[RK],0)),"")</f>
        <v>Jordan Love</v>
      </c>
      <c r="C22" s="120" t="str">
        <f>IFERROR(INDEX(TableQBCalcPts[TM],MATCH(TableQBVORP[[#This Row],[RK]],TableQBCalcPts[RK],0)),"")</f>
        <v>GB</v>
      </c>
      <c r="D22" s="120">
        <f>IFERROR(INDEX(TableQBCalcPts[BYE],MATCH(TableQBVORP[[#This Row],[RK]],TableQBCalcPts[RK],0)),"")</f>
        <v>6</v>
      </c>
      <c r="E22" s="121">
        <f>IFERROR(INDEX(TableQBCalcPts[Custom],MATCH(TableQBVORP[[#This Row],[RK]],TableQBCalcPts[RK],0)),"")</f>
        <v>284.28893491449384</v>
      </c>
      <c r="F22" s="122">
        <f>(IFERROR((TableQBVORP[[#This Row],[FPS]]-INDEX(TableQBVORP[FPS],MATCH(QBVORPCalc,TableQBVORP[RK],0)))/INDEX(TableQBVORP[FPS],MATCH(QBVORPCalc,TableQBVORP[RK],0)),""))+(TableRBVORP[[#This Row],[VORP]]*0.45)</f>
        <v>-6.0496937319552246E-2</v>
      </c>
      <c r="H22">
        <v>21</v>
      </c>
      <c r="I22" s="120" t="str">
        <f>IFERROR(INDEX(TableRBCalcPts[PLAYER],MATCH(TableRBVORP[[#This Row],[RK]],TableRBCalcPts[RK],0)),"")</f>
        <v>Alexander Mattison</v>
      </c>
      <c r="J22" s="120" t="str">
        <f>IFERROR(INDEX(TableRBCalcPts[TM],MATCH(TableRBVORP[[#This Row],[RK]],TableRBCalcPts[RK],0)),"")</f>
        <v>MIN</v>
      </c>
      <c r="K22" s="120">
        <f>IFERROR(INDEX(TableRBCalcPts[BYE],MATCH(TableRBVORP[[#This Row],[RK]],TableRBCalcPts[RK],0)),"")</f>
        <v>13</v>
      </c>
      <c r="L22" s="121">
        <f>IFERROR(INDEX(TableRBCalcPts[Custom],MATCH(TableRBVORP[[#This Row],[RK]],TableRBCalcPts[RK],0)),"")</f>
        <v>191.99821730314738</v>
      </c>
      <c r="M22" s="122">
        <f>IFERROR((TableRBVORP[[#This Row],[FPS]]-INDEX(TableRBVORP[FPS],MATCH(RBVORPCalc,TableRBVORP[RK],0)))/INDEX(TableRBVORP[FPS],MATCH(RBVORPCalc,TableRBVORP[RK],0)),"")</f>
        <v>0.56780700886234114</v>
      </c>
      <c r="O22">
        <v>21</v>
      </c>
      <c r="P22" s="120" t="str">
        <f>IFERROR(INDEX(TableWRCalcPts[PLAYER],MATCH(TableWRVORP[[#This Row],[RK]],TableWRCalcPts[RK],0)),"")</f>
        <v>Deebo Samuel</v>
      </c>
      <c r="Q22" s="120" t="str">
        <f>IFERROR(INDEX(TableWRCalcPts[TM],MATCH(TableWRVORP[[#This Row],[RK]],TableWRCalcPts[RK],0)),"")</f>
        <v>SF</v>
      </c>
      <c r="R22" s="120">
        <f>IFERROR(INDEX(TableWRCalcPts[BYE],MATCH(TableWRVORP[[#This Row],[RK]],TableWRCalcPts[RK],0)),"")</f>
        <v>9</v>
      </c>
      <c r="S22" s="121">
        <f>IFERROR(INDEX(TableWRCalcPts[Custom],MATCH(TableWRVORP[[#This Row],[RK]],TableWRCalcPts[RK],0)),"")</f>
        <v>187.77475092905638</v>
      </c>
      <c r="T22" s="122">
        <f>IFERROR((TableWRVORP[[#This Row],[FPS]]-INDEX(TableWRVORP[FPS],MATCH(WRVORPCalc,TableWRVORP[RK],0)))/INDEX(TableWRVORP[FPS],MATCH(WRVORPCalc,TableWRVORP[RK],0)),"")</f>
        <v>0.44118303406900228</v>
      </c>
      <c r="V22">
        <v>21</v>
      </c>
      <c r="W22" s="120" t="str">
        <f>IFERROR(INDEX(TableTECalcPts[PLAYER],MATCH(TableTEVORP[[#This Row],[RK]],TableTECalcPts[RK],0)),"")</f>
        <v>Juwan Johnson</v>
      </c>
      <c r="X22" s="120" t="str">
        <f>IFERROR(INDEX(TableTECalcPts[TM],MATCH(TableTEVORP[[#This Row],[RK]],TableTECalcPts[RK],0)),"")</f>
        <v>NO</v>
      </c>
      <c r="Y22" s="120">
        <f>IFERROR(INDEX(TableTECalcPts[BYE],MATCH(TableTEVORP[[#This Row],[RK]],TableTECalcPts[RK],0)),"")</f>
        <v>11</v>
      </c>
      <c r="Z22" s="121">
        <f>IFERROR(INDEX(TableTECalcPts[Custom],MATCH(TableTEVORP[[#This Row],[RK]],TableTECalcPts[RK],0)),"")</f>
        <v>98.079881682801982</v>
      </c>
      <c r="AA22" s="122">
        <f>IFERROR((TableTEVORP[[#This Row],[FPS]]-INDEX(TableTEVORP[FPS],MATCH(TEVORPCalc,TableTEVORP[RK],0)))/INDEX(TableTEVORP[FPS],MATCH(TEVORPCalc,TableTEVORP[RK],0)),"")</f>
        <v>-0.17462149953179129</v>
      </c>
      <c r="AF22" t="s">
        <v>9</v>
      </c>
      <c r="AG22">
        <v>21</v>
      </c>
      <c r="AH22" s="86">
        <f>RANK(TableOverallMaster[[#This Row],[VORP]],TableOverallMaster[VORP])+COUNTIF($AM$2:AM22,AM22)-1</f>
        <v>140</v>
      </c>
      <c r="AI22" s="123" t="str">
        <f>IFERROR(INDEX(TableQBVORP[QUARTERBACK],MATCH(TableOverallMaster[[#This Row],[RK]],TableQBVORP[RK],0)),"")</f>
        <v>Jordan Love</v>
      </c>
      <c r="AJ22" s="123" t="str">
        <f t="shared" si="0"/>
        <v>QB21</v>
      </c>
      <c r="AK22" s="123">
        <f>IFERROR(INDEX(TableQBVORP[BYE],MATCH(TableOverallMaster[[#This Row],[RK]],TableQBVORP[RK],0)),"")</f>
        <v>6</v>
      </c>
      <c r="AL22" s="124">
        <f>IFERROR(INDEX(TableQBVORP[FPS],MATCH(TableOverallMaster[[#This Row],[RK]],TableQBVORP[RK],0)),"")</f>
        <v>284.28893491449384</v>
      </c>
      <c r="AM22" s="125">
        <f>IFERROR(INDEX(TableQBVORP[VORP],MATCH(TableOverallMaster[[#This Row],[RK]],TableQBVORP[RK],0)),"")</f>
        <v>-6.0496937319552246E-2</v>
      </c>
      <c r="AO22">
        <v>21</v>
      </c>
      <c r="AP22" s="126" t="str">
        <f>IFERROR(INDEX(TableOverallMaster[OVERALL PLAYER],MATCH(TableOverallRank[[#This Row],[RK]],TableOverallMaster[OVR RK],0)),"")</f>
        <v>Najee Harris</v>
      </c>
      <c r="AQ22" s="127" t="str">
        <f>IFERROR(INDEX(TableOverallMaster[POS RK],MATCH(TableOverallRank[[#This Row],[OVERALL PLAYER]],TableOverallMaster[OVERALL PLAYER],0)),"")</f>
        <v>RB13</v>
      </c>
      <c r="AR22" s="128">
        <f>IFERROR(INDEX(TableOverallMaster[BYE],MATCH(TableOverallRank[[#This Row],[OVERALL PLAYER]],TableOverallMaster[OVERALL PLAYER],0)),"")</f>
        <v>6</v>
      </c>
      <c r="AS22" s="127">
        <f>IFERROR(INDEX(TableOverallMaster[Custom],MATCH(TableOverallRank[[#This Row],[OVERALL PLAYER]],TableOverallMaster[OVERALL PLAYER],0)),"")</f>
        <v>216.23753147350604</v>
      </c>
      <c r="AT22" s="129">
        <f>IFERROR(INDEX(TableOverallMaster[VORP],MATCH(TableOverallRank[[#This Row],[OVERALL PLAYER]],TableOverallMaster[OVERALL PLAYER],0)),"")</f>
        <v>0.76573888125208334</v>
      </c>
      <c r="AV22">
        <v>21</v>
      </c>
      <c r="AW22" s="130" t="str">
        <f>IFERROR(INDEX(TableWRTECalcPts[PLAYER],MATCH(TableWRTERank[[#This Row],[RK]],TableWRTECalcPts[RK],0)),"")</f>
        <v>DK Metcalf</v>
      </c>
      <c r="AX22" s="130" t="str">
        <f>IFERROR(INDEX(TableWRTECalcPts[POS RK],MATCH(TableWRTERank[[#This Row],[WR and TE COMBINED]],TableWRTECalcPts[PLAYER],0)),"")</f>
        <v>WR20</v>
      </c>
      <c r="AY22" s="130">
        <f>IFERROR(INDEX(TableWRTECalcPts[BYE],MATCH(TableWRTERank[[#This Row],[RK]],TableWRTECalcPts[RK],0)),"")</f>
        <v>5</v>
      </c>
      <c r="AZ22" s="131">
        <f>IFERROR(INDEX(TableWRTECalcPts[Custom],MATCH(TableWRTERank[[#This Row],[RK]],TableWRTECalcPts[RK],0)),"")</f>
        <v>188.35721763550663</v>
      </c>
      <c r="BA22" s="188">
        <f>IFERROR((TableWRTERank[[#This Row],[FPS]]-INDEX(TableWRTERank[FPS],MATCH(WRTEVORPCalc,TableWRTERank[RK],0)))/INDEX(TableWRTERank[FPS],MATCH(WRTEVORPCalc,TableWRTERank[RK],0)),"")</f>
        <v>0.36106079177379974</v>
      </c>
      <c r="BC22" t="s">
        <v>257</v>
      </c>
      <c r="BD22">
        <v>21</v>
      </c>
      <c r="BE22" s="86">
        <f>RANK(TableWRTEMaster[[#This Row],[VORP]],TableWRTEMaster[VORP])+COUNTIF($BJ$2:BJ22,BJ22)-1</f>
        <v>25</v>
      </c>
      <c r="BF22" s="123" t="str">
        <f>IFERROR(INDEX(TableWRVORP[WIDE RECEIVER],MATCH(TableWRTEMaster[[#This Row],[RK]],TableWRVORP[RK],0)),"")</f>
        <v>Deebo Samuel</v>
      </c>
      <c r="BG22" s="123" t="str">
        <f>_xlfn.CONCAT(TableWRTEMaster[[#This Row],[POS]],TableWRTEMaster[[#This Row],[RK]])</f>
        <v>WR21</v>
      </c>
      <c r="BH22" s="123">
        <f>IFERROR(INDEX(TableWRVORP[BYE],MATCH(TableWRTEMaster[[#This Row],[RK]],TableWRVORP[RK],0)),"")</f>
        <v>9</v>
      </c>
      <c r="BI22" s="124">
        <f>IFERROR(INDEX(TableWRVORP[FPS],MATCH(TableWRTEMaster[[#This Row],[RK]],TableWRVORP[RK],0)),"")</f>
        <v>187.77475092905638</v>
      </c>
      <c r="BJ22" s="125">
        <f>IFERROR(INDEX(TableWRVORP[VORP],MATCH(TableWRTEMaster[[#This Row],[RK]],TableWRVORP[RK],0)),"")</f>
        <v>0.44118303406900228</v>
      </c>
    </row>
    <row r="23" spans="1:62" x14ac:dyDescent="0.2">
      <c r="A23">
        <v>22</v>
      </c>
      <c r="B23" s="120" t="str">
        <f>IFERROR(INDEX(TableQBCalcPts[PLAYER],MATCH(TableQBVORP[[#This Row],[RK]],TableQBCalcPts[RK],0)),"")</f>
        <v>Sam Howell</v>
      </c>
      <c r="C23" s="120" t="str">
        <f>IFERROR(INDEX(TableQBCalcPts[TM],MATCH(TableQBVORP[[#This Row],[RK]],TableQBCalcPts[RK],0)),"")</f>
        <v>WSH</v>
      </c>
      <c r="D23" s="120">
        <f>IFERROR(INDEX(TableQBCalcPts[BYE],MATCH(TableQBVORP[[#This Row],[RK]],TableQBCalcPts[RK],0)),"")</f>
        <v>14</v>
      </c>
      <c r="E23" s="121">
        <f>IFERROR(INDEX(TableQBCalcPts[Custom],MATCH(TableQBVORP[[#This Row],[RK]],TableQBCalcPts[RK],0)),"")</f>
        <v>274.21294636457452</v>
      </c>
      <c r="F23" s="122">
        <f>(IFERROR((TableQBVORP[[#This Row],[FPS]]-INDEX(TableQBVORP[FPS],MATCH(QBVORPCalc,TableQBVORP[RK],0)))/INDEX(TableQBVORP[FPS],MATCH(QBVORPCalc,TableQBVORP[RK],0)),""))+(TableRBVORP[[#This Row],[VORP]]*0.45)</f>
        <v>-9.3721336038496222E-2</v>
      </c>
      <c r="H23">
        <v>22</v>
      </c>
      <c r="I23" s="120" t="str">
        <f>IFERROR(INDEX(TableRBCalcPts[PLAYER],MATCH(TableRBVORP[[#This Row],[RK]],TableRBCalcPts[RK],0)),"")</f>
        <v>Travis Etienne</v>
      </c>
      <c r="J23" s="120" t="str">
        <f>IFERROR(INDEX(TableRBCalcPts[TM],MATCH(TableRBVORP[[#This Row],[RK]],TableRBCalcPts[RK],0)),"")</f>
        <v>JAX</v>
      </c>
      <c r="K23" s="120">
        <f>IFERROR(INDEX(TableRBCalcPts[BYE],MATCH(TableRBVORP[[#This Row],[RK]],TableRBCalcPts[RK],0)),"")</f>
        <v>9</v>
      </c>
      <c r="L23" s="121">
        <f>IFERROR(INDEX(TableRBCalcPts[Custom],MATCH(TableRBVORP[[#This Row],[RK]],TableRBCalcPts[RK],0)),"")</f>
        <v>189.55388505593726</v>
      </c>
      <c r="M23" s="122">
        <f>IFERROR((TableRBVORP[[#This Row],[FPS]]-INDEX(TableRBVORP[FPS],MATCH(RBVORPCalc,TableRBVORP[RK],0)))/INDEX(TableRBVORP[FPS],MATCH(RBVORPCalc,TableRBVORP[RK],0)),"")</f>
        <v>0.54784723380300548</v>
      </c>
      <c r="O23">
        <v>22</v>
      </c>
      <c r="P23" s="120" t="str">
        <f>IFERROR(INDEX(TableWRCalcPts[PLAYER],MATCH(TableWRVORP[[#This Row],[RK]],TableWRCalcPts[RK],0)),"")</f>
        <v>Terry McLaurin</v>
      </c>
      <c r="Q23" s="120" t="str">
        <f>IFERROR(INDEX(TableWRCalcPts[TM],MATCH(TableWRVORP[[#This Row],[RK]],TableWRCalcPts[RK],0)),"")</f>
        <v>WSH</v>
      </c>
      <c r="R23" s="120">
        <f>IFERROR(INDEX(TableWRCalcPts[BYE],MATCH(TableWRVORP[[#This Row],[RK]],TableWRCalcPts[RK],0)),"")</f>
        <v>14</v>
      </c>
      <c r="S23" s="121">
        <f>IFERROR(INDEX(TableWRCalcPts[Custom],MATCH(TableWRVORP[[#This Row],[RK]],TableWRCalcPts[RK],0)),"")</f>
        <v>185.45630681519057</v>
      </c>
      <c r="T23" s="122">
        <f>IFERROR((TableWRVORP[[#This Row],[FPS]]-INDEX(TableWRVORP[FPS],MATCH(WRVORPCalc,TableWRVORP[RK],0)))/INDEX(TableWRVORP[FPS],MATCH(WRVORPCalc,TableWRVORP[RK],0)),"")</f>
        <v>0.42338882954571722</v>
      </c>
      <c r="V23">
        <v>22</v>
      </c>
      <c r="W23" s="120" t="str">
        <f>IFERROR(INDEX(TableTECalcPts[PLAYER],MATCH(TableTEVORP[[#This Row],[RK]],TableTECalcPts[RK],0)),"")</f>
        <v>Irv Smith</v>
      </c>
      <c r="X23" s="120" t="str">
        <f>IFERROR(INDEX(TableTECalcPts[TM],MATCH(TableTEVORP[[#This Row],[RK]],TableTECalcPts[RK],0)),"")</f>
        <v>CIN</v>
      </c>
      <c r="Y23" s="120">
        <f>IFERROR(INDEX(TableTECalcPts[BYE],MATCH(TableTEVORP[[#This Row],[RK]],TableTECalcPts[RK],0)),"")</f>
        <v>7</v>
      </c>
      <c r="Z23" s="121">
        <f>IFERROR(INDEX(TableTECalcPts[Custom],MATCH(TableTEVORP[[#This Row],[RK]],TableTECalcPts[RK],0)),"")</f>
        <v>98.061359137818485</v>
      </c>
      <c r="AA23" s="122">
        <f>IFERROR((TableTEVORP[[#This Row],[FPS]]-INDEX(TableTEVORP[FPS],MATCH(TEVORPCalc,TableTEVORP[RK],0)))/INDEX(TableTEVORP[FPS],MATCH(TEVORPCalc,TableTEVORP[RK],0)),"")</f>
        <v>-0.17477737360240625</v>
      </c>
      <c r="AF23" t="s">
        <v>9</v>
      </c>
      <c r="AG23">
        <v>22</v>
      </c>
      <c r="AH23" s="86">
        <f>RANK(TableOverallMaster[[#This Row],[VORP]],TableOverallMaster[VORP])+COUNTIF($AM$2:AM23,AM23)-1</f>
        <v>149</v>
      </c>
      <c r="AI23" s="123" t="str">
        <f>IFERROR(INDEX(TableQBVORP[QUARTERBACK],MATCH(TableOverallMaster[[#This Row],[RK]],TableQBVORP[RK],0)),"")</f>
        <v>Sam Howell</v>
      </c>
      <c r="AJ23" s="123" t="str">
        <f t="shared" si="0"/>
        <v>QB22</v>
      </c>
      <c r="AK23" s="123">
        <f>IFERROR(INDEX(TableQBVORP[BYE],MATCH(TableOverallMaster[[#This Row],[RK]],TableQBVORP[RK],0)),"")</f>
        <v>14</v>
      </c>
      <c r="AL23" s="124">
        <f>IFERROR(INDEX(TableQBVORP[FPS],MATCH(TableOverallMaster[[#This Row],[RK]],TableQBVORP[RK],0)),"")</f>
        <v>274.21294636457452</v>
      </c>
      <c r="AM23" s="125">
        <f>IFERROR(INDEX(TableQBVORP[VORP],MATCH(TableOverallMaster[[#This Row],[RK]],TableQBVORP[RK],0)),"")</f>
        <v>-9.3721336038496222E-2</v>
      </c>
      <c r="AO23">
        <v>22</v>
      </c>
      <c r="AP23" s="126" t="str">
        <f>IFERROR(INDEX(TableOverallMaster[OVERALL PLAYER],MATCH(TableOverallRank[[#This Row],[RK]],TableOverallMaster[OVR RK],0)),"")</f>
        <v>Rachaad White</v>
      </c>
      <c r="AQ23" s="127" t="str">
        <f>IFERROR(INDEX(TableOverallMaster[POS RK],MATCH(TableOverallRank[[#This Row],[OVERALL PLAYER]],TableOverallMaster[OVERALL PLAYER],0)),"")</f>
        <v>RB14</v>
      </c>
      <c r="AR23" s="128">
        <f>IFERROR(INDEX(TableOverallMaster[BYE],MATCH(TableOverallRank[[#This Row],[OVERALL PLAYER]],TableOverallMaster[OVERALL PLAYER],0)),"")</f>
        <v>5</v>
      </c>
      <c r="AS23" s="127">
        <f>IFERROR(INDEX(TableOverallMaster[Custom],MATCH(TableOverallRank[[#This Row],[OVERALL PLAYER]],TableOverallMaster[OVERALL PLAYER],0)),"")</f>
        <v>206.53143530729474</v>
      </c>
      <c r="AT23" s="129">
        <f>IFERROR(INDEX(TableOverallMaster[VORP],MATCH(TableOverallRank[[#This Row],[OVERALL PLAYER]],TableOverallMaster[OVERALL PLAYER],0)),"")</f>
        <v>0.68648144953306234</v>
      </c>
      <c r="AV23">
        <v>22</v>
      </c>
      <c r="AW23" s="130" t="str">
        <f>IFERROR(INDEX(TableWRTECalcPts[PLAYER],MATCH(TableWRTERank[[#This Row],[RK]],TableWRTECalcPts[RK],0)),"")</f>
        <v>Deebo Samuel</v>
      </c>
      <c r="AX23" s="130" t="str">
        <f>IFERROR(INDEX(TableWRTECalcPts[POS RK],MATCH(TableWRTERank[[#This Row],[WR and TE COMBINED]],TableWRTECalcPts[PLAYER],0)),"")</f>
        <v>WR21</v>
      </c>
      <c r="AY23" s="130">
        <f>IFERROR(INDEX(TableWRTECalcPts[BYE],MATCH(TableWRTERank[[#This Row],[RK]],TableWRTECalcPts[RK],0)),"")</f>
        <v>9</v>
      </c>
      <c r="AZ23" s="131">
        <f>IFERROR(INDEX(TableWRTECalcPts[Custom],MATCH(TableWRTERank[[#This Row],[RK]],TableWRTECalcPts[RK],0)),"")</f>
        <v>187.77475092905638</v>
      </c>
      <c r="BA23" s="188">
        <f>IFERROR((TableWRTERank[[#This Row],[FPS]]-INDEX(TableWRTERank[FPS],MATCH(WRTEVORPCalc,TableWRTERank[RK],0)))/INDEX(TableWRTERank[FPS],MATCH(WRTEVORPCalc,TableWRTERank[RK],0)),"")</f>
        <v>0.35685191352312839</v>
      </c>
      <c r="BC23" t="s">
        <v>257</v>
      </c>
      <c r="BD23">
        <v>22</v>
      </c>
      <c r="BE23" s="86">
        <f>RANK(TableWRTEMaster[[#This Row],[VORP]],TableWRTEMaster[VORP])+COUNTIF($BJ$2:BJ23,BJ23)-1</f>
        <v>26</v>
      </c>
      <c r="BF23" s="123" t="str">
        <f>IFERROR(INDEX(TableWRVORP[WIDE RECEIVER],MATCH(TableWRTEMaster[[#This Row],[RK]],TableWRVORP[RK],0)),"")</f>
        <v>Terry McLaurin</v>
      </c>
      <c r="BG23" s="123" t="str">
        <f>_xlfn.CONCAT(TableWRTEMaster[[#This Row],[POS]],TableWRTEMaster[[#This Row],[RK]])</f>
        <v>WR22</v>
      </c>
      <c r="BH23" s="123">
        <f>IFERROR(INDEX(TableWRVORP[BYE],MATCH(TableWRTEMaster[[#This Row],[RK]],TableWRVORP[RK],0)),"")</f>
        <v>14</v>
      </c>
      <c r="BI23" s="124">
        <f>IFERROR(INDEX(TableWRVORP[FPS],MATCH(TableWRTEMaster[[#This Row],[RK]],TableWRVORP[RK],0)),"")</f>
        <v>185.45630681519057</v>
      </c>
      <c r="BJ23" s="125">
        <f>IFERROR(INDEX(TableWRVORP[VORP],MATCH(TableWRTEMaster[[#This Row],[RK]],TableWRVORP[RK],0)),"")</f>
        <v>0.42338882954571722</v>
      </c>
    </row>
    <row r="24" spans="1:62" x14ac:dyDescent="0.2">
      <c r="A24">
        <v>23</v>
      </c>
      <c r="B24" s="120" t="str">
        <f>IFERROR(INDEX(TableQBCalcPts[PLAYER],MATCH(TableQBVORP[[#This Row],[RK]],TableQBCalcPts[RK],0)),"")</f>
        <v>Jimmy Garoppolo</v>
      </c>
      <c r="C24" s="120" t="str">
        <f>IFERROR(INDEX(TableQBCalcPts[TM],MATCH(TableQBVORP[[#This Row],[RK]],TableQBCalcPts[RK],0)),"")</f>
        <v>LV</v>
      </c>
      <c r="D24" s="120">
        <f>IFERROR(INDEX(TableQBCalcPts[BYE],MATCH(TableQBVORP[[#This Row],[RK]],TableQBCalcPts[RK],0)),"")</f>
        <v>13</v>
      </c>
      <c r="E24" s="121">
        <f>IFERROR(INDEX(TableQBCalcPts[Custom],MATCH(TableQBVORP[[#This Row],[RK]],TableQBCalcPts[RK],0)),"")</f>
        <v>267.40904968899622</v>
      </c>
      <c r="F24" s="122">
        <f>(IFERROR((TableQBVORP[[#This Row],[FPS]]-INDEX(TableQBVORP[FPS],MATCH(QBVORPCalc,TableQBVORP[RK],0)))/INDEX(TableQBVORP[FPS],MATCH(QBVORPCalc,TableQBVORP[RK],0)),""))+(TableRBVORP[[#This Row],[VORP]]*0.45)</f>
        <v>-0.11255375192808897</v>
      </c>
      <c r="H24">
        <v>23</v>
      </c>
      <c r="I24" s="120" t="str">
        <f>IFERROR(INDEX(TableRBCalcPts[PLAYER],MATCH(TableRBVORP[[#This Row],[RK]],TableRBCalcPts[RK],0)),"")</f>
        <v>Javonte Williams</v>
      </c>
      <c r="J24" s="120" t="str">
        <f>IFERROR(INDEX(TableRBCalcPts[TM],MATCH(TableRBVORP[[#This Row],[RK]],TableRBCalcPts[RK],0)),"")</f>
        <v>DEN</v>
      </c>
      <c r="K24" s="120">
        <f>IFERROR(INDEX(TableRBCalcPts[BYE],MATCH(TableRBVORP[[#This Row],[RK]],TableRBCalcPts[RK],0)),"")</f>
        <v>9</v>
      </c>
      <c r="L24" s="121">
        <f>IFERROR(INDEX(TableRBCalcPts[Custom],MATCH(TableRBVORP[[#This Row],[RK]],TableRBCalcPts[RK],0)),"")</f>
        <v>188.88375102331094</v>
      </c>
      <c r="M24" s="122">
        <f>IFERROR((TableRBVORP[[#This Row],[FPS]]-INDEX(TableRBVORP[FPS],MATCH(RBVORPCalc,TableRBVORP[RK],0)))/INDEX(TableRBVORP[FPS],MATCH(RBVORPCalc,TableRBVORP[RK],0)),"")</f>
        <v>0.54237509532179307</v>
      </c>
      <c r="O24">
        <v>23</v>
      </c>
      <c r="P24" s="120" t="str">
        <f>IFERROR(INDEX(TableWRCalcPts[PLAYER],MATCH(TableWRVORP[[#This Row],[RK]],TableWRCalcPts[RK],0)),"")</f>
        <v>Mike Williams</v>
      </c>
      <c r="Q24" s="120" t="str">
        <f>IFERROR(INDEX(TableWRCalcPts[TM],MATCH(TableWRVORP[[#This Row],[RK]],TableWRCalcPts[RK],0)),"")</f>
        <v>LAC</v>
      </c>
      <c r="R24" s="120">
        <f>IFERROR(INDEX(TableWRCalcPts[BYE],MATCH(TableWRVORP[[#This Row],[RK]],TableWRCalcPts[RK],0)),"")</f>
        <v>5</v>
      </c>
      <c r="S24" s="121">
        <f>IFERROR(INDEX(TableWRCalcPts[Custom],MATCH(TableWRVORP[[#This Row],[RK]],TableWRCalcPts[RK],0)),"")</f>
        <v>184.79340105256802</v>
      </c>
      <c r="T24" s="122">
        <f>IFERROR((TableWRVORP[[#This Row],[FPS]]-INDEX(TableWRVORP[FPS],MATCH(WRVORPCalc,TableWRVORP[RK],0)))/INDEX(TableWRVORP[FPS],MATCH(WRVORPCalc,TableWRVORP[RK],0)),"")</f>
        <v>0.4183009860867255</v>
      </c>
      <c r="V24">
        <v>23</v>
      </c>
      <c r="W24" s="120" t="str">
        <f>IFERROR(INDEX(TableTECalcPts[PLAYER],MATCH(TableTEVORP[[#This Row],[RK]],TableTECalcPts[RK],0)),"")</f>
        <v>Luke Musgrave</v>
      </c>
      <c r="X24" s="120" t="str">
        <f>IFERROR(INDEX(TableTECalcPts[TM],MATCH(TableTEVORP[[#This Row],[RK]],TableTECalcPts[RK],0)),"")</f>
        <v>GB</v>
      </c>
      <c r="Y24" s="120">
        <f>IFERROR(INDEX(TableTECalcPts[BYE],MATCH(TableTEVORP[[#This Row],[RK]],TableTECalcPts[RK],0)),"")</f>
        <v>6</v>
      </c>
      <c r="Z24" s="121">
        <f>IFERROR(INDEX(TableTECalcPts[Custom],MATCH(TableTEVORP[[#This Row],[RK]],TableTECalcPts[RK],0)),"")</f>
        <v>97.802786851182233</v>
      </c>
      <c r="AA24" s="122">
        <f>IFERROR((TableTEVORP[[#This Row],[FPS]]-INDEX(TableTEVORP[FPS],MATCH(TEVORPCalc,TableTEVORP[RK],0)))/INDEX(TableTEVORP[FPS],MATCH(TEVORPCalc,TableTEVORP[RK],0)),"")</f>
        <v>-0.1769533550834676</v>
      </c>
      <c r="AF24" t="s">
        <v>9</v>
      </c>
      <c r="AG24">
        <v>23</v>
      </c>
      <c r="AH24" s="86">
        <f>RANK(TableOverallMaster[[#This Row],[VORP]],TableOverallMaster[VORP])+COUNTIF($AM$2:AM24,AM24)-1</f>
        <v>152</v>
      </c>
      <c r="AI24" s="123" t="str">
        <f>IFERROR(INDEX(TableQBVORP[QUARTERBACK],MATCH(TableOverallMaster[[#This Row],[RK]],TableQBVORP[RK],0)),"")</f>
        <v>Jimmy Garoppolo</v>
      </c>
      <c r="AJ24" s="123" t="str">
        <f t="shared" si="0"/>
        <v>QB23</v>
      </c>
      <c r="AK24" s="123">
        <f>IFERROR(INDEX(TableQBVORP[BYE],MATCH(TableOverallMaster[[#This Row],[RK]],TableQBVORP[RK],0)),"")</f>
        <v>13</v>
      </c>
      <c r="AL24" s="124">
        <f>IFERROR(INDEX(TableQBVORP[FPS],MATCH(TableOverallMaster[[#This Row],[RK]],TableQBVORP[RK],0)),"")</f>
        <v>267.40904968899622</v>
      </c>
      <c r="AM24" s="125">
        <f>IFERROR(INDEX(TableQBVORP[VORP],MATCH(TableOverallMaster[[#This Row],[RK]],TableQBVORP[RK],0)),"")</f>
        <v>-0.11255375192808897</v>
      </c>
      <c r="AO24">
        <v>23</v>
      </c>
      <c r="AP24" s="126" t="str">
        <f>IFERROR(INDEX(TableOverallMaster[OVERALL PLAYER],MATCH(TableOverallRank[[#This Row],[RK]],TableOverallMaster[OVR RK],0)),"")</f>
        <v>CeeDee Lamb</v>
      </c>
      <c r="AQ24" s="127" t="str">
        <f>IFERROR(INDEX(TableOverallMaster[POS RK],MATCH(TableOverallRank[[#This Row],[OVERALL PLAYER]],TableOverallMaster[OVERALL PLAYER],0)),"")</f>
        <v>WR8</v>
      </c>
      <c r="AR24" s="128">
        <f>IFERROR(INDEX(TableOverallMaster[BYE],MATCH(TableOverallRank[[#This Row],[OVERALL PLAYER]],TableOverallMaster[OVERALL PLAYER],0)),"")</f>
        <v>7</v>
      </c>
      <c r="AS24" s="127">
        <f>IFERROR(INDEX(TableOverallMaster[Custom],MATCH(TableOverallRank[[#This Row],[OVERALL PLAYER]],TableOverallMaster[OVERALL PLAYER],0)),"")</f>
        <v>217.43365166733861</v>
      </c>
      <c r="AT24" s="129">
        <f>IFERROR(INDEX(TableOverallMaster[VORP],MATCH(TableOverallRank[[#This Row],[OVERALL PLAYER]],TableOverallMaster[OVERALL PLAYER],0)),"")</f>
        <v>0.66881696430543824</v>
      </c>
      <c r="AV24">
        <v>23</v>
      </c>
      <c r="AW24" s="130" t="str">
        <f>IFERROR(INDEX(TableWRTECalcPts[PLAYER],MATCH(TableWRTERank[[#This Row],[RK]],TableWRTECalcPts[RK],0)),"")</f>
        <v>Terry McLaurin</v>
      </c>
      <c r="AX24" s="130" t="str">
        <f>IFERROR(INDEX(TableWRTECalcPts[POS RK],MATCH(TableWRTERank[[#This Row],[WR and TE COMBINED]],TableWRTECalcPts[PLAYER],0)),"")</f>
        <v>WR22</v>
      </c>
      <c r="AY24" s="130">
        <f>IFERROR(INDEX(TableWRTECalcPts[BYE],MATCH(TableWRTERank[[#This Row],[RK]],TableWRTECalcPts[RK],0)),"")</f>
        <v>14</v>
      </c>
      <c r="AZ24" s="131">
        <f>IFERROR(INDEX(TableWRTECalcPts[Custom],MATCH(TableWRTERank[[#This Row],[RK]],TableWRTECalcPts[RK],0)),"")</f>
        <v>185.45630681519057</v>
      </c>
      <c r="BA24" s="188">
        <f>IFERROR((TableWRTERank[[#This Row],[FPS]]-INDEX(TableWRTERank[FPS],MATCH(WRTEVORPCalc,TableWRTERank[RK],0)))/INDEX(TableWRTERank[FPS],MATCH(WRTEVORPCalc,TableWRTERank[RK],0)),"")</f>
        <v>0.34009894052366602</v>
      </c>
      <c r="BC24" t="s">
        <v>257</v>
      </c>
      <c r="BD24">
        <v>23</v>
      </c>
      <c r="BE24" s="86">
        <f>RANK(TableWRTEMaster[[#This Row],[VORP]],TableWRTEMaster[VORP])+COUNTIF($BJ$2:BJ24,BJ24)-1</f>
        <v>27</v>
      </c>
      <c r="BF24" s="123" t="str">
        <f>IFERROR(INDEX(TableWRVORP[WIDE RECEIVER],MATCH(TableWRTEMaster[[#This Row],[RK]],TableWRVORP[RK],0)),"")</f>
        <v>Mike Williams</v>
      </c>
      <c r="BG24" s="123" t="str">
        <f>_xlfn.CONCAT(TableWRTEMaster[[#This Row],[POS]],TableWRTEMaster[[#This Row],[RK]])</f>
        <v>WR23</v>
      </c>
      <c r="BH24" s="123">
        <f>IFERROR(INDEX(TableWRVORP[BYE],MATCH(TableWRTEMaster[[#This Row],[RK]],TableWRVORP[RK],0)),"")</f>
        <v>5</v>
      </c>
      <c r="BI24" s="124">
        <f>IFERROR(INDEX(TableWRVORP[FPS],MATCH(TableWRTEMaster[[#This Row],[RK]],TableWRVORP[RK],0)),"")</f>
        <v>184.79340105256802</v>
      </c>
      <c r="BJ24" s="125">
        <f>IFERROR(INDEX(TableWRVORP[VORP],MATCH(TableWRTEMaster[[#This Row],[RK]],TableWRVORP[RK],0)),"")</f>
        <v>0.4183009860867255</v>
      </c>
    </row>
    <row r="25" spans="1:62" x14ac:dyDescent="0.2">
      <c r="A25">
        <v>24</v>
      </c>
      <c r="B25" s="120" t="str">
        <f>IFERROR(INDEX(TableQBCalcPts[PLAYER],MATCH(TableQBVORP[[#This Row],[RK]],TableQBCalcPts[RK],0)),"")</f>
        <v>Kenny Pickett</v>
      </c>
      <c r="C25" s="120" t="str">
        <f>IFERROR(INDEX(TableQBCalcPts[TM],MATCH(TableQBVORP[[#This Row],[RK]],TableQBCalcPts[RK],0)),"")</f>
        <v>PIT</v>
      </c>
      <c r="D25" s="120">
        <f>IFERROR(INDEX(TableQBCalcPts[BYE],MATCH(TableQBVORP[[#This Row],[RK]],TableQBCalcPts[RK],0)),"")</f>
        <v>6</v>
      </c>
      <c r="E25" s="121">
        <f>IFERROR(INDEX(TableQBCalcPts[Custom],MATCH(TableQBVORP[[#This Row],[RK]],TableQBCalcPts[RK],0)),"")</f>
        <v>263.77245388453917</v>
      </c>
      <c r="F25" s="122">
        <f>(IFERROR((TableQBVORP[[#This Row],[FPS]]-INDEX(TableQBVORP[FPS],MATCH(QBVORPCalc,TableQBVORP[RK],0)))/INDEX(TableQBVORP[FPS],MATCH(QBVORPCalc,TableQBVORP[RK],0)),""))+(TableRBVORP[[#This Row],[VORP]]*0.45)</f>
        <v>-0.13196920490819644</v>
      </c>
      <c r="H25">
        <v>24</v>
      </c>
      <c r="I25" s="120" t="str">
        <f>IFERROR(INDEX(TableRBCalcPts[PLAYER],MATCH(TableRBVORP[[#This Row],[RK]],TableRBCalcPts[RK],0)),"")</f>
        <v>Samaje Perine</v>
      </c>
      <c r="J25" s="120" t="str">
        <f>IFERROR(INDEX(TableRBCalcPts[TM],MATCH(TableRBVORP[[#This Row],[RK]],TableRBCalcPts[RK],0)),"")</f>
        <v>DEN</v>
      </c>
      <c r="K25" s="120">
        <f>IFERROR(INDEX(TableRBCalcPts[BYE],MATCH(TableRBVORP[[#This Row],[RK]],TableRBCalcPts[RK],0)),"")</f>
        <v>9</v>
      </c>
      <c r="L25" s="121">
        <f>IFERROR(INDEX(TableRBCalcPts[Custom],MATCH(TableRBVORP[[#This Row],[RK]],TableRBCalcPts[RK],0)),"")</f>
        <v>185.98112900157915</v>
      </c>
      <c r="M25" s="122">
        <f>IFERROR((TableRBVORP[[#This Row],[FPS]]-INDEX(TableRBVORP[FPS],MATCH(RBVORPCalc,TableRBVORP[RK],0)))/INDEX(TableRBVORP[FPS],MATCH(RBVORPCalc,TableRBVORP[RK],0)),"")</f>
        <v>0.51867304634618172</v>
      </c>
      <c r="O25">
        <v>24</v>
      </c>
      <c r="P25" s="120" t="str">
        <f>IFERROR(INDEX(TableWRCalcPts[PLAYER],MATCH(TableWRVORP[[#This Row],[RK]],TableWRCalcPts[RK],0)),"")</f>
        <v>Amari Cooper</v>
      </c>
      <c r="Q25" s="120" t="str">
        <f>IFERROR(INDEX(TableWRCalcPts[TM],MATCH(TableWRVORP[[#This Row],[RK]],TableWRCalcPts[RK],0)),"")</f>
        <v>CLE</v>
      </c>
      <c r="R25" s="120">
        <f>IFERROR(INDEX(TableWRCalcPts[BYE],MATCH(TableWRVORP[[#This Row],[RK]],TableWRCalcPts[RK],0)),"")</f>
        <v>5</v>
      </c>
      <c r="S25" s="121">
        <f>IFERROR(INDEX(TableWRCalcPts[Custom],MATCH(TableWRVORP[[#This Row],[RK]],TableWRCalcPts[RK],0)),"")</f>
        <v>183.883298165518</v>
      </c>
      <c r="T25" s="122">
        <f>IFERROR((TableWRVORP[[#This Row],[FPS]]-INDEX(TableWRVORP[FPS],MATCH(WRVORPCalc,TableWRVORP[RK],0)))/INDEX(TableWRVORP[FPS],MATCH(WRVORPCalc,TableWRVORP[RK],0)),"")</f>
        <v>0.41131588913634132</v>
      </c>
      <c r="V25">
        <v>24</v>
      </c>
      <c r="W25" s="120" t="str">
        <f>IFERROR(INDEX(TableTECalcPts[PLAYER],MATCH(TableTEVORP[[#This Row],[RK]],TableTECalcPts[RK],0)),"")</f>
        <v>Noah Fant</v>
      </c>
      <c r="X25" s="120" t="str">
        <f>IFERROR(INDEX(TableTECalcPts[TM],MATCH(TableTEVORP[[#This Row],[RK]],TableTECalcPts[RK],0)),"")</f>
        <v>SEA</v>
      </c>
      <c r="Y25" s="120">
        <f>IFERROR(INDEX(TableTECalcPts[BYE],MATCH(TableTEVORP[[#This Row],[RK]],TableTECalcPts[RK],0)),"")</f>
        <v>5</v>
      </c>
      <c r="Z25" s="121">
        <f>IFERROR(INDEX(TableTECalcPts[Custom],MATCH(TableTEVORP[[#This Row],[RK]],TableTECalcPts[RK],0)),"")</f>
        <v>96.734479211257991</v>
      </c>
      <c r="AA25" s="122">
        <f>IFERROR((TableTEVORP[[#This Row],[FPS]]-INDEX(TableTEVORP[FPS],MATCH(TEVORPCalc,TableTEVORP[RK],0)))/INDEX(TableTEVORP[FPS],MATCH(TEVORPCalc,TableTEVORP[RK],0)),"")</f>
        <v>-0.18594355921861408</v>
      </c>
      <c r="AF25" t="s">
        <v>9</v>
      </c>
      <c r="AG25">
        <v>24</v>
      </c>
      <c r="AH25" s="86">
        <f>RANK(TableOverallMaster[[#This Row],[VORP]],TableOverallMaster[VORP])+COUNTIF($AM$2:AM25,AM25)-1</f>
        <v>158</v>
      </c>
      <c r="AI25" s="123" t="str">
        <f>IFERROR(INDEX(TableQBVORP[QUARTERBACK],MATCH(TableOverallMaster[[#This Row],[RK]],TableQBVORP[RK],0)),"")</f>
        <v>Kenny Pickett</v>
      </c>
      <c r="AJ25" s="123" t="str">
        <f t="shared" si="0"/>
        <v>QB24</v>
      </c>
      <c r="AK25" s="123">
        <f>IFERROR(INDEX(TableQBVORP[BYE],MATCH(TableOverallMaster[[#This Row],[RK]],TableQBVORP[RK],0)),"")</f>
        <v>6</v>
      </c>
      <c r="AL25" s="124">
        <f>IFERROR(INDEX(TableQBVORP[FPS],MATCH(TableOverallMaster[[#This Row],[RK]],TableQBVORP[RK],0)),"")</f>
        <v>263.77245388453917</v>
      </c>
      <c r="AM25" s="125">
        <f>IFERROR(INDEX(TableQBVORP[VORP],MATCH(TableOverallMaster[[#This Row],[RK]],TableQBVORP[RK],0)),"")</f>
        <v>-0.13196920490819644</v>
      </c>
      <c r="AO25">
        <v>24</v>
      </c>
      <c r="AP25" s="126" t="str">
        <f>IFERROR(INDEX(TableOverallMaster[OVERALL PLAYER],MATCH(TableOverallRank[[#This Row],[RK]],TableOverallMaster[OVR RK],0)),"")</f>
        <v>Aaron Jones</v>
      </c>
      <c r="AQ25" s="127" t="str">
        <f>IFERROR(INDEX(TableOverallMaster[POS RK],MATCH(TableOverallRank[[#This Row],[OVERALL PLAYER]],TableOverallMaster[OVERALL PLAYER],0)),"")</f>
        <v>RB15</v>
      </c>
      <c r="AR25" s="128">
        <f>IFERROR(INDEX(TableOverallMaster[BYE],MATCH(TableOverallRank[[#This Row],[OVERALL PLAYER]],TableOverallMaster[OVERALL PLAYER],0)),"")</f>
        <v>6</v>
      </c>
      <c r="AS25" s="127">
        <f>IFERROR(INDEX(TableOverallMaster[Custom],MATCH(TableOverallRank[[#This Row],[OVERALL PLAYER]],TableOverallMaster[OVERALL PLAYER],0)),"")</f>
        <v>204.13862350454943</v>
      </c>
      <c r="AT25" s="129">
        <f>IFERROR(INDEX(TableOverallMaster[VORP],MATCH(TableOverallRank[[#This Row],[OVERALL PLAYER]],TableOverallMaster[OVERALL PLAYER],0)),"")</f>
        <v>0.6669423768899585</v>
      </c>
      <c r="AV25">
        <v>24</v>
      </c>
      <c r="AW25" s="130" t="str">
        <f>IFERROR(INDEX(TableWRTECalcPts[PLAYER],MATCH(TableWRTERank[[#This Row],[RK]],TableWRTECalcPts[RK],0)),"")</f>
        <v>Mike Williams</v>
      </c>
      <c r="AX25" s="130" t="str">
        <f>IFERROR(INDEX(TableWRTECalcPts[POS RK],MATCH(TableWRTERank[[#This Row],[WR and TE COMBINED]],TableWRTECalcPts[PLAYER],0)),"")</f>
        <v>WR23</v>
      </c>
      <c r="AY25" s="130">
        <f>IFERROR(INDEX(TableWRTECalcPts[BYE],MATCH(TableWRTERank[[#This Row],[RK]],TableWRTECalcPts[RK],0)),"")</f>
        <v>5</v>
      </c>
      <c r="AZ25" s="131">
        <f>IFERROR(INDEX(TableWRTECalcPts[Custom],MATCH(TableWRTERank[[#This Row],[RK]],TableWRTECalcPts[RK],0)),"")</f>
        <v>184.79340105256802</v>
      </c>
      <c r="BA25" s="188">
        <f>IFERROR((TableWRTERank[[#This Row],[FPS]]-INDEX(TableWRTERank[FPS],MATCH(WRTEVORPCalc,TableWRTERank[RK],0)))/INDEX(TableWRTERank[FPS],MATCH(WRTEVORPCalc,TableWRTERank[RK],0)),"")</f>
        <v>0.33530881326720779</v>
      </c>
      <c r="BC25" t="s">
        <v>257</v>
      </c>
      <c r="BD25">
        <v>24</v>
      </c>
      <c r="BE25" s="86">
        <f>RANK(TableWRTEMaster[[#This Row],[VORP]],TableWRTEMaster[VORP])+COUNTIF($BJ$2:BJ25,BJ25)-1</f>
        <v>28</v>
      </c>
      <c r="BF25" s="123" t="str">
        <f>IFERROR(INDEX(TableWRVORP[WIDE RECEIVER],MATCH(TableWRTEMaster[[#This Row],[RK]],TableWRVORP[RK],0)),"")</f>
        <v>Amari Cooper</v>
      </c>
      <c r="BG25" s="123" t="str">
        <f>_xlfn.CONCAT(TableWRTEMaster[[#This Row],[POS]],TableWRTEMaster[[#This Row],[RK]])</f>
        <v>WR24</v>
      </c>
      <c r="BH25" s="123">
        <f>IFERROR(INDEX(TableWRVORP[BYE],MATCH(TableWRTEMaster[[#This Row],[RK]],TableWRVORP[RK],0)),"")</f>
        <v>5</v>
      </c>
      <c r="BI25" s="124">
        <f>IFERROR(INDEX(TableWRVORP[FPS],MATCH(TableWRTEMaster[[#This Row],[RK]],TableWRVORP[RK],0)),"")</f>
        <v>183.883298165518</v>
      </c>
      <c r="BJ25" s="125">
        <f>IFERROR(INDEX(TableWRVORP[VORP],MATCH(TableWRTEMaster[[#This Row],[RK]],TableWRVORP[RK],0)),"")</f>
        <v>0.41131588913634132</v>
      </c>
    </row>
    <row r="26" spans="1:62" x14ac:dyDescent="0.2">
      <c r="A26">
        <v>25</v>
      </c>
      <c r="B26" s="120" t="str">
        <f>IFERROR(INDEX(TableQBCalcPts[PLAYER],MATCH(TableQBVORP[[#This Row],[RK]],TableQBCalcPts[RK],0)),"")</f>
        <v>Brock Purdy</v>
      </c>
      <c r="C26" s="120" t="str">
        <f>IFERROR(INDEX(TableQBCalcPts[TM],MATCH(TableQBVORP[[#This Row],[RK]],TableQBCalcPts[RK],0)),"")</f>
        <v>SF</v>
      </c>
      <c r="D26" s="120">
        <f>IFERROR(INDEX(TableQBCalcPts[BYE],MATCH(TableQBVORP[[#This Row],[RK]],TableQBCalcPts[RK],0)),"")</f>
        <v>9</v>
      </c>
      <c r="E26" s="121">
        <f>IFERROR(INDEX(TableQBCalcPts[Custom],MATCH(TableQBVORP[[#This Row],[RK]],TableQBCalcPts[RK],0)),"")</f>
        <v>260.90182349387231</v>
      </c>
      <c r="F26" s="122">
        <f>(IFERROR((TableQBVORP[[#This Row],[FPS]]-INDEX(TableQBVORP[FPS],MATCH(QBVORPCalc,TableQBVORP[RK],0)))/INDEX(TableQBVORP[FPS],MATCH(QBVORPCalc,TableQBVORP[RK],0)),""))+(TableRBVORP[[#This Row],[VORP]]*0.45)</f>
        <v>-0.13926765839268426</v>
      </c>
      <c r="H26">
        <v>25</v>
      </c>
      <c r="I26" s="120" t="str">
        <f>IFERROR(INDEX(TableRBCalcPts[PLAYER],MATCH(TableRBVORP[[#This Row],[RK]],TableRBCalcPts[RK],0)),"")</f>
        <v>James Conner</v>
      </c>
      <c r="J26" s="120" t="str">
        <f>IFERROR(INDEX(TableRBCalcPts[TM],MATCH(TableRBVORP[[#This Row],[RK]],TableRBCalcPts[RK],0)),"")</f>
        <v>ARI</v>
      </c>
      <c r="K26" s="120">
        <f>IFERROR(INDEX(TableRBCalcPts[BYE],MATCH(TableRBVORP[[#This Row],[RK]],TableRBCalcPts[RK],0)),"")</f>
        <v>14</v>
      </c>
      <c r="L26" s="121">
        <f>IFERROR(INDEX(TableRBCalcPts[Custom],MATCH(TableRBVORP[[#This Row],[RK]],TableRBCalcPts[RK],0)),"")</f>
        <v>185.87450180481002</v>
      </c>
      <c r="M26" s="122">
        <f>IFERROR((TableRBVORP[[#This Row],[FPS]]-INDEX(TableRBVORP[FPS],MATCH(RBVORPCalc,TableRBVORP[RK],0)))/INDEX(TableRBVORP[FPS],MATCH(RBVORPCalc,TableRBVORP[RK],0)),"")</f>
        <v>0.51780235666594354</v>
      </c>
      <c r="O26">
        <v>25</v>
      </c>
      <c r="P26" s="120" t="str">
        <f>IFERROR(INDEX(TableWRCalcPts[PLAYER],MATCH(TableWRVORP[[#This Row],[RK]],TableWRCalcPts[RK],0)),"")</f>
        <v>DJ Moore</v>
      </c>
      <c r="Q26" s="120" t="str">
        <f>IFERROR(INDEX(TableWRCalcPts[TM],MATCH(TableWRVORP[[#This Row],[RK]],TableWRCalcPts[RK],0)),"")</f>
        <v>CHI</v>
      </c>
      <c r="R26" s="120">
        <f>IFERROR(INDEX(TableWRCalcPts[BYE],MATCH(TableWRVORP[[#This Row],[RK]],TableWRCalcPts[RK],0)),"")</f>
        <v>13</v>
      </c>
      <c r="S26" s="121">
        <f>IFERROR(INDEX(TableWRCalcPts[Custom],MATCH(TableWRVORP[[#This Row],[RK]],TableWRCalcPts[RK],0)),"")</f>
        <v>182.80721027452122</v>
      </c>
      <c r="T26" s="122">
        <f>IFERROR((TableWRVORP[[#This Row],[FPS]]-INDEX(TableWRVORP[FPS],MATCH(WRVORPCalc,TableWRVORP[RK],0)))/INDEX(TableWRVORP[FPS],MATCH(WRVORPCalc,TableWRVORP[RK],0)),"")</f>
        <v>0.40305684683167292</v>
      </c>
      <c r="V26">
        <v>25</v>
      </c>
      <c r="W26" s="120" t="str">
        <f>IFERROR(INDEX(TableTECalcPts[PLAYER],MATCH(TableTEVORP[[#This Row],[RK]],TableTECalcPts[RK],0)),"")</f>
        <v>Trey McBride</v>
      </c>
      <c r="X26" s="120" t="str">
        <f>IFERROR(INDEX(TableTECalcPts[TM],MATCH(TableTEVORP[[#This Row],[RK]],TableTECalcPts[RK],0)),"")</f>
        <v>ARI</v>
      </c>
      <c r="Y26" s="120">
        <f>IFERROR(INDEX(TableTECalcPts[BYE],MATCH(TableTEVORP[[#This Row],[RK]],TableTECalcPts[RK],0)),"")</f>
        <v>14</v>
      </c>
      <c r="Z26" s="121">
        <f>IFERROR(INDEX(TableTECalcPts[Custom],MATCH(TableTEVORP[[#This Row],[RK]],TableTECalcPts[RK],0)),"")</f>
        <v>93.404355072000016</v>
      </c>
      <c r="AA26" s="122">
        <f>IFERROR((TableTEVORP[[#This Row],[FPS]]-INDEX(TableTEVORP[FPS],MATCH(TEVORPCalc,TableTEVORP[RK],0)))/INDEX(TableTEVORP[FPS],MATCH(TEVORPCalc,TableTEVORP[RK],0)),"")</f>
        <v>-0.2139677862188358</v>
      </c>
      <c r="AF26" t="s">
        <v>9</v>
      </c>
      <c r="AG26">
        <v>25</v>
      </c>
      <c r="AH26" s="86">
        <f>RANK(TableOverallMaster[[#This Row],[VORP]],TableOverallMaster[VORP])+COUNTIF($AM$2:AM26,AM26)-1</f>
        <v>161</v>
      </c>
      <c r="AI26" s="123" t="str">
        <f>IFERROR(INDEX(TableQBVORP[QUARTERBACK],MATCH(TableOverallMaster[[#This Row],[RK]],TableQBVORP[RK],0)),"")</f>
        <v>Brock Purdy</v>
      </c>
      <c r="AJ26" s="123" t="str">
        <f t="shared" si="0"/>
        <v>QB25</v>
      </c>
      <c r="AK26" s="123">
        <f>IFERROR(INDEX(TableQBVORP[BYE],MATCH(TableOverallMaster[[#This Row],[RK]],TableQBVORP[RK],0)),"")</f>
        <v>9</v>
      </c>
      <c r="AL26" s="124">
        <f>IFERROR(INDEX(TableQBVORP[FPS],MATCH(TableOverallMaster[[#This Row],[RK]],TableQBVORP[RK],0)),"")</f>
        <v>260.90182349387231</v>
      </c>
      <c r="AM26" s="125">
        <f>IFERROR(INDEX(TableQBVORP[VORP],MATCH(TableOverallMaster[[#This Row],[RK]],TableQBVORP[RK],0)),"")</f>
        <v>-0.13926765839268426</v>
      </c>
      <c r="AO26">
        <v>25</v>
      </c>
      <c r="AP26" s="126" t="str">
        <f>IFERROR(INDEX(TableOverallMaster[OVERALL PLAYER],MATCH(TableOverallRank[[#This Row],[RK]],TableOverallMaster[OVR RK],0)),"")</f>
        <v>Josh Allen</v>
      </c>
      <c r="AQ26" s="127" t="str">
        <f>IFERROR(INDEX(TableOverallMaster[POS RK],MATCH(TableOverallRank[[#This Row],[OVERALL PLAYER]],TableOverallMaster[OVERALL PLAYER],0)),"")</f>
        <v>QB1</v>
      </c>
      <c r="AR26" s="128">
        <f>IFERROR(INDEX(TableOverallMaster[BYE],MATCH(TableOverallRank[[#This Row],[OVERALL PLAYER]],TableOverallMaster[OVERALL PLAYER],0)),"")</f>
        <v>13</v>
      </c>
      <c r="AS26" s="127">
        <f>IFERROR(INDEX(TableOverallMaster[Custom],MATCH(TableOverallRank[[#This Row],[OVERALL PLAYER]],TableOverallMaster[OVERALL PLAYER],0)),"")</f>
        <v>420.77642148998893</v>
      </c>
      <c r="AT26" s="129">
        <f>IFERROR(INDEX(TableOverallMaster[VORP],MATCH(TableOverallRank[[#This Row],[OVERALL PLAYER]],TableOverallMaster[OVERALL PLAYER],0)),"")</f>
        <v>0.66652499444353508</v>
      </c>
      <c r="AV26">
        <v>25</v>
      </c>
      <c r="AW26" s="130" t="str">
        <f>IFERROR(INDEX(TableWRTECalcPts[PLAYER],MATCH(TableWRTERank[[#This Row],[RK]],TableWRTECalcPts[RK],0)),"")</f>
        <v>Amari Cooper</v>
      </c>
      <c r="AX26" s="130" t="str">
        <f>IFERROR(INDEX(TableWRTECalcPts[POS RK],MATCH(TableWRTERank[[#This Row],[WR and TE COMBINED]],TableWRTECalcPts[PLAYER],0)),"")</f>
        <v>WR24</v>
      </c>
      <c r="AY26" s="130">
        <f>IFERROR(INDEX(TableWRTECalcPts[BYE],MATCH(TableWRTERank[[#This Row],[RK]],TableWRTECalcPts[RK],0)),"")</f>
        <v>5</v>
      </c>
      <c r="AZ26" s="131">
        <f>IFERROR(INDEX(TableWRTECalcPts[Custom],MATCH(TableWRTERank[[#This Row],[RK]],TableWRTECalcPts[RK],0)),"")</f>
        <v>183.883298165518</v>
      </c>
      <c r="BA26" s="188">
        <f>IFERROR((TableWRTERank[[#This Row],[FPS]]-INDEX(TableWRTERank[FPS],MATCH(WRTEVORPCalc,TableWRTERank[RK],0)))/INDEX(TableWRTERank[FPS],MATCH(WRTEVORPCalc,TableWRTERank[RK],0)),"")</f>
        <v>0.32873245069616497</v>
      </c>
      <c r="BC26" t="s">
        <v>257</v>
      </c>
      <c r="BD26">
        <v>25</v>
      </c>
      <c r="BE26" s="86">
        <f>RANK(TableWRTEMaster[[#This Row],[VORP]],TableWRTEMaster[VORP])+COUNTIF($BJ$2:BJ26,BJ26)-1</f>
        <v>29</v>
      </c>
      <c r="BF26" s="123" t="str">
        <f>IFERROR(INDEX(TableWRVORP[WIDE RECEIVER],MATCH(TableWRTEMaster[[#This Row],[RK]],TableWRVORP[RK],0)),"")</f>
        <v>DJ Moore</v>
      </c>
      <c r="BG26" s="123" t="str">
        <f>_xlfn.CONCAT(TableWRTEMaster[[#This Row],[POS]],TableWRTEMaster[[#This Row],[RK]])</f>
        <v>WR25</v>
      </c>
      <c r="BH26" s="123">
        <f>IFERROR(INDEX(TableWRVORP[BYE],MATCH(TableWRTEMaster[[#This Row],[RK]],TableWRVORP[RK],0)),"")</f>
        <v>13</v>
      </c>
      <c r="BI26" s="124">
        <f>IFERROR(INDEX(TableWRVORP[FPS],MATCH(TableWRTEMaster[[#This Row],[RK]],TableWRVORP[RK],0)),"")</f>
        <v>182.80721027452122</v>
      </c>
      <c r="BJ26" s="125">
        <f>IFERROR(INDEX(TableWRVORP[VORP],MATCH(TableWRTEMaster[[#This Row],[RK]],TableWRVORP[RK],0)),"")</f>
        <v>0.40305684683167292</v>
      </c>
    </row>
    <row r="27" spans="1:62" x14ac:dyDescent="0.2">
      <c r="A27">
        <v>26</v>
      </c>
      <c r="B27" s="120" t="str">
        <f>IFERROR(INDEX(TableQBCalcPts[PLAYER],MATCH(TableQBVORP[[#This Row],[RK]],TableQBCalcPts[RK],0)),"")</f>
        <v>Derek Carr</v>
      </c>
      <c r="C27" s="120" t="str">
        <f>IFERROR(INDEX(TableQBCalcPts[TM],MATCH(TableQBVORP[[#This Row],[RK]],TableQBCalcPts[RK],0)),"")</f>
        <v>NO</v>
      </c>
      <c r="D27" s="120">
        <f>IFERROR(INDEX(TableQBCalcPts[BYE],MATCH(TableQBVORP[[#This Row],[RK]],TableQBCalcPts[RK],0)),"")</f>
        <v>11</v>
      </c>
      <c r="E27" s="121">
        <f>IFERROR(INDEX(TableQBCalcPts[Custom],MATCH(TableQBVORP[[#This Row],[RK]],TableQBCalcPts[RK],0)),"")</f>
        <v>259.6801634925929</v>
      </c>
      <c r="F27" s="122">
        <f>(IFERROR((TableQBVORP[[#This Row],[FPS]]-INDEX(TableQBVORP[FPS],MATCH(QBVORPCalc,TableQBVORP[RK],0)))/INDEX(TableQBVORP[FPS],MATCH(QBVORPCalc,TableQBVORP[RK],0)),""))+(TableRBVORP[[#This Row],[VORP]]*0.45)</f>
        <v>-0.14794838778784009</v>
      </c>
      <c r="H27">
        <v>26</v>
      </c>
      <c r="I27" s="120" t="str">
        <f>IFERROR(INDEX(TableRBCalcPts[PLAYER],MATCH(TableRBVORP[[#This Row],[RK]],TableRBCalcPts[RK],0)),"")</f>
        <v>Breece Hall</v>
      </c>
      <c r="J27" s="120" t="str">
        <f>IFERROR(INDEX(TableRBCalcPts[TM],MATCH(TableRBVORP[[#This Row],[RK]],TableRBCalcPts[RK],0)),"")</f>
        <v>NYJ</v>
      </c>
      <c r="K27" s="120">
        <f>IFERROR(INDEX(TableRBCalcPts[BYE],MATCH(TableRBVORP[[#This Row],[RK]],TableRBCalcPts[RK],0)),"")</f>
        <v>7</v>
      </c>
      <c r="L27" s="121">
        <f>IFERROR(INDEX(TableRBCalcPts[Custom],MATCH(TableRBVORP[[#This Row],[RK]],TableRBCalcPts[RK],0)),"")</f>
        <v>184.31202324745902</v>
      </c>
      <c r="M27" s="122">
        <f>IFERROR((TableRBVORP[[#This Row],[FPS]]-INDEX(TableRBVORP[FPS],MATCH(RBVORPCalc,TableRBVORP[RK],0)))/INDEX(TableRBVORP[FPS],MATCH(RBVORPCalc,TableRBVORP[RK],0)),"")</f>
        <v>0.50504356719476728</v>
      </c>
      <c r="O27">
        <v>26</v>
      </c>
      <c r="P27" s="120" t="str">
        <f>IFERROR(INDEX(TableWRCalcPts[PLAYER],MATCH(TableWRVORP[[#This Row],[RK]],TableWRCalcPts[RK],0)),"")</f>
        <v>Tyler Lockett</v>
      </c>
      <c r="Q27" s="120" t="str">
        <f>IFERROR(INDEX(TableWRCalcPts[TM],MATCH(TableWRVORP[[#This Row],[RK]],TableWRCalcPts[RK],0)),"")</f>
        <v>SEA</v>
      </c>
      <c r="R27" s="120">
        <f>IFERROR(INDEX(TableWRCalcPts[BYE],MATCH(TableWRVORP[[#This Row],[RK]],TableWRCalcPts[RK],0)),"")</f>
        <v>5</v>
      </c>
      <c r="S27" s="121">
        <f>IFERROR(INDEX(TableWRCalcPts[Custom],MATCH(TableWRVORP[[#This Row],[RK]],TableWRCalcPts[RK],0)),"")</f>
        <v>180.30568338510338</v>
      </c>
      <c r="T27" s="122">
        <f>IFERROR((TableWRVORP[[#This Row],[FPS]]-INDEX(TableWRVORP[FPS],MATCH(WRVORPCalc,TableWRVORP[RK],0)))/INDEX(TableWRVORP[FPS],MATCH(WRVORPCalc,TableWRVORP[RK],0)),"")</f>
        <v>0.38385747048070401</v>
      </c>
      <c r="V27">
        <v>26</v>
      </c>
      <c r="W27" s="120" t="str">
        <f>IFERROR(INDEX(TableTECalcPts[PLAYER],MATCH(TableTEVORP[[#This Row],[RK]],TableTECalcPts[RK],0)),"")</f>
        <v>Michael Mayer</v>
      </c>
      <c r="X27" s="120" t="str">
        <f>IFERROR(INDEX(TableTECalcPts[TM],MATCH(TableTEVORP[[#This Row],[RK]],TableTECalcPts[RK],0)),"")</f>
        <v>LV</v>
      </c>
      <c r="Y27" s="120">
        <f>IFERROR(INDEX(TableTECalcPts[BYE],MATCH(TableTEVORP[[#This Row],[RK]],TableTECalcPts[RK],0)),"")</f>
        <v>13</v>
      </c>
      <c r="Z27" s="121">
        <f>IFERROR(INDEX(TableTECalcPts[Custom],MATCH(TableTEVORP[[#This Row],[RK]],TableTECalcPts[RK],0)),"")</f>
        <v>92.765919307287874</v>
      </c>
      <c r="AA27" s="122">
        <f>IFERROR((TableTEVORP[[#This Row],[FPS]]-INDEX(TableTEVORP[FPS],MATCH(TEVORPCalc,TableTEVORP[RK],0)))/INDEX(TableTEVORP[FPS],MATCH(TEVORPCalc,TableTEVORP[RK],0)),"")</f>
        <v>-0.21934045944276548</v>
      </c>
      <c r="AF27" t="s">
        <v>9</v>
      </c>
      <c r="AG27">
        <v>26</v>
      </c>
      <c r="AH27" s="86">
        <f>RANK(TableOverallMaster[[#This Row],[VORP]],TableOverallMaster[VORP])+COUNTIF($AM$2:AM27,AM27)-1</f>
        <v>165</v>
      </c>
      <c r="AI27" s="123" t="str">
        <f>IFERROR(INDEX(TableQBVORP[QUARTERBACK],MATCH(TableOverallMaster[[#This Row],[RK]],TableQBVORP[RK],0)),"")</f>
        <v>Derek Carr</v>
      </c>
      <c r="AJ27" s="123" t="str">
        <f t="shared" si="0"/>
        <v>QB26</v>
      </c>
      <c r="AK27" s="123">
        <f>IFERROR(INDEX(TableQBVORP[BYE],MATCH(TableOverallMaster[[#This Row],[RK]],TableQBVORP[RK],0)),"")</f>
        <v>11</v>
      </c>
      <c r="AL27" s="124">
        <f>IFERROR(INDEX(TableQBVORP[FPS],MATCH(TableOverallMaster[[#This Row],[RK]],TableQBVORP[RK],0)),"")</f>
        <v>259.6801634925929</v>
      </c>
      <c r="AM27" s="125">
        <f>IFERROR(INDEX(TableQBVORP[VORP],MATCH(TableOverallMaster[[#This Row],[RK]],TableQBVORP[RK],0)),"")</f>
        <v>-0.14794838778784009</v>
      </c>
      <c r="AO27">
        <v>26</v>
      </c>
      <c r="AP27" s="126" t="str">
        <f>IFERROR(INDEX(TableOverallMaster[OVERALL PLAYER],MATCH(TableOverallRank[[#This Row],[RK]],TableOverallMaster[OVR RK],0)),"")</f>
        <v>Jaylen Waddle</v>
      </c>
      <c r="AQ27" s="127" t="str">
        <f>IFERROR(INDEX(TableOverallMaster[POS RK],MATCH(TableOverallRank[[#This Row],[OVERALL PLAYER]],TableOverallMaster[OVERALL PLAYER],0)),"")</f>
        <v>WR9</v>
      </c>
      <c r="AR27" s="128">
        <f>IFERROR(INDEX(TableOverallMaster[BYE],MATCH(TableOverallRank[[#This Row],[OVERALL PLAYER]],TableOverallMaster[OVERALL PLAYER],0)),"")</f>
        <v>10</v>
      </c>
      <c r="AS27" s="127">
        <f>IFERROR(INDEX(TableOverallMaster[Custom],MATCH(TableOverallRank[[#This Row],[OVERALL PLAYER]],TableOverallMaster[OVERALL PLAYER],0)),"")</f>
        <v>213.97580424242801</v>
      </c>
      <c r="AT27" s="129">
        <f>IFERROR(INDEX(TableOverallMaster[VORP],MATCH(TableOverallRank[[#This Row],[OVERALL PLAYER]],TableOverallMaster[OVERALL PLAYER],0)),"")</f>
        <v>0.64227776764282019</v>
      </c>
      <c r="AV27">
        <v>26</v>
      </c>
      <c r="AW27" s="130" t="str">
        <f>IFERROR(INDEX(TableWRTECalcPts[PLAYER],MATCH(TableWRTERank[[#This Row],[RK]],TableWRTECalcPts[RK],0)),"")</f>
        <v>DJ Moore</v>
      </c>
      <c r="AX27" s="130" t="str">
        <f>IFERROR(INDEX(TableWRTECalcPts[POS RK],MATCH(TableWRTERank[[#This Row],[WR and TE COMBINED]],TableWRTECalcPts[PLAYER],0)),"")</f>
        <v>WR25</v>
      </c>
      <c r="AY27" s="130">
        <f>IFERROR(INDEX(TableWRTECalcPts[BYE],MATCH(TableWRTERank[[#This Row],[RK]],TableWRTECalcPts[RK],0)),"")</f>
        <v>13</v>
      </c>
      <c r="AZ27" s="131">
        <f>IFERROR(INDEX(TableWRTECalcPts[Custom],MATCH(TableWRTERank[[#This Row],[RK]],TableWRTECalcPts[RK],0)),"")</f>
        <v>182.80721027452122</v>
      </c>
      <c r="BA27" s="188">
        <f>IFERROR((TableWRTERank[[#This Row],[FPS]]-INDEX(TableWRTERank[FPS],MATCH(WRTEVORPCalc,TableWRTERank[RK],0)))/INDEX(TableWRTERank[FPS],MATCH(WRTEVORPCalc,TableWRTERank[RK],0)),"")</f>
        <v>0.32095668794428317</v>
      </c>
      <c r="BC27" t="s">
        <v>257</v>
      </c>
      <c r="BD27">
        <v>26</v>
      </c>
      <c r="BE27" s="86">
        <f>RANK(TableWRTEMaster[[#This Row],[VORP]],TableWRTEMaster[VORP])+COUNTIF($BJ$2:BJ27,BJ27)-1</f>
        <v>30</v>
      </c>
      <c r="BF27" s="123" t="str">
        <f>IFERROR(INDEX(TableWRVORP[WIDE RECEIVER],MATCH(TableWRTEMaster[[#This Row],[RK]],TableWRVORP[RK],0)),"")</f>
        <v>Tyler Lockett</v>
      </c>
      <c r="BG27" s="123" t="str">
        <f>_xlfn.CONCAT(TableWRTEMaster[[#This Row],[POS]],TableWRTEMaster[[#This Row],[RK]])</f>
        <v>WR26</v>
      </c>
      <c r="BH27" s="123">
        <f>IFERROR(INDEX(TableWRVORP[BYE],MATCH(TableWRTEMaster[[#This Row],[RK]],TableWRVORP[RK],0)),"")</f>
        <v>5</v>
      </c>
      <c r="BI27" s="124">
        <f>IFERROR(INDEX(TableWRVORP[FPS],MATCH(TableWRTEMaster[[#This Row],[RK]],TableWRVORP[RK],0)),"")</f>
        <v>180.30568338510338</v>
      </c>
      <c r="BJ27" s="125">
        <f>IFERROR(INDEX(TableWRVORP[VORP],MATCH(TableWRTEMaster[[#This Row],[RK]],TableWRVORP[RK],0)),"")</f>
        <v>0.38385747048070401</v>
      </c>
    </row>
    <row r="28" spans="1:62" x14ac:dyDescent="0.2">
      <c r="A28">
        <v>27</v>
      </c>
      <c r="B28" s="120" t="str">
        <f>IFERROR(INDEX(TableQBCalcPts[PLAYER],MATCH(TableQBVORP[[#This Row],[RK]],TableQBCalcPts[RK],0)),"")</f>
        <v>C.J. Stroud</v>
      </c>
      <c r="C28" s="120" t="str">
        <f>IFERROR(INDEX(TableQBCalcPts[TM],MATCH(TableQBVORP[[#This Row],[RK]],TableQBCalcPts[RK],0)),"")</f>
        <v>HOU</v>
      </c>
      <c r="D28" s="120">
        <f>IFERROR(INDEX(TableQBCalcPts[BYE],MATCH(TableQBVORP[[#This Row],[RK]],TableQBCalcPts[RK],0)),"")</f>
        <v>7</v>
      </c>
      <c r="E28" s="121">
        <f>IFERROR(INDEX(TableQBCalcPts[Custom],MATCH(TableQBVORP[[#This Row],[RK]],TableQBCalcPts[RK],0)),"")</f>
        <v>258.30035640895341</v>
      </c>
      <c r="F28" s="122">
        <f>(IFERROR((TableQBVORP[[#This Row],[FPS]]-INDEX(TableQBVORP[FPS],MATCH(QBVORPCalc,TableQBVORP[RK],0)))/INDEX(TableQBVORP[FPS],MATCH(QBVORPCalc,TableQBVORP[RK],0)),""))+(TableRBVORP[[#This Row],[VORP]]*0.45)</f>
        <v>-0.15838081642491625</v>
      </c>
      <c r="H28">
        <v>27</v>
      </c>
      <c r="I28" s="120" t="str">
        <f>IFERROR(INDEX(TableRBCalcPts[PLAYER],MATCH(TableRBVORP[[#This Row],[RK]],TableRBCalcPts[RK],0)),"")</f>
        <v>James Cook</v>
      </c>
      <c r="J28" s="120" t="str">
        <f>IFERROR(INDEX(TableRBCalcPts[TM],MATCH(TableRBVORP[[#This Row],[RK]],TableRBCalcPts[RK],0)),"")</f>
        <v>BUF</v>
      </c>
      <c r="K28" s="120">
        <f>IFERROR(INDEX(TableRBCalcPts[BYE],MATCH(TableRBVORP[[#This Row],[RK]],TableRBCalcPts[RK],0)),"")</f>
        <v>13</v>
      </c>
      <c r="L28" s="121">
        <f>IFERROR(INDEX(TableRBCalcPts[Custom],MATCH(TableRBVORP[[#This Row],[RK]],TableRBCalcPts[RK],0)),"")</f>
        <v>182.3763858942709</v>
      </c>
      <c r="M28" s="122">
        <f>IFERROR((TableRBVORP[[#This Row],[FPS]]-INDEX(TableRBVORP[FPS],MATCH(RBVORPCalc,TableRBVORP[RK],0)))/INDEX(TableRBVORP[FPS],MATCH(RBVORPCalc,TableRBVORP[RK],0)),"")</f>
        <v>0.48923766101725008</v>
      </c>
      <c r="O28">
        <v>27</v>
      </c>
      <c r="P28" s="120" t="str">
        <f>IFERROR(INDEX(TableWRCalcPts[PLAYER],MATCH(TableWRVORP[[#This Row],[RK]],TableWRCalcPts[RK],0)),"")</f>
        <v>Jordan Addison</v>
      </c>
      <c r="Q28" s="120" t="str">
        <f>IFERROR(INDEX(TableWRCalcPts[TM],MATCH(TableWRVORP[[#This Row],[RK]],TableWRCalcPts[RK],0)),"")</f>
        <v>MIN</v>
      </c>
      <c r="R28" s="120">
        <f>IFERROR(INDEX(TableWRCalcPts[BYE],MATCH(TableWRVORP[[#This Row],[RK]],TableWRCalcPts[RK],0)),"")</f>
        <v>13</v>
      </c>
      <c r="S28" s="121">
        <f>IFERROR(INDEX(TableWRCalcPts[Custom],MATCH(TableWRVORP[[#This Row],[RK]],TableWRCalcPts[RK],0)),"")</f>
        <v>176.77315343207513</v>
      </c>
      <c r="T28" s="122">
        <f>IFERROR((TableWRVORP[[#This Row],[FPS]]-INDEX(TableWRVORP[FPS],MATCH(WRVORPCalc,TableWRVORP[RK],0)))/INDEX(TableWRVORP[FPS],MATCH(WRVORPCalc,TableWRVORP[RK],0)),"")</f>
        <v>0.35674508071341132</v>
      </c>
      <c r="V28">
        <v>27</v>
      </c>
      <c r="W28" s="120" t="str">
        <f>IFERROR(INDEX(TableTECalcPts[PLAYER],MATCH(TableTEVORP[[#This Row],[RK]],TableTECalcPts[RK],0)),"")</f>
        <v>Gerald Everett</v>
      </c>
      <c r="X28" s="120" t="str">
        <f>IFERROR(INDEX(TableTECalcPts[TM],MATCH(TableTEVORP[[#This Row],[RK]],TableTECalcPts[RK],0)),"")</f>
        <v>LAC</v>
      </c>
      <c r="Y28" s="120">
        <f>IFERROR(INDEX(TableTECalcPts[BYE],MATCH(TableTEVORP[[#This Row],[RK]],TableTECalcPts[RK],0)),"")</f>
        <v>5</v>
      </c>
      <c r="Z28" s="121">
        <f>IFERROR(INDEX(TableTECalcPts[Custom],MATCH(TableTEVORP[[#This Row],[RK]],TableTECalcPts[RK],0)),"")</f>
        <v>88.829688450900846</v>
      </c>
      <c r="AA28" s="122">
        <f>IFERROR((TableTEVORP[[#This Row],[FPS]]-INDEX(TableTEVORP[FPS],MATCH(TEVORPCalc,TableTEVORP[RK],0)))/INDEX(TableTEVORP[FPS],MATCH(TEVORPCalc,TableTEVORP[RK],0)),"")</f>
        <v>-0.25246529876759821</v>
      </c>
      <c r="AF28" t="s">
        <v>9</v>
      </c>
      <c r="AG28">
        <v>27</v>
      </c>
      <c r="AH28" s="86">
        <f>RANK(TableOverallMaster[[#This Row],[VORP]],TableOverallMaster[VORP])+COUNTIF($AM$2:AM28,AM28)-1</f>
        <v>168</v>
      </c>
      <c r="AI28" s="123" t="str">
        <f>IFERROR(INDEX(TableQBVORP[QUARTERBACK],MATCH(TableOverallMaster[[#This Row],[RK]],TableQBVORP[RK],0)),"")</f>
        <v>C.J. Stroud</v>
      </c>
      <c r="AJ28" s="123" t="str">
        <f t="shared" si="0"/>
        <v>QB27</v>
      </c>
      <c r="AK28" s="123">
        <f>IFERROR(INDEX(TableQBVORP[BYE],MATCH(TableOverallMaster[[#This Row],[RK]],TableQBVORP[RK],0)),"")</f>
        <v>7</v>
      </c>
      <c r="AL28" s="124">
        <f>IFERROR(INDEX(TableQBVORP[FPS],MATCH(TableOverallMaster[[#This Row],[RK]],TableQBVORP[RK],0)),"")</f>
        <v>258.30035640895341</v>
      </c>
      <c r="AM28" s="125">
        <f>IFERROR(INDEX(TableQBVORP[VORP],MATCH(TableOverallMaster[[#This Row],[RK]],TableQBVORP[RK],0)),"")</f>
        <v>-0.15838081642491625</v>
      </c>
      <c r="AO28">
        <v>27</v>
      </c>
      <c r="AP28" s="126" t="str">
        <f>IFERROR(INDEX(TableOverallMaster[OVERALL PLAYER],MATCH(TableOverallRank[[#This Row],[RK]],TableOverallMaster[OVR RK],0)),"")</f>
        <v>Cam Akers</v>
      </c>
      <c r="AQ28" s="127" t="str">
        <f>IFERROR(INDEX(TableOverallMaster[POS RK],MATCH(TableOverallRank[[#This Row],[OVERALL PLAYER]],TableOverallMaster[OVERALL PLAYER],0)),"")</f>
        <v>RB16</v>
      </c>
      <c r="AR28" s="128">
        <f>IFERROR(INDEX(TableOverallMaster[BYE],MATCH(TableOverallRank[[#This Row],[OVERALL PLAYER]],TableOverallMaster[OVERALL PLAYER],0)),"")</f>
        <v>10</v>
      </c>
      <c r="AS28" s="127">
        <f>IFERROR(INDEX(TableOverallMaster[Custom],MATCH(TableOverallRank[[#This Row],[OVERALL PLAYER]],TableOverallMaster[OVERALL PLAYER],0)),"")</f>
        <v>198.18796580263299</v>
      </c>
      <c r="AT28" s="129">
        <f>IFERROR(INDEX(TableOverallMaster[VORP],MATCH(TableOverallRank[[#This Row],[OVERALL PLAYER]],TableOverallMaster[OVERALL PLAYER],0)),"")</f>
        <v>0.61835086920072369</v>
      </c>
      <c r="AV28">
        <v>27</v>
      </c>
      <c r="AW28" s="130" t="str">
        <f>IFERROR(INDEX(TableWRTECalcPts[PLAYER],MATCH(TableWRTERank[[#This Row],[RK]],TableWRTECalcPts[RK],0)),"")</f>
        <v>Mark Andrews</v>
      </c>
      <c r="AX28" s="130" t="str">
        <f>IFERROR(INDEX(TableWRTECalcPts[POS RK],MATCH(TableWRTERank[[#This Row],[WR and TE COMBINED]],TableWRTECalcPts[PLAYER],0)),"")</f>
        <v>TE2</v>
      </c>
      <c r="AY28" s="130">
        <f>IFERROR(INDEX(TableWRTECalcPts[BYE],MATCH(TableWRTERank[[#This Row],[RK]],TableWRTECalcPts[RK],0)),"")</f>
        <v>13</v>
      </c>
      <c r="AZ28" s="131">
        <f>IFERROR(INDEX(TableWRTECalcPts[Custom],MATCH(TableWRTERank[[#This Row],[RK]],TableWRTECalcPts[RK],0)),"")</f>
        <v>182.44202704799619</v>
      </c>
      <c r="BA28" s="188">
        <f>IFERROR((TableWRTERank[[#This Row],[FPS]]-INDEX(TableWRTERank[FPS],MATCH(WRTEVORPCalc,TableWRTERank[RK],0)))/INDEX(TableWRTERank[FPS],MATCH(WRTEVORPCalc,TableWRTERank[RK],0)),"")</f>
        <v>0.31831789035703856</v>
      </c>
      <c r="BC28" t="s">
        <v>257</v>
      </c>
      <c r="BD28">
        <v>27</v>
      </c>
      <c r="BE28" s="86">
        <f>RANK(TableWRTEMaster[[#This Row],[VORP]],TableWRTEMaster[VORP])+COUNTIF($BJ$2:BJ28,BJ28)-1</f>
        <v>31</v>
      </c>
      <c r="BF28" s="123" t="str">
        <f>IFERROR(INDEX(TableWRVORP[WIDE RECEIVER],MATCH(TableWRTEMaster[[#This Row],[RK]],TableWRVORP[RK],0)),"")</f>
        <v>Jordan Addison</v>
      </c>
      <c r="BG28" s="123" t="str">
        <f>_xlfn.CONCAT(TableWRTEMaster[[#This Row],[POS]],TableWRTEMaster[[#This Row],[RK]])</f>
        <v>WR27</v>
      </c>
      <c r="BH28" s="123">
        <f>IFERROR(INDEX(TableWRVORP[BYE],MATCH(TableWRTEMaster[[#This Row],[RK]],TableWRVORP[RK],0)),"")</f>
        <v>13</v>
      </c>
      <c r="BI28" s="124">
        <f>IFERROR(INDEX(TableWRVORP[FPS],MATCH(TableWRTEMaster[[#This Row],[RK]],TableWRVORP[RK],0)),"")</f>
        <v>176.77315343207513</v>
      </c>
      <c r="BJ28" s="125">
        <f>IFERROR(INDEX(TableWRVORP[VORP],MATCH(TableWRTEMaster[[#This Row],[RK]],TableWRVORP[RK],0)),"")</f>
        <v>0.35674508071341132</v>
      </c>
    </row>
    <row r="29" spans="1:62" x14ac:dyDescent="0.2">
      <c r="A29">
        <v>28</v>
      </c>
      <c r="B29" s="120" t="str">
        <f>IFERROR(INDEX(TableQBCalcPts[PLAYER],MATCH(TableQBVORP[[#This Row],[RK]],TableQBCalcPts[RK],0)),"")</f>
        <v>Ryan Tannehill</v>
      </c>
      <c r="C29" s="120" t="str">
        <f>IFERROR(INDEX(TableQBCalcPts[TM],MATCH(TableQBVORP[[#This Row],[RK]],TableQBCalcPts[RK],0)),"")</f>
        <v>TEN</v>
      </c>
      <c r="D29" s="120">
        <f>IFERROR(INDEX(TableQBCalcPts[BYE],MATCH(TableQBVORP[[#This Row],[RK]],TableQBCalcPts[RK],0)),"")</f>
        <v>7</v>
      </c>
      <c r="E29" s="121">
        <f>IFERROR(INDEX(TableQBCalcPts[Custom],MATCH(TableQBVORP[[#This Row],[RK]],TableQBCalcPts[RK],0)),"")</f>
        <v>252.82656185119882</v>
      </c>
      <c r="F29" s="122">
        <f>(IFERROR((TableQBVORP[[#This Row],[FPS]]-INDEX(TableQBVORP[FPS],MATCH(QBVORPCalc,TableQBVORP[RK],0)))/INDEX(TableQBVORP[FPS],MATCH(QBVORPCalc,TableQBVORP[RK],0)),""))+(TableRBVORP[[#This Row],[VORP]]*0.45)</f>
        <v>-0.17552077060789623</v>
      </c>
      <c r="H29">
        <v>28</v>
      </c>
      <c r="I29" s="120" t="str">
        <f>IFERROR(INDEX(TableRBCalcPts[PLAYER],MATCH(TableRBVORP[[#This Row],[RK]],TableRBCalcPts[RK],0)),"")</f>
        <v>Alvin Kamara</v>
      </c>
      <c r="J29" s="120" t="str">
        <f>IFERROR(INDEX(TableRBCalcPts[TM],MATCH(TableRBVORP[[#This Row],[RK]],TableRBCalcPts[RK],0)),"")</f>
        <v>NO</v>
      </c>
      <c r="K29" s="120">
        <f>IFERROR(INDEX(TableRBCalcPts[BYE],MATCH(TableRBVORP[[#This Row],[RK]],TableRBCalcPts[RK],0)),"")</f>
        <v>11</v>
      </c>
      <c r="L29" s="121">
        <f>IFERROR(INDEX(TableRBCalcPts[Custom],MATCH(TableRBVORP[[#This Row],[RK]],TableRBCalcPts[RK],0)),"")</f>
        <v>181.29594105419741</v>
      </c>
      <c r="M29" s="122">
        <f>IFERROR((TableRBVORP[[#This Row],[FPS]]-INDEX(TableRBVORP[FPS],MATCH(RBVORPCalc,TableRBVORP[RK],0)))/INDEX(TableRBVORP[FPS],MATCH(RBVORPCalc,TableRBVORP[RK],0)),"")</f>
        <v>0.48041503226189136</v>
      </c>
      <c r="O29">
        <v>28</v>
      </c>
      <c r="P29" s="120" t="str">
        <f>IFERROR(INDEX(TableWRCalcPts[PLAYER],MATCH(TableWRVORP[[#This Row],[RK]],TableWRCalcPts[RK],0)),"")</f>
        <v>Gabe Davis</v>
      </c>
      <c r="Q29" s="120" t="str">
        <f>IFERROR(INDEX(TableWRCalcPts[TM],MATCH(TableWRVORP[[#This Row],[RK]],TableWRCalcPts[RK],0)),"")</f>
        <v>BUF</v>
      </c>
      <c r="R29" s="120">
        <f>IFERROR(INDEX(TableWRCalcPts[BYE],MATCH(TableWRVORP[[#This Row],[RK]],TableWRCalcPts[RK],0)),"")</f>
        <v>13</v>
      </c>
      <c r="S29" s="121">
        <f>IFERROR(INDEX(TableWRCalcPts[Custom],MATCH(TableWRVORP[[#This Row],[RK]],TableWRCalcPts[RK],0)),"")</f>
        <v>176.46008169396845</v>
      </c>
      <c r="T29" s="122">
        <f>IFERROR((TableWRVORP[[#This Row],[FPS]]-INDEX(TableWRVORP[FPS],MATCH(WRVORPCalc,TableWRVORP[RK],0)))/INDEX(TableWRVORP[FPS],MATCH(WRVORPCalc,TableWRVORP[RK],0)),"")</f>
        <v>0.35434223541512988</v>
      </c>
      <c r="V29">
        <v>28</v>
      </c>
      <c r="W29" s="120" t="str">
        <f>IFERROR(INDEX(TableTECalcPts[PLAYER],MATCH(TableTEVORP[[#This Row],[RK]],TableTECalcPts[RK],0)),"")</f>
        <v>Greg Dulcich</v>
      </c>
      <c r="X29" s="120" t="str">
        <f>IFERROR(INDEX(TableTECalcPts[TM],MATCH(TableTEVORP[[#This Row],[RK]],TableTECalcPts[RK],0)),"")</f>
        <v>DEN</v>
      </c>
      <c r="Y29" s="120">
        <f>IFERROR(INDEX(TableTECalcPts[BYE],MATCH(TableTEVORP[[#This Row],[RK]],TableTECalcPts[RK],0)),"")</f>
        <v>9</v>
      </c>
      <c r="Z29" s="121">
        <f>IFERROR(INDEX(TableTECalcPts[Custom],MATCH(TableTEVORP[[#This Row],[RK]],TableTECalcPts[RK],0)),"")</f>
        <v>86.581473187303459</v>
      </c>
      <c r="AA29" s="122">
        <f>IFERROR((TableTEVORP[[#This Row],[FPS]]-INDEX(TableTEVORP[FPS],MATCH(TEVORPCalc,TableTEVORP[RK],0)))/INDEX(TableTEVORP[FPS],MATCH(TEVORPCalc,TableTEVORP[RK],0)),"")</f>
        <v>-0.27138486220058639</v>
      </c>
      <c r="AF29" t="s">
        <v>9</v>
      </c>
      <c r="AG29">
        <v>28</v>
      </c>
      <c r="AH29" s="86">
        <f>RANK(TableOverallMaster[[#This Row],[VORP]],TableOverallMaster[VORP])+COUNTIF($AM$2:AM29,AM29)-1</f>
        <v>174</v>
      </c>
      <c r="AI29" s="123" t="str">
        <f>IFERROR(INDEX(TableQBVORP[QUARTERBACK],MATCH(TableOverallMaster[[#This Row],[RK]],TableQBVORP[RK],0)),"")</f>
        <v>Ryan Tannehill</v>
      </c>
      <c r="AJ29" s="123" t="str">
        <f t="shared" si="0"/>
        <v>QB28</v>
      </c>
      <c r="AK29" s="123">
        <f>IFERROR(INDEX(TableQBVORP[BYE],MATCH(TableOverallMaster[[#This Row],[RK]],TableQBVORP[RK],0)),"")</f>
        <v>7</v>
      </c>
      <c r="AL29" s="124">
        <f>IFERROR(INDEX(TableQBVORP[FPS],MATCH(TableOverallMaster[[#This Row],[RK]],TableQBVORP[RK],0)),"")</f>
        <v>252.82656185119882</v>
      </c>
      <c r="AM29" s="125">
        <f>IFERROR(INDEX(TableQBVORP[VORP],MATCH(TableOverallMaster[[#This Row],[RK]],TableQBVORP[RK],0)),"")</f>
        <v>-0.17552077060789623</v>
      </c>
      <c r="AO29">
        <v>28</v>
      </c>
      <c r="AP29" s="126" t="str">
        <f>IFERROR(INDEX(TableOverallMaster[OVERALL PLAYER],MATCH(TableOverallRank[[#This Row],[RK]],TableOverallMaster[OVR RK],0)),"")</f>
        <v>Miles Sanders</v>
      </c>
      <c r="AQ29" s="127" t="str">
        <f>IFERROR(INDEX(TableOverallMaster[POS RK],MATCH(TableOverallRank[[#This Row],[OVERALL PLAYER]],TableOverallMaster[OVERALL PLAYER],0)),"")</f>
        <v>RB17</v>
      </c>
      <c r="AR29" s="128">
        <f>IFERROR(INDEX(TableOverallMaster[BYE],MATCH(TableOverallRank[[#This Row],[OVERALL PLAYER]],TableOverallMaster[OVERALL PLAYER],0)),"")</f>
        <v>7</v>
      </c>
      <c r="AS29" s="127">
        <f>IFERROR(INDEX(TableOverallMaster[Custom],MATCH(TableOverallRank[[#This Row],[OVERALL PLAYER]],TableOverallMaster[OVERALL PLAYER],0)),"")</f>
        <v>198.17585634036573</v>
      </c>
      <c r="AT29" s="129">
        <f>IFERROR(INDEX(TableOverallMaster[VORP],MATCH(TableOverallRank[[#This Row],[OVERALL PLAYER]],TableOverallMaster[OVERALL PLAYER],0)),"")</f>
        <v>0.61825198651273394</v>
      </c>
      <c r="AV29">
        <v>28</v>
      </c>
      <c r="AW29" s="130" t="str">
        <f>IFERROR(INDEX(TableWRTECalcPts[PLAYER],MATCH(TableWRTERank[[#This Row],[RK]],TableWRTECalcPts[RK],0)),"")</f>
        <v>Darren Waller</v>
      </c>
      <c r="AX29" s="130" t="str">
        <f>IFERROR(INDEX(TableWRTECalcPts[POS RK],MATCH(TableWRTERank[[#This Row],[WR and TE COMBINED]],TableWRTECalcPts[PLAYER],0)),"")</f>
        <v>TE3</v>
      </c>
      <c r="AY29" s="130">
        <f>IFERROR(INDEX(TableWRTECalcPts[BYE],MATCH(TableWRTERank[[#This Row],[RK]],TableWRTECalcPts[RK],0)),"")</f>
        <v>13</v>
      </c>
      <c r="AZ29" s="131">
        <f>IFERROR(INDEX(TableWRTECalcPts[Custom],MATCH(TableWRTERank[[#This Row],[RK]],TableWRTECalcPts[RK],0)),"")</f>
        <v>181.80931561622648</v>
      </c>
      <c r="BA29" s="188">
        <f>IFERROR((TableWRTERank[[#This Row],[FPS]]-INDEX(TableWRTERank[FPS],MATCH(WRTEVORPCalc,TableWRTERank[RK],0)))/INDEX(TableWRTERank[FPS],MATCH(WRTEVORPCalc,TableWRTERank[RK],0)),"")</f>
        <v>0.31374594597869648</v>
      </c>
      <c r="BC29" t="s">
        <v>257</v>
      </c>
      <c r="BD29">
        <v>28</v>
      </c>
      <c r="BE29" s="86">
        <f>RANK(TableWRTEMaster[[#This Row],[VORP]],TableWRTEMaster[VORP])+COUNTIF($BJ$2:BJ29,BJ29)-1</f>
        <v>32</v>
      </c>
      <c r="BF29" s="123" t="str">
        <f>IFERROR(INDEX(TableWRVORP[WIDE RECEIVER],MATCH(TableWRTEMaster[[#This Row],[RK]],TableWRVORP[RK],0)),"")</f>
        <v>Gabe Davis</v>
      </c>
      <c r="BG29" s="123" t="str">
        <f>_xlfn.CONCAT(TableWRTEMaster[[#This Row],[POS]],TableWRTEMaster[[#This Row],[RK]])</f>
        <v>WR28</v>
      </c>
      <c r="BH29" s="123">
        <f>IFERROR(INDEX(TableWRVORP[BYE],MATCH(TableWRTEMaster[[#This Row],[RK]],TableWRVORP[RK],0)),"")</f>
        <v>13</v>
      </c>
      <c r="BI29" s="124">
        <f>IFERROR(INDEX(TableWRVORP[FPS],MATCH(TableWRTEMaster[[#This Row],[RK]],TableWRVORP[RK],0)),"")</f>
        <v>176.46008169396845</v>
      </c>
      <c r="BJ29" s="125">
        <f>IFERROR(INDEX(TableWRVORP[VORP],MATCH(TableWRTEMaster[[#This Row],[RK]],TableWRVORP[RK],0)),"")</f>
        <v>0.35434223541512988</v>
      </c>
    </row>
    <row r="30" spans="1:62" x14ac:dyDescent="0.2">
      <c r="A30">
        <v>29</v>
      </c>
      <c r="B30" s="120" t="str">
        <f>IFERROR(INDEX(TableQBCalcPts[PLAYER],MATCH(TableQBVORP[[#This Row],[RK]],TableQBCalcPts[RK],0)),"")</f>
        <v>Mac Jones</v>
      </c>
      <c r="C30" s="120" t="str">
        <f>IFERROR(INDEX(TableQBCalcPts[TM],MATCH(TableQBVORP[[#This Row],[RK]],TableQBCalcPts[RK],0)),"")</f>
        <v>NE</v>
      </c>
      <c r="D30" s="120">
        <f>IFERROR(INDEX(TableQBCalcPts[BYE],MATCH(TableQBVORP[[#This Row],[RK]],TableQBCalcPts[RK],0)),"")</f>
        <v>11</v>
      </c>
      <c r="E30" s="121">
        <f>IFERROR(INDEX(TableQBCalcPts[Custom],MATCH(TableQBVORP[[#This Row],[RK]],TableQBCalcPts[RK],0)),"")</f>
        <v>248.34398689298061</v>
      </c>
      <c r="F30" s="122">
        <f>(IFERROR((TableQBVORP[[#This Row],[FPS]]-INDEX(TableQBVORP[FPS],MATCH(QBVORPCalc,TableQBVORP[RK],0)))/INDEX(TableQBVORP[FPS],MATCH(QBVORPCalc,TableQBVORP[RK],0)),""))+(TableRBVORP[[#This Row],[VORP]]*0.45)</f>
        <v>-0.21808231627663743</v>
      </c>
      <c r="H30">
        <v>29</v>
      </c>
      <c r="I30" s="120" t="str">
        <f>IFERROR(INDEX(TableRBCalcPts[PLAYER],MATCH(TableRBVORP[[#This Row],[RK]],TableRBCalcPts[RK],0)),"")</f>
        <v>Brian Robinson</v>
      </c>
      <c r="J30" s="120" t="str">
        <f>IFERROR(INDEX(TableRBCalcPts[TM],MATCH(TableRBVORP[[#This Row],[RK]],TableRBCalcPts[RK],0)),"")</f>
        <v>WSH</v>
      </c>
      <c r="K30" s="120">
        <f>IFERROR(INDEX(TableRBCalcPts[BYE],MATCH(TableRBVORP[[#This Row],[RK]],TableRBCalcPts[RK],0)),"")</f>
        <v>14</v>
      </c>
      <c r="L30" s="121">
        <f>IFERROR(INDEX(TableRBCalcPts[Custom],MATCH(TableRBVORP[[#This Row],[RK]],TableRBCalcPts[RK],0)),"")</f>
        <v>172.64825861373072</v>
      </c>
      <c r="M30" s="122">
        <f>IFERROR((TableRBVORP[[#This Row],[FPS]]-INDEX(TableRBVORP[FPS],MATCH(RBVORPCalc,TableRBVORP[RK],0)))/INDEX(TableRBVORP[FPS],MATCH(RBVORPCalc,TableRBVORP[RK],0)),"")</f>
        <v>0.40980032900570013</v>
      </c>
      <c r="O30">
        <v>29</v>
      </c>
      <c r="P30" s="120" t="str">
        <f>IFERROR(INDEX(TableWRCalcPts[PLAYER],MATCH(TableWRVORP[[#This Row],[RK]],TableWRCalcPts[RK],0)),"")</f>
        <v>Christian Kirk</v>
      </c>
      <c r="Q30" s="120" t="str">
        <f>IFERROR(INDEX(TableWRCalcPts[TM],MATCH(TableWRVORP[[#This Row],[RK]],TableWRCalcPts[RK],0)),"")</f>
        <v>JAX</v>
      </c>
      <c r="R30" s="120">
        <f>IFERROR(INDEX(TableWRCalcPts[BYE],MATCH(TableWRVORP[[#This Row],[RK]],TableWRCalcPts[RK],0)),"")</f>
        <v>9</v>
      </c>
      <c r="S30" s="121">
        <f>IFERROR(INDEX(TableWRCalcPts[Custom],MATCH(TableWRVORP[[#This Row],[RK]],TableWRCalcPts[RK],0)),"")</f>
        <v>171.53592071198523</v>
      </c>
      <c r="T30" s="122">
        <f>IFERROR((TableWRVORP[[#This Row],[FPS]]-INDEX(TableWRVORP[FPS],MATCH(WRVORPCalc,TableWRVORP[RK],0)))/INDEX(TableWRVORP[FPS],MATCH(WRVORPCalc,TableWRVORP[RK],0)),"")</f>
        <v>0.31654898989544888</v>
      </c>
      <c r="V30">
        <v>29</v>
      </c>
      <c r="W30" s="120" t="str">
        <f>IFERROR(INDEX(TableTECalcPts[PLAYER],MATCH(TableTEVORP[[#This Row],[RK]],TableTECalcPts[RK],0)),"")</f>
        <v>Mike Gesicki</v>
      </c>
      <c r="X30" s="120" t="str">
        <f>IFERROR(INDEX(TableTECalcPts[TM],MATCH(TableTEVORP[[#This Row],[RK]],TableTECalcPts[RK],0)),"")</f>
        <v>NE</v>
      </c>
      <c r="Y30" s="120">
        <f>IFERROR(INDEX(TableTECalcPts[BYE],MATCH(TableTEVORP[[#This Row],[RK]],TableTECalcPts[RK],0)),"")</f>
        <v>11</v>
      </c>
      <c r="Z30" s="121">
        <f>IFERROR(INDEX(TableTECalcPts[Custom],MATCH(TableTEVORP[[#This Row],[RK]],TableTECalcPts[RK],0)),"")</f>
        <v>84.395870962075392</v>
      </c>
      <c r="AA30" s="122">
        <f>IFERROR((TableTEVORP[[#This Row],[FPS]]-INDEX(TableTEVORP[FPS],MATCH(TEVORPCalc,TableTEVORP[RK],0)))/INDEX(TableTEVORP[FPS],MATCH(TEVORPCalc,TableTEVORP[RK],0)),"")</f>
        <v>-0.28977751374469035</v>
      </c>
      <c r="AF30" t="s">
        <v>9</v>
      </c>
      <c r="AG30">
        <v>29</v>
      </c>
      <c r="AH30" s="86">
        <f>RANK(TableOverallMaster[[#This Row],[VORP]],TableOverallMaster[VORP])+COUNTIF($AM$2:AM30,AM30)-1</f>
        <v>180</v>
      </c>
      <c r="AI30" s="123" t="str">
        <f>IFERROR(INDEX(TableQBVORP[QUARTERBACK],MATCH(TableOverallMaster[[#This Row],[RK]],TableQBVORP[RK],0)),"")</f>
        <v>Mac Jones</v>
      </c>
      <c r="AJ30" s="123" t="str">
        <f t="shared" si="0"/>
        <v>QB29</v>
      </c>
      <c r="AK30" s="123">
        <f>IFERROR(INDEX(TableQBVORP[BYE],MATCH(TableOverallMaster[[#This Row],[RK]],TableQBVORP[RK],0)),"")</f>
        <v>11</v>
      </c>
      <c r="AL30" s="124">
        <f>IFERROR(INDEX(TableQBVORP[FPS],MATCH(TableOverallMaster[[#This Row],[RK]],TableQBVORP[RK],0)),"")</f>
        <v>248.34398689298061</v>
      </c>
      <c r="AM30" s="125">
        <f>IFERROR(INDEX(TableQBVORP[VORP],MATCH(TableOverallMaster[[#This Row],[RK]],TableQBVORP[RK],0)),"")</f>
        <v>-0.21808231627663743</v>
      </c>
      <c r="AO30">
        <v>29</v>
      </c>
      <c r="AP30" s="126" t="str">
        <f>IFERROR(INDEX(TableOverallMaster[OVERALL PLAYER],MATCH(TableOverallRank[[#This Row],[RK]],TableOverallMaster[OVR RK],0)),"")</f>
        <v>J.K. Dobbins</v>
      </c>
      <c r="AQ30" s="127" t="str">
        <f>IFERROR(INDEX(TableOverallMaster[POS RK],MATCH(TableOverallRank[[#This Row],[OVERALL PLAYER]],TableOverallMaster[OVERALL PLAYER],0)),"")</f>
        <v>RB18</v>
      </c>
      <c r="AR30" s="128">
        <f>IFERROR(INDEX(TableOverallMaster[BYE],MATCH(TableOverallRank[[#This Row],[OVERALL PLAYER]],TableOverallMaster[OVERALL PLAYER],0)),"")</f>
        <v>13</v>
      </c>
      <c r="AS30" s="127">
        <f>IFERROR(INDEX(TableOverallMaster[Custom],MATCH(TableOverallRank[[#This Row],[OVERALL PLAYER]],TableOverallMaster[OVERALL PLAYER],0)),"")</f>
        <v>196.46388437581254</v>
      </c>
      <c r="AT30" s="129">
        <f>IFERROR(INDEX(TableOverallMaster[VORP],MATCH(TableOverallRank[[#This Row],[OVERALL PLAYER]],TableOverallMaster[OVERALL PLAYER],0)),"")</f>
        <v>0.60427247314691734</v>
      </c>
      <c r="AV30">
        <v>29</v>
      </c>
      <c r="AW30" s="130" t="str">
        <f>IFERROR(INDEX(TableWRTECalcPts[PLAYER],MATCH(TableWRTERank[[#This Row],[RK]],TableWRTECalcPts[RK],0)),"")</f>
        <v>Tyler Lockett</v>
      </c>
      <c r="AX30" s="130" t="str">
        <f>IFERROR(INDEX(TableWRTECalcPts[POS RK],MATCH(TableWRTERank[[#This Row],[WR and TE COMBINED]],TableWRTECalcPts[PLAYER],0)),"")</f>
        <v>WR26</v>
      </c>
      <c r="AY30" s="130">
        <f>IFERROR(INDEX(TableWRTECalcPts[BYE],MATCH(TableWRTERank[[#This Row],[RK]],TableWRTECalcPts[RK],0)),"")</f>
        <v>5</v>
      </c>
      <c r="AZ30" s="131">
        <f>IFERROR(INDEX(TableWRTECalcPts[Custom],MATCH(TableWRTERank[[#This Row],[RK]],TableWRTECalcPts[RK],0)),"")</f>
        <v>180.30568338510338</v>
      </c>
      <c r="BA30" s="188">
        <f>IFERROR((TableWRTERank[[#This Row],[FPS]]-INDEX(TableWRTERank[FPS],MATCH(WRTEVORPCalc,TableWRTERank[RK],0)))/INDEX(TableWRTERank[FPS],MATCH(WRTEVORPCalc,TableWRTERank[RK],0)),"")</f>
        <v>0.30288076703456224</v>
      </c>
      <c r="BC30" t="s">
        <v>257</v>
      </c>
      <c r="BD30">
        <v>29</v>
      </c>
      <c r="BE30" s="86">
        <f>RANK(TableWRTEMaster[[#This Row],[VORP]],TableWRTEMaster[VORP])+COUNTIF($BJ$2:BJ30,BJ30)-1</f>
        <v>34</v>
      </c>
      <c r="BF30" s="123" t="str">
        <f>IFERROR(INDEX(TableWRVORP[WIDE RECEIVER],MATCH(TableWRTEMaster[[#This Row],[RK]],TableWRVORP[RK],0)),"")</f>
        <v>Christian Kirk</v>
      </c>
      <c r="BG30" s="123" t="str">
        <f>_xlfn.CONCAT(TableWRTEMaster[[#This Row],[POS]],TableWRTEMaster[[#This Row],[RK]])</f>
        <v>WR29</v>
      </c>
      <c r="BH30" s="123">
        <f>IFERROR(INDEX(TableWRVORP[BYE],MATCH(TableWRTEMaster[[#This Row],[RK]],TableWRVORP[RK],0)),"")</f>
        <v>9</v>
      </c>
      <c r="BI30" s="124">
        <f>IFERROR(INDEX(TableWRVORP[FPS],MATCH(TableWRTEMaster[[#This Row],[RK]],TableWRVORP[RK],0)),"")</f>
        <v>171.53592071198523</v>
      </c>
      <c r="BJ30" s="125">
        <f>IFERROR(INDEX(TableWRVORP[VORP],MATCH(TableWRTEMaster[[#This Row],[RK]],TableWRVORP[RK],0)),"")</f>
        <v>0.31654898989544888</v>
      </c>
    </row>
    <row r="31" spans="1:62" x14ac:dyDescent="0.2">
      <c r="A31">
        <v>30</v>
      </c>
      <c r="B31" s="120" t="str">
        <f>IFERROR(INDEX(TableQBCalcPts[PLAYER],MATCH(TableQBVORP[[#This Row],[RK]],TableQBCalcPts[RK],0)),"")</f>
        <v>Desmond Ridder</v>
      </c>
      <c r="C31" s="120" t="str">
        <f>IFERROR(INDEX(TableQBCalcPts[TM],MATCH(TableQBVORP[[#This Row],[RK]],TableQBCalcPts[RK],0)),"")</f>
        <v>ATL</v>
      </c>
      <c r="D31" s="120">
        <f>IFERROR(INDEX(TableQBCalcPts[BYE],MATCH(TableQBVORP[[#This Row],[RK]],TableQBCalcPts[RK],0)),"")</f>
        <v>11</v>
      </c>
      <c r="E31" s="121">
        <f>IFERROR(INDEX(TableQBCalcPts[Custom],MATCH(TableQBVORP[[#This Row],[RK]],TableQBCalcPts[RK],0)),"")</f>
        <v>211.34298839932205</v>
      </c>
      <c r="F31" s="122">
        <f>(IFERROR((TableQBVORP[[#This Row],[FPS]]-INDEX(TableQBVORP[FPS],MATCH(QBVORPCalc,TableQBVORP[RK],0)))/INDEX(TableQBVORP[FPS],MATCH(QBVORPCalc,TableQBVORP[RK],0)),""))+(TableRBVORP[[#This Row],[VORP]]*0.45)</f>
        <v>-0.31955331262967457</v>
      </c>
      <c r="H31">
        <v>30</v>
      </c>
      <c r="I31" s="120" t="str">
        <f>IFERROR(INDEX(TableRBCalcPts[PLAYER],MATCH(TableRBVORP[[#This Row],[RK]],TableRBCalcPts[RK],0)),"")</f>
        <v>Isiah Pacheco</v>
      </c>
      <c r="J31" s="120" t="str">
        <f>IFERROR(INDEX(TableRBCalcPts[TM],MATCH(TableRBVORP[[#This Row],[RK]],TableRBCalcPts[RK],0)),"")</f>
        <v>KC</v>
      </c>
      <c r="K31" s="120">
        <f>IFERROR(INDEX(TableRBCalcPts[BYE],MATCH(TableRBVORP[[#This Row],[RK]],TableRBCalcPts[RK],0)),"")</f>
        <v>10</v>
      </c>
      <c r="L31" s="121">
        <f>IFERROR(INDEX(TableRBCalcPts[Custom],MATCH(TableRBVORP[[#This Row],[RK]],TableRBCalcPts[RK],0)),"")</f>
        <v>169.26071656943054</v>
      </c>
      <c r="M31" s="122">
        <f>IFERROR((TableRBVORP[[#This Row],[FPS]]-INDEX(TableRBVORP[FPS],MATCH(RBVORPCalc,TableRBVORP[RK],0)))/INDEX(TableRBVORP[FPS],MATCH(RBVORPCalc,TableRBVORP[RK],0)),"")</f>
        <v>0.3821385505034337</v>
      </c>
      <c r="O31">
        <v>30</v>
      </c>
      <c r="P31" s="120" t="str">
        <f>IFERROR(INDEX(TableWRCalcPts[PLAYER],MATCH(TableWRVORP[[#This Row],[RK]],TableWRCalcPts[RK],0)),"")</f>
        <v>Jerry Jeudy</v>
      </c>
      <c r="Q31" s="120" t="str">
        <f>IFERROR(INDEX(TableWRCalcPts[TM],MATCH(TableWRVORP[[#This Row],[RK]],TableWRCalcPts[RK],0)),"")</f>
        <v>DEN</v>
      </c>
      <c r="R31" s="120">
        <f>IFERROR(INDEX(TableWRCalcPts[BYE],MATCH(TableWRVORP[[#This Row],[RK]],TableWRCalcPts[RK],0)),"")</f>
        <v>9</v>
      </c>
      <c r="S31" s="121">
        <f>IFERROR(INDEX(TableWRCalcPts[Custom],MATCH(TableWRVORP[[#This Row],[RK]],TableWRCalcPts[RK],0)),"")</f>
        <v>171.08206155698551</v>
      </c>
      <c r="T31" s="122">
        <f>IFERROR((TableWRVORP[[#This Row],[FPS]]-INDEX(TableWRVORP[FPS],MATCH(WRVORPCalc,TableWRVORP[RK],0)))/INDEX(TableWRVORP[FPS],MATCH(WRVORPCalc,TableWRVORP[RK],0)),"")</f>
        <v>0.31306559230974468</v>
      </c>
      <c r="V31">
        <v>30</v>
      </c>
      <c r="W31" s="120" t="str">
        <f>IFERROR(INDEX(TableTECalcPts[PLAYER],MATCH(TableTEVORP[[#This Row],[RK]],TableTECalcPts[RK],0)),"")</f>
        <v>Hayden Hurst</v>
      </c>
      <c r="X31" s="120" t="str">
        <f>IFERROR(INDEX(TableTECalcPts[TM],MATCH(TableTEVORP[[#This Row],[RK]],TableTECalcPts[RK],0)),"")</f>
        <v>CAR</v>
      </c>
      <c r="Y31" s="120">
        <f>IFERROR(INDEX(TableTECalcPts[BYE],MATCH(TableTEVORP[[#This Row],[RK]],TableTECalcPts[RK],0)),"")</f>
        <v>7</v>
      </c>
      <c r="Z31" s="121">
        <f>IFERROR(INDEX(TableTECalcPts[Custom],MATCH(TableTEVORP[[#This Row],[RK]],TableTECalcPts[RK],0)),"")</f>
        <v>84.191268201874024</v>
      </c>
      <c r="AA31" s="122">
        <f>IFERROR((TableTEVORP[[#This Row],[FPS]]-INDEX(TableTEVORP[FPS],MATCH(TEVORPCalc,TableTEVORP[RK],0)))/INDEX(TableTEVORP[FPS],MATCH(TEVORPCalc,TableTEVORP[RK],0)),"")</f>
        <v>-0.29149932168847253</v>
      </c>
      <c r="AF31" t="s">
        <v>9</v>
      </c>
      <c r="AG31">
        <v>30</v>
      </c>
      <c r="AH31" s="86">
        <f>RANK(TableOverallMaster[[#This Row],[VORP]],TableOverallMaster[VORP])+COUNTIF($AM$2:AM31,AM31)-1</f>
        <v>203</v>
      </c>
      <c r="AI31" s="123" t="str">
        <f>IFERROR(INDEX(TableQBVORP[QUARTERBACK],MATCH(TableOverallMaster[[#This Row],[RK]],TableQBVORP[RK],0)),"")</f>
        <v>Desmond Ridder</v>
      </c>
      <c r="AJ31" s="123" t="str">
        <f t="shared" si="0"/>
        <v>QB30</v>
      </c>
      <c r="AK31" s="123">
        <f>IFERROR(INDEX(TableQBVORP[BYE],MATCH(TableOverallMaster[[#This Row],[RK]],TableQBVORP[RK],0)),"")</f>
        <v>11</v>
      </c>
      <c r="AL31" s="124">
        <f>IFERROR(INDEX(TableQBVORP[FPS],MATCH(TableOverallMaster[[#This Row],[RK]],TableQBVORP[RK],0)),"")</f>
        <v>211.34298839932205</v>
      </c>
      <c r="AM31" s="125">
        <f>IFERROR(INDEX(TableQBVORP[VORP],MATCH(TableOverallMaster[[#This Row],[RK]],TableQBVORP[RK],0)),"")</f>
        <v>-0.31955331262967457</v>
      </c>
      <c r="AO31">
        <v>30</v>
      </c>
      <c r="AP31" s="126" t="str">
        <f>IFERROR(INDEX(TableOverallMaster[OVERALL PLAYER],MATCH(TableOverallRank[[#This Row],[RK]],TableOverallMaster[OVR RK],0)),"")</f>
        <v>Garrett Wilson</v>
      </c>
      <c r="AQ31" s="127" t="str">
        <f>IFERROR(INDEX(TableOverallMaster[POS RK],MATCH(TableOverallRank[[#This Row],[OVERALL PLAYER]],TableOverallMaster[OVERALL PLAYER],0)),"")</f>
        <v>WR10</v>
      </c>
      <c r="AR31" s="128">
        <f>IFERROR(INDEX(TableOverallMaster[BYE],MATCH(TableOverallRank[[#This Row],[OVERALL PLAYER]],TableOverallMaster[OVERALL PLAYER],0)),"")</f>
        <v>7</v>
      </c>
      <c r="AS31" s="127">
        <f>IFERROR(INDEX(TableOverallMaster[Custom],MATCH(TableOverallRank[[#This Row],[OVERALL PLAYER]],TableOverallMaster[OVERALL PLAYER],0)),"")</f>
        <v>207.71072219166814</v>
      </c>
      <c r="AT31" s="129">
        <f>IFERROR(INDEX(TableOverallMaster[VORP],MATCH(TableOverallRank[[#This Row],[OVERALL PLAYER]],TableOverallMaster[OVERALL PLAYER],0)),"")</f>
        <v>0.59419286850738384</v>
      </c>
      <c r="AV31">
        <v>30</v>
      </c>
      <c r="AW31" s="130" t="str">
        <f>IFERROR(INDEX(TableWRTECalcPts[PLAYER],MATCH(TableWRTERank[[#This Row],[RK]],TableWRTECalcPts[RK],0)),"")</f>
        <v>Jordan Addison</v>
      </c>
      <c r="AX31" s="130" t="str">
        <f>IFERROR(INDEX(TableWRTECalcPts[POS RK],MATCH(TableWRTERank[[#This Row],[WR and TE COMBINED]],TableWRTECalcPts[PLAYER],0)),"")</f>
        <v>WR27</v>
      </c>
      <c r="AY31" s="130">
        <f>IFERROR(INDEX(TableWRTECalcPts[BYE],MATCH(TableWRTERank[[#This Row],[RK]],TableWRTECalcPts[RK],0)),"")</f>
        <v>13</v>
      </c>
      <c r="AZ31" s="131">
        <f>IFERROR(INDEX(TableWRTECalcPts[Custom],MATCH(TableWRTERank[[#This Row],[RK]],TableWRTECalcPts[RK],0)),"")</f>
        <v>176.77315343207513</v>
      </c>
      <c r="BA31" s="188">
        <f>IFERROR((TableWRTERank[[#This Row],[FPS]]-INDEX(TableWRTERank[FPS],MATCH(WRTEVORPCalc,TableWRTERank[RK],0)))/INDEX(TableWRTERank[FPS],MATCH(WRTEVORPCalc,TableWRTERank[RK],0)),"")</f>
        <v>0.27735486430999923</v>
      </c>
      <c r="BC31" t="s">
        <v>257</v>
      </c>
      <c r="BD31">
        <v>30</v>
      </c>
      <c r="BE31" s="86">
        <f>RANK(TableWRTEMaster[[#This Row],[VORP]],TableWRTEMaster[VORP])+COUNTIF($BJ$2:BJ31,BJ31)-1</f>
        <v>35</v>
      </c>
      <c r="BF31" s="123" t="str">
        <f>IFERROR(INDEX(TableWRVORP[WIDE RECEIVER],MATCH(TableWRTEMaster[[#This Row],[RK]],TableWRVORP[RK],0)),"")</f>
        <v>Jerry Jeudy</v>
      </c>
      <c r="BG31" s="123" t="str">
        <f>_xlfn.CONCAT(TableWRTEMaster[[#This Row],[POS]],TableWRTEMaster[[#This Row],[RK]])</f>
        <v>WR30</v>
      </c>
      <c r="BH31" s="123">
        <f>IFERROR(INDEX(TableWRVORP[BYE],MATCH(TableWRTEMaster[[#This Row],[RK]],TableWRVORP[RK],0)),"")</f>
        <v>9</v>
      </c>
      <c r="BI31" s="124">
        <f>IFERROR(INDEX(TableWRVORP[FPS],MATCH(TableWRTEMaster[[#This Row],[RK]],TableWRVORP[RK],0)),"")</f>
        <v>171.08206155698551</v>
      </c>
      <c r="BJ31" s="125">
        <f>IFERROR(INDEX(TableWRVORP[VORP],MATCH(TableWRTEMaster[[#This Row],[RK]],TableWRVORP[RK],0)),"")</f>
        <v>0.31306559230974468</v>
      </c>
    </row>
    <row r="32" spans="1:62" x14ac:dyDescent="0.2">
      <c r="A32">
        <v>31</v>
      </c>
      <c r="B32" s="120" t="str">
        <f>IFERROR(INDEX(TableQBCalcPts[PLAYER],MATCH(TableQBVORP[[#This Row],[RK]],TableQBCalcPts[RK],0)),"")</f>
        <v>Baker Mayfield</v>
      </c>
      <c r="C32" s="120" t="str">
        <f>IFERROR(INDEX(TableQBCalcPts[TM],MATCH(TableQBVORP[[#This Row],[RK]],TableQBCalcPts[RK],0)),"")</f>
        <v>TB</v>
      </c>
      <c r="D32" s="120">
        <f>IFERROR(INDEX(TableQBCalcPts[BYE],MATCH(TableQBVORP[[#This Row],[RK]],TableQBCalcPts[RK],0)),"")</f>
        <v>5</v>
      </c>
      <c r="E32" s="121">
        <f>IFERROR(INDEX(TableQBCalcPts[Custom],MATCH(TableQBVORP[[#This Row],[RK]],TableQBCalcPts[RK],0)),"")</f>
        <v>197.81334754120857</v>
      </c>
      <c r="F32" s="122">
        <f>(IFERROR((TableQBVORP[[#This Row],[FPS]]-INDEX(TableQBVORP[FPS],MATCH(QBVORPCalc,TableQBVORP[RK],0)))/INDEX(TableQBVORP[FPS],MATCH(QBVORPCalc,TableQBVORP[RK],0)),""))+(TableRBVORP[[#This Row],[VORP]]*0.45)</f>
        <v>-0.35574200639246722</v>
      </c>
      <c r="H32">
        <v>31</v>
      </c>
      <c r="I32" s="120" t="str">
        <f>IFERROR(INDEX(TableRBCalcPts[PLAYER],MATCH(TableRBVORP[[#This Row],[RK]],TableRBCalcPts[RK],0)),"")</f>
        <v>Kenneth Walker</v>
      </c>
      <c r="J32" s="120" t="str">
        <f>IFERROR(INDEX(TableRBCalcPts[TM],MATCH(TableRBVORP[[#This Row],[RK]],TableRBCalcPts[RK],0)),"")</f>
        <v>SEA</v>
      </c>
      <c r="K32" s="120">
        <f>IFERROR(INDEX(TableRBCalcPts[BYE],MATCH(TableRBVORP[[#This Row],[RK]],TableRBCalcPts[RK],0)),"")</f>
        <v>5</v>
      </c>
      <c r="L32" s="121">
        <f>IFERROR(INDEX(TableRBCalcPts[Custom],MATCH(TableRBVORP[[#This Row],[RK]],TableRBCalcPts[RK],0)),"")</f>
        <v>168.27099333838893</v>
      </c>
      <c r="M32" s="122">
        <f>IFERROR((TableRBVORP[[#This Row],[FPS]]-INDEX(TableRBVORP[FPS],MATCH(RBVORPCalc,TableRBVORP[RK],0)))/INDEX(TableRBVORP[FPS],MATCH(RBVORPCalc,TableRBVORP[RK],0)),"")</f>
        <v>0.37405673057689276</v>
      </c>
      <c r="O32">
        <v>31</v>
      </c>
      <c r="P32" s="120" t="str">
        <f>IFERROR(INDEX(TableWRCalcPts[PLAYER],MATCH(TableWRVORP[[#This Row],[RK]],TableWRCalcPts[RK],0)),"")</f>
        <v>Marquise Brown</v>
      </c>
      <c r="Q32" s="120" t="str">
        <f>IFERROR(INDEX(TableWRCalcPts[TM],MATCH(TableWRVORP[[#This Row],[RK]],TableWRCalcPts[RK],0)),"")</f>
        <v>ARI</v>
      </c>
      <c r="R32" s="120">
        <f>IFERROR(INDEX(TableWRCalcPts[BYE],MATCH(TableWRVORP[[#This Row],[RK]],TableWRCalcPts[RK],0)),"")</f>
        <v>14</v>
      </c>
      <c r="S32" s="121">
        <f>IFERROR(INDEX(TableWRCalcPts[Custom],MATCH(TableWRVORP[[#This Row],[RK]],TableWRCalcPts[RK],0)),"")</f>
        <v>169.79884257105002</v>
      </c>
      <c r="T32" s="122">
        <f>IFERROR((TableWRVORP[[#This Row],[FPS]]-INDEX(TableWRVORP[FPS],MATCH(WRVORPCalc,TableWRVORP[RK],0)))/INDEX(TableWRVORP[FPS],MATCH(WRVORPCalc,TableWRVORP[RK],0)),"")</f>
        <v>0.30321680581222366</v>
      </c>
      <c r="V32">
        <v>31</v>
      </c>
      <c r="W32" s="120" t="str">
        <f>IFERROR(INDEX(TableTECalcPts[PLAYER],MATCH(TableTEVORP[[#This Row],[RK]],TableTECalcPts[RK],0)),"")</f>
        <v>Cade Otton</v>
      </c>
      <c r="X32" s="120" t="str">
        <f>IFERROR(INDEX(TableTECalcPts[TM],MATCH(TableTEVORP[[#This Row],[RK]],TableTECalcPts[RK],0)),"")</f>
        <v>TB</v>
      </c>
      <c r="Y32" s="120">
        <f>IFERROR(INDEX(TableTECalcPts[BYE],MATCH(TableTEVORP[[#This Row],[RK]],TableTECalcPts[RK],0)),"")</f>
        <v>5</v>
      </c>
      <c r="Z32" s="121">
        <f>IFERROR(INDEX(TableTECalcPts[Custom],MATCH(TableTEVORP[[#This Row],[RK]],TableTECalcPts[RK],0)),"")</f>
        <v>82.115765388526086</v>
      </c>
      <c r="AA32" s="122">
        <f>IFERROR((TableTEVORP[[#This Row],[FPS]]-INDEX(TableTEVORP[FPS],MATCH(TEVORPCalc,TableTEVORP[RK],0)))/INDEX(TableTEVORP[FPS],MATCH(TEVORPCalc,TableTEVORP[RK],0)),"")</f>
        <v>-0.30896544593746877</v>
      </c>
      <c r="AF32" t="s">
        <v>9</v>
      </c>
      <c r="AG32">
        <v>31</v>
      </c>
      <c r="AH32" s="86">
        <f>RANK(TableOverallMaster[[#This Row],[VORP]],TableOverallMaster[VORP])+COUNTIF($AM$2:AM32,AM32)-1</f>
        <v>212</v>
      </c>
      <c r="AI32" s="123" t="str">
        <f>IFERROR(INDEX(TableQBVORP[QUARTERBACK],MATCH(TableOverallMaster[[#This Row],[RK]],TableQBVORP[RK],0)),"")</f>
        <v>Baker Mayfield</v>
      </c>
      <c r="AJ32" s="123" t="str">
        <f t="shared" si="0"/>
        <v>QB31</v>
      </c>
      <c r="AK32" s="123">
        <f>IFERROR(INDEX(TableQBVORP[BYE],MATCH(TableOverallMaster[[#This Row],[RK]],TableQBVORP[RK],0)),"")</f>
        <v>5</v>
      </c>
      <c r="AL32" s="124">
        <f>IFERROR(INDEX(TableQBVORP[FPS],MATCH(TableOverallMaster[[#This Row],[RK]],TableQBVORP[RK],0)),"")</f>
        <v>197.81334754120857</v>
      </c>
      <c r="AM32" s="125">
        <f>IFERROR(INDEX(TableQBVORP[VORP],MATCH(TableOverallMaster[[#This Row],[RK]],TableQBVORP[RK],0)),"")</f>
        <v>-0.35574200639246722</v>
      </c>
      <c r="AO32">
        <v>31</v>
      </c>
      <c r="AP32" s="126" t="str">
        <f>IFERROR(INDEX(TableOverallMaster[OVERALL PLAYER],MATCH(TableOverallRank[[#This Row],[RK]],TableOverallMaster[OVR RK],0)),"")</f>
        <v>A.J. Brown</v>
      </c>
      <c r="AQ32" s="127" t="str">
        <f>IFERROR(INDEX(TableOverallMaster[POS RK],MATCH(TableOverallRank[[#This Row],[OVERALL PLAYER]],TableOverallMaster[OVERALL PLAYER],0)),"")</f>
        <v>WR11</v>
      </c>
      <c r="AR32" s="128">
        <f>IFERROR(INDEX(TableOverallMaster[BYE],MATCH(TableOverallRank[[#This Row],[OVERALL PLAYER]],TableOverallMaster[OVERALL PLAYER],0)),"")</f>
        <v>10</v>
      </c>
      <c r="AS32" s="127">
        <f>IFERROR(INDEX(TableOverallMaster[Custom],MATCH(TableOverallRank[[#This Row],[OVERALL PLAYER]],TableOverallMaster[OVERALL PLAYER],0)),"")</f>
        <v>206.51176008611552</v>
      </c>
      <c r="AT32" s="129">
        <f>IFERROR(INDEX(TableOverallMaster[VORP],MATCH(TableOverallRank[[#This Row],[OVERALL PLAYER]],TableOverallMaster[OVERALL PLAYER],0)),"")</f>
        <v>0.58499075887089225</v>
      </c>
      <c r="AV32">
        <v>31</v>
      </c>
      <c r="AW32" s="130" t="str">
        <f>IFERROR(INDEX(TableWRTECalcPts[PLAYER],MATCH(TableWRTERank[[#This Row],[RK]],TableWRTECalcPts[RK],0)),"")</f>
        <v>Gabe Davis</v>
      </c>
      <c r="AX32" s="130" t="str">
        <f>IFERROR(INDEX(TableWRTECalcPts[POS RK],MATCH(TableWRTERank[[#This Row],[WR and TE COMBINED]],TableWRTECalcPts[PLAYER],0)),"")</f>
        <v>WR28</v>
      </c>
      <c r="AY32" s="130">
        <f>IFERROR(INDEX(TableWRTECalcPts[BYE],MATCH(TableWRTERank[[#This Row],[RK]],TableWRTECalcPts[RK],0)),"")</f>
        <v>13</v>
      </c>
      <c r="AZ32" s="131">
        <f>IFERROR(INDEX(TableWRTECalcPts[Custom],MATCH(TableWRTERank[[#This Row],[RK]],TableWRTECalcPts[RK],0)),"")</f>
        <v>176.46008169396845</v>
      </c>
      <c r="BA32" s="188">
        <f>IFERROR((TableWRTERank[[#This Row],[FPS]]-INDEX(TableWRTERank[FPS],MATCH(WRTEVORPCalc,TableWRTERank[RK],0)))/INDEX(TableWRTERank[FPS],MATCH(WRTEVORPCalc,TableWRTERank[RK],0)),"")</f>
        <v>0.27509262199670464</v>
      </c>
      <c r="BC32" t="s">
        <v>257</v>
      </c>
      <c r="BD32">
        <v>31</v>
      </c>
      <c r="BE32" s="86">
        <f>RANK(TableWRTEMaster[[#This Row],[VORP]],TableWRTEMaster[VORP])+COUNTIF($BJ$2:BJ32,BJ32)-1</f>
        <v>36</v>
      </c>
      <c r="BF32" s="123" t="str">
        <f>IFERROR(INDEX(TableWRVORP[WIDE RECEIVER],MATCH(TableWRTEMaster[[#This Row],[RK]],TableWRVORP[RK],0)),"")</f>
        <v>Marquise Brown</v>
      </c>
      <c r="BG32" s="123" t="str">
        <f>_xlfn.CONCAT(TableWRTEMaster[[#This Row],[POS]],TableWRTEMaster[[#This Row],[RK]])</f>
        <v>WR31</v>
      </c>
      <c r="BH32" s="123">
        <f>IFERROR(INDEX(TableWRVORP[BYE],MATCH(TableWRTEMaster[[#This Row],[RK]],TableWRVORP[RK],0)),"")</f>
        <v>14</v>
      </c>
      <c r="BI32" s="124">
        <f>IFERROR(INDEX(TableWRVORP[FPS],MATCH(TableWRTEMaster[[#This Row],[RK]],TableWRVORP[RK],0)),"")</f>
        <v>169.79884257105002</v>
      </c>
      <c r="BJ32" s="125">
        <f>IFERROR(INDEX(TableWRVORP[VORP],MATCH(TableWRTEMaster[[#This Row],[RK]],TableWRVORP[RK],0)),"")</f>
        <v>0.30321680581222366</v>
      </c>
    </row>
    <row r="33" spans="1:62" x14ac:dyDescent="0.2">
      <c r="A33">
        <v>32</v>
      </c>
      <c r="B33" s="120" t="str">
        <f>IFERROR(INDEX(TableQBCalcPts[PLAYER],MATCH(TableQBVORP[[#This Row],[RK]],TableQBCalcPts[RK],0)),"")</f>
        <v>Joshua Dobbs</v>
      </c>
      <c r="C33" s="120" t="str">
        <f>IFERROR(INDEX(TableQBCalcPts[TM],MATCH(TableQBVORP[[#This Row],[RK]],TableQBCalcPts[RK],0)),"")</f>
        <v>ARI</v>
      </c>
      <c r="D33" s="120">
        <f>IFERROR(INDEX(TableQBCalcPts[BYE],MATCH(TableQBVORP[[#This Row],[RK]],TableQBCalcPts[RK],0)),"")</f>
        <v>14</v>
      </c>
      <c r="E33" s="121">
        <f>IFERROR(INDEX(TableQBCalcPts[Custom],MATCH(TableQBVORP[[#This Row],[RK]],TableQBCalcPts[RK],0)),"")</f>
        <v>120.88669071620204</v>
      </c>
      <c r="F33" s="122">
        <f>(IFERROR((TableQBVORP[[#This Row],[FPS]]-INDEX(TableQBVORP[FPS],MATCH(QBVORPCalc,TableQBVORP[RK],0)))/INDEX(TableQBVORP[FPS],MATCH(QBVORPCalc,TableQBVORP[RK],0)),""))+(TableRBVORP[[#This Row],[VORP]]*0.45)</f>
        <v>-0.54122254274816162</v>
      </c>
      <c r="H33">
        <v>32</v>
      </c>
      <c r="I33" s="120" t="str">
        <f>IFERROR(INDEX(TableRBCalcPts[PLAYER],MATCH(TableRBVORP[[#This Row],[RK]],TableRBCalcPts[RK],0)),"")</f>
        <v>AJ Dillon</v>
      </c>
      <c r="J33" s="120" t="str">
        <f>IFERROR(INDEX(TableRBCalcPts[TM],MATCH(TableRBVORP[[#This Row],[RK]],TableRBCalcPts[RK],0)),"")</f>
        <v>GB</v>
      </c>
      <c r="K33" s="120">
        <f>IFERROR(INDEX(TableRBCalcPts[BYE],MATCH(TableRBVORP[[#This Row],[RK]],TableRBCalcPts[RK],0)),"")</f>
        <v>6</v>
      </c>
      <c r="L33" s="121">
        <f>IFERROR(INDEX(TableRBCalcPts[Custom],MATCH(TableRBVORP[[#This Row],[RK]],TableRBCalcPts[RK],0)),"")</f>
        <v>168.16281556267418</v>
      </c>
      <c r="M33" s="122">
        <f>IFERROR((TableRBVORP[[#This Row],[FPS]]-INDEX(TableRBVORP[FPS],MATCH(RBVORPCalc,TableRBVORP[RK],0)))/INDEX(TableRBVORP[FPS],MATCH(RBVORPCalc,TableRBVORP[RK],0)),"")</f>
        <v>0.37317337927628697</v>
      </c>
      <c r="O33">
        <v>32</v>
      </c>
      <c r="P33" s="120" t="str">
        <f>IFERROR(INDEX(TableWRCalcPts[PLAYER],MATCH(TableWRVORP[[#This Row],[RK]],TableWRCalcPts[RK],0)),"")</f>
        <v>George Pickens</v>
      </c>
      <c r="Q33" s="120" t="str">
        <f>IFERROR(INDEX(TableWRCalcPts[TM],MATCH(TableWRVORP[[#This Row],[RK]],TableWRCalcPts[RK],0)),"")</f>
        <v>PIT</v>
      </c>
      <c r="R33" s="120">
        <f>IFERROR(INDEX(TableWRCalcPts[BYE],MATCH(TableWRVORP[[#This Row],[RK]],TableWRCalcPts[RK],0)),"")</f>
        <v>6</v>
      </c>
      <c r="S33" s="121">
        <f>IFERROR(INDEX(TableWRCalcPts[Custom],MATCH(TableWRVORP[[#This Row],[RK]],TableWRCalcPts[RK],0)),"")</f>
        <v>169.33579636065119</v>
      </c>
      <c r="T33" s="122">
        <f>IFERROR((TableWRVORP[[#This Row],[FPS]]-INDEX(TableWRVORP[FPS],MATCH(WRVORPCalc,TableWRVORP[RK],0)))/INDEX(TableWRVORP[FPS],MATCH(WRVORPCalc,TableWRVORP[RK],0)),"")</f>
        <v>0.29966289699799303</v>
      </c>
      <c r="V33">
        <v>32</v>
      </c>
      <c r="W33" s="120" t="str">
        <f>IFERROR(INDEX(TableTECalcPts[PLAYER],MATCH(TableTEVORP[[#This Row],[RK]],TableTECalcPts[RK],0)),"")</f>
        <v>Tyler Conklin</v>
      </c>
      <c r="X33" s="120" t="str">
        <f>IFERROR(INDEX(TableTECalcPts[TM],MATCH(TableTEVORP[[#This Row],[RK]],TableTECalcPts[RK],0)),"")</f>
        <v>NYJ</v>
      </c>
      <c r="Y33" s="120">
        <f>IFERROR(INDEX(TableTECalcPts[BYE],MATCH(TableTEVORP[[#This Row],[RK]],TableTECalcPts[RK],0)),"")</f>
        <v>7</v>
      </c>
      <c r="Z33" s="121">
        <f>IFERROR(INDEX(TableTECalcPts[Custom],MATCH(TableTEVORP[[#This Row],[RK]],TableTECalcPts[RK],0)),"")</f>
        <v>80.821451672672566</v>
      </c>
      <c r="AA33" s="122">
        <f>IFERROR((TableTEVORP[[#This Row],[FPS]]-INDEX(TableTEVORP[FPS],MATCH(TEVORPCalc,TableTEVORP[RK],0)))/INDEX(TableTEVORP[FPS],MATCH(TEVORPCalc,TableTEVORP[RK],0)),"")</f>
        <v>-0.31985757483890415</v>
      </c>
      <c r="AF33" t="s">
        <v>9</v>
      </c>
      <c r="AG33">
        <v>32</v>
      </c>
      <c r="AH33" s="86">
        <f>RANK(TableOverallMaster[[#This Row],[VORP]],TableOverallMaster[VORP])+COUNTIF($AM$2:AM33,AM33)-1</f>
        <v>243</v>
      </c>
      <c r="AI33" s="123" t="str">
        <f>IFERROR(INDEX(TableQBVORP[QUARTERBACK],MATCH(TableOverallMaster[[#This Row],[RK]],TableQBVORP[RK],0)),"")</f>
        <v>Joshua Dobbs</v>
      </c>
      <c r="AJ33" s="123" t="str">
        <f t="shared" si="0"/>
        <v>QB32</v>
      </c>
      <c r="AK33" s="123">
        <f>IFERROR(INDEX(TableQBVORP[BYE],MATCH(TableOverallMaster[[#This Row],[RK]],TableQBVORP[RK],0)),"")</f>
        <v>14</v>
      </c>
      <c r="AL33" s="124">
        <f>IFERROR(INDEX(TableQBVORP[FPS],MATCH(TableOverallMaster[[#This Row],[RK]],TableQBVORP[RK],0)),"")</f>
        <v>120.88669071620204</v>
      </c>
      <c r="AM33" s="125">
        <f>IFERROR(INDEX(TableQBVORP[VORP],MATCH(TableOverallMaster[[#This Row],[RK]],TableQBVORP[RK],0)),"")</f>
        <v>-0.54122254274816162</v>
      </c>
      <c r="AO33">
        <v>32</v>
      </c>
      <c r="AP33" s="126" t="str">
        <f>IFERROR(INDEX(TableOverallMaster[OVERALL PLAYER],MATCH(TableOverallRank[[#This Row],[RK]],TableOverallMaster[OVR RK],0)),"")</f>
        <v>Khalil Herbert</v>
      </c>
      <c r="AQ33" s="127" t="str">
        <f>IFERROR(INDEX(TableOverallMaster[POS RK],MATCH(TableOverallRank[[#This Row],[OVERALL PLAYER]],TableOverallMaster[OVERALL PLAYER],0)),"")</f>
        <v>RB19</v>
      </c>
      <c r="AR33" s="128">
        <f>IFERROR(INDEX(TableOverallMaster[BYE],MATCH(TableOverallRank[[#This Row],[OVERALL PLAYER]],TableOverallMaster[OVERALL PLAYER],0)),"")</f>
        <v>13</v>
      </c>
      <c r="AS33" s="127">
        <f>IFERROR(INDEX(TableOverallMaster[Custom],MATCH(TableOverallRank[[#This Row],[OVERALL PLAYER]],TableOverallMaster[OVERALL PLAYER],0)),"")</f>
        <v>194.00349793430235</v>
      </c>
      <c r="AT33" s="129">
        <f>IFERROR(INDEX(TableOverallMaster[VORP],MATCH(TableOverallRank[[#This Row],[OVERALL PLAYER]],TableOverallMaster[OVERALL PLAYER],0)),"")</f>
        <v>0.58418160375400485</v>
      </c>
      <c r="AV33">
        <v>32</v>
      </c>
      <c r="AW33" s="130" t="str">
        <f>IFERROR(INDEX(TableWRTECalcPts[PLAYER],MATCH(TableWRTERank[[#This Row],[RK]],TableWRTECalcPts[RK],0)),"")</f>
        <v>T.J. Hockenson</v>
      </c>
      <c r="AX33" s="130" t="str">
        <f>IFERROR(INDEX(TableWRTECalcPts[POS RK],MATCH(TableWRTERank[[#This Row],[WR and TE COMBINED]],TableWRTECalcPts[PLAYER],0)),"")</f>
        <v>TE4</v>
      </c>
      <c r="AY33" s="130">
        <f>IFERROR(INDEX(TableWRTECalcPts[BYE],MATCH(TableWRTERank[[#This Row],[RK]],TableWRTECalcPts[RK],0)),"")</f>
        <v>13</v>
      </c>
      <c r="AZ33" s="131">
        <f>IFERROR(INDEX(TableWRTECalcPts[Custom],MATCH(TableWRTERank[[#This Row],[RK]],TableWRTECalcPts[RK],0)),"")</f>
        <v>173.66456609490382</v>
      </c>
      <c r="BA33" s="188">
        <f>IFERROR((TableWRTERank[[#This Row],[FPS]]-INDEX(TableWRTERank[FPS],MATCH(WRTEVORPCalc,TableWRTERank[RK],0)))/INDEX(TableWRTERank[FPS],MATCH(WRTEVORPCalc,TableWRTERank[RK],0)),"")</f>
        <v>0.25489235187994286</v>
      </c>
      <c r="BC33" t="s">
        <v>257</v>
      </c>
      <c r="BD33">
        <v>32</v>
      </c>
      <c r="BE33" s="86">
        <f>RANK(TableWRTEMaster[[#This Row],[VORP]],TableWRTEMaster[VORP])+COUNTIF($BJ$2:BJ33,BJ33)-1</f>
        <v>37</v>
      </c>
      <c r="BF33" s="123" t="str">
        <f>IFERROR(INDEX(TableWRVORP[WIDE RECEIVER],MATCH(TableWRTEMaster[[#This Row],[RK]],TableWRVORP[RK],0)),"")</f>
        <v>George Pickens</v>
      </c>
      <c r="BG33" s="123" t="str">
        <f>_xlfn.CONCAT(TableWRTEMaster[[#This Row],[POS]],TableWRTEMaster[[#This Row],[RK]])</f>
        <v>WR32</v>
      </c>
      <c r="BH33" s="123">
        <f>IFERROR(INDEX(TableWRVORP[BYE],MATCH(TableWRTEMaster[[#This Row],[RK]],TableWRVORP[RK],0)),"")</f>
        <v>6</v>
      </c>
      <c r="BI33" s="124">
        <f>IFERROR(INDEX(TableWRVORP[FPS],MATCH(TableWRTEMaster[[#This Row],[RK]],TableWRVORP[RK],0)),"")</f>
        <v>169.33579636065119</v>
      </c>
      <c r="BJ33" s="125">
        <f>IFERROR(INDEX(TableWRVORP[VORP],MATCH(TableWRTEMaster[[#This Row],[RK]],TableWRVORP[RK],0)),"")</f>
        <v>0.29966289699799303</v>
      </c>
    </row>
    <row r="34" spans="1:62" x14ac:dyDescent="0.2">
      <c r="A34">
        <v>33</v>
      </c>
      <c r="B34" s="120" t="str">
        <f>IFERROR(INDEX(TableQBCalcPts[PLAYER],MATCH(TableQBVORP[[#This Row],[RK]],TableQBCalcPts[RK],0)),"")</f>
        <v>Clayton Tune</v>
      </c>
      <c r="C34" s="120" t="str">
        <f>IFERROR(INDEX(TableQBCalcPts[TM],MATCH(TableQBVORP[[#This Row],[RK]],TableQBCalcPts[RK],0)),"")</f>
        <v>ARI</v>
      </c>
      <c r="D34" s="120">
        <f>IFERROR(INDEX(TableQBCalcPts[BYE],MATCH(TableQBVORP[[#This Row],[RK]],TableQBCalcPts[RK],0)),"")</f>
        <v>14</v>
      </c>
      <c r="E34" s="121">
        <f>IFERROR(INDEX(TableQBCalcPts[Custom],MATCH(TableQBVORP[[#This Row],[RK]],TableQBCalcPts[RK],0)),"")</f>
        <v>98.596722720000017</v>
      </c>
      <c r="F34" s="122">
        <f>(IFERROR((TableQBVORP[[#This Row],[FPS]]-INDEX(TableQBVORP[FPS],MATCH(QBVORPCalc,TableQBVORP[RK],0)))/INDEX(TableQBVORP[FPS],MATCH(QBVORPCalc,TableQBVORP[RK],0)),""))+(TableRBVORP[[#This Row],[VORP]]*0.45)</f>
        <v>-0.62433902535512609</v>
      </c>
      <c r="H34">
        <v>33</v>
      </c>
      <c r="I34" s="120" t="str">
        <f>IFERROR(INDEX(TableRBCalcPts[PLAYER],MATCH(TableRBVORP[[#This Row],[RK]],TableRBCalcPts[RK],0)),"")</f>
        <v>Dalvin Cook</v>
      </c>
      <c r="J34" s="120" t="str">
        <f>IFERROR(INDEX(TableRBCalcPts[TM],MATCH(TableRBVORP[[#This Row],[RK]],TableRBCalcPts[RK],0)),"")</f>
        <v>NYJ</v>
      </c>
      <c r="K34" s="120">
        <f>IFERROR(INDEX(TableRBCalcPts[BYE],MATCH(TableRBVORP[[#This Row],[RK]],TableRBCalcPts[RK],0)),"")</f>
        <v>7</v>
      </c>
      <c r="L34" s="121">
        <f>IFERROR(INDEX(TableRBCalcPts[Custom],MATCH(TableRBVORP[[#This Row],[RK]],TableRBCalcPts[RK],0)),"")</f>
        <v>160.13808023888697</v>
      </c>
      <c r="M34" s="122">
        <f>IFERROR((TableRBVORP[[#This Row],[FPS]]-INDEX(TableRBVORP[FPS],MATCH(RBVORPCalc,TableRBVORP[RK],0)))/INDEX(TableRBVORP[FPS],MATCH(RBVORPCalc,TableRBVORP[RK],0)),"")</f>
        <v>0.30764549854063311</v>
      </c>
      <c r="O34">
        <v>33</v>
      </c>
      <c r="P34" s="120" t="str">
        <f>IFERROR(INDEX(TableWRCalcPts[PLAYER],MATCH(TableWRVORP[[#This Row],[RK]],TableWRCalcPts[RK],0)),"")</f>
        <v>Skyy Moore</v>
      </c>
      <c r="Q34" s="120" t="str">
        <f>IFERROR(INDEX(TableWRCalcPts[TM],MATCH(TableWRVORP[[#This Row],[RK]],TableWRCalcPts[RK],0)),"")</f>
        <v>KC</v>
      </c>
      <c r="R34" s="120">
        <f>IFERROR(INDEX(TableWRCalcPts[BYE],MATCH(TableWRVORP[[#This Row],[RK]],TableWRCalcPts[RK],0)),"")</f>
        <v>10</v>
      </c>
      <c r="S34" s="121">
        <f>IFERROR(INDEX(TableWRCalcPts[Custom],MATCH(TableWRVORP[[#This Row],[RK]],TableWRCalcPts[RK],0)),"")</f>
        <v>168.88950711828755</v>
      </c>
      <c r="T34" s="122">
        <f>IFERROR((TableWRVORP[[#This Row],[FPS]]-INDEX(TableWRVORP[FPS],MATCH(WRVORPCalc,TableWRVORP[RK],0)))/INDEX(TableWRVORP[FPS],MATCH(WRVORPCalc,TableWRVORP[RK],0)),"")</f>
        <v>0.29623759896830754</v>
      </c>
      <c r="V34">
        <v>33</v>
      </c>
      <c r="W34" s="120" t="str">
        <f>IFERROR(INDEX(TableTECalcPts[PLAYER],MATCH(TableTEVORP[[#This Row],[RK]],TableTECalcPts[RK],0)),"")</f>
        <v>Austin Hooper</v>
      </c>
      <c r="X34" s="120" t="str">
        <f>IFERROR(INDEX(TableTECalcPts[TM],MATCH(TableTEVORP[[#This Row],[RK]],TableTECalcPts[RK],0)),"")</f>
        <v>LV</v>
      </c>
      <c r="Y34" s="120">
        <f>IFERROR(INDEX(TableTECalcPts[BYE],MATCH(TableTEVORP[[#This Row],[RK]],TableTECalcPts[RK],0)),"")</f>
        <v>13</v>
      </c>
      <c r="Z34" s="121">
        <f>IFERROR(INDEX(TableTECalcPts[Custom],MATCH(TableTEVORP[[#This Row],[RK]],TableTECalcPts[RK],0)),"")</f>
        <v>74.709928956497578</v>
      </c>
      <c r="AA34" s="122">
        <f>IFERROR((TableTEVORP[[#This Row],[FPS]]-INDEX(TableTEVORP[FPS],MATCH(TEVORPCalc,TableTEVORP[RK],0)))/INDEX(TableTEVORP[FPS],MATCH(TEVORPCalc,TableTEVORP[RK],0)),"")</f>
        <v>-0.37128830016713843</v>
      </c>
      <c r="AF34" t="s">
        <v>9</v>
      </c>
      <c r="AG34">
        <v>33</v>
      </c>
      <c r="AH34" s="86">
        <f>RANK(TableOverallMaster[[#This Row],[VORP]],TableOverallMaster[VORP])+COUNTIF($AM$2:AM34,AM34)-1</f>
        <v>256</v>
      </c>
      <c r="AI34" s="123" t="str">
        <f>IFERROR(INDEX(TableQBVORP[QUARTERBACK],MATCH(TableOverallMaster[[#This Row],[RK]],TableQBVORP[RK],0)),"")</f>
        <v>Clayton Tune</v>
      </c>
      <c r="AJ34" s="123" t="str">
        <f t="shared" si="0"/>
        <v>QB33</v>
      </c>
      <c r="AK34" s="123">
        <f>IFERROR(INDEX(TableQBVORP[BYE],MATCH(TableOverallMaster[[#This Row],[RK]],TableQBVORP[RK],0)),"")</f>
        <v>14</v>
      </c>
      <c r="AL34" s="124">
        <f>IFERROR(INDEX(TableQBVORP[FPS],MATCH(TableOverallMaster[[#This Row],[RK]],TableQBVORP[RK],0)),"")</f>
        <v>98.596722720000017</v>
      </c>
      <c r="AM34" s="125">
        <f>IFERROR(INDEX(TableQBVORP[VORP],MATCH(TableOverallMaster[[#This Row],[RK]],TableQBVORP[RK],0)),"")</f>
        <v>-0.62433902535512609</v>
      </c>
      <c r="AO34">
        <v>33</v>
      </c>
      <c r="AP34" s="126" t="str">
        <f>IFERROR(INDEX(TableOverallMaster[OVERALL PLAYER],MATCH(TableOverallRank[[#This Row],[RK]],TableOverallMaster[OVR RK],0)),"")</f>
        <v>Tee Higgins</v>
      </c>
      <c r="AQ34" s="127" t="str">
        <f>IFERROR(INDEX(TableOverallMaster[POS RK],MATCH(TableOverallRank[[#This Row],[OVERALL PLAYER]],TableOverallMaster[OVERALL PLAYER],0)),"")</f>
        <v>WR12</v>
      </c>
      <c r="AR34" s="128">
        <f>IFERROR(INDEX(TableOverallMaster[BYE],MATCH(TableOverallRank[[#This Row],[OVERALL PLAYER]],TableOverallMaster[OVERALL PLAYER],0)),"")</f>
        <v>7</v>
      </c>
      <c r="AS34" s="127">
        <f>IFERROR(INDEX(TableOverallMaster[Custom],MATCH(TableOverallRank[[#This Row],[OVERALL PLAYER]],TableOverallMaster[OVERALL PLAYER],0)),"")</f>
        <v>206.05871828961045</v>
      </c>
      <c r="AT34" s="129">
        <f>IFERROR(INDEX(TableOverallMaster[VORP],MATCH(TableOverallRank[[#This Row],[OVERALL PLAYER]],TableOverallMaster[OVERALL PLAYER],0)),"")</f>
        <v>0.58151363456308836</v>
      </c>
      <c r="AV34">
        <v>33</v>
      </c>
      <c r="AW34" s="130" t="str">
        <f>IFERROR(INDEX(TableWRTECalcPts[PLAYER],MATCH(TableWRTERank[[#This Row],[RK]],TableWRTECalcPts[RK],0)),"")</f>
        <v>Christian Kirk</v>
      </c>
      <c r="AX34" s="130" t="str">
        <f>IFERROR(INDEX(TableWRTECalcPts[POS RK],MATCH(TableWRTERank[[#This Row],[WR and TE COMBINED]],TableWRTECalcPts[PLAYER],0)),"")</f>
        <v>WR29</v>
      </c>
      <c r="AY34" s="130">
        <f>IFERROR(INDEX(TableWRTECalcPts[BYE],MATCH(TableWRTERank[[#This Row],[RK]],TableWRTECalcPts[RK],0)),"")</f>
        <v>9</v>
      </c>
      <c r="AZ34" s="131">
        <f>IFERROR(INDEX(TableWRTECalcPts[Custom],MATCH(TableWRTERank[[#This Row],[RK]],TableWRTECalcPts[RK],0)),"")</f>
        <v>171.53592071198523</v>
      </c>
      <c r="BA34" s="188">
        <f>IFERROR((TableWRTERank[[#This Row],[FPS]]-INDEX(TableWRTERank[FPS],MATCH(WRTEVORPCalc,TableWRTERank[RK],0)))/INDEX(TableWRTERank[FPS],MATCH(WRTEVORPCalc,TableWRTERank[RK],0)),"")</f>
        <v>0.23951085598267774</v>
      </c>
      <c r="BC34" t="s">
        <v>257</v>
      </c>
      <c r="BD34">
        <v>33</v>
      </c>
      <c r="BE34" s="86">
        <f>RANK(TableWRTEMaster[[#This Row],[VORP]],TableWRTEMaster[VORP])+COUNTIF($BJ$2:BJ34,BJ34)-1</f>
        <v>38</v>
      </c>
      <c r="BF34" s="123" t="str">
        <f>IFERROR(INDEX(TableWRVORP[WIDE RECEIVER],MATCH(TableWRTEMaster[[#This Row],[RK]],TableWRVORP[RK],0)),"")</f>
        <v>Skyy Moore</v>
      </c>
      <c r="BG34" s="123" t="str">
        <f>_xlfn.CONCAT(TableWRTEMaster[[#This Row],[POS]],TableWRTEMaster[[#This Row],[RK]])</f>
        <v>WR33</v>
      </c>
      <c r="BH34" s="123">
        <f>IFERROR(INDEX(TableWRVORP[BYE],MATCH(TableWRTEMaster[[#This Row],[RK]],TableWRVORP[RK],0)),"")</f>
        <v>10</v>
      </c>
      <c r="BI34" s="124">
        <f>IFERROR(INDEX(TableWRVORP[FPS],MATCH(TableWRTEMaster[[#This Row],[RK]],TableWRVORP[RK],0)),"")</f>
        <v>168.88950711828755</v>
      </c>
      <c r="BJ34" s="125">
        <f>IFERROR(INDEX(TableWRVORP[VORP],MATCH(TableWRTEMaster[[#This Row],[RK]],TableWRVORP[RK],0)),"")</f>
        <v>0.29623759896830754</v>
      </c>
    </row>
    <row r="35" spans="1:62" x14ac:dyDescent="0.2">
      <c r="A35">
        <v>34</v>
      </c>
      <c r="B35" s="120" t="str">
        <f>IFERROR(INDEX(TableQBCalcPts[PLAYER],MATCH(TableQBVORP[[#This Row],[RK]],TableQBCalcPts[RK],0)),"")</f>
        <v>Kyler Murray</v>
      </c>
      <c r="C35" s="120" t="str">
        <f>IFERROR(INDEX(TableQBCalcPts[TM],MATCH(TableQBVORP[[#This Row],[RK]],TableQBCalcPts[RK],0)),"")</f>
        <v>ARI</v>
      </c>
      <c r="D35" s="120">
        <f>IFERROR(INDEX(TableQBCalcPts[BYE],MATCH(TableQBVORP[[#This Row],[RK]],TableQBCalcPts[RK],0)),"")</f>
        <v>14</v>
      </c>
      <c r="E35" s="121">
        <f>IFERROR(INDEX(TableQBCalcPts[Custom],MATCH(TableQBVORP[[#This Row],[RK]],TableQBCalcPts[RK],0)),"")</f>
        <v>67.952044360939965</v>
      </c>
      <c r="F35" s="122">
        <f>(IFERROR((TableQBVORP[[#This Row],[FPS]]-INDEX(TableQBVORP[FPS],MATCH(QBVORPCalc,TableQBVORP[RK],0)))/INDEX(TableQBVORP[FPS],MATCH(QBVORPCalc,TableQBVORP[RK],0)),""))+(TableRBVORP[[#This Row],[VORP]]*0.45)</f>
        <v>-0.70387231844322518</v>
      </c>
      <c r="H35">
        <v>34</v>
      </c>
      <c r="I35" s="120" t="str">
        <f>IFERROR(INDEX(TableRBCalcPts[PLAYER],MATCH(TableRBVORP[[#This Row],[RK]],TableRBCalcPts[RK],0)),"")</f>
        <v>D'Andre Swift</v>
      </c>
      <c r="J35" s="120" t="str">
        <f>IFERROR(INDEX(TableRBCalcPts[TM],MATCH(TableRBVORP[[#This Row],[RK]],TableRBCalcPts[RK],0)),"")</f>
        <v>PHI</v>
      </c>
      <c r="K35" s="120">
        <f>IFERROR(INDEX(TableRBCalcPts[BYE],MATCH(TableRBVORP[[#This Row],[RK]],TableRBCalcPts[RK],0)),"")</f>
        <v>10</v>
      </c>
      <c r="L35" s="121">
        <f>IFERROR(INDEX(TableRBCalcPts[Custom],MATCH(TableRBVORP[[#This Row],[RK]],TableRBCalcPts[RK],0)),"")</f>
        <v>158.55879954993404</v>
      </c>
      <c r="M35" s="122">
        <f>IFERROR((TableRBVORP[[#This Row],[FPS]]-INDEX(TableRBVORP[FPS],MATCH(RBVORPCalc,TableRBVORP[RK],0)))/INDEX(TableRBVORP[FPS],MATCH(RBVORPCalc,TableRBVORP[RK],0)),"")</f>
        <v>0.29474950727633936</v>
      </c>
      <c r="O35">
        <v>34</v>
      </c>
      <c r="P35" s="120" t="str">
        <f>IFERROR(INDEX(TableWRCalcPts[PLAYER],MATCH(TableWRVORP[[#This Row],[RK]],TableWRCalcPts[RK],0)),"")</f>
        <v>Brandon Aiyuk</v>
      </c>
      <c r="Q35" s="120" t="str">
        <f>IFERROR(INDEX(TableWRCalcPts[TM],MATCH(TableWRVORP[[#This Row],[RK]],TableWRCalcPts[RK],0)),"")</f>
        <v>SF</v>
      </c>
      <c r="R35" s="120">
        <f>IFERROR(INDEX(TableWRCalcPts[BYE],MATCH(TableWRVORP[[#This Row],[RK]],TableWRCalcPts[RK],0)),"")</f>
        <v>9</v>
      </c>
      <c r="S35" s="121">
        <f>IFERROR(INDEX(TableWRCalcPts[Custom],MATCH(TableWRVORP[[#This Row],[RK]],TableWRCalcPts[RK],0)),"")</f>
        <v>165.73280716151041</v>
      </c>
      <c r="T35" s="122">
        <f>IFERROR((TableWRVORP[[#This Row],[FPS]]-INDEX(TableWRVORP[FPS],MATCH(WRVORPCalc,TableWRVORP[RK],0)))/INDEX(TableWRVORP[FPS],MATCH(WRVORPCalc,TableWRVORP[RK],0)),"")</f>
        <v>0.27200972808127655</v>
      </c>
      <c r="V35">
        <v>34</v>
      </c>
      <c r="W35" s="120" t="str">
        <f>IFERROR(INDEX(TableTECalcPts[PLAYER],MATCH(TableTEVORP[[#This Row],[RK]],TableTECalcPts[RK],0)),"")</f>
        <v>Taysom Hill</v>
      </c>
      <c r="X35" s="120" t="str">
        <f>IFERROR(INDEX(TableTECalcPts[TM],MATCH(TableTEVORP[[#This Row],[RK]],TableTECalcPts[RK],0)),"")</f>
        <v>NO</v>
      </c>
      <c r="Y35" s="120">
        <f>IFERROR(INDEX(TableTECalcPts[BYE],MATCH(TableTEVORP[[#This Row],[RK]],TableTECalcPts[RK],0)),"")</f>
        <v>11</v>
      </c>
      <c r="Z35" s="121">
        <f>IFERROR(INDEX(TableTECalcPts[Custom],MATCH(TableTEVORP[[#This Row],[RK]],TableTECalcPts[RK],0)),"")</f>
        <v>71.977671055054685</v>
      </c>
      <c r="AA35" s="122">
        <f>IFERROR((TableTEVORP[[#This Row],[FPS]]-INDEX(TableTEVORP[FPS],MATCH(TEVORPCalc,TableTEVORP[RK],0)))/INDEX(TableTEVORP[FPS],MATCH(TEVORPCalc,TableTEVORP[RK],0)),"")</f>
        <v>-0.39428126152570403</v>
      </c>
      <c r="AF35" t="s">
        <v>9</v>
      </c>
      <c r="AG35">
        <v>34</v>
      </c>
      <c r="AH35" s="86">
        <f>RANK(TableOverallMaster[[#This Row],[VORP]],TableOverallMaster[VORP])+COUNTIF($AM$2:AM35,AM35)-1</f>
        <v>272</v>
      </c>
      <c r="AI35" s="123" t="str">
        <f>IFERROR(INDEX(TableQBVORP[QUARTERBACK],MATCH(TableOverallMaster[[#This Row],[RK]],TableQBVORP[RK],0)),"")</f>
        <v>Kyler Murray</v>
      </c>
      <c r="AJ35" s="123" t="str">
        <f t="shared" si="0"/>
        <v>QB34</v>
      </c>
      <c r="AK35" s="123">
        <f>IFERROR(INDEX(TableQBVORP[BYE],MATCH(TableOverallMaster[[#This Row],[RK]],TableQBVORP[RK],0)),"")</f>
        <v>14</v>
      </c>
      <c r="AL35" s="124">
        <f>IFERROR(INDEX(TableQBVORP[FPS],MATCH(TableOverallMaster[[#This Row],[RK]],TableQBVORP[RK],0)),"")</f>
        <v>67.952044360939965</v>
      </c>
      <c r="AM35" s="125">
        <f>IFERROR(INDEX(TableQBVORP[VORP],MATCH(TableOverallMaster[[#This Row],[RK]],TableQBVORP[RK],0)),"")</f>
        <v>-0.70387231844322518</v>
      </c>
      <c r="AO35">
        <v>34</v>
      </c>
      <c r="AP35" s="126" t="str">
        <f>IFERROR(INDEX(TableOverallMaster[OVERALL PLAYER],MATCH(TableOverallRank[[#This Row],[RK]],TableOverallMaster[OVR RK],0)),"")</f>
        <v>Calvin Ridley</v>
      </c>
      <c r="AQ35" s="127" t="str">
        <f>IFERROR(INDEX(TableOverallMaster[POS RK],MATCH(TableOverallRank[[#This Row],[OVERALL PLAYER]],TableOverallMaster[OVERALL PLAYER],0)),"")</f>
        <v>WR13</v>
      </c>
      <c r="AR35" s="128">
        <f>IFERROR(INDEX(TableOverallMaster[BYE],MATCH(TableOverallRank[[#This Row],[OVERALL PLAYER]],TableOverallMaster[OVERALL PLAYER],0)),"")</f>
        <v>9</v>
      </c>
      <c r="AS35" s="127">
        <f>IFERROR(INDEX(TableOverallMaster[Custom],MATCH(TableOverallRank[[#This Row],[OVERALL PLAYER]],TableOverallMaster[OVERALL PLAYER],0)),"")</f>
        <v>205.85347666981542</v>
      </c>
      <c r="AT35" s="129">
        <f>IFERROR(INDEX(TableOverallMaster[VORP],MATCH(TableOverallRank[[#This Row],[OVERALL PLAYER]],TableOverallMaster[OVERALL PLAYER],0)),"")</f>
        <v>0.5799383922109087</v>
      </c>
      <c r="AV35">
        <v>34</v>
      </c>
      <c r="AW35" s="130" t="str">
        <f>IFERROR(INDEX(TableWRTECalcPts[PLAYER],MATCH(TableWRTERank[[#This Row],[RK]],TableWRTECalcPts[RK],0)),"")</f>
        <v>Jerry Jeudy</v>
      </c>
      <c r="AX35" s="130" t="str">
        <f>IFERROR(INDEX(TableWRTECalcPts[POS RK],MATCH(TableWRTERank[[#This Row],[WR and TE COMBINED]],TableWRTECalcPts[PLAYER],0)),"")</f>
        <v>WR30</v>
      </c>
      <c r="AY35" s="130">
        <f>IFERROR(INDEX(TableWRTECalcPts[BYE],MATCH(TableWRTERank[[#This Row],[RK]],TableWRTECalcPts[RK],0)),"")</f>
        <v>9</v>
      </c>
      <c r="AZ35" s="131">
        <f>IFERROR(INDEX(TableWRTECalcPts[Custom],MATCH(TableWRTERank[[#This Row],[RK]],TableWRTECalcPts[RK],0)),"")</f>
        <v>171.08206155698551</v>
      </c>
      <c r="BA35" s="188">
        <f>IFERROR((TableWRTERank[[#This Row],[FPS]]-INDEX(TableWRTERank[FPS],MATCH(WRTEVORPCalc,TableWRTERank[RK],0)))/INDEX(TableWRTERank[FPS],MATCH(WRTEVORPCalc,TableWRTERank[RK],0)),"")</f>
        <v>0.23623129012047073</v>
      </c>
      <c r="BC35" t="s">
        <v>257</v>
      </c>
      <c r="BD35">
        <v>34</v>
      </c>
      <c r="BE35" s="86">
        <f>RANK(TableWRTEMaster[[#This Row],[VORP]],TableWRTEMaster[VORP])+COUNTIF($BJ$2:BJ35,BJ35)-1</f>
        <v>39</v>
      </c>
      <c r="BF35" s="123" t="str">
        <f>IFERROR(INDEX(TableWRVORP[WIDE RECEIVER],MATCH(TableWRTEMaster[[#This Row],[RK]],TableWRVORP[RK],0)),"")</f>
        <v>Brandon Aiyuk</v>
      </c>
      <c r="BG35" s="123" t="str">
        <f>_xlfn.CONCAT(TableWRTEMaster[[#This Row],[POS]],TableWRTEMaster[[#This Row],[RK]])</f>
        <v>WR34</v>
      </c>
      <c r="BH35" s="123">
        <f>IFERROR(INDEX(TableWRVORP[BYE],MATCH(TableWRTEMaster[[#This Row],[RK]],TableWRVORP[RK],0)),"")</f>
        <v>9</v>
      </c>
      <c r="BI35" s="124">
        <f>IFERROR(INDEX(TableWRVORP[FPS],MATCH(TableWRTEMaster[[#This Row],[RK]],TableWRVORP[RK],0)),"")</f>
        <v>165.73280716151041</v>
      </c>
      <c r="BJ35" s="125">
        <f>IFERROR(INDEX(TableWRVORP[VORP],MATCH(TableWRTEMaster[[#This Row],[RK]],TableWRVORP[RK],0)),"")</f>
        <v>0.27200972808127655</v>
      </c>
    </row>
    <row r="36" spans="1:62" x14ac:dyDescent="0.2">
      <c r="A36">
        <v>35</v>
      </c>
      <c r="B36" s="120" t="str">
        <f>IFERROR(INDEX(TableQBCalcPts[PLAYER],MATCH(TableQBVORP[[#This Row],[RK]],TableQBCalcPts[RK],0)),"")</f>
        <v>Kyle Trask</v>
      </c>
      <c r="C36" s="120" t="str">
        <f>IFERROR(INDEX(TableQBCalcPts[TM],MATCH(TableQBVORP[[#This Row],[RK]],TableQBCalcPts[RK],0)),"")</f>
        <v>TB</v>
      </c>
      <c r="D36" s="120">
        <f>IFERROR(INDEX(TableQBCalcPts[BYE],MATCH(TableQBVORP[[#This Row],[RK]],TableQBCalcPts[RK],0)),"")</f>
        <v>5</v>
      </c>
      <c r="E36" s="121">
        <f>IFERROR(INDEX(TableQBCalcPts[Custom],MATCH(TableQBVORP[[#This Row],[RK]],TableQBCalcPts[RK],0)),"")</f>
        <v>47.169748582619611</v>
      </c>
      <c r="F36" s="122">
        <f>(IFERROR((TableQBVORP[[#This Row],[FPS]]-INDEX(TableQBVORP[FPS],MATCH(QBVORPCalc,TableQBVORP[RK],0)))/INDEX(TableQBVORP[FPS],MATCH(QBVORPCalc,TableQBVORP[RK],0)),""))+(TableRBVORP[[#This Row],[VORP]]*0.45)</f>
        <v>-0.76868061013424993</v>
      </c>
      <c r="H36">
        <v>35</v>
      </c>
      <c r="I36" s="120" t="str">
        <f>IFERROR(INDEX(TableRBCalcPts[PLAYER],MATCH(TableRBVORP[[#This Row],[RK]],TableRBCalcPts[RK],0)),"")</f>
        <v>Antonio Gibson</v>
      </c>
      <c r="J36" s="120" t="str">
        <f>IFERROR(INDEX(TableRBCalcPts[TM],MATCH(TableRBVORP[[#This Row],[RK]],TableRBCalcPts[RK],0)),"")</f>
        <v>WSH</v>
      </c>
      <c r="K36" s="120">
        <f>IFERROR(INDEX(TableRBCalcPts[BYE],MATCH(TableRBVORP[[#This Row],[RK]],TableRBCalcPts[RK],0)),"")</f>
        <v>14</v>
      </c>
      <c r="L36" s="121">
        <f>IFERROR(INDEX(TableRBCalcPts[Custom],MATCH(TableRBVORP[[#This Row],[RK]],TableRBCalcPts[RK],0)),"")</f>
        <v>154.52928913426035</v>
      </c>
      <c r="M36" s="122">
        <f>IFERROR((TableRBVORP[[#This Row],[FPS]]-INDEX(TableRBVORP[FPS],MATCH(RBVORPCalc,TableRBVORP[RK],0)))/INDEX(TableRBVORP[FPS],MATCH(RBVORPCalc,TableRBVORP[RK],0)),"")</f>
        <v>0.26184558368416211</v>
      </c>
      <c r="O36">
        <v>35</v>
      </c>
      <c r="P36" s="120" t="str">
        <f>IFERROR(INDEX(TableWRCalcPts[PLAYER],MATCH(TableWRVORP[[#This Row],[RK]],TableWRCalcPts[RK],0)),"")</f>
        <v>Drake London</v>
      </c>
      <c r="Q36" s="120" t="str">
        <f>IFERROR(INDEX(TableWRCalcPts[TM],MATCH(TableWRVORP[[#This Row],[RK]],TableWRCalcPts[RK],0)),"")</f>
        <v>ATL</v>
      </c>
      <c r="R36" s="120">
        <f>IFERROR(INDEX(TableWRCalcPts[BYE],MATCH(TableWRVORP[[#This Row],[RK]],TableWRCalcPts[RK],0)),"")</f>
        <v>11</v>
      </c>
      <c r="S36" s="121">
        <f>IFERROR(INDEX(TableWRCalcPts[Custom],MATCH(TableWRVORP[[#This Row],[RK]],TableWRCalcPts[RK],0)),"")</f>
        <v>164.56961695199593</v>
      </c>
      <c r="T36" s="122">
        <f>IFERROR((TableWRVORP[[#This Row],[FPS]]-INDEX(TableWRVORP[FPS],MATCH(WRVORPCalc,TableWRVORP[RK],0)))/INDEX(TableWRVORP[FPS],MATCH(WRVORPCalc,TableWRVORP[RK],0)),"")</f>
        <v>0.26308216999876954</v>
      </c>
      <c r="V36">
        <v>35</v>
      </c>
      <c r="W36" s="120" t="str">
        <f>IFERROR(INDEX(TableTECalcPts[PLAYER],MATCH(TableTEVORP[[#This Row],[RK]],TableTECalcPts[RK],0)),"")</f>
        <v>Logan Thomas</v>
      </c>
      <c r="X36" s="120" t="str">
        <f>IFERROR(INDEX(TableTECalcPts[TM],MATCH(TableTEVORP[[#This Row],[RK]],TableTECalcPts[RK],0)),"")</f>
        <v>WSH</v>
      </c>
      <c r="Y36" s="120">
        <f>IFERROR(INDEX(TableTECalcPts[BYE],MATCH(TableTEVORP[[#This Row],[RK]],TableTECalcPts[RK],0)),"")</f>
        <v>14</v>
      </c>
      <c r="Z36" s="121">
        <f>IFERROR(INDEX(TableTECalcPts[Custom],MATCH(TableTEVORP[[#This Row],[RK]],TableTECalcPts[RK],0)),"")</f>
        <v>66.78321520699437</v>
      </c>
      <c r="AA36" s="122">
        <f>IFERROR((TableTEVORP[[#This Row],[FPS]]-INDEX(TableTEVORP[FPS],MATCH(TEVORPCalc,TableTEVORP[RK],0)))/INDEX(TableTEVORP[FPS],MATCH(TEVORPCalc,TableTEVORP[RK],0)),"")</f>
        <v>-0.43799452978275699</v>
      </c>
      <c r="AF36" t="s">
        <v>9</v>
      </c>
      <c r="AG36">
        <v>35</v>
      </c>
      <c r="AH36" s="86">
        <f>RANK(TableOverallMaster[[#This Row],[VORP]],TableOverallMaster[VORP])+COUNTIF($AM$2:AM36,AM36)-1</f>
        <v>284</v>
      </c>
      <c r="AI36" s="123" t="str">
        <f>IFERROR(INDEX(TableQBVORP[QUARTERBACK],MATCH(TableOverallMaster[[#This Row],[RK]],TableQBVORP[RK],0)),"")</f>
        <v>Kyle Trask</v>
      </c>
      <c r="AJ36" s="123" t="str">
        <f t="shared" si="0"/>
        <v>QB35</v>
      </c>
      <c r="AK36" s="123">
        <f>IFERROR(INDEX(TableQBVORP[BYE],MATCH(TableOverallMaster[[#This Row],[RK]],TableQBVORP[RK],0)),"")</f>
        <v>5</v>
      </c>
      <c r="AL36" s="124">
        <f>IFERROR(INDEX(TableQBVORP[FPS],MATCH(TableOverallMaster[[#This Row],[RK]],TableQBVORP[RK],0)),"")</f>
        <v>47.169748582619611</v>
      </c>
      <c r="AM36" s="125">
        <f>IFERROR(INDEX(TableQBVORP[VORP],MATCH(TableOverallMaster[[#This Row],[RK]],TableQBVORP[RK],0)),"")</f>
        <v>-0.76868061013424993</v>
      </c>
      <c r="AO36">
        <v>35</v>
      </c>
      <c r="AP36" s="126" t="str">
        <f>IFERROR(INDEX(TableOverallMaster[OVERALL PLAYER],MATCH(TableOverallRank[[#This Row],[RK]],TableOverallMaster[OVR RK],0)),"")</f>
        <v>David Montgomery</v>
      </c>
      <c r="AQ36" s="127" t="str">
        <f>IFERROR(INDEX(TableOverallMaster[POS RK],MATCH(TableOverallRank[[#This Row],[OVERALL PLAYER]],TableOverallMaster[OVERALL PLAYER],0)),"")</f>
        <v>RB20</v>
      </c>
      <c r="AR36" s="128">
        <f>IFERROR(INDEX(TableOverallMaster[BYE],MATCH(TableOverallRank[[#This Row],[OVERALL PLAYER]],TableOverallMaster[OVERALL PLAYER],0)),"")</f>
        <v>9</v>
      </c>
      <c r="AS36" s="127">
        <f>IFERROR(INDEX(TableOverallMaster[Custom],MATCH(TableOverallRank[[#This Row],[OVERALL PLAYER]],TableOverallMaster[OVERALL PLAYER],0)),"")</f>
        <v>192.12072685644694</v>
      </c>
      <c r="AT36" s="129">
        <f>IFERROR(INDEX(TableOverallMaster[VORP],MATCH(TableOverallRank[[#This Row],[OVERALL PLAYER]],TableOverallMaster[OVERALL PLAYER],0)),"")</f>
        <v>0.56880738969406719</v>
      </c>
      <c r="AV36">
        <v>35</v>
      </c>
      <c r="AW36" s="130" t="str">
        <f>IFERROR(INDEX(TableWRTECalcPts[PLAYER],MATCH(TableWRTERank[[#This Row],[RK]],TableWRTECalcPts[RK],0)),"")</f>
        <v>Marquise Brown</v>
      </c>
      <c r="AX36" s="130" t="str">
        <f>IFERROR(INDEX(TableWRTECalcPts[POS RK],MATCH(TableWRTERank[[#This Row],[WR and TE COMBINED]],TableWRTECalcPts[PLAYER],0)),"")</f>
        <v>WR31</v>
      </c>
      <c r="AY36" s="130">
        <f>IFERROR(INDEX(TableWRTECalcPts[BYE],MATCH(TableWRTERank[[#This Row],[RK]],TableWRTECalcPts[RK],0)),"")</f>
        <v>14</v>
      </c>
      <c r="AZ36" s="131">
        <f>IFERROR(INDEX(TableWRTECalcPts[Custom],MATCH(TableWRTERank[[#This Row],[RK]],TableWRTECalcPts[RK],0)),"")</f>
        <v>169.79884257105002</v>
      </c>
      <c r="BA36" s="188">
        <f>IFERROR((TableWRTERank[[#This Row],[FPS]]-INDEX(TableWRTERank[FPS],MATCH(WRTEVORPCalc,TableWRTERank[RK],0)))/INDEX(TableWRTERank[FPS],MATCH(WRTEVORPCalc,TableWRTERank[RK],0)),"")</f>
        <v>0.22695880738292948</v>
      </c>
      <c r="BC36" t="s">
        <v>257</v>
      </c>
      <c r="BD36">
        <v>35</v>
      </c>
      <c r="BE36" s="86">
        <f>RANK(TableWRTEMaster[[#This Row],[VORP]],TableWRTEMaster[VORP])+COUNTIF($BJ$2:BJ36,BJ36)-1</f>
        <v>40</v>
      </c>
      <c r="BF36" s="123" t="str">
        <f>IFERROR(INDEX(TableWRVORP[WIDE RECEIVER],MATCH(TableWRTEMaster[[#This Row],[RK]],TableWRVORP[RK],0)),"")</f>
        <v>Drake London</v>
      </c>
      <c r="BG36" s="123" t="str">
        <f>_xlfn.CONCAT(TableWRTEMaster[[#This Row],[POS]],TableWRTEMaster[[#This Row],[RK]])</f>
        <v>WR35</v>
      </c>
      <c r="BH36" s="123">
        <f>IFERROR(INDEX(TableWRVORP[BYE],MATCH(TableWRTEMaster[[#This Row],[RK]],TableWRVORP[RK],0)),"")</f>
        <v>11</v>
      </c>
      <c r="BI36" s="124">
        <f>IFERROR(INDEX(TableWRVORP[FPS],MATCH(TableWRTEMaster[[#This Row],[RK]],TableWRVORP[RK],0)),"")</f>
        <v>164.56961695199593</v>
      </c>
      <c r="BJ36" s="125">
        <f>IFERROR(INDEX(TableWRVORP[VORP],MATCH(TableWRTEMaster[[#This Row],[RK]],TableWRVORP[RK],0)),"")</f>
        <v>0.26308216999876954</v>
      </c>
    </row>
    <row r="37" spans="1:62" x14ac:dyDescent="0.2">
      <c r="A37">
        <v>36</v>
      </c>
      <c r="B37" s="120" t="str">
        <f>IFERROR(INDEX(TableQBCalcPts[PLAYER],MATCH(TableQBVORP[[#This Row],[RK]],TableQBCalcPts[RK],0)),"")</f>
        <v>Taylor Heinicke</v>
      </c>
      <c r="C37" s="120" t="str">
        <f>IFERROR(INDEX(TableQBCalcPts[TM],MATCH(TableQBVORP[[#This Row],[RK]],TableQBCalcPts[RK],0)),"")</f>
        <v>ATL</v>
      </c>
      <c r="D37" s="120">
        <f>IFERROR(INDEX(TableQBCalcPts[BYE],MATCH(TableQBVORP[[#This Row],[RK]],TableQBCalcPts[RK],0)),"")</f>
        <v>11</v>
      </c>
      <c r="E37" s="121">
        <f>IFERROR(INDEX(TableQBCalcPts[Custom],MATCH(TableQBVORP[[#This Row],[RK]],TableQBCalcPts[RK],0)),"")</f>
        <v>35.980127097215657</v>
      </c>
      <c r="F37" s="122">
        <f>(IFERROR((TableQBVORP[[#This Row],[FPS]]-INDEX(TableQBVORP[FPS],MATCH(QBVORPCalc,TableQBVORP[RK],0)))/INDEX(TableQBVORP[FPS],MATCH(QBVORPCalc,TableQBVORP[RK],0)),""))+(TableRBVORP[[#This Row],[VORP]]*0.45)</f>
        <v>-0.795891633732277</v>
      </c>
      <c r="H37">
        <v>36</v>
      </c>
      <c r="I37" s="120" t="str">
        <f>IFERROR(INDEX(TableRBCalcPts[PLAYER],MATCH(TableRBVORP[[#This Row],[RK]],TableRBCalcPts[RK],0)),"")</f>
        <v>Zach Charbonnet</v>
      </c>
      <c r="J37" s="120" t="str">
        <f>IFERROR(INDEX(TableRBCalcPts[TM],MATCH(TableRBVORP[[#This Row],[RK]],TableRBCalcPts[RK],0)),"")</f>
        <v>SEA</v>
      </c>
      <c r="K37" s="120">
        <f>IFERROR(INDEX(TableRBCalcPts[BYE],MATCH(TableRBVORP[[#This Row],[RK]],TableRBCalcPts[RK],0)),"")</f>
        <v>5</v>
      </c>
      <c r="L37" s="121">
        <f>IFERROR(INDEX(TableRBCalcPts[Custom],MATCH(TableRBVORP[[#This Row],[RK]],TableRBCalcPts[RK],0)),"")</f>
        <v>154.45059742536267</v>
      </c>
      <c r="M37" s="122">
        <f>IFERROR((TableRBVORP[[#This Row],[FPS]]-INDEX(TableRBVORP[FPS],MATCH(RBVORPCalc,TableRBVORP[RK],0)))/INDEX(TableRBVORP[FPS],MATCH(RBVORPCalc,TableRBVORP[RK],0)),"")</f>
        <v>0.26120300785985462</v>
      </c>
      <c r="O37">
        <v>36</v>
      </c>
      <c r="P37" s="120" t="str">
        <f>IFERROR(INDEX(TableWRCalcPts[PLAYER],MATCH(TableWRVORP[[#This Row],[RK]],TableWRCalcPts[RK],0)),"")</f>
        <v>Allen Lazard</v>
      </c>
      <c r="Q37" s="120" t="str">
        <f>IFERROR(INDEX(TableWRCalcPts[TM],MATCH(TableWRVORP[[#This Row],[RK]],TableWRCalcPts[RK],0)),"")</f>
        <v>NYJ</v>
      </c>
      <c r="R37" s="120">
        <f>IFERROR(INDEX(TableWRCalcPts[BYE],MATCH(TableWRVORP[[#This Row],[RK]],TableWRCalcPts[RK],0)),"")</f>
        <v>7</v>
      </c>
      <c r="S37" s="121">
        <f>IFERROR(INDEX(TableWRCalcPts[Custom],MATCH(TableWRVORP[[#This Row],[RK]],TableWRCalcPts[RK],0)),"")</f>
        <v>162.96652371193738</v>
      </c>
      <c r="T37" s="122">
        <f>IFERROR((TableWRVORP[[#This Row],[FPS]]-INDEX(TableWRVORP[FPS],MATCH(WRVORPCalc,TableWRVORP[RK],0)))/INDEX(TableWRVORP[FPS],MATCH(WRVORPCalc,TableWRVORP[RK],0)),"")</f>
        <v>0.25077832846431342</v>
      </c>
      <c r="V37">
        <v>36</v>
      </c>
      <c r="W37" s="120" t="str">
        <f>IFERROR(INDEX(TableTECalcPts[PLAYER],MATCH(TableTEVORP[[#This Row],[RK]],TableTECalcPts[RK],0)),"")</f>
        <v>Adam Trautman</v>
      </c>
      <c r="X37" s="120" t="str">
        <f>IFERROR(INDEX(TableTECalcPts[TM],MATCH(TableTEVORP[[#This Row],[RK]],TableTECalcPts[RK],0)),"")</f>
        <v>DEN</v>
      </c>
      <c r="Y37" s="120">
        <f>IFERROR(INDEX(TableTECalcPts[BYE],MATCH(TableTEVORP[[#This Row],[RK]],TableTECalcPts[RK],0)),"")</f>
        <v>9</v>
      </c>
      <c r="Z37" s="121">
        <f>IFERROR(INDEX(TableTECalcPts[Custom],MATCH(TableTEVORP[[#This Row],[RK]],TableTECalcPts[RK],0)),"")</f>
        <v>66.361537245636754</v>
      </c>
      <c r="AA37" s="122">
        <f>IFERROR((TableTEVORP[[#This Row],[FPS]]-INDEX(TableTEVORP[FPS],MATCH(TEVORPCalc,TableTEVORP[RK],0)))/INDEX(TableTEVORP[FPS],MATCH(TEVORPCalc,TableTEVORP[RK],0)),"")</f>
        <v>-0.44154310587659285</v>
      </c>
      <c r="AF37" t="s">
        <v>9</v>
      </c>
      <c r="AG37">
        <v>36</v>
      </c>
      <c r="AH37" s="86">
        <f>RANK(TableOverallMaster[[#This Row],[VORP]],TableOverallMaster[VORP])+COUNTIF($AM$2:AM37,AM37)-1</f>
        <v>287</v>
      </c>
      <c r="AI37" s="123" t="str">
        <f>IFERROR(INDEX(TableQBVORP[QUARTERBACK],MATCH(TableOverallMaster[[#This Row],[RK]],TableQBVORP[RK],0)),"")</f>
        <v>Taylor Heinicke</v>
      </c>
      <c r="AJ37" s="123" t="str">
        <f t="shared" si="0"/>
        <v>QB36</v>
      </c>
      <c r="AK37" s="123">
        <f>IFERROR(INDEX(TableQBVORP[BYE],MATCH(TableOverallMaster[[#This Row],[RK]],TableQBVORP[RK],0)),"")</f>
        <v>11</v>
      </c>
      <c r="AL37" s="124">
        <f>IFERROR(INDEX(TableQBVORP[FPS],MATCH(TableOverallMaster[[#This Row],[RK]],TableQBVORP[RK],0)),"")</f>
        <v>35.980127097215657</v>
      </c>
      <c r="AM37" s="125">
        <f>IFERROR(INDEX(TableQBVORP[VORP],MATCH(TableOverallMaster[[#This Row],[RK]],TableQBVORP[RK],0)),"")</f>
        <v>-0.795891633732277</v>
      </c>
      <c r="AO37">
        <v>36</v>
      </c>
      <c r="AP37" s="126" t="str">
        <f>IFERROR(INDEX(TableOverallMaster[OVERALL PLAYER],MATCH(TableOverallRank[[#This Row],[RK]],TableOverallMaster[OVR RK],0)),"")</f>
        <v>Alexander Mattison</v>
      </c>
      <c r="AQ37" s="127" t="str">
        <f>IFERROR(INDEX(TableOverallMaster[POS RK],MATCH(TableOverallRank[[#This Row],[OVERALL PLAYER]],TableOverallMaster[OVERALL PLAYER],0)),"")</f>
        <v>RB21</v>
      </c>
      <c r="AR37" s="128">
        <f>IFERROR(INDEX(TableOverallMaster[BYE],MATCH(TableOverallRank[[#This Row],[OVERALL PLAYER]],TableOverallMaster[OVERALL PLAYER],0)),"")</f>
        <v>13</v>
      </c>
      <c r="AS37" s="127">
        <f>IFERROR(INDEX(TableOverallMaster[Custom],MATCH(TableOverallRank[[#This Row],[OVERALL PLAYER]],TableOverallMaster[OVERALL PLAYER],0)),"")</f>
        <v>191.99821730314738</v>
      </c>
      <c r="AT37" s="129">
        <f>IFERROR(INDEX(TableOverallMaster[VORP],MATCH(TableOverallRank[[#This Row],[OVERALL PLAYER]],TableOverallMaster[OVERALL PLAYER],0)),"")</f>
        <v>0.56780700886234114</v>
      </c>
      <c r="AV37">
        <v>36</v>
      </c>
      <c r="AW37" s="130" t="str">
        <f>IFERROR(INDEX(TableWRTECalcPts[PLAYER],MATCH(TableWRTERank[[#This Row],[RK]],TableWRTECalcPts[RK],0)),"")</f>
        <v>George Pickens</v>
      </c>
      <c r="AX37" s="130" t="str">
        <f>IFERROR(INDEX(TableWRTECalcPts[POS RK],MATCH(TableWRTERank[[#This Row],[WR and TE COMBINED]],TableWRTECalcPts[PLAYER],0)),"")</f>
        <v>WR32</v>
      </c>
      <c r="AY37" s="130">
        <f>IFERROR(INDEX(TableWRTECalcPts[BYE],MATCH(TableWRTERank[[#This Row],[RK]],TableWRTECalcPts[RK],0)),"")</f>
        <v>6</v>
      </c>
      <c r="AZ37" s="131">
        <f>IFERROR(INDEX(TableWRTECalcPts[Custom],MATCH(TableWRTERank[[#This Row],[RK]],TableWRTECalcPts[RK],0)),"")</f>
        <v>169.33579636065119</v>
      </c>
      <c r="BA37" s="188">
        <f>IFERROR((TableWRTERank[[#This Row],[FPS]]-INDEX(TableWRTERank[FPS],MATCH(WRTEVORPCalc,TableWRTERank[RK],0)))/INDEX(TableWRTERank[FPS],MATCH(WRTEVORPCalc,TableWRTERank[RK],0)),"")</f>
        <v>0.22361285627118146</v>
      </c>
      <c r="BC37" t="s">
        <v>257</v>
      </c>
      <c r="BD37">
        <v>36</v>
      </c>
      <c r="BE37" s="86">
        <f>RANK(TableWRTEMaster[[#This Row],[VORP]],TableWRTEMaster[VORP])+COUNTIF($BJ$2:BJ37,BJ37)-1</f>
        <v>41</v>
      </c>
      <c r="BF37" s="123" t="str">
        <f>IFERROR(INDEX(TableWRVORP[WIDE RECEIVER],MATCH(TableWRTEMaster[[#This Row],[RK]],TableWRVORP[RK],0)),"")</f>
        <v>Allen Lazard</v>
      </c>
      <c r="BG37" s="123" t="str">
        <f>_xlfn.CONCAT(TableWRTEMaster[[#This Row],[POS]],TableWRTEMaster[[#This Row],[RK]])</f>
        <v>WR36</v>
      </c>
      <c r="BH37" s="123">
        <f>IFERROR(INDEX(TableWRVORP[BYE],MATCH(TableWRTEMaster[[#This Row],[RK]],TableWRVORP[RK],0)),"")</f>
        <v>7</v>
      </c>
      <c r="BI37" s="124">
        <f>IFERROR(INDEX(TableWRVORP[FPS],MATCH(TableWRTEMaster[[#This Row],[RK]],TableWRVORP[RK],0)),"")</f>
        <v>162.96652371193738</v>
      </c>
      <c r="BJ37" s="125">
        <f>IFERROR(INDEX(TableWRVORP[VORP],MATCH(TableWRTEMaster[[#This Row],[RK]],TableWRVORP[RK],0)),"")</f>
        <v>0.25077832846431342</v>
      </c>
    </row>
    <row r="38" spans="1:62" x14ac:dyDescent="0.2">
      <c r="A38">
        <v>37</v>
      </c>
      <c r="B38" s="120" t="str">
        <f>IFERROR(INDEX(TableQBCalcPts[PLAYER],MATCH(TableQBVORP[[#This Row],[RK]],TableQBCalcPts[RK],0)),"")</f>
        <v>Tyrod Taylor</v>
      </c>
      <c r="C38" s="120" t="str">
        <f>IFERROR(INDEX(TableQBCalcPts[TM],MATCH(TableQBVORP[[#This Row],[RK]],TableQBCalcPts[RK],0)),"")</f>
        <v>NYG</v>
      </c>
      <c r="D38" s="120">
        <f>IFERROR(INDEX(TableQBCalcPts[BYE],MATCH(TableQBVORP[[#This Row],[RK]],TableQBCalcPts[RK],0)),"")</f>
        <v>13</v>
      </c>
      <c r="E38" s="121">
        <f>IFERROR(INDEX(TableQBCalcPts[Custom],MATCH(TableQBVORP[[#This Row],[RK]],TableQBCalcPts[RK],0)),"")</f>
        <v>23.9509264864007</v>
      </c>
      <c r="F38" s="122">
        <f>(IFERROR((TableQBVORP[[#This Row],[FPS]]-INDEX(TableQBVORP[FPS],MATCH(QBVORPCalc,TableQBVORP[RK],0)))/INDEX(TableQBVORP[FPS],MATCH(QBVORPCalc,TableQBVORP[RK],0)),""))+(TableRBVORP[[#This Row],[VORP]]*0.45)</f>
        <v>-0.84777793350761788</v>
      </c>
      <c r="H38">
        <v>37</v>
      </c>
      <c r="I38" s="120" t="str">
        <f>IFERROR(INDEX(TableRBCalcPts[PLAYER],MATCH(TableRBVORP[[#This Row],[RK]],TableRBCalcPts[RK],0)),"")</f>
        <v>Raheem Mostert</v>
      </c>
      <c r="J38" s="120" t="str">
        <f>IFERROR(INDEX(TableRBCalcPts[TM],MATCH(TableRBVORP[[#This Row],[RK]],TableRBCalcPts[RK],0)),"")</f>
        <v>MIA</v>
      </c>
      <c r="K38" s="120">
        <f>IFERROR(INDEX(TableRBCalcPts[BYE],MATCH(TableRBVORP[[#This Row],[RK]],TableRBCalcPts[RK],0)),"")</f>
        <v>10</v>
      </c>
      <c r="L38" s="121">
        <f>IFERROR(INDEX(TableRBCalcPts[Custom],MATCH(TableRBVORP[[#This Row],[RK]],TableRBCalcPts[RK],0)),"")</f>
        <v>148.20650311068127</v>
      </c>
      <c r="M38" s="122">
        <f>IFERROR((TableRBVORP[[#This Row],[FPS]]-INDEX(TableRBVORP[FPS],MATCH(RBVORPCalc,TableRBVORP[RK],0)))/INDEX(TableRBVORP[FPS],MATCH(RBVORPCalc,TableRBVORP[RK],0)),"")</f>
        <v>0.21021537387001274</v>
      </c>
      <c r="O38">
        <v>37</v>
      </c>
      <c r="P38" s="120" t="str">
        <f>IFERROR(INDEX(TableWRCalcPts[PLAYER],MATCH(TableWRVORP[[#This Row],[RK]],TableWRCalcPts[RK],0)),"")</f>
        <v>Mike Evans</v>
      </c>
      <c r="Q38" s="120" t="str">
        <f>IFERROR(INDEX(TableWRCalcPts[TM],MATCH(TableWRVORP[[#This Row],[RK]],TableWRCalcPts[RK],0)),"")</f>
        <v>TB</v>
      </c>
      <c r="R38" s="120">
        <f>IFERROR(INDEX(TableWRCalcPts[BYE],MATCH(TableWRVORP[[#This Row],[RK]],TableWRCalcPts[RK],0)),"")</f>
        <v>5</v>
      </c>
      <c r="S38" s="121">
        <f>IFERROR(INDEX(TableWRCalcPts[Custom],MATCH(TableWRVORP[[#This Row],[RK]],TableWRCalcPts[RK],0)),"")</f>
        <v>162.31074654216576</v>
      </c>
      <c r="T38" s="122">
        <f>IFERROR((TableWRVORP[[#This Row],[FPS]]-INDEX(TableWRVORP[FPS],MATCH(WRVORPCalc,TableWRVORP[RK],0)))/INDEX(TableWRVORP[FPS],MATCH(WRVORPCalc,TableWRVORP[RK],0)),"")</f>
        <v>0.24574519740420769</v>
      </c>
      <c r="V38">
        <v>37</v>
      </c>
      <c r="W38" s="120" t="str">
        <f>IFERROR(INDEX(TableTECalcPts[PLAYER],MATCH(TableTEVORP[[#This Row],[RK]],TableTECalcPts[RK],0)),"")</f>
        <v>Jelani Woods</v>
      </c>
      <c r="X38" s="120" t="str">
        <f>IFERROR(INDEX(TableTECalcPts[TM],MATCH(TableTEVORP[[#This Row],[RK]],TableTECalcPts[RK],0)),"")</f>
        <v>IND</v>
      </c>
      <c r="Y38" s="120">
        <f>IFERROR(INDEX(TableTECalcPts[BYE],MATCH(TableTEVORP[[#This Row],[RK]],TableTECalcPts[RK],0)),"")</f>
        <v>11</v>
      </c>
      <c r="Z38" s="121">
        <f>IFERROR(INDEX(TableTECalcPts[Custom],MATCH(TableTEVORP[[#This Row],[RK]],TableTECalcPts[RK],0)),"")</f>
        <v>64.887841835586016</v>
      </c>
      <c r="AA38" s="122">
        <f>IFERROR((TableTEVORP[[#This Row],[FPS]]-INDEX(TableTEVORP[FPS],MATCH(TEVORPCalc,TableTEVORP[RK],0)))/INDEX(TableTEVORP[FPS],MATCH(TEVORPCalc,TableTEVORP[RK],0)),"")</f>
        <v>-0.45394479811790645</v>
      </c>
      <c r="AF38" t="s">
        <v>9</v>
      </c>
      <c r="AG38">
        <v>37</v>
      </c>
      <c r="AH38" s="86">
        <f>RANK(TableOverallMaster[[#This Row],[VORP]],TableOverallMaster[VORP])+COUNTIF($AM$2:AM38,AM38)-1</f>
        <v>297</v>
      </c>
      <c r="AI38" s="123" t="str">
        <f>IFERROR(INDEX(TableQBVORP[QUARTERBACK],MATCH(TableOverallMaster[[#This Row],[RK]],TableQBVORP[RK],0)),"")</f>
        <v>Tyrod Taylor</v>
      </c>
      <c r="AJ38" s="123" t="str">
        <f t="shared" si="0"/>
        <v>QB37</v>
      </c>
      <c r="AK38" s="123">
        <f>IFERROR(INDEX(TableQBVORP[BYE],MATCH(TableOverallMaster[[#This Row],[RK]],TableQBVORP[RK],0)),"")</f>
        <v>13</v>
      </c>
      <c r="AL38" s="124">
        <f>IFERROR(INDEX(TableQBVORP[FPS],MATCH(TableOverallMaster[[#This Row],[RK]],TableQBVORP[RK],0)),"")</f>
        <v>23.9509264864007</v>
      </c>
      <c r="AM38" s="125">
        <f>IFERROR(INDEX(TableQBVORP[VORP],MATCH(TableOverallMaster[[#This Row],[RK]],TableQBVORP[RK],0)),"")</f>
        <v>-0.84777793350761788</v>
      </c>
      <c r="AO38">
        <v>37</v>
      </c>
      <c r="AP38" s="126" t="str">
        <f>IFERROR(INDEX(TableOverallMaster[OVERALL PLAYER],MATCH(TableOverallRank[[#This Row],[RK]],TableOverallMaster[OVR RK],0)),"")</f>
        <v>Patrick Mahomes</v>
      </c>
      <c r="AQ38" s="127" t="str">
        <f>IFERROR(INDEX(TableOverallMaster[POS RK],MATCH(TableOverallRank[[#This Row],[OVERALL PLAYER]],TableOverallMaster[OVERALL PLAYER],0)),"")</f>
        <v>QB2</v>
      </c>
      <c r="AR38" s="128">
        <f>IFERROR(INDEX(TableOverallMaster[BYE],MATCH(TableOverallRank[[#This Row],[OVERALL PLAYER]],TableOverallMaster[OVERALL PLAYER],0)),"")</f>
        <v>10</v>
      </c>
      <c r="AS38" s="127">
        <f>IFERROR(INDEX(TableOverallMaster[Custom],MATCH(TableOverallRank[[#This Row],[OVERALL PLAYER]],TableOverallMaster[OVERALL PLAYER],0)),"")</f>
        <v>415.63322982056599</v>
      </c>
      <c r="AT38" s="129">
        <f>IFERROR(INDEX(TableOverallMaster[VORP],MATCH(TableOverallRank[[#This Row],[OVERALL PLAYER]],TableOverallMaster[OVERALL PLAYER],0)),"")</f>
        <v>0.55453135641470142</v>
      </c>
      <c r="AV38">
        <v>37</v>
      </c>
      <c r="AW38" s="130" t="str">
        <f>IFERROR(INDEX(TableWRTECalcPts[PLAYER],MATCH(TableWRTERank[[#This Row],[RK]],TableWRTECalcPts[RK],0)),"")</f>
        <v>Skyy Moore</v>
      </c>
      <c r="AX38" s="130" t="str">
        <f>IFERROR(INDEX(TableWRTECalcPts[POS RK],MATCH(TableWRTERank[[#This Row],[WR and TE COMBINED]],TableWRTECalcPts[PLAYER],0)),"")</f>
        <v>WR33</v>
      </c>
      <c r="AY38" s="130">
        <f>IFERROR(INDEX(TableWRTECalcPts[BYE],MATCH(TableWRTERank[[#This Row],[RK]],TableWRTECalcPts[RK],0)),"")</f>
        <v>10</v>
      </c>
      <c r="AZ38" s="131">
        <f>IFERROR(INDEX(TableWRTECalcPts[Custom],MATCH(TableWRTERank[[#This Row],[RK]],TableWRTECalcPts[RK],0)),"")</f>
        <v>168.88950711828755</v>
      </c>
      <c r="BA38" s="188">
        <f>IFERROR((TableWRTERank[[#This Row],[FPS]]-INDEX(TableWRTERank[FPS],MATCH(WRTEVORPCalc,TableWRTERank[RK],0)))/INDEX(TableWRTERank[FPS],MATCH(WRTEVORPCalc,TableWRTERank[RK],0)),"")</f>
        <v>0.22038799025756781</v>
      </c>
      <c r="BC38" t="s">
        <v>257</v>
      </c>
      <c r="BD38">
        <v>37</v>
      </c>
      <c r="BE38" s="86">
        <f>RANK(TableWRTEMaster[[#This Row],[VORP]],TableWRTEMaster[VORP])+COUNTIF($BJ$2:BJ38,BJ38)-1</f>
        <v>42</v>
      </c>
      <c r="BF38" s="123" t="str">
        <f>IFERROR(INDEX(TableWRVORP[WIDE RECEIVER],MATCH(TableWRTEMaster[[#This Row],[RK]],TableWRVORP[RK],0)),"")</f>
        <v>Mike Evans</v>
      </c>
      <c r="BG38" s="123" t="str">
        <f>_xlfn.CONCAT(TableWRTEMaster[[#This Row],[POS]],TableWRTEMaster[[#This Row],[RK]])</f>
        <v>WR37</v>
      </c>
      <c r="BH38" s="123">
        <f>IFERROR(INDEX(TableWRVORP[BYE],MATCH(TableWRTEMaster[[#This Row],[RK]],TableWRVORP[RK],0)),"")</f>
        <v>5</v>
      </c>
      <c r="BI38" s="124">
        <f>IFERROR(INDEX(TableWRVORP[FPS],MATCH(TableWRTEMaster[[#This Row],[RK]],TableWRVORP[RK],0)),"")</f>
        <v>162.31074654216576</v>
      </c>
      <c r="BJ38" s="125">
        <f>IFERROR(INDEX(TableWRVORP[VORP],MATCH(TableWRTEMaster[[#This Row],[RK]],TableWRVORP[RK],0)),"")</f>
        <v>0.24574519740420769</v>
      </c>
    </row>
    <row r="39" spans="1:62" x14ac:dyDescent="0.2">
      <c r="A39">
        <v>38</v>
      </c>
      <c r="B39" s="120" t="str">
        <f>IFERROR(INDEX(TableQBCalcPts[PLAYER],MATCH(TableQBVORP[[#This Row],[RK]],TableQBCalcPts[RK],0)),"")</f>
        <v>Brian Hoyer</v>
      </c>
      <c r="C39" s="120" t="str">
        <f>IFERROR(INDEX(TableQBCalcPts[TM],MATCH(TableQBVORP[[#This Row],[RK]],TableQBCalcPts[RK],0)),"")</f>
        <v>LV</v>
      </c>
      <c r="D39" s="120">
        <f>IFERROR(INDEX(TableQBCalcPts[BYE],MATCH(TableQBVORP[[#This Row],[RK]],TableQBCalcPts[RK],0)),"")</f>
        <v>13</v>
      </c>
      <c r="E39" s="121">
        <f>IFERROR(INDEX(TableQBCalcPts[Custom],MATCH(TableQBVORP[[#This Row],[RK]],TableQBCalcPts[RK],0)),"")</f>
        <v>23.338961302415605</v>
      </c>
      <c r="F39" s="122">
        <f>(IFERROR((TableQBVORP[[#This Row],[FPS]]-INDEX(TableQBVORP[FPS],MATCH(QBVORPCalc,TableQBVORP[RK],0)))/INDEX(TableQBVORP[FPS],MATCH(QBVORPCalc,TableQBVORP[RK],0)),""))+(TableRBVORP[[#This Row],[VORP]]*0.45)</f>
        <v>-0.90383868550910584</v>
      </c>
      <c r="H39">
        <v>38</v>
      </c>
      <c r="I39" s="120" t="str">
        <f>IFERROR(INDEX(TableRBCalcPts[PLAYER],MATCH(TableRBVORP[[#This Row],[RK]],TableRBCalcPts[RK],0)),"")</f>
        <v>Jonathan Taylor</v>
      </c>
      <c r="J39" s="120" t="str">
        <f>IFERROR(INDEX(TableRBCalcPts[TM],MATCH(TableRBVORP[[#This Row],[RK]],TableRBCalcPts[RK],0)),"")</f>
        <v>IND</v>
      </c>
      <c r="K39" s="120">
        <f>IFERROR(INDEX(TableRBCalcPts[BYE],MATCH(TableRBVORP[[#This Row],[RK]],TableRBCalcPts[RK],0)),"")</f>
        <v>11</v>
      </c>
      <c r="L39" s="121">
        <f>IFERROR(INDEX(TableRBCalcPts[Custom],MATCH(TableRBVORP[[#This Row],[RK]],TableRBCalcPts[RK],0)),"")</f>
        <v>133.35083061101241</v>
      </c>
      <c r="M39" s="122">
        <f>IFERROR((TableRBVORP[[#This Row],[FPS]]-INDEX(TableRBVORP[FPS],MATCH(RBVORPCalc,TableRBVORP[RK],0)))/INDEX(TableRBVORP[FPS],MATCH(RBVORPCalc,TableRBVORP[RK],0)),"")</f>
        <v>8.8907854490443139E-2</v>
      </c>
      <c r="O39">
        <v>38</v>
      </c>
      <c r="P39" s="120" t="str">
        <f>IFERROR(INDEX(TableWRCalcPts[PLAYER],MATCH(TableWRVORP[[#This Row],[RK]],TableWRCalcPts[RK],0)),"")</f>
        <v>Chris Godwin</v>
      </c>
      <c r="Q39" s="120" t="str">
        <f>IFERROR(INDEX(TableWRCalcPts[TM],MATCH(TableWRVORP[[#This Row],[RK]],TableWRCalcPts[RK],0)),"")</f>
        <v>TB</v>
      </c>
      <c r="R39" s="120">
        <f>IFERROR(INDEX(TableWRCalcPts[BYE],MATCH(TableWRVORP[[#This Row],[RK]],TableWRCalcPts[RK],0)),"")</f>
        <v>5</v>
      </c>
      <c r="S39" s="121">
        <f>IFERROR(INDEX(TableWRCalcPts[Custom],MATCH(TableWRVORP[[#This Row],[RK]],TableWRCalcPts[RK],0)),"")</f>
        <v>161.83878261451261</v>
      </c>
      <c r="T39" s="122">
        <f>IFERROR((TableWRVORP[[#This Row],[FPS]]-INDEX(TableWRVORP[FPS],MATCH(WRVORPCalc,TableWRVORP[RK],0)))/INDEX(TableWRVORP[FPS],MATCH(WRVORPCalc,TableWRVORP[RK],0)),"")</f>
        <v>0.24212284454866712</v>
      </c>
      <c r="V39">
        <v>38</v>
      </c>
      <c r="W39" s="120" t="str">
        <f>IFERROR(INDEX(TableTECalcPts[PLAYER],MATCH(TableTEVORP[[#This Row],[RK]],TableTECalcPts[RK],0)),"")</f>
        <v>Kylen Granson</v>
      </c>
      <c r="X39" s="120" t="str">
        <f>IFERROR(INDEX(TableTECalcPts[TM],MATCH(TableTEVORP[[#This Row],[RK]],TableTECalcPts[RK],0)),"")</f>
        <v>IND</v>
      </c>
      <c r="Y39" s="120">
        <f>IFERROR(INDEX(TableTECalcPts[BYE],MATCH(TableTEVORP[[#This Row],[RK]],TableTECalcPts[RK],0)),"")</f>
        <v>11</v>
      </c>
      <c r="Z39" s="121">
        <f>IFERROR(INDEX(TableTECalcPts[Custom],MATCH(TableTEVORP[[#This Row],[RK]],TableTECalcPts[RK],0)),"")</f>
        <v>57.54787370262359</v>
      </c>
      <c r="AA39" s="122">
        <f>IFERROR((TableTEVORP[[#This Row],[FPS]]-INDEX(TableTEVORP[FPS],MATCH(TEVORPCalc,TableTEVORP[RK],0)))/INDEX(TableTEVORP[FPS],MATCH(TEVORPCalc,TableTEVORP[RK],0)),"")</f>
        <v>-0.51571334623526477</v>
      </c>
      <c r="AF39" t="s">
        <v>9</v>
      </c>
      <c r="AG39">
        <v>38</v>
      </c>
      <c r="AH39" s="86">
        <f>RANK(TableOverallMaster[[#This Row],[VORP]],TableOverallMaster[VORP])+COUNTIF($AM$2:AM39,AM39)-1</f>
        <v>298</v>
      </c>
      <c r="AI39" s="123" t="str">
        <f>IFERROR(INDEX(TableQBVORP[QUARTERBACK],MATCH(TableOverallMaster[[#This Row],[RK]],TableQBVORP[RK],0)),"")</f>
        <v>Brian Hoyer</v>
      </c>
      <c r="AJ39" s="123" t="str">
        <f t="shared" si="0"/>
        <v>QB38</v>
      </c>
      <c r="AK39" s="123">
        <f>IFERROR(INDEX(TableQBVORP[BYE],MATCH(TableOverallMaster[[#This Row],[RK]],TableQBVORP[RK],0)),"")</f>
        <v>13</v>
      </c>
      <c r="AL39" s="124">
        <f>IFERROR(INDEX(TableQBVORP[FPS],MATCH(TableOverallMaster[[#This Row],[RK]],TableQBVORP[RK],0)),"")</f>
        <v>23.338961302415605</v>
      </c>
      <c r="AM39" s="125">
        <f>IFERROR(INDEX(TableQBVORP[VORP],MATCH(TableOverallMaster[[#This Row],[RK]],TableQBVORP[RK],0)),"")</f>
        <v>-0.90383868550910584</v>
      </c>
      <c r="AO39">
        <v>38</v>
      </c>
      <c r="AP39" s="126" t="str">
        <f>IFERROR(INDEX(TableOverallMaster[OVERALL PLAYER],MATCH(TableOverallRank[[#This Row],[RK]],TableOverallMaster[OVR RK],0)),"")</f>
        <v>Travis Etienne</v>
      </c>
      <c r="AQ39" s="127" t="str">
        <f>IFERROR(INDEX(TableOverallMaster[POS RK],MATCH(TableOverallRank[[#This Row],[OVERALL PLAYER]],TableOverallMaster[OVERALL PLAYER],0)),"")</f>
        <v>RB22</v>
      </c>
      <c r="AR39" s="128">
        <f>IFERROR(INDEX(TableOverallMaster[BYE],MATCH(TableOverallRank[[#This Row],[OVERALL PLAYER]],TableOverallMaster[OVERALL PLAYER],0)),"")</f>
        <v>9</v>
      </c>
      <c r="AS39" s="127">
        <f>IFERROR(INDEX(TableOverallMaster[Custom],MATCH(TableOverallRank[[#This Row],[OVERALL PLAYER]],TableOverallMaster[OVERALL PLAYER],0)),"")</f>
        <v>189.55388505593726</v>
      </c>
      <c r="AT39" s="129">
        <f>IFERROR(INDEX(TableOverallMaster[VORP],MATCH(TableOverallRank[[#This Row],[OVERALL PLAYER]],TableOverallMaster[OVERALL PLAYER],0)),"")</f>
        <v>0.54784723380300548</v>
      </c>
      <c r="AV39">
        <v>38</v>
      </c>
      <c r="AW39" s="130" t="str">
        <f>IFERROR(INDEX(TableWRTECalcPts[PLAYER],MATCH(TableWRTERank[[#This Row],[RK]],TableWRTECalcPts[RK],0)),"")</f>
        <v>Brandon Aiyuk</v>
      </c>
      <c r="AX39" s="130" t="str">
        <f>IFERROR(INDEX(TableWRTECalcPts[POS RK],MATCH(TableWRTERank[[#This Row],[WR and TE COMBINED]],TableWRTECalcPts[PLAYER],0)),"")</f>
        <v>WR34</v>
      </c>
      <c r="AY39" s="130">
        <f>IFERROR(INDEX(TableWRTECalcPts[BYE],MATCH(TableWRTERank[[#This Row],[RK]],TableWRTECalcPts[RK],0)),"")</f>
        <v>9</v>
      </c>
      <c r="AZ39" s="131">
        <f>IFERROR(INDEX(TableWRTECalcPts[Custom],MATCH(TableWRTERank[[#This Row],[RK]],TableWRTECalcPts[RK],0)),"")</f>
        <v>165.73280716151041</v>
      </c>
      <c r="BA39" s="188">
        <f>IFERROR((TableWRTERank[[#This Row],[FPS]]-INDEX(TableWRTERank[FPS],MATCH(WRTEVORPCalc,TableWRTERank[RK],0)))/INDEX(TableWRTERank[FPS],MATCH(WRTEVORPCalc,TableWRTERank[RK],0)),"")</f>
        <v>0.1975778181999322</v>
      </c>
      <c r="BC39" t="s">
        <v>257</v>
      </c>
      <c r="BD39">
        <v>38</v>
      </c>
      <c r="BE39" s="86">
        <f>RANK(TableWRTEMaster[[#This Row],[VORP]],TableWRTEMaster[VORP])+COUNTIF($BJ$2:BJ39,BJ39)-1</f>
        <v>43</v>
      </c>
      <c r="BF39" s="123" t="str">
        <f>IFERROR(INDEX(TableWRVORP[WIDE RECEIVER],MATCH(TableWRTEMaster[[#This Row],[RK]],TableWRVORP[RK],0)),"")</f>
        <v>Chris Godwin</v>
      </c>
      <c r="BG39" s="123" t="str">
        <f>_xlfn.CONCAT(TableWRTEMaster[[#This Row],[POS]],TableWRTEMaster[[#This Row],[RK]])</f>
        <v>WR38</v>
      </c>
      <c r="BH39" s="123">
        <f>IFERROR(INDEX(TableWRVORP[BYE],MATCH(TableWRTEMaster[[#This Row],[RK]],TableWRVORP[RK],0)),"")</f>
        <v>5</v>
      </c>
      <c r="BI39" s="124">
        <f>IFERROR(INDEX(TableWRVORP[FPS],MATCH(TableWRTEMaster[[#This Row],[RK]],TableWRVORP[RK],0)),"")</f>
        <v>161.83878261451261</v>
      </c>
      <c r="BJ39" s="125">
        <f>IFERROR(INDEX(TableWRVORP[VORP],MATCH(TableWRTEMaster[[#This Row],[RK]],TableWRVORP[RK],0)),"")</f>
        <v>0.24212284454866712</v>
      </c>
    </row>
    <row r="40" spans="1:62" x14ac:dyDescent="0.2">
      <c r="A40">
        <v>39</v>
      </c>
      <c r="B40" s="120" t="str">
        <f>IFERROR(INDEX(TableQBCalcPts[PLAYER],MATCH(TableQBVORP[[#This Row],[RK]],TableQBCalcPts[RK],0)),"")</f>
        <v>Malik Willis</v>
      </c>
      <c r="C40" s="120" t="str">
        <f>IFERROR(INDEX(TableQBCalcPts[TM],MATCH(TableQBVORP[[#This Row],[RK]],TableQBCalcPts[RK],0)),"")</f>
        <v>TEN</v>
      </c>
      <c r="D40" s="120">
        <f>IFERROR(INDEX(TableQBCalcPts[BYE],MATCH(TableQBVORP[[#This Row],[RK]],TableQBCalcPts[RK],0)),"")</f>
        <v>7</v>
      </c>
      <c r="E40" s="121">
        <f>IFERROR(INDEX(TableQBCalcPts[Custom],MATCH(TableQBVORP[[#This Row],[RK]],TableQBCalcPts[RK],0)),"")</f>
        <v>21.063395821755705</v>
      </c>
      <c r="F40" s="122">
        <f>(IFERROR((TableQBVORP[[#This Row],[FPS]]-INDEX(TableQBVORP[FPS],MATCH(QBVORPCalc,TableQBVORP[RK],0)))/INDEX(TableQBVORP[FPS],MATCH(QBVORPCalc,TableQBVORP[RK],0)),""))+(TableRBVORP[[#This Row],[VORP]]*0.45)</f>
        <v>-0.91523208367249753</v>
      </c>
      <c r="H40">
        <v>39</v>
      </c>
      <c r="I40" s="120" t="str">
        <f>IFERROR(INDEX(TableRBCalcPts[PLAYER],MATCH(TableRBVORP[[#This Row],[RK]],TableRBCalcPts[RK],0)),"")</f>
        <v>Jamaal Williams</v>
      </c>
      <c r="J40" s="120" t="str">
        <f>IFERROR(INDEX(TableRBCalcPts[TM],MATCH(TableRBVORP[[#This Row],[RK]],TableRBCalcPts[RK],0)),"")</f>
        <v>NO</v>
      </c>
      <c r="K40" s="120">
        <f>IFERROR(INDEX(TableRBCalcPts[BYE],MATCH(TableRBVORP[[#This Row],[RK]],TableRBCalcPts[RK],0)),"")</f>
        <v>11</v>
      </c>
      <c r="L40" s="121">
        <f>IFERROR(INDEX(TableRBCalcPts[Custom],MATCH(TableRBVORP[[#This Row],[RK]],TableRBCalcPts[RK],0)),"")</f>
        <v>131.74018152559984</v>
      </c>
      <c r="M40" s="122">
        <f>IFERROR((TableRBVORP[[#This Row],[FPS]]-INDEX(TableRBVORP[FPS],MATCH(RBVORPCalc,TableRBVORP[RK],0)))/INDEX(TableRBVORP[FPS],MATCH(RBVORPCalc,TableRBVORP[RK],0)),"")</f>
        <v>7.5755717140435774E-2</v>
      </c>
      <c r="O40">
        <v>39</v>
      </c>
      <c r="P40" s="120" t="str">
        <f>IFERROR(INDEX(TableWRCalcPts[PLAYER],MATCH(TableWRVORP[[#This Row],[RK]],TableWRCalcPts[RK],0)),"")</f>
        <v>Michael Thomas</v>
      </c>
      <c r="Q40" s="120" t="str">
        <f>IFERROR(INDEX(TableWRCalcPts[TM],MATCH(TableWRVORP[[#This Row],[RK]],TableWRCalcPts[RK],0)),"")</f>
        <v>NO</v>
      </c>
      <c r="R40" s="120">
        <f>IFERROR(INDEX(TableWRCalcPts[BYE],MATCH(TableWRVORP[[#This Row],[RK]],TableWRCalcPts[RK],0)),"")</f>
        <v>11</v>
      </c>
      <c r="S40" s="121">
        <f>IFERROR(INDEX(TableWRCalcPts[Custom],MATCH(TableWRVORP[[#This Row],[RK]],TableWRCalcPts[RK],0)),"")</f>
        <v>161.64076617387752</v>
      </c>
      <c r="T40" s="122">
        <f>IFERROR((TableWRVORP[[#This Row],[FPS]]-INDEX(TableWRVORP[FPS],MATCH(WRVORPCalc,TableWRVORP[RK],0)))/INDEX(TableWRVORP[FPS],MATCH(WRVORPCalc,TableWRVORP[RK],0)),"")</f>
        <v>0.24060305590137535</v>
      </c>
      <c r="V40">
        <v>39</v>
      </c>
      <c r="W40" s="120" t="str">
        <f>IFERROR(INDEX(TableTECalcPts[PLAYER],MATCH(TableTEVORP[[#This Row],[RK]],TableTECalcPts[RK],0)),"")</f>
        <v>Mo Alie-Cox</v>
      </c>
      <c r="X40" s="120" t="str">
        <f>IFERROR(INDEX(TableTECalcPts[TM],MATCH(TableTEVORP[[#This Row],[RK]],TableTECalcPts[RK],0)),"")</f>
        <v>IND</v>
      </c>
      <c r="Y40" s="120">
        <f>IFERROR(INDEX(TableTECalcPts[BYE],MATCH(TableTEVORP[[#This Row],[RK]],TableTECalcPts[RK],0)),"")</f>
        <v>11</v>
      </c>
      <c r="Z40" s="121">
        <f>IFERROR(INDEX(TableTECalcPts[Custom],MATCH(TableTEVORP[[#This Row],[RK]],TableTECalcPts[RK],0)),"")</f>
        <v>54.929491460862458</v>
      </c>
      <c r="AA40" s="122">
        <f>IFERROR((TableTEVORP[[#This Row],[FPS]]-INDEX(TableTEVORP[FPS],MATCH(TEVORPCalc,TableTEVORP[RK],0)))/INDEX(TableTEVORP[FPS],MATCH(TEVORPCalc,TableTEVORP[RK],0)),"")</f>
        <v>-0.53774800177600801</v>
      </c>
      <c r="AF40" t="s">
        <v>9</v>
      </c>
      <c r="AG40">
        <v>39</v>
      </c>
      <c r="AH40" s="86">
        <f>RANK(TableOverallMaster[[#This Row],[VORP]],TableOverallMaster[VORP])+COUNTIF($AM$2:AM40,AM40)-1</f>
        <v>299</v>
      </c>
      <c r="AI40" s="123" t="str">
        <f>IFERROR(INDEX(TableQBVORP[QUARTERBACK],MATCH(TableOverallMaster[[#This Row],[RK]],TableQBVORP[RK],0)),"")</f>
        <v>Malik Willis</v>
      </c>
      <c r="AJ40" s="123" t="str">
        <f t="shared" si="0"/>
        <v>QB39</v>
      </c>
      <c r="AK40" s="123">
        <f>IFERROR(INDEX(TableQBVORP[BYE],MATCH(TableOverallMaster[[#This Row],[RK]],TableQBVORP[RK],0)),"")</f>
        <v>7</v>
      </c>
      <c r="AL40" s="124">
        <f>IFERROR(INDEX(TableQBVORP[FPS],MATCH(TableOverallMaster[[#This Row],[RK]],TableQBVORP[RK],0)),"")</f>
        <v>21.063395821755705</v>
      </c>
      <c r="AM40" s="125">
        <f>IFERROR(INDEX(TableQBVORP[VORP],MATCH(TableOverallMaster[[#This Row],[RK]],TableQBVORP[RK],0)),"")</f>
        <v>-0.91523208367249753</v>
      </c>
      <c r="AO40">
        <v>39</v>
      </c>
      <c r="AP40" s="126" t="str">
        <f>IFERROR(INDEX(TableOverallMaster[OVERALL PLAYER],MATCH(TableOverallRank[[#This Row],[RK]],TableOverallMaster[OVR RK],0)),"")</f>
        <v>Javonte Williams</v>
      </c>
      <c r="AQ40" s="127" t="str">
        <f>IFERROR(INDEX(TableOverallMaster[POS RK],MATCH(TableOverallRank[[#This Row],[OVERALL PLAYER]],TableOverallMaster[OVERALL PLAYER],0)),"")</f>
        <v>RB23</v>
      </c>
      <c r="AR40" s="128">
        <f>IFERROR(INDEX(TableOverallMaster[BYE],MATCH(TableOverallRank[[#This Row],[OVERALL PLAYER]],TableOverallMaster[OVERALL PLAYER],0)),"")</f>
        <v>9</v>
      </c>
      <c r="AS40" s="127">
        <f>IFERROR(INDEX(TableOverallMaster[Custom],MATCH(TableOverallRank[[#This Row],[OVERALL PLAYER]],TableOverallMaster[OVERALL PLAYER],0)),"")</f>
        <v>188.88375102331094</v>
      </c>
      <c r="AT40" s="129">
        <f>IFERROR(INDEX(TableOverallMaster[VORP],MATCH(TableOverallRank[[#This Row],[OVERALL PLAYER]],TableOverallMaster[OVERALL PLAYER],0)),"")</f>
        <v>0.54237509532179307</v>
      </c>
      <c r="AV40">
        <v>39</v>
      </c>
      <c r="AW40" s="130" t="str">
        <f>IFERROR(INDEX(TableWRTECalcPts[PLAYER],MATCH(TableWRTERank[[#This Row],[RK]],TableWRTECalcPts[RK],0)),"")</f>
        <v>Drake London</v>
      </c>
      <c r="AX40" s="130" t="str">
        <f>IFERROR(INDEX(TableWRTECalcPts[POS RK],MATCH(TableWRTERank[[#This Row],[WR and TE COMBINED]],TableWRTECalcPts[PLAYER],0)),"")</f>
        <v>WR35</v>
      </c>
      <c r="AY40" s="130">
        <f>IFERROR(INDEX(TableWRTECalcPts[BYE],MATCH(TableWRTERank[[#This Row],[RK]],TableWRTECalcPts[RK],0)),"")</f>
        <v>11</v>
      </c>
      <c r="AZ40" s="131">
        <f>IFERROR(INDEX(TableWRTECalcPts[Custom],MATCH(TableWRTERank[[#This Row],[RK]],TableWRTECalcPts[RK],0)),"")</f>
        <v>164.56961695199593</v>
      </c>
      <c r="BA40" s="188">
        <f>IFERROR((TableWRTERank[[#This Row],[FPS]]-INDEX(TableWRTERank[FPS],MATCH(WRTEVORPCalc,TableWRTERank[RK],0)))/INDEX(TableWRTERank[FPS],MATCH(WRTEVORPCalc,TableWRTERank[RK],0)),"")</f>
        <v>0.18917265800793501</v>
      </c>
      <c r="BC40" t="s">
        <v>257</v>
      </c>
      <c r="BD40">
        <v>39</v>
      </c>
      <c r="BE40" s="86">
        <f>RANK(TableWRTEMaster[[#This Row],[VORP]],TableWRTEMaster[VORP])+COUNTIF($BJ$2:BJ40,BJ40)-1</f>
        <v>44</v>
      </c>
      <c r="BF40" s="123" t="str">
        <f>IFERROR(INDEX(TableWRVORP[WIDE RECEIVER],MATCH(TableWRTEMaster[[#This Row],[RK]],TableWRVORP[RK],0)),"")</f>
        <v>Michael Thomas</v>
      </c>
      <c r="BG40" s="123" t="str">
        <f>_xlfn.CONCAT(TableWRTEMaster[[#This Row],[POS]],TableWRTEMaster[[#This Row],[RK]])</f>
        <v>WR39</v>
      </c>
      <c r="BH40" s="123">
        <f>IFERROR(INDEX(TableWRVORP[BYE],MATCH(TableWRTEMaster[[#This Row],[RK]],TableWRVORP[RK],0)),"")</f>
        <v>11</v>
      </c>
      <c r="BI40" s="124">
        <f>IFERROR(INDEX(TableWRVORP[FPS],MATCH(TableWRTEMaster[[#This Row],[RK]],TableWRVORP[RK],0)),"")</f>
        <v>161.64076617387752</v>
      </c>
      <c r="BJ40" s="125">
        <f>IFERROR(INDEX(TableWRVORP[VORP],MATCH(TableWRTEMaster[[#This Row],[RK]],TableWRVORP[RK],0)),"")</f>
        <v>0.24060305590137535</v>
      </c>
    </row>
    <row r="41" spans="1:62" x14ac:dyDescent="0.2">
      <c r="A41">
        <v>40</v>
      </c>
      <c r="B41" s="120" t="str">
        <f>IFERROR(INDEX(TableQBCalcPts[PLAYER],MATCH(TableQBVORP[[#This Row],[RK]],TableQBCalcPts[RK],0)),"")</f>
        <v>Jacoby Brissett</v>
      </c>
      <c r="C41" s="120" t="str">
        <f>IFERROR(INDEX(TableQBCalcPts[TM],MATCH(TableQBVORP[[#This Row],[RK]],TableQBCalcPts[RK],0)),"")</f>
        <v>WSH</v>
      </c>
      <c r="D41" s="120">
        <f>IFERROR(INDEX(TableQBCalcPts[BYE],MATCH(TableQBVORP[[#This Row],[RK]],TableQBCalcPts[RK],0)),"")</f>
        <v>14</v>
      </c>
      <c r="E41" s="121">
        <f>IFERROR(INDEX(TableQBCalcPts[Custom],MATCH(TableQBVORP[[#This Row],[RK]],TableQBCalcPts[RK],0)),"")</f>
        <v>14.244298191012943</v>
      </c>
      <c r="F41" s="122">
        <f>(IFERROR((TableQBVORP[[#This Row],[FPS]]-INDEX(TableQBVORP[FPS],MATCH(QBVORPCalc,TableQBVORP[RK],0)))/INDEX(TableQBVORP[FPS],MATCH(QBVORPCalc,TableQBVORP[RK],0)),""))+(TableRBVORP[[#This Row],[VORP]]*0.45)</f>
        <v>-0.94090010513191313</v>
      </c>
      <c r="H41">
        <v>40</v>
      </c>
      <c r="I41" s="120" t="str">
        <f>IFERROR(INDEX(TableRBCalcPts[PLAYER],MATCH(TableRBVORP[[#This Row],[RK]],TableRBCalcPts[RK],0)),"")</f>
        <v>Ezekiel Elliott</v>
      </c>
      <c r="J41" s="120" t="str">
        <f>IFERROR(INDEX(TableRBCalcPts[TM],MATCH(TableRBVORP[[#This Row],[RK]],TableRBCalcPts[RK],0)),"")</f>
        <v>NE</v>
      </c>
      <c r="K41" s="120">
        <f>IFERROR(INDEX(TableRBCalcPts[BYE],MATCH(TableRBVORP[[#This Row],[RK]],TableRBCalcPts[RK],0)),"")</f>
        <v>11</v>
      </c>
      <c r="L41" s="121">
        <f>IFERROR(INDEX(TableRBCalcPts[Custom],MATCH(TableRBVORP[[#This Row],[RK]],TableRBCalcPts[RK],0)),"")</f>
        <v>129.219760046272</v>
      </c>
      <c r="M41" s="122">
        <f>IFERROR((TableRBVORP[[#This Row],[FPS]]-INDEX(TableRBVORP[FPS],MATCH(RBVORPCalc,TableRBVORP[RK],0)))/INDEX(TableRBVORP[FPS],MATCH(RBVORPCalc,TableRBVORP[RK],0)),"")</f>
        <v>5.5174617398565426E-2</v>
      </c>
      <c r="O41">
        <v>40</v>
      </c>
      <c r="P41" s="120" t="str">
        <f>IFERROR(INDEX(TableWRCalcPts[PLAYER],MATCH(TableWRVORP[[#This Row],[RK]],TableWRCalcPts[RK],0)),"")</f>
        <v>Courtland Sutton</v>
      </c>
      <c r="Q41" s="120" t="str">
        <f>IFERROR(INDEX(TableWRCalcPts[TM],MATCH(TableWRVORP[[#This Row],[RK]],TableWRCalcPts[RK],0)),"")</f>
        <v>DEN</v>
      </c>
      <c r="R41" s="120">
        <f>IFERROR(INDEX(TableWRCalcPts[BYE],MATCH(TableWRVORP[[#This Row],[RK]],TableWRCalcPts[RK],0)),"")</f>
        <v>9</v>
      </c>
      <c r="S41" s="121">
        <f>IFERROR(INDEX(TableWRCalcPts[Custom],MATCH(TableWRVORP[[#This Row],[RK]],TableWRCalcPts[RK],0)),"")</f>
        <v>153.42312532599362</v>
      </c>
      <c r="T41" s="122">
        <f>IFERROR((TableWRVORP[[#This Row],[FPS]]-INDEX(TableWRVORP[FPS],MATCH(WRVORPCalc,TableWRVORP[RK],0)))/INDEX(TableWRVORP[FPS],MATCH(WRVORPCalc,TableWRVORP[RK],0)),"")</f>
        <v>0.17753214508164983</v>
      </c>
      <c r="V41">
        <v>40</v>
      </c>
      <c r="W41" s="120" t="str">
        <f>IFERROR(INDEX(TableTECalcPts[PLAYER],MATCH(TableTEVORP[[#This Row],[RK]],TableTECalcPts[RK],0)),"")</f>
        <v>Durham Smythe</v>
      </c>
      <c r="X41" s="120" t="str">
        <f>IFERROR(INDEX(TableTECalcPts[TM],MATCH(TableTEVORP[[#This Row],[RK]],TableTECalcPts[RK],0)),"")</f>
        <v>MIA</v>
      </c>
      <c r="Y41" s="120">
        <f>IFERROR(INDEX(TableTECalcPts[BYE],MATCH(TableTEVORP[[#This Row],[RK]],TableTECalcPts[RK],0)),"")</f>
        <v>10</v>
      </c>
      <c r="Z41" s="121">
        <f>IFERROR(INDEX(TableTECalcPts[Custom],MATCH(TableTEVORP[[#This Row],[RK]],TableTECalcPts[RK],0)),"")</f>
        <v>54.683501545855158</v>
      </c>
      <c r="AA41" s="122">
        <f>IFERROR((TableTEVORP[[#This Row],[FPS]]-INDEX(TableTEVORP[FPS],MATCH(TEVORPCalc,TableTEVORP[RK],0)))/INDEX(TableTEVORP[FPS],MATCH(TEVORPCalc,TableTEVORP[RK],0)),"")</f>
        <v>-0.53981809794349378</v>
      </c>
      <c r="AF41" t="s">
        <v>9</v>
      </c>
      <c r="AG41">
        <v>40</v>
      </c>
      <c r="AH41" s="86">
        <f>RANK(TableOverallMaster[[#This Row],[VORP]],TableOverallMaster[VORP])+COUNTIF($AM$2:AM41,AM41)-1</f>
        <v>300</v>
      </c>
      <c r="AI41" s="123" t="str">
        <f>IFERROR(INDEX(TableQBVORP[QUARTERBACK],MATCH(TableOverallMaster[[#This Row],[RK]],TableQBVORP[RK],0)),"")</f>
        <v>Jacoby Brissett</v>
      </c>
      <c r="AJ41" s="123" t="str">
        <f t="shared" si="0"/>
        <v>QB40</v>
      </c>
      <c r="AK41" s="123">
        <f>IFERROR(INDEX(TableQBVORP[BYE],MATCH(TableOverallMaster[[#This Row],[RK]],TableQBVORP[RK],0)),"")</f>
        <v>14</v>
      </c>
      <c r="AL41" s="124">
        <f>IFERROR(INDEX(TableQBVORP[FPS],MATCH(TableOverallMaster[[#This Row],[RK]],TableQBVORP[RK],0)),"")</f>
        <v>14.244298191012943</v>
      </c>
      <c r="AM41" s="125">
        <f>IFERROR(INDEX(TableQBVORP[VORP],MATCH(TableOverallMaster[[#This Row],[RK]],TableQBVORP[RK],0)),"")</f>
        <v>-0.94090010513191313</v>
      </c>
      <c r="AO41">
        <v>40</v>
      </c>
      <c r="AP41" s="126" t="str">
        <f>IFERROR(INDEX(TableOverallMaster[OVERALL PLAYER],MATCH(TableOverallRank[[#This Row],[RK]],TableOverallMaster[OVR RK],0)),"")</f>
        <v>Mark Andrews</v>
      </c>
      <c r="AQ41" s="127" t="str">
        <f>IFERROR(INDEX(TableOverallMaster[POS RK],MATCH(TableOverallRank[[#This Row],[OVERALL PLAYER]],TableOverallMaster[OVERALL PLAYER],0)),"")</f>
        <v>TE2</v>
      </c>
      <c r="AR41" s="128">
        <f>IFERROR(INDEX(TableOverallMaster[BYE],MATCH(TableOverallRank[[#This Row],[OVERALL PLAYER]],TableOverallMaster[OVERALL PLAYER],0)),"")</f>
        <v>13</v>
      </c>
      <c r="AS41" s="127">
        <f>IFERROR(INDEX(TableOverallMaster[Custom],MATCH(TableOverallRank[[#This Row],[OVERALL PLAYER]],TableOverallMaster[OVERALL PLAYER],0)),"")</f>
        <v>182.44202704799619</v>
      </c>
      <c r="AT41" s="129">
        <f>IFERROR(INDEX(TableOverallMaster[VORP],MATCH(TableOverallRank[[#This Row],[OVERALL PLAYER]],TableOverallMaster[OVERALL PLAYER],0)),"")</f>
        <v>0.5353171733450397</v>
      </c>
      <c r="AV41">
        <v>40</v>
      </c>
      <c r="AW41" s="130" t="str">
        <f>IFERROR(INDEX(TableWRTECalcPts[PLAYER],MATCH(TableWRTERank[[#This Row],[RK]],TableWRTECalcPts[RK],0)),"")</f>
        <v>Allen Lazard</v>
      </c>
      <c r="AX41" s="130" t="str">
        <f>IFERROR(INDEX(TableWRTECalcPts[POS RK],MATCH(TableWRTERank[[#This Row],[WR and TE COMBINED]],TableWRTECalcPts[PLAYER],0)),"")</f>
        <v>WR36</v>
      </c>
      <c r="AY41" s="130">
        <f>IFERROR(INDEX(TableWRTECalcPts[BYE],MATCH(TableWRTERank[[#This Row],[RK]],TableWRTECalcPts[RK],0)),"")</f>
        <v>7</v>
      </c>
      <c r="AZ41" s="131">
        <f>IFERROR(INDEX(TableWRTECalcPts[Custom],MATCH(TableWRTERank[[#This Row],[RK]],TableWRTECalcPts[RK],0)),"")</f>
        <v>162.96652371193738</v>
      </c>
      <c r="BA41" s="188">
        <f>IFERROR((TableWRTERank[[#This Row],[FPS]]-INDEX(TableWRTERank[FPS],MATCH(WRTEVORPCalc,TableWRTERank[RK],0)))/INDEX(TableWRTERank[FPS],MATCH(WRTEVORPCalc,TableWRTERank[RK],0)),"")</f>
        <v>0.1775887782820009</v>
      </c>
      <c r="BC41" t="s">
        <v>257</v>
      </c>
      <c r="BD41">
        <v>40</v>
      </c>
      <c r="BE41" s="86">
        <f>RANK(TableWRTEMaster[[#This Row],[VORP]],TableWRTEMaster[VORP])+COUNTIF($BJ$2:BJ41,BJ41)-1</f>
        <v>46</v>
      </c>
      <c r="BF41" s="123" t="str">
        <f>IFERROR(INDEX(TableWRVORP[WIDE RECEIVER],MATCH(TableWRTEMaster[[#This Row],[RK]],TableWRVORP[RK],0)),"")</f>
        <v>Courtland Sutton</v>
      </c>
      <c r="BG41" s="123" t="str">
        <f>_xlfn.CONCAT(TableWRTEMaster[[#This Row],[POS]],TableWRTEMaster[[#This Row],[RK]])</f>
        <v>WR40</v>
      </c>
      <c r="BH41" s="123">
        <f>IFERROR(INDEX(TableWRVORP[BYE],MATCH(TableWRTEMaster[[#This Row],[RK]],TableWRVORP[RK],0)),"")</f>
        <v>9</v>
      </c>
      <c r="BI41" s="124">
        <f>IFERROR(INDEX(TableWRVORP[FPS],MATCH(TableWRTEMaster[[#This Row],[RK]],TableWRVORP[RK],0)),"")</f>
        <v>153.42312532599362</v>
      </c>
      <c r="BJ41" s="125">
        <f>IFERROR(INDEX(TableWRVORP[VORP],MATCH(TableWRTEMaster[[#This Row],[RK]],TableWRVORP[RK],0)),"")</f>
        <v>0.17753214508164983</v>
      </c>
    </row>
    <row r="42" spans="1:62" x14ac:dyDescent="0.2">
      <c r="A42">
        <v>41</v>
      </c>
      <c r="B42" s="120" t="str">
        <f>IFERROR(INDEX(TableQBCalcPts[PLAYER],MATCH(TableQBVORP[[#This Row],[RK]],TableQBCalcPts[RK],0)),"")</f>
        <v>Andy Dalton</v>
      </c>
      <c r="C42" s="120" t="str">
        <f>IFERROR(INDEX(TableQBCalcPts[TM],MATCH(TableQBVORP[[#This Row],[RK]],TableQBCalcPts[RK],0)),"")</f>
        <v>CAR</v>
      </c>
      <c r="D42" s="120">
        <f>IFERROR(INDEX(TableQBCalcPts[BYE],MATCH(TableQBVORP[[#This Row],[RK]],TableQBCalcPts[RK],0)),"")</f>
        <v>7</v>
      </c>
      <c r="E42" s="121">
        <f>IFERROR(INDEX(TableQBCalcPts[Custom],MATCH(TableQBVORP[[#This Row],[RK]],TableQBCalcPts[RK],0)),"")</f>
        <v>13.859334107446738</v>
      </c>
      <c r="F42" s="122">
        <f>(IFERROR((TableQBVORP[[#This Row],[FPS]]-INDEX(TableQBVORP[FPS],MATCH(QBVORPCalc,TableQBVORP[RK],0)))/INDEX(TableQBVORP[FPS],MATCH(QBVORPCalc,TableQBVORP[RK],0)),""))+(TableRBVORP[[#This Row],[VORP]]*0.45)</f>
        <v>-0.9465344352074061</v>
      </c>
      <c r="H42">
        <v>41</v>
      </c>
      <c r="I42" s="120" t="str">
        <f>IFERROR(INDEX(TableRBCalcPts[PLAYER],MATCH(TableRBVORP[[#This Row],[RK]],TableRBCalcPts[RK],0)),"")</f>
        <v>Jerick McKinnon</v>
      </c>
      <c r="J42" s="120" t="str">
        <f>IFERROR(INDEX(TableRBCalcPts[TM],MATCH(TableRBVORP[[#This Row],[RK]],TableRBCalcPts[RK],0)),"")</f>
        <v>KC</v>
      </c>
      <c r="K42" s="120">
        <f>IFERROR(INDEX(TableRBCalcPts[BYE],MATCH(TableRBVORP[[#This Row],[RK]],TableRBCalcPts[RK],0)),"")</f>
        <v>10</v>
      </c>
      <c r="L42" s="121">
        <f>IFERROR(INDEX(TableRBCalcPts[Custom],MATCH(TableRBVORP[[#This Row],[RK]],TableRBCalcPts[RK],0)),"")</f>
        <v>127.93849341402913</v>
      </c>
      <c r="M42" s="122">
        <f>IFERROR((TableRBVORP[[#This Row],[FPS]]-INDEX(TableRBVORP[FPS],MATCH(RBVORPCalc,TableRBVORP[RK],0)))/INDEX(TableRBVORP[FPS],MATCH(RBVORPCalc,TableRBVORP[RK],0)),"")</f>
        <v>4.4712130639742283E-2</v>
      </c>
      <c r="O42">
        <v>41</v>
      </c>
      <c r="P42" s="120" t="str">
        <f>IFERROR(INDEX(TableWRCalcPts[PLAYER],MATCH(TableWRVORP[[#This Row],[RK]],TableWRCalcPts[RK],0)),"")</f>
        <v>Jaxon Smith-Njigba</v>
      </c>
      <c r="Q42" s="120" t="str">
        <f>IFERROR(INDEX(TableWRCalcPts[TM],MATCH(TableWRVORP[[#This Row],[RK]],TableWRCalcPts[RK],0)),"")</f>
        <v>SEA</v>
      </c>
      <c r="R42" s="120">
        <f>IFERROR(INDEX(TableWRCalcPts[BYE],MATCH(TableWRVORP[[#This Row],[RK]],TableWRCalcPts[RK],0)),"")</f>
        <v>5</v>
      </c>
      <c r="S42" s="121">
        <f>IFERROR(INDEX(TableWRCalcPts[Custom],MATCH(TableWRVORP[[#This Row],[RK]],TableWRCalcPts[RK],0)),"")</f>
        <v>153.39600212962807</v>
      </c>
      <c r="T42" s="122">
        <f>IFERROR((TableWRVORP[[#This Row],[FPS]]-INDEX(TableWRVORP[FPS],MATCH(WRVORPCalc,TableWRVORP[RK],0)))/INDEX(TableWRVORP[FPS],MATCH(WRVORPCalc,TableWRVORP[RK],0)),"")</f>
        <v>0.1773239728421003</v>
      </c>
      <c r="V42">
        <v>41</v>
      </c>
      <c r="W42" s="120" t="str">
        <f>IFERROR(INDEX(TableTECalcPts[PLAYER],MATCH(TableTEVORP[[#This Row],[RK]],TableTECalcPts[RK],0)),"")</f>
        <v>Isaiah Likely</v>
      </c>
      <c r="X42" s="120" t="str">
        <f>IFERROR(INDEX(TableTECalcPts[TM],MATCH(TableTEVORP[[#This Row],[RK]],TableTECalcPts[RK],0)),"")</f>
        <v>BAL</v>
      </c>
      <c r="Y42" s="120">
        <f>IFERROR(INDEX(TableTECalcPts[BYE],MATCH(TableTEVORP[[#This Row],[RK]],TableTECalcPts[RK],0)),"")</f>
        <v>13</v>
      </c>
      <c r="Z42" s="121">
        <f>IFERROR(INDEX(TableTECalcPts[Custom],MATCH(TableTEVORP[[#This Row],[RK]],TableTECalcPts[RK],0)),"")</f>
        <v>53.123189134197595</v>
      </c>
      <c r="AA42" s="122">
        <f>IFERROR((TableTEVORP[[#This Row],[FPS]]-INDEX(TableTEVORP[FPS],MATCH(TEVORPCalc,TableTEVORP[RK],0)))/INDEX(TableTEVORP[FPS],MATCH(TEVORPCalc,TableTEVORP[RK],0)),"")</f>
        <v>-0.55294870430740484</v>
      </c>
      <c r="AF42" t="s">
        <v>256</v>
      </c>
      <c r="AG42">
        <v>1</v>
      </c>
      <c r="AH42" s="86">
        <f>RANK(TableOverallMaster[[#This Row],[VORP]],TableOverallMaster[VORP])+COUNTIF($AM$2:AM42,AM42)-1</f>
        <v>1</v>
      </c>
      <c r="AI42" s="123" t="str">
        <f>IFERROR(INDEX(TableRBVORP[RUNNING BACK],MATCH(TableOverallMaster[[#This Row],[RK]],TableRBVORP[RK],0)),"")</f>
        <v>Christian McCaffrey</v>
      </c>
      <c r="AJ42" s="123" t="str">
        <f t="shared" si="0"/>
        <v>RB1</v>
      </c>
      <c r="AK42" s="123">
        <f>IFERROR(INDEX(TableRBVORP[BYE],MATCH(TableOverallMaster[[#This Row],[RK]],TableRBVORP[RK],0)),"")</f>
        <v>9</v>
      </c>
      <c r="AL42" s="124">
        <f>IFERROR(INDEX(TableRBVORP[FPS],MATCH(TableOverallMaster[[#This Row],[RK]],TableRBVORP[RK],0)),"")</f>
        <v>300.48334873167357</v>
      </c>
      <c r="AM42" s="125">
        <f>IFERROR(INDEX(TableRBVORP[VORP],MATCH(TableOverallMaster[[#This Row],[RK]],TableRBVORP[RK],0)),"")</f>
        <v>1.4536680954913339</v>
      </c>
      <c r="AO42">
        <v>41</v>
      </c>
      <c r="AP42" s="126" t="str">
        <f>IFERROR(INDEX(TableOverallMaster[OVERALL PLAYER],MATCH(TableOverallRank[[#This Row],[RK]],TableOverallMaster[OVR RK],0)),"")</f>
        <v>Darren Waller</v>
      </c>
      <c r="AQ42" s="127" t="str">
        <f>IFERROR(INDEX(TableOverallMaster[POS RK],MATCH(TableOverallRank[[#This Row],[OVERALL PLAYER]],TableOverallMaster[OVERALL PLAYER],0)),"")</f>
        <v>TE3</v>
      </c>
      <c r="AR42" s="128">
        <f>IFERROR(INDEX(TableOverallMaster[BYE],MATCH(TableOverallRank[[#This Row],[OVERALL PLAYER]],TableOverallMaster[OVERALL PLAYER],0)),"")</f>
        <v>13</v>
      </c>
      <c r="AS42" s="127">
        <f>IFERROR(INDEX(TableOverallMaster[Custom],MATCH(TableOverallRank[[#This Row],[OVERALL PLAYER]],TableOverallMaster[OVERALL PLAYER],0)),"")</f>
        <v>181.80931561622648</v>
      </c>
      <c r="AT42" s="129">
        <f>IFERROR(INDEX(TableOverallMaster[VORP],MATCH(TableOverallRank[[#This Row],[OVERALL PLAYER]],TableOverallMaster[OVERALL PLAYER],0)),"")</f>
        <v>0.52999267250120607</v>
      </c>
      <c r="AV42">
        <v>41</v>
      </c>
      <c r="AW42" s="130" t="str">
        <f>IFERROR(INDEX(TableWRTECalcPts[PLAYER],MATCH(TableWRTERank[[#This Row],[RK]],TableWRTECalcPts[RK],0)),"")</f>
        <v>Mike Evans</v>
      </c>
      <c r="AX42" s="130" t="str">
        <f>IFERROR(INDEX(TableWRTECalcPts[POS RK],MATCH(TableWRTERank[[#This Row],[WR and TE COMBINED]],TableWRTECalcPts[PLAYER],0)),"")</f>
        <v>WR37</v>
      </c>
      <c r="AY42" s="130">
        <f>IFERROR(INDEX(TableWRTECalcPts[BYE],MATCH(TableWRTERank[[#This Row],[RK]],TableWRTECalcPts[RK],0)),"")</f>
        <v>5</v>
      </c>
      <c r="AZ42" s="131">
        <f>IFERROR(INDEX(TableWRTECalcPts[Custom],MATCH(TableWRTERank[[#This Row],[RK]],TableWRTECalcPts[RK],0)),"")</f>
        <v>162.31074654216576</v>
      </c>
      <c r="BA42" s="188">
        <f>IFERROR((TableWRTERank[[#This Row],[FPS]]-INDEX(TableWRTERank[FPS],MATCH(WRTEVORPCalc,TableWRTERank[RK],0)))/INDEX(TableWRTERank[FPS],MATCH(WRTEVORPCalc,TableWRTERank[RK],0)),"")</f>
        <v>0.17285016191719696</v>
      </c>
      <c r="BC42" t="s">
        <v>257</v>
      </c>
      <c r="BD42">
        <v>41</v>
      </c>
      <c r="BE42" s="86">
        <f>RANK(TableWRTEMaster[[#This Row],[VORP]],TableWRTEMaster[VORP])+COUNTIF($BJ$2:BJ42,BJ42)-1</f>
        <v>47</v>
      </c>
      <c r="BF42" s="123" t="str">
        <f>IFERROR(INDEX(TableWRVORP[WIDE RECEIVER],MATCH(TableWRTEMaster[[#This Row],[RK]],TableWRVORP[RK],0)),"")</f>
        <v>Jaxon Smith-Njigba</v>
      </c>
      <c r="BG42" s="123" t="str">
        <f>_xlfn.CONCAT(TableWRTEMaster[[#This Row],[POS]],TableWRTEMaster[[#This Row],[RK]])</f>
        <v>WR41</v>
      </c>
      <c r="BH42" s="123">
        <f>IFERROR(INDEX(TableWRVORP[BYE],MATCH(TableWRTEMaster[[#This Row],[RK]],TableWRVORP[RK],0)),"")</f>
        <v>5</v>
      </c>
      <c r="BI42" s="124">
        <f>IFERROR(INDEX(TableWRVORP[FPS],MATCH(TableWRTEMaster[[#This Row],[RK]],TableWRVORP[RK],0)),"")</f>
        <v>153.39600212962807</v>
      </c>
      <c r="BJ42" s="125">
        <f>IFERROR(INDEX(TableWRVORP[VORP],MATCH(TableWRTEMaster[[#This Row],[RK]],TableWRVORP[RK],0)),"")</f>
        <v>0.1773239728421003</v>
      </c>
    </row>
    <row r="43" spans="1:62" x14ac:dyDescent="0.2">
      <c r="A43">
        <v>42</v>
      </c>
      <c r="B43" s="120" t="str">
        <f>IFERROR(INDEX(TableQBCalcPts[PLAYER],MATCH(TableQBVORP[[#This Row],[RK]],TableQBCalcPts[RK],0)),"")</f>
        <v>Gardner Minshew</v>
      </c>
      <c r="C43" s="120" t="str">
        <f>IFERROR(INDEX(TableQBCalcPts[TM],MATCH(TableQBVORP[[#This Row],[RK]],TableQBCalcPts[RK],0)),"")</f>
        <v>IND</v>
      </c>
      <c r="D43" s="120">
        <f>IFERROR(INDEX(TableQBCalcPts[BYE],MATCH(TableQBVORP[[#This Row],[RK]],TableQBCalcPts[RK],0)),"")</f>
        <v>11</v>
      </c>
      <c r="E43" s="121">
        <f>IFERROR(INDEX(TableQBCalcPts[Custom],MATCH(TableQBVORP[[#This Row],[RK]],TableQBCalcPts[RK],0)),"")</f>
        <v>13.361714622133919</v>
      </c>
      <c r="F43" s="122">
        <f>(IFERROR((TableQBVORP[[#This Row],[FPS]]-INDEX(TableQBVORP[FPS],MATCH(QBVORPCalc,TableQBVORP[RK],0)))/INDEX(TableQBVORP[FPS],MATCH(QBVORPCalc,TableQBVORP[RK],0)),""))+(TableRBVORP[[#This Row],[VORP]]*0.45)</f>
        <v>-0.95670295564023977</v>
      </c>
      <c r="H43">
        <v>42</v>
      </c>
      <c r="I43" s="120" t="str">
        <f>IFERROR(INDEX(TableRBCalcPts[PLAYER],MATCH(TableRBVORP[[#This Row],[RK]],TableRBCalcPts[RK],0)),"")</f>
        <v>Jaylen Warren</v>
      </c>
      <c r="J43" s="120" t="str">
        <f>IFERROR(INDEX(TableRBCalcPts[TM],MATCH(TableRBVORP[[#This Row],[RK]],TableRBCalcPts[RK],0)),"")</f>
        <v>PIT</v>
      </c>
      <c r="K43" s="120">
        <f>IFERROR(INDEX(TableRBCalcPts[BYE],MATCH(TableRBVORP[[#This Row],[RK]],TableRBCalcPts[RK],0)),"")</f>
        <v>6</v>
      </c>
      <c r="L43" s="121">
        <f>IFERROR(INDEX(TableRBCalcPts[Custom],MATCH(TableRBVORP[[#This Row],[RK]],TableRBCalcPts[RK],0)),"")</f>
        <v>125.49705526529478</v>
      </c>
      <c r="M43" s="122">
        <f>IFERROR((TableRBVORP[[#This Row],[FPS]]-INDEX(TableRBVORP[FPS],MATCH(RBVORPCalc,TableRBVORP[RK],0)))/INDEX(TableRBVORP[FPS],MATCH(RBVORPCalc,TableRBVORP[RK],0)),"")</f>
        <v>2.4775988028344898E-2</v>
      </c>
      <c r="O43">
        <v>42</v>
      </c>
      <c r="P43" s="120" t="str">
        <f>IFERROR(INDEX(TableWRCalcPts[PLAYER],MATCH(TableWRVORP[[#This Row],[RK]],TableWRCalcPts[RK],0)),"")</f>
        <v>Brandin Cooks</v>
      </c>
      <c r="Q43" s="120" t="str">
        <f>IFERROR(INDEX(TableWRCalcPts[TM],MATCH(TableWRVORP[[#This Row],[RK]],TableWRCalcPts[RK],0)),"")</f>
        <v>DAL</v>
      </c>
      <c r="R43" s="120">
        <f>IFERROR(INDEX(TableWRCalcPts[BYE],MATCH(TableWRVORP[[#This Row],[RK]],TableWRCalcPts[RK],0)),"")</f>
        <v>7</v>
      </c>
      <c r="S43" s="121">
        <f>IFERROR(INDEX(TableWRCalcPts[Custom],MATCH(TableWRVORP[[#This Row],[RK]],TableWRCalcPts[RK],0)),"")</f>
        <v>151.57421394837161</v>
      </c>
      <c r="T43" s="122">
        <f>IFERROR((TableWRVORP[[#This Row],[FPS]]-INDEX(TableWRVORP[FPS],MATCH(WRVORPCalc,TableWRVORP[RK],0)))/INDEX(TableWRVORP[FPS],MATCH(WRVORPCalc,TableWRVORP[RK],0)),"")</f>
        <v>0.16334163386679154</v>
      </c>
      <c r="V43">
        <v>42</v>
      </c>
      <c r="W43" s="120" t="str">
        <f>IFERROR(INDEX(TableTECalcPts[PLAYER],MATCH(TableTEVORP[[#This Row],[RK]],TableTECalcPts[RK],0)),"")</f>
        <v>Jonnu Smith</v>
      </c>
      <c r="X43" s="120" t="str">
        <f>IFERROR(INDEX(TableTECalcPts[TM],MATCH(TableTEVORP[[#This Row],[RK]],TableTECalcPts[RK],0)),"")</f>
        <v>ATL</v>
      </c>
      <c r="Y43" s="120">
        <f>IFERROR(INDEX(TableTECalcPts[BYE],MATCH(TableTEVORP[[#This Row],[RK]],TableTECalcPts[RK],0)),"")</f>
        <v>11</v>
      </c>
      <c r="Z43" s="121">
        <f>IFERROR(INDEX(TableTECalcPts[Custom],MATCH(TableTEVORP[[#This Row],[RK]],TableTECalcPts[RK],0)),"")</f>
        <v>43.372279950248007</v>
      </c>
      <c r="AA43" s="122">
        <f>IFERROR((TableTEVORP[[#This Row],[FPS]]-INDEX(TableTEVORP[FPS],MATCH(TEVORPCalc,TableTEVORP[RK],0)))/INDEX(TableTEVORP[FPS],MATCH(TEVORPCalc,TableTEVORP[RK],0)),"")</f>
        <v>-0.63500621357804699</v>
      </c>
      <c r="AF43" t="s">
        <v>256</v>
      </c>
      <c r="AG43">
        <v>2</v>
      </c>
      <c r="AH43" s="86">
        <f>RANK(TableOverallMaster[[#This Row],[VORP]],TableOverallMaster[VORP])+COUNTIF($AM$2:AM43,AM43)-1</f>
        <v>2</v>
      </c>
      <c r="AI43" s="123" t="str">
        <f>IFERROR(INDEX(TableRBVORP[RUNNING BACK],MATCH(TableOverallMaster[[#This Row],[RK]],TableRBVORP[RK],0)),"")</f>
        <v>Austin Ekeler</v>
      </c>
      <c r="AJ43" s="123" t="str">
        <f t="shared" si="0"/>
        <v>RB2</v>
      </c>
      <c r="AK43" s="123">
        <f>IFERROR(INDEX(TableRBVORP[BYE],MATCH(TableOverallMaster[[#This Row],[RK]],TableRBVORP[RK],0)),"")</f>
        <v>5</v>
      </c>
      <c r="AL43" s="124">
        <f>IFERROR(INDEX(TableRBVORP[FPS],MATCH(TableOverallMaster[[#This Row],[RK]],TableRBVORP[RK],0)),"")</f>
        <v>273.37297478652124</v>
      </c>
      <c r="AM43" s="125">
        <f>IFERROR(INDEX(TableRBVORP[VORP],MATCH(TableOverallMaster[[#This Row],[RK]],TableRBVORP[RK],0)),"")</f>
        <v>1.2322919031437809</v>
      </c>
      <c r="AO43">
        <v>42</v>
      </c>
      <c r="AP43" s="126" t="str">
        <f>IFERROR(INDEX(TableOverallMaster[OVERALL PLAYER],MATCH(TableOverallRank[[#This Row],[RK]],TableOverallMaster[OVR RK],0)),"")</f>
        <v>Samaje Perine</v>
      </c>
      <c r="AQ43" s="127" t="str">
        <f>IFERROR(INDEX(TableOverallMaster[POS RK],MATCH(TableOverallRank[[#This Row],[OVERALL PLAYER]],TableOverallMaster[OVERALL PLAYER],0)),"")</f>
        <v>RB24</v>
      </c>
      <c r="AR43" s="128">
        <f>IFERROR(INDEX(TableOverallMaster[BYE],MATCH(TableOverallRank[[#This Row],[OVERALL PLAYER]],TableOverallMaster[OVERALL PLAYER],0)),"")</f>
        <v>9</v>
      </c>
      <c r="AS43" s="127">
        <f>IFERROR(INDEX(TableOverallMaster[Custom],MATCH(TableOverallRank[[#This Row],[OVERALL PLAYER]],TableOverallMaster[OVERALL PLAYER],0)),"")</f>
        <v>185.98112900157915</v>
      </c>
      <c r="AT43" s="129">
        <f>IFERROR(INDEX(TableOverallMaster[VORP],MATCH(TableOverallRank[[#This Row],[OVERALL PLAYER]],TableOverallMaster[OVERALL PLAYER],0)),"")</f>
        <v>0.51867304634618172</v>
      </c>
      <c r="AV43">
        <v>42</v>
      </c>
      <c r="AW43" s="130" t="str">
        <f>IFERROR(INDEX(TableWRTECalcPts[PLAYER],MATCH(TableWRTERank[[#This Row],[RK]],TableWRTECalcPts[RK],0)),"")</f>
        <v>Chris Godwin</v>
      </c>
      <c r="AX43" s="130" t="str">
        <f>IFERROR(INDEX(TableWRTECalcPts[POS RK],MATCH(TableWRTERank[[#This Row],[WR and TE COMBINED]],TableWRTECalcPts[PLAYER],0)),"")</f>
        <v>WR38</v>
      </c>
      <c r="AY43" s="130">
        <f>IFERROR(INDEX(TableWRTECalcPts[BYE],MATCH(TableWRTERank[[#This Row],[RK]],TableWRTECalcPts[RK],0)),"")</f>
        <v>5</v>
      </c>
      <c r="AZ43" s="131">
        <f>IFERROR(INDEX(TableWRTECalcPts[Custom],MATCH(TableWRTERank[[#This Row],[RK]],TableWRTECalcPts[RK],0)),"")</f>
        <v>161.83878261451261</v>
      </c>
      <c r="BA43" s="188">
        <f>IFERROR((TableWRTERank[[#This Row],[FPS]]-INDEX(TableWRTERank[FPS],MATCH(WRTEVORPCalc,TableWRTERank[RK],0)))/INDEX(TableWRTERank[FPS],MATCH(WRTEVORPCalc,TableWRTERank[RK],0)),"")</f>
        <v>0.16943977178124087</v>
      </c>
      <c r="BC43" t="s">
        <v>257</v>
      </c>
      <c r="BD43">
        <v>42</v>
      </c>
      <c r="BE43" s="86">
        <f>RANK(TableWRTEMaster[[#This Row],[VORP]],TableWRTEMaster[VORP])+COUNTIF($BJ$2:BJ43,BJ43)-1</f>
        <v>50</v>
      </c>
      <c r="BF43" s="123" t="str">
        <f>IFERROR(INDEX(TableWRVORP[WIDE RECEIVER],MATCH(TableWRTEMaster[[#This Row],[RK]],TableWRVORP[RK],0)),"")</f>
        <v>Brandin Cooks</v>
      </c>
      <c r="BG43" s="123" t="str">
        <f>_xlfn.CONCAT(TableWRTEMaster[[#This Row],[POS]],TableWRTEMaster[[#This Row],[RK]])</f>
        <v>WR42</v>
      </c>
      <c r="BH43" s="123">
        <f>IFERROR(INDEX(TableWRVORP[BYE],MATCH(TableWRTEMaster[[#This Row],[RK]],TableWRVORP[RK],0)),"")</f>
        <v>7</v>
      </c>
      <c r="BI43" s="124">
        <f>IFERROR(INDEX(TableWRVORP[FPS],MATCH(TableWRTEMaster[[#This Row],[RK]],TableWRVORP[RK],0)),"")</f>
        <v>151.57421394837161</v>
      </c>
      <c r="BJ43" s="125">
        <f>IFERROR(INDEX(TableWRVORP[VORP],MATCH(TableWRTEMaster[[#This Row],[RK]],TableWRVORP[RK],0)),"")</f>
        <v>0.16334163386679154</v>
      </c>
    </row>
    <row r="44" spans="1:62" x14ac:dyDescent="0.2">
      <c r="A44">
        <v>43</v>
      </c>
      <c r="B44" s="120" t="str">
        <f>IFERROR(INDEX(TableQBCalcPts[PLAYER],MATCH(TableQBVORP[[#This Row],[RK]],TableQBCalcPts[RK],0)),"")</f>
        <v>Jake Browning</v>
      </c>
      <c r="C44" s="120" t="str">
        <f>IFERROR(INDEX(TableQBCalcPts[TM],MATCH(TableQBVORP[[#This Row],[RK]],TableQBCalcPts[RK],0)),"")</f>
        <v>CIN</v>
      </c>
      <c r="D44" s="120">
        <f>IFERROR(INDEX(TableQBCalcPts[BYE],MATCH(TableQBVORP[[#This Row],[RK]],TableQBCalcPts[RK],0)),"")</f>
        <v>7</v>
      </c>
      <c r="E44" s="121">
        <f>IFERROR(INDEX(TableQBCalcPts[Custom],MATCH(TableQBVORP[[#This Row],[RK]],TableQBCalcPts[RK],0)),"")</f>
        <v>13.238857219174539</v>
      </c>
      <c r="F44" s="122">
        <f>(IFERROR((TableQBVORP[[#This Row],[FPS]]-INDEX(TableQBVORP[FPS],MATCH(QBVORPCalc,TableQBVORP[RK],0)))/INDEX(TableQBVORP[FPS],MATCH(QBVORPCalc,TableQBVORP[RK],0)),""))+(TableRBVORP[[#This Row],[VORP]]*0.45)</f>
        <v>-0.9581761792042619</v>
      </c>
      <c r="H44">
        <v>43</v>
      </c>
      <c r="I44" s="120" t="str">
        <f>IFERROR(INDEX(TableRBCalcPts[PLAYER],MATCH(TableRBVORP[[#This Row],[RK]],TableRBCalcPts[RK],0)),"")</f>
        <v>De'Von Achane</v>
      </c>
      <c r="J44" s="120" t="str">
        <f>IFERROR(INDEX(TableRBCalcPts[TM],MATCH(TableRBVORP[[#This Row],[RK]],TableRBCalcPts[RK],0)),"")</f>
        <v>MIA</v>
      </c>
      <c r="K44" s="120">
        <f>IFERROR(INDEX(TableRBCalcPts[BYE],MATCH(TableRBVORP[[#This Row],[RK]],TableRBCalcPts[RK],0)),"")</f>
        <v>10</v>
      </c>
      <c r="L44" s="121">
        <f>IFERROR(INDEX(TableRBCalcPts[Custom],MATCH(TableRBVORP[[#This Row],[RK]],TableRBCalcPts[RK],0)),"")</f>
        <v>125.17657453477499</v>
      </c>
      <c r="M44" s="122">
        <f>IFERROR((TableRBVORP[[#This Row],[FPS]]-INDEX(TableRBVORP[FPS],MATCH(RBVORPCalc,TableRBVORP[RK],0)))/INDEX(TableRBVORP[FPS],MATCH(RBVORPCalc,TableRBVORP[RK],0)),"")</f>
        <v>2.2159026566036501E-2</v>
      </c>
      <c r="O44">
        <v>43</v>
      </c>
      <c r="P44" s="120" t="str">
        <f>IFERROR(INDEX(TableWRCalcPts[PLAYER],MATCH(TableWRVORP[[#This Row],[RK]],TableWRCalcPts[RK],0)),"")</f>
        <v>Zay Jones</v>
      </c>
      <c r="Q44" s="120" t="str">
        <f>IFERROR(INDEX(TableWRCalcPts[TM],MATCH(TableWRVORP[[#This Row],[RK]],TableWRCalcPts[RK],0)),"")</f>
        <v>JAX</v>
      </c>
      <c r="R44" s="120">
        <f>IFERROR(INDEX(TableWRCalcPts[BYE],MATCH(TableWRVORP[[#This Row],[RK]],TableWRCalcPts[RK],0)),"")</f>
        <v>9</v>
      </c>
      <c r="S44" s="121">
        <f>IFERROR(INDEX(TableWRCalcPts[Custom],MATCH(TableWRVORP[[#This Row],[RK]],TableWRCalcPts[RK],0)),"")</f>
        <v>150.18755470457839</v>
      </c>
      <c r="T44" s="122">
        <f>IFERROR((TableWRVORP[[#This Row],[FPS]]-INDEX(TableWRVORP[FPS],MATCH(WRVORPCalc,TableWRVORP[RK],0)))/INDEX(TableWRVORP[FPS],MATCH(WRVORPCalc,TableWRVORP[RK],0)),"")</f>
        <v>0.15269893687850064</v>
      </c>
      <c r="V44">
        <v>43</v>
      </c>
      <c r="W44" s="120" t="str">
        <f>IFERROR(INDEX(TableTECalcPts[PLAYER],MATCH(TableTEVORP[[#This Row],[RK]],TableTECalcPts[RK],0)),"")</f>
        <v>Will Dissly</v>
      </c>
      <c r="X44" s="120" t="str">
        <f>IFERROR(INDEX(TableTECalcPts[TM],MATCH(TableTEVORP[[#This Row],[RK]],TableTECalcPts[RK],0)),"")</f>
        <v>SEA</v>
      </c>
      <c r="Y44" s="120">
        <f>IFERROR(INDEX(TableTECalcPts[BYE],MATCH(TableTEVORP[[#This Row],[RK]],TableTECalcPts[RK],0)),"")</f>
        <v>5</v>
      </c>
      <c r="Z44" s="121">
        <f>IFERROR(INDEX(TableTECalcPts[Custom],MATCH(TableTEVORP[[#This Row],[RK]],TableTECalcPts[RK],0)),"")</f>
        <v>42.965516367240703</v>
      </c>
      <c r="AA44" s="122">
        <f>IFERROR((TableTEVORP[[#This Row],[FPS]]-INDEX(TableTEVORP[FPS],MATCH(TEVORPCalc,TableTEVORP[RK],0)))/INDEX(TableTEVORP[FPS],MATCH(TEVORPCalc,TableTEVORP[RK],0)),"")</f>
        <v>-0.63842927965874863</v>
      </c>
      <c r="AF44" t="s">
        <v>256</v>
      </c>
      <c r="AG44">
        <v>3</v>
      </c>
      <c r="AH44" s="86">
        <f>RANK(TableOverallMaster[[#This Row],[VORP]],TableOverallMaster[VORP])+COUNTIF($AM$2:AM44,AM44)-1</f>
        <v>3</v>
      </c>
      <c r="AI44" s="123" t="str">
        <f>IFERROR(INDEX(TableRBVORP[RUNNING BACK],MATCH(TableOverallMaster[[#This Row],[RK]],TableRBVORP[RK],0)),"")</f>
        <v>Nick Chubb</v>
      </c>
      <c r="AJ44" s="123" t="str">
        <f t="shared" si="0"/>
        <v>RB3</v>
      </c>
      <c r="AK44" s="123">
        <f>IFERROR(INDEX(TableRBVORP[BYE],MATCH(TableOverallMaster[[#This Row],[RK]],TableRBVORP[RK],0)),"")</f>
        <v>5</v>
      </c>
      <c r="AL44" s="124">
        <f>IFERROR(INDEX(TableRBVORP[FPS],MATCH(TableOverallMaster[[#This Row],[RK]],TableRBVORP[RK],0)),"")</f>
        <v>265.48568433042442</v>
      </c>
      <c r="AM44" s="125">
        <f>IFERROR(INDEX(TableRBVORP[VORP],MATCH(TableOverallMaster[[#This Row],[RK]],TableRBVORP[RK],0)),"")</f>
        <v>1.1678863610939958</v>
      </c>
      <c r="AO44">
        <v>43</v>
      </c>
      <c r="AP44" s="126" t="str">
        <f>IFERROR(INDEX(TableOverallMaster[OVERALL PLAYER],MATCH(TableOverallRank[[#This Row],[RK]],TableOverallMaster[OVR RK],0)),"")</f>
        <v>James Conner</v>
      </c>
      <c r="AQ44" s="127" t="str">
        <f>IFERROR(INDEX(TableOverallMaster[POS RK],MATCH(TableOverallRank[[#This Row],[OVERALL PLAYER]],TableOverallMaster[OVERALL PLAYER],0)),"")</f>
        <v>RB25</v>
      </c>
      <c r="AR44" s="128">
        <f>IFERROR(INDEX(TableOverallMaster[BYE],MATCH(TableOverallRank[[#This Row],[OVERALL PLAYER]],TableOverallMaster[OVERALL PLAYER],0)),"")</f>
        <v>14</v>
      </c>
      <c r="AS44" s="127">
        <f>IFERROR(INDEX(TableOverallMaster[Custom],MATCH(TableOverallRank[[#This Row],[OVERALL PLAYER]],TableOverallMaster[OVERALL PLAYER],0)),"")</f>
        <v>185.87450180481002</v>
      </c>
      <c r="AT44" s="129">
        <f>IFERROR(INDEX(TableOverallMaster[VORP],MATCH(TableOverallRank[[#This Row],[OVERALL PLAYER]],TableOverallMaster[OVERALL PLAYER],0)),"")</f>
        <v>0.51780235666594354</v>
      </c>
      <c r="AV44">
        <v>43</v>
      </c>
      <c r="AW44" s="130" t="str">
        <f>IFERROR(INDEX(TableWRTECalcPts[PLAYER],MATCH(TableWRTERank[[#This Row],[RK]],TableWRTECalcPts[RK],0)),"")</f>
        <v>Michael Thomas</v>
      </c>
      <c r="AX44" s="130" t="str">
        <f>IFERROR(INDEX(TableWRTECalcPts[POS RK],MATCH(TableWRTERank[[#This Row],[WR and TE COMBINED]],TableWRTECalcPts[PLAYER],0)),"")</f>
        <v>WR39</v>
      </c>
      <c r="AY44" s="130">
        <f>IFERROR(INDEX(TableWRTECalcPts[BYE],MATCH(TableWRTERank[[#This Row],[RK]],TableWRTECalcPts[RK],0)),"")</f>
        <v>11</v>
      </c>
      <c r="AZ44" s="131">
        <f>IFERROR(INDEX(TableWRTECalcPts[Custom],MATCH(TableWRTERank[[#This Row],[RK]],TableWRTECalcPts[RK],0)),"")</f>
        <v>161.64076617387752</v>
      </c>
      <c r="BA44" s="188">
        <f>IFERROR((TableWRTERank[[#This Row],[FPS]]-INDEX(TableWRTERank[FPS],MATCH(WRTEVORPCalc,TableWRTERank[RK],0)))/INDEX(TableWRTERank[FPS],MATCH(WRTEVORPCalc,TableWRTERank[RK],0)),"")</f>
        <v>0.16800891387805947</v>
      </c>
      <c r="BC44" t="s">
        <v>257</v>
      </c>
      <c r="BD44">
        <v>43</v>
      </c>
      <c r="BE44" s="86">
        <f>RANK(TableWRTEMaster[[#This Row],[VORP]],TableWRTEMaster[VORP])+COUNTIF($BJ$2:BJ44,BJ44)-1</f>
        <v>51</v>
      </c>
      <c r="BF44" s="123" t="str">
        <f>IFERROR(INDEX(TableWRVORP[WIDE RECEIVER],MATCH(TableWRTEMaster[[#This Row],[RK]],TableWRVORP[RK],0)),"")</f>
        <v>Zay Jones</v>
      </c>
      <c r="BG44" s="123" t="str">
        <f>_xlfn.CONCAT(TableWRTEMaster[[#This Row],[POS]],TableWRTEMaster[[#This Row],[RK]])</f>
        <v>WR43</v>
      </c>
      <c r="BH44" s="123">
        <f>IFERROR(INDEX(TableWRVORP[BYE],MATCH(TableWRTEMaster[[#This Row],[RK]],TableWRVORP[RK],0)),"")</f>
        <v>9</v>
      </c>
      <c r="BI44" s="124">
        <f>IFERROR(INDEX(TableWRVORP[FPS],MATCH(TableWRTEMaster[[#This Row],[RK]],TableWRVORP[RK],0)),"")</f>
        <v>150.18755470457839</v>
      </c>
      <c r="BJ44" s="125">
        <f>IFERROR(INDEX(TableWRVORP[VORP],MATCH(TableWRTEMaster[[#This Row],[RK]],TableWRVORP[RK],0)),"")</f>
        <v>0.15269893687850064</v>
      </c>
    </row>
    <row r="45" spans="1:62" x14ac:dyDescent="0.2">
      <c r="A45">
        <v>44</v>
      </c>
      <c r="B45" s="120" t="str">
        <f>IFERROR(INDEX(TableQBCalcPts[PLAYER],MATCH(TableQBVORP[[#This Row],[RK]],TableQBCalcPts[RK],0)),"")</f>
        <v>Sam Darnold</v>
      </c>
      <c r="C45" s="120" t="str">
        <f>IFERROR(INDEX(TableQBCalcPts[TM],MATCH(TableQBVORP[[#This Row],[RK]],TableQBCalcPts[RK],0)),"")</f>
        <v>SF</v>
      </c>
      <c r="D45" s="120">
        <f>IFERROR(INDEX(TableQBCalcPts[BYE],MATCH(TableQBVORP[[#This Row],[RK]],TableQBCalcPts[RK],0)),"")</f>
        <v>9</v>
      </c>
      <c r="E45" s="121">
        <f>IFERROR(INDEX(TableQBCalcPts[Custom],MATCH(TableQBVORP[[#This Row],[RK]],TableQBCalcPts[RK],0)),"")</f>
        <v>12.560258565599998</v>
      </c>
      <c r="F45" s="122">
        <f>(IFERROR((TableQBVORP[[#This Row],[FPS]]-INDEX(TableQBVORP[FPS],MATCH(QBVORPCalc,TableQBVORP[RK],0)))/INDEX(TableQBVORP[FPS],MATCH(QBVORPCalc,TableQBVORP[RK],0)),""))+(TableRBVORP[[#This Row],[VORP]]*0.45)</f>
        <v>-0.9697804273950319</v>
      </c>
      <c r="H45">
        <v>44</v>
      </c>
      <c r="I45" s="120" t="str">
        <f>IFERROR(INDEX(TableRBCalcPts[PLAYER],MATCH(TableRBVORP[[#This Row],[RK]],TableRBCalcPts[RK],0)),"")</f>
        <v>Deuce Vaughn</v>
      </c>
      <c r="J45" s="120" t="str">
        <f>IFERROR(INDEX(TableRBCalcPts[TM],MATCH(TableRBVORP[[#This Row],[RK]],TableRBCalcPts[RK],0)),"")</f>
        <v>DAL</v>
      </c>
      <c r="K45" s="120">
        <f>IFERROR(INDEX(TableRBCalcPts[BYE],MATCH(TableRBVORP[[#This Row],[RK]],TableRBCalcPts[RK],0)),"")</f>
        <v>7</v>
      </c>
      <c r="L45" s="121">
        <f>IFERROR(INDEX(TableRBCalcPts[Custom],MATCH(TableRBVORP[[#This Row],[RK]],TableRBCalcPts[RK],0)),"")</f>
        <v>122.46291553605721</v>
      </c>
      <c r="M45" s="122">
        <f>IFERROR((TableRBVORP[[#This Row],[FPS]]-INDEX(TableRBVORP[FPS],MATCH(RBVORPCalc,TableRBVORP[RK],0)))/INDEX(TableRBVORP[FPS],MATCH(RBVORPCalc,TableRBVORP[RK],0)),"")</f>
        <v>0</v>
      </c>
      <c r="O45">
        <v>44</v>
      </c>
      <c r="P45" s="120" t="str">
        <f>IFERROR(INDEX(TableWRCalcPts[PLAYER],MATCH(TableWRVORP[[#This Row],[RK]],TableWRCalcPts[RK],0)),"")</f>
        <v>Marquez Valdes-Scantling</v>
      </c>
      <c r="Q45" s="120" t="str">
        <f>IFERROR(INDEX(TableWRCalcPts[TM],MATCH(TableWRVORP[[#This Row],[RK]],TableWRCalcPts[RK],0)),"")</f>
        <v>KC</v>
      </c>
      <c r="R45" s="120">
        <f>IFERROR(INDEX(TableWRCalcPts[BYE],MATCH(TableWRVORP[[#This Row],[RK]],TableWRCalcPts[RK],0)),"")</f>
        <v>10</v>
      </c>
      <c r="S45" s="121">
        <f>IFERROR(INDEX(TableWRCalcPts[Custom],MATCH(TableWRVORP[[#This Row],[RK]],TableWRCalcPts[RK],0)),"")</f>
        <v>149.61004613929302</v>
      </c>
      <c r="T45" s="122">
        <f>IFERROR((TableWRVORP[[#This Row],[FPS]]-INDEX(TableWRVORP[FPS],MATCH(WRVORPCalc,TableWRVORP[RK],0)))/INDEX(TableWRVORP[FPS],MATCH(WRVORPCalc,TableWRVORP[RK],0)),"")</f>
        <v>0.14826652228494724</v>
      </c>
      <c r="V45">
        <v>44</v>
      </c>
      <c r="W45" s="120" t="str">
        <f>IFERROR(INDEX(TableTECalcPts[PLAYER],MATCH(TableTEVORP[[#This Row],[RK]],TableTECalcPts[RK],0)),"")</f>
        <v>C.J. Uzomah</v>
      </c>
      <c r="X45" s="120" t="str">
        <f>IFERROR(INDEX(TableTECalcPts[TM],MATCH(TableTEVORP[[#This Row],[RK]],TableTECalcPts[RK],0)),"")</f>
        <v>NYJ</v>
      </c>
      <c r="Y45" s="120">
        <f>IFERROR(INDEX(TableTECalcPts[BYE],MATCH(TableTEVORP[[#This Row],[RK]],TableTECalcPts[RK],0)),"")</f>
        <v>7</v>
      </c>
      <c r="Z45" s="121">
        <f>IFERROR(INDEX(TableTECalcPts[Custom],MATCH(TableTEVORP[[#This Row],[RK]],TableTECalcPts[RK],0)),"")</f>
        <v>39.827848874302617</v>
      </c>
      <c r="AA45" s="122">
        <f>IFERROR((TableTEVORP[[#This Row],[FPS]]-INDEX(TableTEVORP[FPS],MATCH(TEVORPCalc,TableTEVORP[RK],0)))/INDEX(TableTEVORP[FPS],MATCH(TEVORPCalc,TableTEVORP[RK],0)),"")</f>
        <v>-0.66483391275837433</v>
      </c>
      <c r="AF45" t="s">
        <v>256</v>
      </c>
      <c r="AG45">
        <v>4</v>
      </c>
      <c r="AH45" s="86">
        <f>RANK(TableOverallMaster[[#This Row],[VORP]],TableOverallMaster[VORP])+COUNTIF($AM$2:AM45,AM45)-1</f>
        <v>5</v>
      </c>
      <c r="AI45" s="123" t="str">
        <f>IFERROR(INDEX(TableRBVORP[RUNNING BACK],MATCH(TableOverallMaster[[#This Row],[RK]],TableRBVORP[RK],0)),"")</f>
        <v>Derrick Henry</v>
      </c>
      <c r="AJ45" s="123" t="str">
        <f t="shared" si="0"/>
        <v>RB4</v>
      </c>
      <c r="AK45" s="123">
        <f>IFERROR(INDEX(TableRBVORP[BYE],MATCH(TableOverallMaster[[#This Row],[RK]],TableRBVORP[RK],0)),"")</f>
        <v>7</v>
      </c>
      <c r="AL45" s="124">
        <f>IFERROR(INDEX(TableRBVORP[FPS],MATCH(TableOverallMaster[[#This Row],[RK]],TableRBVORP[RK],0)),"")</f>
        <v>257.94009790393397</v>
      </c>
      <c r="AM45" s="125">
        <f>IFERROR(INDEX(TableRBVORP[VORP],MATCH(TableOverallMaster[[#This Row],[RK]],TableRBVORP[RK],0)),"")</f>
        <v>1.1062710843919743</v>
      </c>
      <c r="AO45">
        <v>44</v>
      </c>
      <c r="AP45" s="126" t="str">
        <f>IFERROR(INDEX(TableOverallMaster[OVERALL PLAYER],MATCH(TableOverallRank[[#This Row],[RK]],TableOverallMaster[OVR RK],0)),"")</f>
        <v>Breece Hall</v>
      </c>
      <c r="AQ45" s="127" t="str">
        <f>IFERROR(INDEX(TableOverallMaster[POS RK],MATCH(TableOverallRank[[#This Row],[OVERALL PLAYER]],TableOverallMaster[OVERALL PLAYER],0)),"")</f>
        <v>RB26</v>
      </c>
      <c r="AR45" s="128">
        <f>IFERROR(INDEX(TableOverallMaster[BYE],MATCH(TableOverallRank[[#This Row],[OVERALL PLAYER]],TableOverallMaster[OVERALL PLAYER],0)),"")</f>
        <v>7</v>
      </c>
      <c r="AS45" s="127">
        <f>IFERROR(INDEX(TableOverallMaster[Custom],MATCH(TableOverallRank[[#This Row],[OVERALL PLAYER]],TableOverallMaster[OVERALL PLAYER],0)),"")</f>
        <v>184.31202324745902</v>
      </c>
      <c r="AT45" s="129">
        <f>IFERROR(INDEX(TableOverallMaster[VORP],MATCH(TableOverallRank[[#This Row],[OVERALL PLAYER]],TableOverallMaster[OVERALL PLAYER],0)),"")</f>
        <v>0.50504356719476728</v>
      </c>
      <c r="AV45">
        <v>44</v>
      </c>
      <c r="AW45" s="130" t="str">
        <f>IFERROR(INDEX(TableWRTECalcPts[PLAYER],MATCH(TableWRTERank[[#This Row],[RK]],TableWRTECalcPts[RK],0)),"")</f>
        <v>George Kittle</v>
      </c>
      <c r="AX45" s="130" t="str">
        <f>IFERROR(INDEX(TableWRTECalcPts[POS RK],MATCH(TableWRTERank[[#This Row],[WR and TE COMBINED]],TableWRTECalcPts[PLAYER],0)),"")</f>
        <v>TE5</v>
      </c>
      <c r="AY45" s="130">
        <f>IFERROR(INDEX(TableWRTECalcPts[BYE],MATCH(TableWRTERank[[#This Row],[RK]],TableWRTECalcPts[RK],0)),"")</f>
        <v>9</v>
      </c>
      <c r="AZ45" s="131">
        <f>IFERROR(INDEX(TableWRTECalcPts[Custom],MATCH(TableWRTERank[[#This Row],[RK]],TableWRTECalcPts[RK],0)),"")</f>
        <v>160.72749918287673</v>
      </c>
      <c r="BA45" s="188">
        <f>IFERROR((TableWRTERank[[#This Row],[FPS]]-INDEX(TableWRTERank[FPS],MATCH(WRTEVORPCalc,TableWRTERank[RK],0)))/INDEX(TableWRTERank[FPS],MATCH(WRTEVORPCalc,TableWRTERank[RK],0)),"")</f>
        <v>0.16140968763403099</v>
      </c>
      <c r="BC45" t="s">
        <v>257</v>
      </c>
      <c r="BD45">
        <v>44</v>
      </c>
      <c r="BE45" s="86">
        <f>RANK(TableWRTEMaster[[#This Row],[VORP]],TableWRTEMaster[VORP])+COUNTIF($BJ$2:BJ45,BJ45)-1</f>
        <v>52</v>
      </c>
      <c r="BF45" s="123" t="str">
        <f>IFERROR(INDEX(TableWRVORP[WIDE RECEIVER],MATCH(TableWRTEMaster[[#This Row],[RK]],TableWRVORP[RK],0)),"")</f>
        <v>Marquez Valdes-Scantling</v>
      </c>
      <c r="BG45" s="123" t="str">
        <f>_xlfn.CONCAT(TableWRTEMaster[[#This Row],[POS]],TableWRTEMaster[[#This Row],[RK]])</f>
        <v>WR44</v>
      </c>
      <c r="BH45" s="123">
        <f>IFERROR(INDEX(TableWRVORP[BYE],MATCH(TableWRTEMaster[[#This Row],[RK]],TableWRVORP[RK],0)),"")</f>
        <v>10</v>
      </c>
      <c r="BI45" s="124">
        <f>IFERROR(INDEX(TableWRVORP[FPS],MATCH(TableWRTEMaster[[#This Row],[RK]],TableWRVORP[RK],0)),"")</f>
        <v>149.61004613929302</v>
      </c>
      <c r="BJ45" s="125">
        <f>IFERROR(INDEX(TableWRVORP[VORP],MATCH(TableWRTEMaster[[#This Row],[RK]],TableWRVORP[RK],0)),"")</f>
        <v>0.14826652228494724</v>
      </c>
    </row>
    <row r="46" spans="1:62" x14ac:dyDescent="0.2">
      <c r="A46">
        <v>45</v>
      </c>
      <c r="B46" s="120" t="str">
        <f>IFERROR(INDEX(TableQBCalcPts[PLAYER],MATCH(TableQBVORP[[#This Row],[RK]],TableQBCalcPts[RK],0)),"")</f>
        <v>Drew Lock</v>
      </c>
      <c r="C46" s="120" t="str">
        <f>IFERROR(INDEX(TableQBCalcPts[TM],MATCH(TableQBVORP[[#This Row],[RK]],TableQBCalcPts[RK],0)),"")</f>
        <v>SEA</v>
      </c>
      <c r="D46" s="120">
        <f>IFERROR(INDEX(TableQBCalcPts[BYE],MATCH(TableQBVORP[[#This Row],[RK]],TableQBCalcPts[RK],0)),"")</f>
        <v>5</v>
      </c>
      <c r="E46" s="121">
        <f>IFERROR(INDEX(TableQBCalcPts[Custom],MATCH(TableQBVORP[[#This Row],[RK]],TableQBCalcPts[RK],0)),"")</f>
        <v>11.385994292797822</v>
      </c>
      <c r="F46" s="122">
        <f>(IFERROR((TableQBVORP[[#This Row],[FPS]]-INDEX(TableQBVORP[FPS],MATCH(QBVORPCalc,TableQBVORP[RK],0)))/INDEX(TableQBVORP[FPS],MATCH(QBVORPCalc,TableQBVORP[RK],0)),""))+(TableRBVORP[[#This Row],[VORP]]*0.45)</f>
        <v>-0.99591617867601068</v>
      </c>
      <c r="H46">
        <v>45</v>
      </c>
      <c r="I46" s="120" t="str">
        <f>IFERROR(INDEX(TableRBCalcPts[PLAYER],MATCH(TableRBVORP[[#This Row],[RK]],TableRBCalcPts[RK],0)),"")</f>
        <v>Rashaad Penny</v>
      </c>
      <c r="J46" s="120" t="str">
        <f>IFERROR(INDEX(TableRBCalcPts[TM],MATCH(TableRBVORP[[#This Row],[RK]],TableRBCalcPts[RK],0)),"")</f>
        <v>PHI</v>
      </c>
      <c r="K46" s="120">
        <f>IFERROR(INDEX(TableRBCalcPts[BYE],MATCH(TableRBVORP[[#This Row],[RK]],TableRBCalcPts[RK],0)),"")</f>
        <v>10</v>
      </c>
      <c r="L46" s="121">
        <f>IFERROR(INDEX(TableRBCalcPts[Custom],MATCH(TableRBVORP[[#This Row],[RK]],TableRBCalcPts[RK],0)),"")</f>
        <v>116.11919779473679</v>
      </c>
      <c r="M46" s="122">
        <f>IFERROR((TableRBVORP[[#This Row],[FPS]]-INDEX(TableRBVORP[FPS],MATCH(RBVORPCalc,TableRBVORP[RK],0)))/INDEX(TableRBVORP[FPS],MATCH(RBVORPCalc,TableRBVORP[RK],0)),"")</f>
        <v>-5.1801132722931242E-2</v>
      </c>
      <c r="O46">
        <v>45</v>
      </c>
      <c r="P46" s="120" t="str">
        <f>IFERROR(INDEX(TableWRCalcPts[PLAYER],MATCH(TableWRVORP[[#This Row],[RK]],TableWRCalcPts[RK],0)),"")</f>
        <v>Michael Pittman</v>
      </c>
      <c r="Q46" s="120" t="str">
        <f>IFERROR(INDEX(TableWRCalcPts[TM],MATCH(TableWRVORP[[#This Row],[RK]],TableWRCalcPts[RK],0)),"")</f>
        <v>IND</v>
      </c>
      <c r="R46" s="120">
        <f>IFERROR(INDEX(TableWRCalcPts[BYE],MATCH(TableWRVORP[[#This Row],[RK]],TableWRCalcPts[RK],0)),"")</f>
        <v>11</v>
      </c>
      <c r="S46" s="121">
        <f>IFERROR(INDEX(TableWRCalcPts[Custom],MATCH(TableWRVORP[[#This Row],[RK]],TableWRCalcPts[RK],0)),"")</f>
        <v>147.32864579569036</v>
      </c>
      <c r="T46" s="122">
        <f>IFERROR((TableWRVORP[[#This Row],[FPS]]-INDEX(TableWRVORP[FPS],MATCH(WRVORPCalc,TableWRVORP[RK],0)))/INDEX(TableWRVORP[FPS],MATCH(WRVORPCalc,TableWRVORP[RK],0)),"")</f>
        <v>0.13075663103039006</v>
      </c>
      <c r="V46">
        <v>45</v>
      </c>
      <c r="W46" s="120" t="str">
        <f>IFERROR(INDEX(TableTECalcPts[PLAYER],MATCH(TableTEVORP[[#This Row],[RK]],TableTECalcPts[RK],0)),"")</f>
        <v>Cole Turner</v>
      </c>
      <c r="X46" s="120" t="str">
        <f>IFERROR(INDEX(TableTECalcPts[TM],MATCH(TableTEVORP[[#This Row],[RK]],TableTECalcPts[RK],0)),"")</f>
        <v>WSH</v>
      </c>
      <c r="Y46" s="120">
        <f>IFERROR(INDEX(TableTECalcPts[BYE],MATCH(TableTEVORP[[#This Row],[RK]],TableTECalcPts[RK],0)),"")</f>
        <v>14</v>
      </c>
      <c r="Z46" s="121">
        <f>IFERROR(INDEX(TableTECalcPts[Custom],MATCH(TableTEVORP[[#This Row],[RK]],TableTECalcPts[RK],0)),"")</f>
        <v>38.146037279319202</v>
      </c>
      <c r="AA46" s="122">
        <f>IFERROR((TableTEVORP[[#This Row],[FPS]]-INDEX(TableTEVORP[FPS],MATCH(TEVORPCalc,TableTEVORP[RK],0)))/INDEX(TableTEVORP[FPS],MATCH(TEVORPCalc,TableTEVORP[RK],0)),"")</f>
        <v>-0.67898697971278588</v>
      </c>
      <c r="AF46" t="s">
        <v>256</v>
      </c>
      <c r="AG46">
        <v>5</v>
      </c>
      <c r="AH46" s="86">
        <f>RANK(TableOverallMaster[[#This Row],[VORP]],TableOverallMaster[VORP])+COUNTIF($AM$2:AM46,AM46)-1</f>
        <v>6</v>
      </c>
      <c r="AI46" s="123" t="str">
        <f>IFERROR(INDEX(TableRBVORP[RUNNING BACK],MATCH(TableOverallMaster[[#This Row],[RK]],TableRBVORP[RK],0)),"")</f>
        <v>Saquon Barkley</v>
      </c>
      <c r="AJ46" s="123" t="str">
        <f t="shared" si="0"/>
        <v>RB5</v>
      </c>
      <c r="AK46" s="123">
        <f>IFERROR(INDEX(TableRBVORP[BYE],MATCH(TableOverallMaster[[#This Row],[RK]],TableRBVORP[RK],0)),"")</f>
        <v>13</v>
      </c>
      <c r="AL46" s="124">
        <f>IFERROR(INDEX(TableRBVORP[FPS],MATCH(TableOverallMaster[[#This Row],[RK]],TableRBVORP[RK],0)),"")</f>
        <v>257.43786489805166</v>
      </c>
      <c r="AM46" s="125">
        <f>IFERROR(INDEX(TableRBVORP[VORP],MATCH(TableOverallMaster[[#This Row],[RK]],TableRBVORP[RK],0)),"")</f>
        <v>1.1021699815913111</v>
      </c>
      <c r="AO46">
        <v>45</v>
      </c>
      <c r="AP46" s="126" t="str">
        <f>IFERROR(INDEX(TableOverallMaster[OVERALL PLAYER],MATCH(TableOverallRank[[#This Row],[RK]],TableOverallMaster[OVR RK],0)),"")</f>
        <v>Christian Watson</v>
      </c>
      <c r="AQ46" s="127" t="str">
        <f>IFERROR(INDEX(TableOverallMaster[POS RK],MATCH(TableOverallRank[[#This Row],[OVERALL PLAYER]],TableOverallMaster[OVERALL PLAYER],0)),"")</f>
        <v>WR14</v>
      </c>
      <c r="AR46" s="128">
        <f>IFERROR(INDEX(TableOverallMaster[BYE],MATCH(TableOverallRank[[#This Row],[OVERALL PLAYER]],TableOverallMaster[OVERALL PLAYER],0)),"")</f>
        <v>6</v>
      </c>
      <c r="AS46" s="127">
        <f>IFERROR(INDEX(TableOverallMaster[Custom],MATCH(TableOverallRank[[#This Row],[OVERALL PLAYER]],TableOverallMaster[OVERALL PLAYER],0)),"")</f>
        <v>194.98899947146739</v>
      </c>
      <c r="AT46" s="129">
        <f>IFERROR(INDEX(TableOverallMaster[VORP],MATCH(TableOverallRank[[#This Row],[OVERALL PLAYER]],TableOverallMaster[OVERALL PLAYER],0)),"")</f>
        <v>0.49655284577924613</v>
      </c>
      <c r="AV46">
        <v>45</v>
      </c>
      <c r="AW46" s="130" t="str">
        <f>IFERROR(INDEX(TableWRTECalcPts[PLAYER],MATCH(TableWRTERank[[#This Row],[RK]],TableWRTECalcPts[RK],0)),"")</f>
        <v>Courtland Sutton</v>
      </c>
      <c r="AX46" s="130" t="str">
        <f>IFERROR(INDEX(TableWRTECalcPts[POS RK],MATCH(TableWRTERank[[#This Row],[WR and TE COMBINED]],TableWRTECalcPts[PLAYER],0)),"")</f>
        <v>WR40</v>
      </c>
      <c r="AY46" s="130">
        <f>IFERROR(INDEX(TableWRTECalcPts[BYE],MATCH(TableWRTERank[[#This Row],[RK]],TableWRTECalcPts[RK],0)),"")</f>
        <v>9</v>
      </c>
      <c r="AZ46" s="131">
        <f>IFERROR(INDEX(TableWRTECalcPts[Custom],MATCH(TableWRTERank[[#This Row],[RK]],TableWRTECalcPts[RK],0)),"")</f>
        <v>153.42312532599362</v>
      </c>
      <c r="BA46" s="188">
        <f>IFERROR((TableWRTERank[[#This Row],[FPS]]-INDEX(TableWRTERank[FPS],MATCH(WRTEVORPCalc,TableWRTERank[RK],0)))/INDEX(TableWRTERank[FPS],MATCH(WRTEVORPCalc,TableWRTERank[RK],0)),"")</f>
        <v>0.1086286103285703</v>
      </c>
      <c r="BC46" t="s">
        <v>257</v>
      </c>
      <c r="BD46">
        <v>45</v>
      </c>
      <c r="BE46" s="86">
        <f>RANK(TableWRTEMaster[[#This Row],[VORP]],TableWRTEMaster[VORP])+COUNTIF($BJ$2:BJ46,BJ46)-1</f>
        <v>53</v>
      </c>
      <c r="BF46" s="123" t="str">
        <f>IFERROR(INDEX(TableWRVORP[WIDE RECEIVER],MATCH(TableWRTEMaster[[#This Row],[RK]],TableWRVORP[RK],0)),"")</f>
        <v>Michael Pittman</v>
      </c>
      <c r="BG46" s="123" t="str">
        <f>_xlfn.CONCAT(TableWRTEMaster[[#This Row],[POS]],TableWRTEMaster[[#This Row],[RK]])</f>
        <v>WR45</v>
      </c>
      <c r="BH46" s="123">
        <f>IFERROR(INDEX(TableWRVORP[BYE],MATCH(TableWRTEMaster[[#This Row],[RK]],TableWRVORP[RK],0)),"")</f>
        <v>11</v>
      </c>
      <c r="BI46" s="124">
        <f>IFERROR(INDEX(TableWRVORP[FPS],MATCH(TableWRTEMaster[[#This Row],[RK]],TableWRVORP[RK],0)),"")</f>
        <v>147.32864579569036</v>
      </c>
      <c r="BJ46" s="125">
        <f>IFERROR(INDEX(TableWRVORP[VORP],MATCH(TableWRTEMaster[[#This Row],[RK]],TableWRVORP[RK],0)),"")</f>
        <v>0.13075663103039006</v>
      </c>
    </row>
    <row r="47" spans="1:62" x14ac:dyDescent="0.2">
      <c r="A47">
        <v>46</v>
      </c>
      <c r="B47" s="120" t="str">
        <f>IFERROR(INDEX(TableQBCalcPts[PLAYER],MATCH(TableQBVORP[[#This Row],[RK]],TableQBCalcPts[RK],0)),"")</f>
        <v>Will Levis</v>
      </c>
      <c r="C47" s="120" t="str">
        <f>IFERROR(INDEX(TableQBCalcPts[TM],MATCH(TableQBVORP[[#This Row],[RK]],TableQBCalcPts[RK],0)),"")</f>
        <v>TEN</v>
      </c>
      <c r="D47" s="120">
        <f>IFERROR(INDEX(TableQBCalcPts[BYE],MATCH(TableQBVORP[[#This Row],[RK]],TableQBCalcPts[RK],0)),"")</f>
        <v>7</v>
      </c>
      <c r="E47" s="121">
        <f>IFERROR(INDEX(TableQBCalcPts[Custom],MATCH(TableQBVORP[[#This Row],[RK]],TableQBCalcPts[RK],0)),"")</f>
        <v>11.103596077020001</v>
      </c>
      <c r="F47" s="122">
        <f>(IFERROR((TableQBVORP[[#This Row],[FPS]]-INDEX(TableQBVORP[FPS],MATCH(QBVORPCalc,TableQBVORP[RK],0)))/INDEX(TableQBVORP[FPS],MATCH(QBVORPCalc,TableQBVORP[RK],0)),""))+(TableRBVORP[[#This Row],[VORP]]*0.45)</f>
        <v>-1.0031210102143315</v>
      </c>
      <c r="H47">
        <v>46</v>
      </c>
      <c r="I47" s="120" t="str">
        <f>IFERROR(INDEX(TableRBCalcPts[PLAYER],MATCH(TableRBVORP[[#This Row],[RK]],TableRBCalcPts[RK],0)),"")</f>
        <v>Keaontay Ingram</v>
      </c>
      <c r="J47" s="120" t="str">
        <f>IFERROR(INDEX(TableRBCalcPts[TM],MATCH(TableRBVORP[[#This Row],[RK]],TableRBCalcPts[RK],0)),"")</f>
        <v>ARI</v>
      </c>
      <c r="K47" s="120">
        <f>IFERROR(INDEX(TableRBCalcPts[BYE],MATCH(TableRBVORP[[#This Row],[RK]],TableRBCalcPts[RK],0)),"")</f>
        <v>14</v>
      </c>
      <c r="L47" s="121">
        <f>IFERROR(INDEX(TableRBCalcPts[Custom],MATCH(TableRBVORP[[#This Row],[RK]],TableRBCalcPts[RK],0)),"")</f>
        <v>114.34337921125001</v>
      </c>
      <c r="M47" s="122">
        <f>IFERROR((TableRBVORP[[#This Row],[FPS]]-INDEX(TableRBVORP[FPS],MATCH(RBVORPCalc,TableRBVORP[RK],0)))/INDEX(TableRBVORP[FPS],MATCH(RBVORPCalc,TableRBVORP[RK],0)),"")</f>
        <v>-6.6302000807881595E-2</v>
      </c>
      <c r="O47">
        <v>46</v>
      </c>
      <c r="P47" s="120" t="str">
        <f>IFERROR(INDEX(TableWRCalcPts[PLAYER],MATCH(TableWRVORP[[#This Row],[RK]],TableWRCalcPts[RK],0)),"")</f>
        <v>Jonathan Mingo</v>
      </c>
      <c r="Q47" s="120" t="str">
        <f>IFERROR(INDEX(TableWRCalcPts[TM],MATCH(TableWRVORP[[#This Row],[RK]],TableWRCalcPts[RK],0)),"")</f>
        <v>CAR</v>
      </c>
      <c r="R47" s="120">
        <f>IFERROR(INDEX(TableWRCalcPts[BYE],MATCH(TableWRVORP[[#This Row],[RK]],TableWRCalcPts[RK],0)),"")</f>
        <v>7</v>
      </c>
      <c r="S47" s="121">
        <f>IFERROR(INDEX(TableWRCalcPts[Custom],MATCH(TableWRVORP[[#This Row],[RK]],TableWRCalcPts[RK],0)),"")</f>
        <v>147.26314162241712</v>
      </c>
      <c r="T47" s="122">
        <f>IFERROR((TableWRVORP[[#This Row],[FPS]]-INDEX(TableWRVORP[FPS],MATCH(WRVORPCalc,TableWRVORP[RK],0)))/INDEX(TableWRVORP[FPS],MATCH(WRVORPCalc,TableWRVORP[RK],0)),"")</f>
        <v>0.13025388237693677</v>
      </c>
      <c r="V47">
        <v>46</v>
      </c>
      <c r="W47" s="120" t="str">
        <f>IFERROR(INDEX(TableTECalcPts[PLAYER],MATCH(TableTEVORP[[#This Row],[RK]],TableTECalcPts[RK],0)),"")</f>
        <v>Teagan Quitoriano</v>
      </c>
      <c r="X47" s="120" t="str">
        <f>IFERROR(INDEX(TableTECalcPts[TM],MATCH(TableTEVORP[[#This Row],[RK]],TableTECalcPts[RK],0)),"")</f>
        <v>HOU</v>
      </c>
      <c r="Y47" s="120">
        <f>IFERROR(INDEX(TableTECalcPts[BYE],MATCH(TableTEVORP[[#This Row],[RK]],TableTECalcPts[RK],0)),"")</f>
        <v>7</v>
      </c>
      <c r="Z47" s="121">
        <f>IFERROR(INDEX(TableTECalcPts[Custom],MATCH(TableTEVORP[[#This Row],[RK]],TableTECalcPts[RK],0)),"")</f>
        <v>36.024327486654819</v>
      </c>
      <c r="AA47" s="122">
        <f>IFERROR((TableTEVORP[[#This Row],[FPS]]-INDEX(TableTEVORP[FPS],MATCH(TEVORPCalc,TableTEVORP[RK],0)))/INDEX(TableTEVORP[FPS],MATCH(TEVORPCalc,TableTEVORP[RK],0)),"")</f>
        <v>-0.69684195279239869</v>
      </c>
      <c r="AF47" t="s">
        <v>256</v>
      </c>
      <c r="AG47">
        <v>6</v>
      </c>
      <c r="AH47" s="86">
        <f>RANK(TableOverallMaster[[#This Row],[VORP]],TableOverallMaster[VORP])+COUNTIF($AM$2:AM47,AM47)-1</f>
        <v>7</v>
      </c>
      <c r="AI47" s="123" t="str">
        <f>IFERROR(INDEX(TableRBVORP[RUNNING BACK],MATCH(TableOverallMaster[[#This Row],[RK]],TableRBVORP[RK],0)),"")</f>
        <v>Tony Pollard</v>
      </c>
      <c r="AJ47" s="123" t="str">
        <f t="shared" si="0"/>
        <v>RB6</v>
      </c>
      <c r="AK47" s="123">
        <f>IFERROR(INDEX(TableRBVORP[BYE],MATCH(TableOverallMaster[[#This Row],[RK]],TableRBVORP[RK],0)),"")</f>
        <v>7</v>
      </c>
      <c r="AL47" s="124">
        <f>IFERROR(INDEX(TableRBVORP[FPS],MATCH(TableOverallMaster[[#This Row],[RK]],TableRBVORP[RK],0)),"")</f>
        <v>254.78691973258191</v>
      </c>
      <c r="AM47" s="125">
        <f>IFERROR(INDEX(TableRBVORP[VORP],MATCH(TableOverallMaster[[#This Row],[RK]],TableRBVORP[RK],0)),"")</f>
        <v>1.0805230597140574</v>
      </c>
      <c r="AO47">
        <v>46</v>
      </c>
      <c r="AP47" s="126" t="str">
        <f>IFERROR(INDEX(TableOverallMaster[OVERALL PLAYER],MATCH(TableOverallRank[[#This Row],[RK]],TableOverallMaster[OVR RK],0)),"")</f>
        <v>James Cook</v>
      </c>
      <c r="AQ47" s="127" t="str">
        <f>IFERROR(INDEX(TableOverallMaster[POS RK],MATCH(TableOverallRank[[#This Row],[OVERALL PLAYER]],TableOverallMaster[OVERALL PLAYER],0)),"")</f>
        <v>RB27</v>
      </c>
      <c r="AR47" s="128">
        <f>IFERROR(INDEX(TableOverallMaster[BYE],MATCH(TableOverallRank[[#This Row],[OVERALL PLAYER]],TableOverallMaster[OVERALL PLAYER],0)),"")</f>
        <v>13</v>
      </c>
      <c r="AS47" s="127">
        <f>IFERROR(INDEX(TableOverallMaster[Custom],MATCH(TableOverallRank[[#This Row],[OVERALL PLAYER]],TableOverallMaster[OVERALL PLAYER],0)),"")</f>
        <v>182.3763858942709</v>
      </c>
      <c r="AT47" s="129">
        <f>IFERROR(INDEX(TableOverallMaster[VORP],MATCH(TableOverallRank[[#This Row],[OVERALL PLAYER]],TableOverallMaster[OVERALL PLAYER],0)),"")</f>
        <v>0.48923766101725008</v>
      </c>
      <c r="AV47">
        <v>46</v>
      </c>
      <c r="AW47" s="130" t="str">
        <f>IFERROR(INDEX(TableWRTECalcPts[PLAYER],MATCH(TableWRTERank[[#This Row],[RK]],TableWRTECalcPts[RK],0)),"")</f>
        <v>Jaxon Smith-Njigba</v>
      </c>
      <c r="AX47" s="130" t="str">
        <f>IFERROR(INDEX(TableWRTECalcPts[POS RK],MATCH(TableWRTERank[[#This Row],[WR and TE COMBINED]],TableWRTECalcPts[PLAYER],0)),"")</f>
        <v>WR41</v>
      </c>
      <c r="AY47" s="130">
        <f>IFERROR(INDEX(TableWRTECalcPts[BYE],MATCH(TableWRTERank[[#This Row],[RK]],TableWRTECalcPts[RK],0)),"")</f>
        <v>5</v>
      </c>
      <c r="AZ47" s="131">
        <f>IFERROR(INDEX(TableWRTECalcPts[Custom],MATCH(TableWRTERank[[#This Row],[RK]],TableWRTECalcPts[RK],0)),"")</f>
        <v>153.39600212962807</v>
      </c>
      <c r="BA47" s="188">
        <f>IFERROR((TableWRTERank[[#This Row],[FPS]]-INDEX(TableWRTERank[FPS],MATCH(WRTEVORPCalc,TableWRTERank[RK],0)))/INDEX(TableWRTERank[FPS],MATCH(WRTEVORPCalc,TableWRTERank[RK],0)),"")</f>
        <v>0.1084326193302738</v>
      </c>
      <c r="BC47" t="s">
        <v>257</v>
      </c>
      <c r="BD47">
        <v>46</v>
      </c>
      <c r="BE47" s="86">
        <f>RANK(TableWRTEMaster[[#This Row],[VORP]],TableWRTEMaster[VORP])+COUNTIF($BJ$2:BJ47,BJ47)-1</f>
        <v>54</v>
      </c>
      <c r="BF47" s="123" t="str">
        <f>IFERROR(INDEX(TableWRVORP[WIDE RECEIVER],MATCH(TableWRTEMaster[[#This Row],[RK]],TableWRVORP[RK],0)),"")</f>
        <v>Jonathan Mingo</v>
      </c>
      <c r="BG47" s="123" t="str">
        <f>_xlfn.CONCAT(TableWRTEMaster[[#This Row],[POS]],TableWRTEMaster[[#This Row],[RK]])</f>
        <v>WR46</v>
      </c>
      <c r="BH47" s="123">
        <f>IFERROR(INDEX(TableWRVORP[BYE],MATCH(TableWRTEMaster[[#This Row],[RK]],TableWRVORP[RK],0)),"")</f>
        <v>7</v>
      </c>
      <c r="BI47" s="124">
        <f>IFERROR(INDEX(TableWRVORP[FPS],MATCH(TableWRTEMaster[[#This Row],[RK]],TableWRVORP[RK],0)),"")</f>
        <v>147.26314162241712</v>
      </c>
      <c r="BJ47" s="125">
        <f>IFERROR(INDEX(TableWRVORP[VORP],MATCH(TableWRTEMaster[[#This Row],[RK]],TableWRVORP[RK],0)),"")</f>
        <v>0.13025388237693677</v>
      </c>
    </row>
    <row r="48" spans="1:62" x14ac:dyDescent="0.2">
      <c r="A48">
        <v>47</v>
      </c>
      <c r="B48" s="120" t="str">
        <f>IFERROR(INDEX(TableQBCalcPts[PLAYER],MATCH(TableQBVORP[[#This Row],[RK]],TableQBCalcPts[RK],0)),"")</f>
        <v>Mitch Trubisky</v>
      </c>
      <c r="C48" s="120" t="str">
        <f>IFERROR(INDEX(TableQBCalcPts[TM],MATCH(TableQBVORP[[#This Row],[RK]],TableQBCalcPts[RK],0)),"")</f>
        <v>PIT</v>
      </c>
      <c r="D48" s="120">
        <f>IFERROR(INDEX(TableQBCalcPts[BYE],MATCH(TableQBVORP[[#This Row],[RK]],TableQBCalcPts[RK],0)),"")</f>
        <v>6</v>
      </c>
      <c r="E48" s="121">
        <f>IFERROR(INDEX(TableQBCalcPts[Custom],MATCH(TableQBVORP[[#This Row],[RK]],TableQBCalcPts[RK],0)),"")</f>
        <v>10.816911422719926</v>
      </c>
      <c r="F48" s="122">
        <f>(IFERROR((TableQBVORP[[#This Row],[FPS]]-INDEX(TableQBVORP[FPS],MATCH(QBVORPCalc,TableQBVORP[RK],0)))/INDEX(TableQBVORP[FPS],MATCH(QBVORPCalc,TableQBVORP[RK],0)),""))+(TableRBVORP[[#This Row],[VORP]]*0.45)</f>
        <v>-1.0083126158551703</v>
      </c>
      <c r="H48">
        <v>47</v>
      </c>
      <c r="I48" s="120" t="str">
        <f>IFERROR(INDEX(TableRBCalcPts[PLAYER],MATCH(TableRBVORP[[#This Row],[RK]],TableRBCalcPts[RK],0)),"")</f>
        <v>Roschon Johnson</v>
      </c>
      <c r="J48" s="120" t="str">
        <f>IFERROR(INDEX(TableRBCalcPts[TM],MATCH(TableRBVORP[[#This Row],[RK]],TableRBCalcPts[RK],0)),"")</f>
        <v>CHI</v>
      </c>
      <c r="K48" s="120">
        <f>IFERROR(INDEX(TableRBCalcPts[BYE],MATCH(TableRBVORP[[#This Row],[RK]],TableRBCalcPts[RK],0)),"")</f>
        <v>13</v>
      </c>
      <c r="L48" s="121">
        <f>IFERROR(INDEX(TableRBCalcPts[Custom],MATCH(TableRBVORP[[#This Row],[RK]],TableRBCalcPts[RK],0)),"")</f>
        <v>113.11824613203741</v>
      </c>
      <c r="M48" s="122">
        <f>IFERROR((TableRBVORP[[#This Row],[FPS]]-INDEX(TableRBVORP[FPS],MATCH(RBVORPCalc,TableRBVORP[RK],0)))/INDEX(TableRBVORP[FPS],MATCH(RBVORPCalc,TableRBVORP[RK],0)),"")</f>
        <v>-7.6306115717687709E-2</v>
      </c>
      <c r="O48">
        <v>47</v>
      </c>
      <c r="P48" s="120" t="str">
        <f>IFERROR(INDEX(TableWRCalcPts[PLAYER],MATCH(TableWRVORP[[#This Row],[RK]],TableWRCalcPts[RK],0)),"")</f>
        <v>Adam Thielen</v>
      </c>
      <c r="Q48" s="120" t="str">
        <f>IFERROR(INDEX(TableWRCalcPts[TM],MATCH(TableWRVORP[[#This Row],[RK]],TableWRCalcPts[RK],0)),"")</f>
        <v>CAR</v>
      </c>
      <c r="R48" s="120">
        <f>IFERROR(INDEX(TableWRCalcPts[BYE],MATCH(TableWRVORP[[#This Row],[RK]],TableWRCalcPts[RK],0)),"")</f>
        <v>7</v>
      </c>
      <c r="S48" s="121">
        <f>IFERROR(INDEX(TableWRCalcPts[Custom],MATCH(TableWRVORP[[#This Row],[RK]],TableWRCalcPts[RK],0)),"")</f>
        <v>146.5873035192601</v>
      </c>
      <c r="T48" s="122">
        <f>IFERROR((TableWRVORP[[#This Row],[FPS]]-INDEX(TableWRVORP[FPS],MATCH(WRVORPCalc,TableWRVORP[RK],0)))/INDEX(TableWRVORP[FPS],MATCH(WRVORPCalc,TableWRVORP[RK],0)),"")</f>
        <v>0.12506678239023372</v>
      </c>
      <c r="V48">
        <v>47</v>
      </c>
      <c r="W48" s="120" t="str">
        <f>IFERROR(INDEX(TableTECalcPts[PLAYER],MATCH(TableTEVORP[[#This Row],[RK]],TableTECalcPts[RK],0)),"")</f>
        <v>Tucker Kraft</v>
      </c>
      <c r="X48" s="120" t="str">
        <f>IFERROR(INDEX(TableTECalcPts[TM],MATCH(TableTEVORP[[#This Row],[RK]],TableTECalcPts[RK],0)),"")</f>
        <v>GB</v>
      </c>
      <c r="Y48" s="120">
        <f>IFERROR(INDEX(TableTECalcPts[BYE],MATCH(TableTEVORP[[#This Row],[RK]],TableTECalcPts[RK],0)),"")</f>
        <v>6</v>
      </c>
      <c r="Z48" s="121">
        <f>IFERROR(INDEX(TableTECalcPts[Custom],MATCH(TableTEVORP[[#This Row],[RK]],TableTECalcPts[RK],0)),"")</f>
        <v>35.669760428570214</v>
      </c>
      <c r="AA48" s="122">
        <f>IFERROR((TableTEVORP[[#This Row],[FPS]]-INDEX(TableTEVORP[FPS],MATCH(TEVORPCalc,TableTEVORP[RK],0)))/INDEX(TableTEVORP[FPS],MATCH(TEVORPCalc,TableTEVORP[RK],0)),"")</f>
        <v>-0.69982576579967537</v>
      </c>
      <c r="AF48" t="s">
        <v>256</v>
      </c>
      <c r="AG48">
        <v>7</v>
      </c>
      <c r="AH48" s="86">
        <f>RANK(TableOverallMaster[[#This Row],[VORP]],TableOverallMaster[VORP])+COUNTIF($AM$2:AM48,AM48)-1</f>
        <v>8</v>
      </c>
      <c r="AI48" s="123" t="str">
        <f>IFERROR(INDEX(TableRBVORP[RUNNING BACK],MATCH(TableOverallMaster[[#This Row],[RK]],TableRBVORP[RK],0)),"")</f>
        <v>Bijan Robinson</v>
      </c>
      <c r="AJ48" s="123" t="str">
        <f t="shared" si="0"/>
        <v>RB7</v>
      </c>
      <c r="AK48" s="123">
        <f>IFERROR(INDEX(TableRBVORP[BYE],MATCH(TableOverallMaster[[#This Row],[RK]],TableRBVORP[RK],0)),"")</f>
        <v>11</v>
      </c>
      <c r="AL48" s="124">
        <f>IFERROR(INDEX(TableRBVORP[FPS],MATCH(TableOverallMaster[[#This Row],[RK]],TableRBVORP[RK],0)),"")</f>
        <v>254.16479553306854</v>
      </c>
      <c r="AM48" s="125">
        <f>IFERROR(INDEX(TableRBVORP[VORP],MATCH(TableOverallMaster[[#This Row],[RK]],TableRBVORP[RK],0)),"")</f>
        <v>1.0754429569189365</v>
      </c>
      <c r="AO48">
        <v>47</v>
      </c>
      <c r="AP48" s="126" t="str">
        <f>IFERROR(INDEX(TableOverallMaster[OVERALL PLAYER],MATCH(TableOverallRank[[#This Row],[RK]],TableOverallMaster[OVR RK],0)),"")</f>
        <v>Jalen Hurts</v>
      </c>
      <c r="AQ48" s="127" t="str">
        <f>IFERROR(INDEX(TableOverallMaster[POS RK],MATCH(TableOverallRank[[#This Row],[OVERALL PLAYER]],TableOverallMaster[OVERALL PLAYER],0)),"")</f>
        <v>QB3</v>
      </c>
      <c r="AR48" s="128">
        <f>IFERROR(INDEX(TableOverallMaster[BYE],MATCH(TableOverallRank[[#This Row],[OVERALL PLAYER]],TableOverallMaster[OVERALL PLAYER],0)),"")</f>
        <v>10</v>
      </c>
      <c r="AS48" s="127">
        <f>IFERROR(INDEX(TableOverallMaster[Custom],MATCH(TableOverallRank[[#This Row],[OVERALL PLAYER]],TableOverallMaster[OVERALL PLAYER],0)),"")</f>
        <v>398.11075336168085</v>
      </c>
      <c r="AT48" s="129">
        <f>IFERROR(INDEX(TableOverallMaster[VORP],MATCH(TableOverallRank[[#This Row],[OVERALL PLAYER]],TableOverallMaster[OVERALL PLAYER],0)),"")</f>
        <v>0.4833903554199695</v>
      </c>
      <c r="AV48">
        <v>47</v>
      </c>
      <c r="AW48" s="130" t="str">
        <f>IFERROR(INDEX(TableWRTECalcPts[PLAYER],MATCH(TableWRTERank[[#This Row],[RK]],TableWRTECalcPts[RK],0)),"")</f>
        <v>Brandin Cooks</v>
      </c>
      <c r="AX48" s="130" t="str">
        <f>IFERROR(INDEX(TableWRTECalcPts[POS RK],MATCH(TableWRTERank[[#This Row],[WR and TE COMBINED]],TableWRTECalcPts[PLAYER],0)),"")</f>
        <v>WR42</v>
      </c>
      <c r="AY48" s="130">
        <f>IFERROR(INDEX(TableWRTECalcPts[BYE],MATCH(TableWRTERank[[#This Row],[RK]],TableWRTECalcPts[RK],0)),"")</f>
        <v>7</v>
      </c>
      <c r="AZ48" s="131">
        <f>IFERROR(INDEX(TableWRTECalcPts[Custom],MATCH(TableWRTERank[[#This Row],[RK]],TableWRTECalcPts[RK],0)),"")</f>
        <v>151.57421394837161</v>
      </c>
      <c r="BA48" s="188">
        <f>IFERROR((TableWRTERank[[#This Row],[FPS]]-INDEX(TableWRTERank[FPS],MATCH(WRTEVORPCalc,TableWRTERank[RK],0)))/INDEX(TableWRTERank[FPS],MATCH(WRTEVORPCalc,TableWRTERank[RK],0)),"")</f>
        <v>9.5268459785173037E-2</v>
      </c>
      <c r="BC48" t="s">
        <v>257</v>
      </c>
      <c r="BD48">
        <v>47</v>
      </c>
      <c r="BE48" s="86">
        <f>RANK(TableWRTEMaster[[#This Row],[VORP]],TableWRTEMaster[VORP])+COUNTIF($BJ$2:BJ48,BJ48)-1</f>
        <v>55</v>
      </c>
      <c r="BF48" s="123" t="str">
        <f>IFERROR(INDEX(TableWRVORP[WIDE RECEIVER],MATCH(TableWRTEMaster[[#This Row],[RK]],TableWRVORP[RK],0)),"")</f>
        <v>Adam Thielen</v>
      </c>
      <c r="BG48" s="123" t="str">
        <f>_xlfn.CONCAT(TableWRTEMaster[[#This Row],[POS]],TableWRTEMaster[[#This Row],[RK]])</f>
        <v>WR47</v>
      </c>
      <c r="BH48" s="123">
        <f>IFERROR(INDEX(TableWRVORP[BYE],MATCH(TableWRTEMaster[[#This Row],[RK]],TableWRVORP[RK],0)),"")</f>
        <v>7</v>
      </c>
      <c r="BI48" s="124">
        <f>IFERROR(INDEX(TableWRVORP[FPS],MATCH(TableWRTEMaster[[#This Row],[RK]],TableWRVORP[RK],0)),"")</f>
        <v>146.5873035192601</v>
      </c>
      <c r="BJ48" s="125">
        <f>IFERROR(INDEX(TableWRVORP[VORP],MATCH(TableWRTEMaster[[#This Row],[RK]],TableWRVORP[RK],0)),"")</f>
        <v>0.12506678239023372</v>
      </c>
    </row>
    <row r="49" spans="1:62" x14ac:dyDescent="0.2">
      <c r="A49">
        <v>48</v>
      </c>
      <c r="B49" s="120" t="str">
        <f>IFERROR(INDEX(TableQBCalcPts[PLAYER],MATCH(TableQBVORP[[#This Row],[RK]],TableQBCalcPts[RK],0)),"")</f>
        <v>Trey Lance</v>
      </c>
      <c r="C49" s="120" t="str">
        <f>IFERROR(INDEX(TableQBCalcPts[TM],MATCH(TableQBVORP[[#This Row],[RK]],TableQBCalcPts[RK],0)),"")</f>
        <v>DAL</v>
      </c>
      <c r="D49" s="120">
        <f>IFERROR(INDEX(TableQBCalcPts[BYE],MATCH(TableQBVORP[[#This Row],[RK]],TableQBCalcPts[RK],0)),"")</f>
        <v>7</v>
      </c>
      <c r="E49" s="121">
        <f>IFERROR(INDEX(TableQBCalcPts[Custom],MATCH(TableQBVORP[[#This Row],[RK]],TableQBCalcPts[RK],0)),"")</f>
        <v>10.390084375273929</v>
      </c>
      <c r="F49" s="122">
        <f>(IFERROR((TableQBVORP[[#This Row],[FPS]]-INDEX(TableQBVORP[FPS],MATCH(QBVORPCalc,TableQBVORP[RK],0)))/INDEX(TableQBVORP[FPS],MATCH(QBVORPCalc,TableQBVORP[RK],0)),""))+(TableRBVORP[[#This Row],[VORP]]*0.45)</f>
        <v>-1.0205824519954079</v>
      </c>
      <c r="H49">
        <v>48</v>
      </c>
      <c r="I49" s="120" t="str">
        <f>IFERROR(INDEX(TableRBCalcPts[PLAYER],MATCH(TableRBVORP[[#This Row],[RK]],TableRBCalcPts[RK],0)),"")</f>
        <v>Tank Bigsby</v>
      </c>
      <c r="J49" s="120" t="str">
        <f>IFERROR(INDEX(TableRBCalcPts[TM],MATCH(TableRBVORP[[#This Row],[RK]],TableRBCalcPts[RK],0)),"")</f>
        <v>JAX</v>
      </c>
      <c r="K49" s="120">
        <f>IFERROR(INDEX(TableRBCalcPts[BYE],MATCH(TableRBVORP[[#This Row],[RK]],TableRBCalcPts[RK],0)),"")</f>
        <v>9</v>
      </c>
      <c r="L49" s="121">
        <f>IFERROR(INDEX(TableRBCalcPts[Custom],MATCH(TableRBVORP[[#This Row],[RK]],TableRBCalcPts[RK],0)),"")</f>
        <v>110.05860429876311</v>
      </c>
      <c r="M49" s="122">
        <f>IFERROR((TableRBVORP[[#This Row],[FPS]]-INDEX(TableRBVORP[FPS],MATCH(RBVORPCalc,TableRBVORP[RK],0)))/INDEX(TableRBVORP[FPS],MATCH(RBVORPCalc,TableRBVORP[RK],0)),"")</f>
        <v>-0.10129034722876451</v>
      </c>
      <c r="O49">
        <v>48</v>
      </c>
      <c r="P49" s="120" t="str">
        <f>IFERROR(INDEX(TableWRCalcPts[PLAYER],MATCH(TableWRVORP[[#This Row],[RK]],TableWRCalcPts[RK],0)),"")</f>
        <v>Treylon Burks</v>
      </c>
      <c r="Q49" s="120" t="str">
        <f>IFERROR(INDEX(TableWRCalcPts[TM],MATCH(TableWRVORP[[#This Row],[RK]],TableWRCalcPts[RK],0)),"")</f>
        <v>TEN</v>
      </c>
      <c r="R49" s="120">
        <f>IFERROR(INDEX(TableWRCalcPts[BYE],MATCH(TableWRVORP[[#This Row],[RK]],TableWRCalcPts[RK],0)),"")</f>
        <v>7</v>
      </c>
      <c r="S49" s="121">
        <f>IFERROR(INDEX(TableWRCalcPts[Custom],MATCH(TableWRVORP[[#This Row],[RK]],TableWRCalcPts[RK],0)),"")</f>
        <v>146.50792170981475</v>
      </c>
      <c r="T49" s="122">
        <f>IFERROR((TableWRVORP[[#This Row],[FPS]]-INDEX(TableWRVORP[FPS],MATCH(WRVORPCalc,TableWRVORP[RK],0)))/INDEX(TableWRVORP[FPS],MATCH(WRVORPCalc,TableWRVORP[RK],0)),"")</f>
        <v>0.1244575220055425</v>
      </c>
      <c r="V49">
        <v>48</v>
      </c>
      <c r="W49" s="120" t="str">
        <f>IFERROR(INDEX(TableTECalcPts[PLAYER],MATCH(TableTEVORP[[#This Row],[RK]],TableTECalcPts[RK],0)),"")</f>
        <v>Donald Parham</v>
      </c>
      <c r="X49" s="120" t="str">
        <f>IFERROR(INDEX(TableTECalcPts[TM],MATCH(TableTEVORP[[#This Row],[RK]],TableTECalcPts[RK],0)),"")</f>
        <v>LAC</v>
      </c>
      <c r="Y49" s="120">
        <f>IFERROR(INDEX(TableTECalcPts[BYE],MATCH(TableTEVORP[[#This Row],[RK]],TableTECalcPts[RK],0)),"")</f>
        <v>5</v>
      </c>
      <c r="Z49" s="121">
        <f>IFERROR(INDEX(TableTECalcPts[Custom],MATCH(TableTEVORP[[#This Row],[RK]],TableTECalcPts[RK],0)),"")</f>
        <v>32.990479742088795</v>
      </c>
      <c r="AA49" s="122">
        <f>IFERROR((TableTEVORP[[#This Row],[FPS]]-INDEX(TableTEVORP[FPS],MATCH(TEVORPCalc,TableTEVORP[RK],0)))/INDEX(TableTEVORP[FPS],MATCH(TEVORPCalc,TableTEVORP[RK],0)),"")</f>
        <v>-0.72237290428923195</v>
      </c>
      <c r="AF49" t="s">
        <v>256</v>
      </c>
      <c r="AG49">
        <v>8</v>
      </c>
      <c r="AH49" s="86">
        <f>RANK(TableOverallMaster[[#This Row],[VORP]],TableOverallMaster[VORP])+COUNTIF($AM$2:AM49,AM49)-1</f>
        <v>14</v>
      </c>
      <c r="AI49" s="123" t="str">
        <f>IFERROR(INDEX(TableRBVORP[RUNNING BACK],MATCH(TableOverallMaster[[#This Row],[RK]],TableRBVORP[RK],0)),"")</f>
        <v>Josh Jacobs</v>
      </c>
      <c r="AJ49" s="123" t="str">
        <f t="shared" si="0"/>
        <v>RB8</v>
      </c>
      <c r="AK49" s="123">
        <f>IFERROR(INDEX(TableRBVORP[BYE],MATCH(TableOverallMaster[[#This Row],[RK]],TableRBVORP[RK],0)),"")</f>
        <v>13</v>
      </c>
      <c r="AL49" s="124">
        <f>IFERROR(INDEX(TableRBVORP[FPS],MATCH(TableOverallMaster[[#This Row],[RK]],TableRBVORP[RK],0)),"")</f>
        <v>228.04531439642474</v>
      </c>
      <c r="AM49" s="125">
        <f>IFERROR(INDEX(TableRBVORP[VORP],MATCH(TableOverallMaster[[#This Row],[RK]],TableRBVORP[RK],0)),"")</f>
        <v>0.86215813496029758</v>
      </c>
      <c r="AO49">
        <v>48</v>
      </c>
      <c r="AP49" s="126" t="str">
        <f>IFERROR(INDEX(TableOverallMaster[OVERALL PLAYER],MATCH(TableOverallRank[[#This Row],[RK]],TableOverallMaster[OVR RK],0)),"")</f>
        <v>Alvin Kamara</v>
      </c>
      <c r="AQ49" s="127" t="str">
        <f>IFERROR(INDEX(TableOverallMaster[POS RK],MATCH(TableOverallRank[[#This Row],[OVERALL PLAYER]],TableOverallMaster[OVERALL PLAYER],0)),"")</f>
        <v>RB28</v>
      </c>
      <c r="AR49" s="128">
        <f>IFERROR(INDEX(TableOverallMaster[BYE],MATCH(TableOverallRank[[#This Row],[OVERALL PLAYER]],TableOverallMaster[OVERALL PLAYER],0)),"")</f>
        <v>11</v>
      </c>
      <c r="AS49" s="127">
        <f>IFERROR(INDEX(TableOverallMaster[Custom],MATCH(TableOverallRank[[#This Row],[OVERALL PLAYER]],TableOverallMaster[OVERALL PLAYER],0)),"")</f>
        <v>181.29594105419741</v>
      </c>
      <c r="AT49" s="129">
        <f>IFERROR(INDEX(TableOverallMaster[VORP],MATCH(TableOverallRank[[#This Row],[OVERALL PLAYER]],TableOverallMaster[OVERALL PLAYER],0)),"")</f>
        <v>0.48041503226189136</v>
      </c>
      <c r="AV49">
        <v>48</v>
      </c>
      <c r="AW49" s="130" t="str">
        <f>IFERROR(INDEX(TableWRTECalcPts[PLAYER],MATCH(TableWRTERank[[#This Row],[RK]],TableWRTECalcPts[RK],0)),"")</f>
        <v>Zay Jones</v>
      </c>
      <c r="AX49" s="130" t="str">
        <f>IFERROR(INDEX(TableWRTECalcPts[POS RK],MATCH(TableWRTERank[[#This Row],[WR and TE COMBINED]],TableWRTECalcPts[PLAYER],0)),"")</f>
        <v>WR43</v>
      </c>
      <c r="AY49" s="130">
        <f>IFERROR(INDEX(TableWRTECalcPts[BYE],MATCH(TableWRTERank[[#This Row],[RK]],TableWRTECalcPts[RK],0)),"")</f>
        <v>9</v>
      </c>
      <c r="AZ49" s="131">
        <f>IFERROR(INDEX(TableWRTECalcPts[Custom],MATCH(TableWRTERank[[#This Row],[RK]],TableWRTECalcPts[RK],0)),"")</f>
        <v>150.18755470457839</v>
      </c>
      <c r="BA49" s="188">
        <f>IFERROR((TableWRTERank[[#This Row],[FPS]]-INDEX(TableWRTERank[FPS],MATCH(WRTEVORPCalc,TableWRTERank[RK],0)))/INDEX(TableWRTERank[FPS],MATCH(WRTEVORPCalc,TableWRTERank[RK],0)),"")</f>
        <v>8.52485223919065E-2</v>
      </c>
      <c r="BC49" t="s">
        <v>257</v>
      </c>
      <c r="BD49">
        <v>48</v>
      </c>
      <c r="BE49" s="86">
        <f>RANK(TableWRTEMaster[[#This Row],[VORP]],TableWRTEMaster[VORP])+COUNTIF($BJ$2:BJ49,BJ49)-1</f>
        <v>56</v>
      </c>
      <c r="BF49" s="123" t="str">
        <f>IFERROR(INDEX(TableWRVORP[WIDE RECEIVER],MATCH(TableWRTEMaster[[#This Row],[RK]],TableWRVORP[RK],0)),"")</f>
        <v>Treylon Burks</v>
      </c>
      <c r="BG49" s="123" t="str">
        <f>_xlfn.CONCAT(TableWRTEMaster[[#This Row],[POS]],TableWRTEMaster[[#This Row],[RK]])</f>
        <v>WR48</v>
      </c>
      <c r="BH49" s="123">
        <f>IFERROR(INDEX(TableWRVORP[BYE],MATCH(TableWRTEMaster[[#This Row],[RK]],TableWRVORP[RK],0)),"")</f>
        <v>7</v>
      </c>
      <c r="BI49" s="124">
        <f>IFERROR(INDEX(TableWRVORP[FPS],MATCH(TableWRTEMaster[[#This Row],[RK]],TableWRVORP[RK],0)),"")</f>
        <v>146.50792170981475</v>
      </c>
      <c r="BJ49" s="125">
        <f>IFERROR(INDEX(TableWRVORP[VORP],MATCH(TableWRTEMaster[[#This Row],[RK]],TableWRVORP[RK],0)),"")</f>
        <v>0.1244575220055425</v>
      </c>
    </row>
    <row r="50" spans="1:62" x14ac:dyDescent="0.2">
      <c r="A50">
        <v>49</v>
      </c>
      <c r="B50" s="120" t="str">
        <f>IFERROR(INDEX(TableQBCalcPts[PLAYER],MATCH(TableQBVORP[[#This Row],[RK]],TableQBCalcPts[RK],0)),"")</f>
        <v>Stetson Bennett</v>
      </c>
      <c r="C50" s="120" t="str">
        <f>IFERROR(INDEX(TableQBCalcPts[TM],MATCH(TableQBVORP[[#This Row],[RK]],TableQBCalcPts[RK],0)),"")</f>
        <v>LAR</v>
      </c>
      <c r="D50" s="120">
        <f>IFERROR(INDEX(TableQBCalcPts[BYE],MATCH(TableQBVORP[[#This Row],[RK]],TableQBCalcPts[RK],0)),"")</f>
        <v>10</v>
      </c>
      <c r="E50" s="121">
        <f>IFERROR(INDEX(TableQBCalcPts[Custom],MATCH(TableQBVORP[[#This Row],[RK]],TableQBCalcPts[RK],0)),"")</f>
        <v>9.3979359768056128</v>
      </c>
      <c r="F50" s="122">
        <f>(IFERROR((TableQBVORP[[#This Row],[FPS]]-INDEX(TableQBVORP[FPS],MATCH(QBVORPCalc,TableQBVORP[RK],0)))/INDEX(TableQBVORP[FPS],MATCH(QBVORPCalc,TableQBVORP[RK],0)),""))+(TableRBVORP[[#This Row],[VORP]]*0.45)</f>
        <v>-1.0337678575386859</v>
      </c>
      <c r="H50">
        <v>49</v>
      </c>
      <c r="I50" s="120" t="str">
        <f>IFERROR(INDEX(TableRBCalcPts[PLAYER],MATCH(TableRBVORP[[#This Row],[RK]],TableRBCalcPts[RK],0)),"")</f>
        <v>Ty Chandler</v>
      </c>
      <c r="J50" s="120" t="str">
        <f>IFERROR(INDEX(TableRBCalcPts[TM],MATCH(TableRBVORP[[#This Row],[RK]],TableRBCalcPts[RK],0)),"")</f>
        <v>MIN</v>
      </c>
      <c r="K50" s="120">
        <f>IFERROR(INDEX(TableRBCalcPts[BYE],MATCH(TableRBVORP[[#This Row],[RK]],TableRBCalcPts[RK],0)),"")</f>
        <v>13</v>
      </c>
      <c r="L50" s="121">
        <f>IFERROR(INDEX(TableRBCalcPts[Custom],MATCH(TableRBVORP[[#This Row],[RK]],TableRBCalcPts[RK],0)),"")</f>
        <v>107.11994911405516</v>
      </c>
      <c r="M50" s="122">
        <f>IFERROR((TableRBVORP[[#This Row],[FPS]]-INDEX(TableRBVORP[FPS],MATCH(RBVORPCalc,TableRBVORP[RK],0)))/INDEX(TableRBVORP[FPS],MATCH(RBVORPCalc,TableRBVORP[RK],0)),"")</f>
        <v>-0.12528663354813371</v>
      </c>
      <c r="O50">
        <v>49</v>
      </c>
      <c r="P50" s="120" t="str">
        <f>IFERROR(INDEX(TableWRCalcPts[PLAYER],MATCH(TableWRVORP[[#This Row],[RK]],TableWRCalcPts[RK],0)),"")</f>
        <v>Quentin Johnston</v>
      </c>
      <c r="Q50" s="120" t="str">
        <f>IFERROR(INDEX(TableWRCalcPts[TM],MATCH(TableWRVORP[[#This Row],[RK]],TableWRCalcPts[RK],0)),"")</f>
        <v>LAC</v>
      </c>
      <c r="R50" s="120">
        <f>IFERROR(INDEX(TableWRCalcPts[BYE],MATCH(TableWRVORP[[#This Row],[RK]],TableWRCalcPts[RK],0)),"")</f>
        <v>5</v>
      </c>
      <c r="S50" s="121">
        <f>IFERROR(INDEX(TableWRCalcPts[Custom],MATCH(TableWRVORP[[#This Row],[RK]],TableWRCalcPts[RK],0)),"")</f>
        <v>146.30157488677921</v>
      </c>
      <c r="T50" s="122">
        <f>IFERROR((TableWRVORP[[#This Row],[FPS]]-INDEX(TableWRVORP[FPS],MATCH(WRVORPCalc,TableWRVORP[RK],0)))/INDEX(TableWRVORP[FPS],MATCH(WRVORPCalc,TableWRVORP[RK],0)),"")</f>
        <v>0.12287379714891775</v>
      </c>
      <c r="V50">
        <v>49</v>
      </c>
      <c r="W50" s="120" t="str">
        <f>IFERROR(INDEX(TableTECalcPts[PLAYER],MATCH(TableTEVORP[[#This Row],[RK]],TableTECalcPts[RK],0)),"")</f>
        <v>Julian Hill</v>
      </c>
      <c r="X50" s="120" t="str">
        <f>IFERROR(INDEX(TableTECalcPts[TM],MATCH(TableTEVORP[[#This Row],[RK]],TableTECalcPts[RK],0)),"")</f>
        <v>MIA</v>
      </c>
      <c r="Y50" s="120">
        <f>IFERROR(INDEX(TableTECalcPts[BYE],MATCH(TableTEVORP[[#This Row],[RK]],TableTECalcPts[RK],0)),"")</f>
        <v>10</v>
      </c>
      <c r="Z50" s="121">
        <f>IFERROR(INDEX(TableTECalcPts[Custom],MATCH(TableTEVORP[[#This Row],[RK]],TableTECalcPts[RK],0)),"")</f>
        <v>31.534379794827011</v>
      </c>
      <c r="AA50" s="122">
        <f>IFERROR((TableTEVORP[[#This Row],[FPS]]-INDEX(TableTEVORP[FPS],MATCH(TEVORPCalc,TableTEVORP[RK],0)))/INDEX(TableTEVORP[FPS],MATCH(TEVORPCalc,TableTEVORP[RK],0)),"")</f>
        <v>-0.73462652419968</v>
      </c>
      <c r="AF50" t="s">
        <v>256</v>
      </c>
      <c r="AG50">
        <v>9</v>
      </c>
      <c r="AH50" s="86">
        <f>RANK(TableOverallMaster[[#This Row],[VORP]],TableOverallMaster[VORP])+COUNTIF($AM$2:AM50,AM50)-1</f>
        <v>16</v>
      </c>
      <c r="AI50" s="123" t="str">
        <f>IFERROR(INDEX(TableRBVORP[RUNNING BACK],MATCH(TableOverallMaster[[#This Row],[RK]],TableRBVORP[RK],0)),"")</f>
        <v>Rhamondre Stevenson</v>
      </c>
      <c r="AJ50" s="123" t="str">
        <f t="shared" si="0"/>
        <v>RB9</v>
      </c>
      <c r="AK50" s="123">
        <f>IFERROR(INDEX(TableRBVORP[BYE],MATCH(TableOverallMaster[[#This Row],[RK]],TableRBVORP[RK],0)),"")</f>
        <v>11</v>
      </c>
      <c r="AL50" s="124">
        <f>IFERROR(INDEX(TableRBVORP[FPS],MATCH(TableOverallMaster[[#This Row],[RK]],TableRBVORP[RK],0)),"")</f>
        <v>219.66601335836557</v>
      </c>
      <c r="AM50" s="125">
        <f>IFERROR(INDEX(TableRBVORP[VORP],MATCH(TableOverallMaster[[#This Row],[RK]],TableRBVORP[RK],0)),"")</f>
        <v>0.7937349637383776</v>
      </c>
      <c r="AO50">
        <v>49</v>
      </c>
      <c r="AP50" s="126" t="str">
        <f>IFERROR(INDEX(TableOverallMaster[OVERALL PLAYER],MATCH(TableOverallRank[[#This Row],[RK]],TableOverallMaster[OVR RK],0)),"")</f>
        <v>Jahan Dotson</v>
      </c>
      <c r="AQ50" s="127" t="str">
        <f>IFERROR(INDEX(TableOverallMaster[POS RK],MATCH(TableOverallRank[[#This Row],[OVERALL PLAYER]],TableOverallMaster[OVERALL PLAYER],0)),"")</f>
        <v>WR15</v>
      </c>
      <c r="AR50" s="128">
        <f>IFERROR(INDEX(TableOverallMaster[BYE],MATCH(TableOverallRank[[#This Row],[OVERALL PLAYER]],TableOverallMaster[OVERALL PLAYER],0)),"")</f>
        <v>14</v>
      </c>
      <c r="AS50" s="127">
        <f>IFERROR(INDEX(TableOverallMaster[Custom],MATCH(TableOverallRank[[#This Row],[OVERALL PLAYER]],TableOverallMaster[OVERALL PLAYER],0)),"")</f>
        <v>191.8214704728</v>
      </c>
      <c r="AT50" s="129">
        <f>IFERROR(INDEX(TableOverallMaster[VORP],MATCH(TableOverallRank[[#This Row],[OVERALL PLAYER]],TableOverallMaster[OVERALL PLAYER],0)),"")</f>
        <v>0.47224186131400386</v>
      </c>
      <c r="AV50">
        <v>49</v>
      </c>
      <c r="AW50" s="130" t="str">
        <f>IFERROR(INDEX(TableWRTECalcPts[PLAYER],MATCH(TableWRTERank[[#This Row],[RK]],TableWRTECalcPts[RK],0)),"")</f>
        <v>Marquez Valdes-Scantling</v>
      </c>
      <c r="AX50" s="130" t="str">
        <f>IFERROR(INDEX(TableWRTECalcPts[POS RK],MATCH(TableWRTERank[[#This Row],[WR and TE COMBINED]],TableWRTECalcPts[PLAYER],0)),"")</f>
        <v>WR44</v>
      </c>
      <c r="AY50" s="130">
        <f>IFERROR(INDEX(TableWRTECalcPts[BYE],MATCH(TableWRTERank[[#This Row],[RK]],TableWRTECalcPts[RK],0)),"")</f>
        <v>10</v>
      </c>
      <c r="AZ50" s="131">
        <f>IFERROR(INDEX(TableWRTECalcPts[Custom],MATCH(TableWRTERank[[#This Row],[RK]],TableWRTECalcPts[RK],0)),"")</f>
        <v>149.61004613929302</v>
      </c>
      <c r="BA50" s="188">
        <f>IFERROR((TableWRTERank[[#This Row],[FPS]]-INDEX(TableWRTERank[FPS],MATCH(WRTEVORPCalc,TableWRTERank[RK],0)))/INDEX(TableWRTERank[FPS],MATCH(WRTEVORPCalc,TableWRTERank[RK],0)),"")</f>
        <v>8.1075471446524064E-2</v>
      </c>
      <c r="BC50" t="s">
        <v>257</v>
      </c>
      <c r="BD50">
        <v>49</v>
      </c>
      <c r="BE50" s="86">
        <f>RANK(TableWRTEMaster[[#This Row],[VORP]],TableWRTEMaster[VORP])+COUNTIF($BJ$2:BJ50,BJ50)-1</f>
        <v>57</v>
      </c>
      <c r="BF50" s="123" t="str">
        <f>IFERROR(INDEX(TableWRVORP[WIDE RECEIVER],MATCH(TableWRTEMaster[[#This Row],[RK]],TableWRVORP[RK],0)),"")</f>
        <v>Quentin Johnston</v>
      </c>
      <c r="BG50" s="123" t="str">
        <f>_xlfn.CONCAT(TableWRTEMaster[[#This Row],[POS]],TableWRTEMaster[[#This Row],[RK]])</f>
        <v>WR49</v>
      </c>
      <c r="BH50" s="123">
        <f>IFERROR(INDEX(TableWRVORP[BYE],MATCH(TableWRTEMaster[[#This Row],[RK]],TableWRVORP[RK],0)),"")</f>
        <v>5</v>
      </c>
      <c r="BI50" s="124">
        <f>IFERROR(INDEX(TableWRVORP[FPS],MATCH(TableWRTEMaster[[#This Row],[RK]],TableWRVORP[RK],0)),"")</f>
        <v>146.30157488677921</v>
      </c>
      <c r="BJ50" s="125">
        <f>IFERROR(INDEX(TableWRVORP[VORP],MATCH(TableWRTEMaster[[#This Row],[RK]],TableWRVORP[RK],0)),"")</f>
        <v>0.12287379714891775</v>
      </c>
    </row>
    <row r="51" spans="1:62" x14ac:dyDescent="0.2">
      <c r="A51">
        <v>50</v>
      </c>
      <c r="B51" s="120" t="str">
        <f>IFERROR(INDEX(TableQBCalcPts[PLAYER],MATCH(TableQBVORP[[#This Row],[RK]],TableQBCalcPts[RK],0)),"")</f>
        <v>Marcus Mariota</v>
      </c>
      <c r="C51" s="120" t="str">
        <f>IFERROR(INDEX(TableQBCalcPts[TM],MATCH(TableQBVORP[[#This Row],[RK]],TableQBCalcPts[RK],0)),"")</f>
        <v>PHI</v>
      </c>
      <c r="D51" s="120">
        <f>IFERROR(INDEX(TableQBCalcPts[BYE],MATCH(TableQBVORP[[#This Row],[RK]],TableQBCalcPts[RK],0)),"")</f>
        <v>10</v>
      </c>
      <c r="E51" s="121">
        <f>IFERROR(INDEX(TableQBCalcPts[Custom],MATCH(TableQBVORP[[#This Row],[RK]],TableQBCalcPts[RK],0)),"")</f>
        <v>8.783530238899468</v>
      </c>
      <c r="F51" s="122">
        <f>(IFERROR((TableQBVORP[[#This Row],[FPS]]-INDEX(TableQBVORP[FPS],MATCH(QBVORPCalc,TableQBVORP[RK],0)))/INDEX(TableQBVORP[FPS],MATCH(QBVORPCalc,TableQBVORP[RK],0)),""))+(TableRBVORP[[#This Row],[VORP]]*0.45)</f>
        <v>-1.0412625976203729</v>
      </c>
      <c r="H51">
        <v>50</v>
      </c>
      <c r="I51" s="120" t="str">
        <f>IFERROR(INDEX(TableRBCalcPts[PLAYER],MATCH(TableRBVORP[[#This Row],[RK]],TableRBCalcPts[RK],0)),"")</f>
        <v>Damien Harris</v>
      </c>
      <c r="J51" s="120" t="str">
        <f>IFERROR(INDEX(TableRBCalcPts[TM],MATCH(TableRBVORP[[#This Row],[RK]],TableRBCalcPts[RK],0)),"")</f>
        <v>BUF</v>
      </c>
      <c r="K51" s="120">
        <f>IFERROR(INDEX(TableRBCalcPts[BYE],MATCH(TableRBVORP[[#This Row],[RK]],TableRBCalcPts[RK],0)),"")</f>
        <v>13</v>
      </c>
      <c r="L51" s="121">
        <f>IFERROR(INDEX(TableRBCalcPts[Custom],MATCH(TableRBVORP[[#This Row],[RK]],TableRBCalcPts[RK],0)),"")</f>
        <v>105.48261995841824</v>
      </c>
      <c r="M51" s="122">
        <f>IFERROR((TableRBVORP[[#This Row],[FPS]]-INDEX(TableRBVORP[FPS],MATCH(RBVORPCalc,TableRBVORP[RK],0)))/INDEX(TableRBVORP[FPS],MATCH(RBVORPCalc,TableRBVORP[RK],0)),"")</f>
        <v>-0.13865663334333567</v>
      </c>
      <c r="O51">
        <v>50</v>
      </c>
      <c r="P51" s="120" t="str">
        <f>IFERROR(INDEX(TableWRCalcPts[PLAYER],MATCH(TableWRVORP[[#This Row],[RK]],TableWRCalcPts[RK],0)),"")</f>
        <v>Diontae Johnson</v>
      </c>
      <c r="Q51" s="120" t="str">
        <f>IFERROR(INDEX(TableWRCalcPts[TM],MATCH(TableWRVORP[[#This Row],[RK]],TableWRCalcPts[RK],0)),"")</f>
        <v>PIT</v>
      </c>
      <c r="R51" s="120">
        <f>IFERROR(INDEX(TableWRCalcPts[BYE],MATCH(TableWRVORP[[#This Row],[RK]],TableWRCalcPts[RK],0)),"")</f>
        <v>6</v>
      </c>
      <c r="S51" s="121">
        <f>IFERROR(INDEX(TableWRCalcPts[Custom],MATCH(TableWRVORP[[#This Row],[RK]],TableWRCalcPts[RK],0)),"")</f>
        <v>144.91414323693797</v>
      </c>
      <c r="T51" s="122">
        <f>IFERROR((TableWRVORP[[#This Row],[FPS]]-INDEX(TableWRVORP[FPS],MATCH(WRVORPCalc,TableWRVORP[RK],0)))/INDEX(TableWRVORP[FPS],MATCH(WRVORPCalc,TableWRVORP[RK],0)),"")</f>
        <v>0.1122251718955843</v>
      </c>
      <c r="V51">
        <v>50</v>
      </c>
      <c r="W51" s="120" t="str">
        <f>IFERROR(INDEX(TableTECalcPts[PLAYER],MATCH(TableTEVORP[[#This Row],[RK]],TableTECalcPts[RK],0)),"")</f>
        <v>Luke Schoonmaker</v>
      </c>
      <c r="X51" s="120" t="str">
        <f>IFERROR(INDEX(TableTECalcPts[TM],MATCH(TableTEVORP[[#This Row],[RK]],TableTECalcPts[RK],0)),"")</f>
        <v>DAL</v>
      </c>
      <c r="Y51" s="120">
        <f>IFERROR(INDEX(TableTECalcPts[BYE],MATCH(TableTEVORP[[#This Row],[RK]],TableTECalcPts[RK],0)),"")</f>
        <v>7</v>
      </c>
      <c r="Z51" s="121">
        <f>IFERROR(INDEX(TableTECalcPts[Custom],MATCH(TableTEVORP[[#This Row],[RK]],TableTECalcPts[RK],0)),"")</f>
        <v>31.070588099084844</v>
      </c>
      <c r="AA51" s="122">
        <f>IFERROR((TableTEVORP[[#This Row],[FPS]]-INDEX(TableTEVORP[FPS],MATCH(TEVORPCalc,TableTEVORP[RK],0)))/INDEX(TableTEVORP[FPS],MATCH(TEVORPCalc,TableTEVORP[RK],0)),"")</f>
        <v>-0.73852950295325659</v>
      </c>
      <c r="AF51" t="s">
        <v>256</v>
      </c>
      <c r="AG51">
        <v>10</v>
      </c>
      <c r="AH51" s="86">
        <f>RANK(TableOverallMaster[[#This Row],[VORP]],TableOverallMaster[VORP])+COUNTIF($AM$2:AM51,AM51)-1</f>
        <v>17</v>
      </c>
      <c r="AI51" s="123" t="str">
        <f>IFERROR(INDEX(TableRBVORP[RUNNING BACK],MATCH(TableOverallMaster[[#This Row],[RK]],TableRBVORP[RK],0)),"")</f>
        <v>Joe Mixon</v>
      </c>
      <c r="AJ51" s="123" t="str">
        <f t="shared" si="0"/>
        <v>RB10</v>
      </c>
      <c r="AK51" s="123">
        <f>IFERROR(INDEX(TableRBVORP[BYE],MATCH(TableOverallMaster[[#This Row],[RK]],TableRBVORP[RK],0)),"")</f>
        <v>7</v>
      </c>
      <c r="AL51" s="124">
        <f>IFERROR(INDEX(TableRBVORP[FPS],MATCH(TableOverallMaster[[#This Row],[RK]],TableRBVORP[RK],0)),"")</f>
        <v>218.79658404116833</v>
      </c>
      <c r="AM51" s="125">
        <f>IFERROR(INDEX(TableRBVORP[VORP],MATCH(TableOverallMaster[[#This Row],[RK]],TableRBVORP[RK],0)),"")</f>
        <v>0.78663543231377042</v>
      </c>
      <c r="AO51">
        <v>50</v>
      </c>
      <c r="AP51" s="126" t="str">
        <f>IFERROR(INDEX(TableOverallMaster[OVERALL PLAYER],MATCH(TableOverallRank[[#This Row],[RK]],TableOverallMaster[OVR RK],0)),"")</f>
        <v>Chris Olave</v>
      </c>
      <c r="AQ51" s="127" t="str">
        <f>IFERROR(INDEX(TableOverallMaster[POS RK],MATCH(TableOverallRank[[#This Row],[OVERALL PLAYER]],TableOverallMaster[OVERALL PLAYER],0)),"")</f>
        <v>WR16</v>
      </c>
      <c r="AR51" s="128">
        <f>IFERROR(INDEX(TableOverallMaster[BYE],MATCH(TableOverallRank[[#This Row],[OVERALL PLAYER]],TableOverallMaster[OVERALL PLAYER],0)),"")</f>
        <v>11</v>
      </c>
      <c r="AS51" s="127">
        <f>IFERROR(INDEX(TableOverallMaster[Custom],MATCH(TableOverallRank[[#This Row],[OVERALL PLAYER]],TableOverallMaster[OVERALL PLAYER],0)),"")</f>
        <v>191.7746675145101</v>
      </c>
      <c r="AT51" s="129">
        <f>IFERROR(INDEX(TableOverallMaster[VORP],MATCH(TableOverallRank[[#This Row],[OVERALL PLAYER]],TableOverallMaster[OVERALL PLAYER],0)),"")</f>
        <v>0.47188264566281585</v>
      </c>
      <c r="AV51">
        <v>50</v>
      </c>
      <c r="AW51" s="130" t="str">
        <f>IFERROR(INDEX(TableWRTECalcPts[PLAYER],MATCH(TableWRTERank[[#This Row],[RK]],TableWRTECalcPts[RK],0)),"")</f>
        <v>Michael Pittman</v>
      </c>
      <c r="AX51" s="130" t="str">
        <f>IFERROR(INDEX(TableWRTECalcPts[POS RK],MATCH(TableWRTERank[[#This Row],[WR and TE COMBINED]],TableWRTECalcPts[PLAYER],0)),"")</f>
        <v>WR45</v>
      </c>
      <c r="AY51" s="130">
        <f>IFERROR(INDEX(TableWRTECalcPts[BYE],MATCH(TableWRTERank[[#This Row],[RK]],TableWRTECalcPts[RK],0)),"")</f>
        <v>11</v>
      </c>
      <c r="AZ51" s="131">
        <f>IFERROR(INDEX(TableWRTECalcPts[Custom],MATCH(TableWRTERank[[#This Row],[RK]],TableWRTECalcPts[RK],0)),"")</f>
        <v>147.32864579569036</v>
      </c>
      <c r="BA51" s="188">
        <f>IFERROR((TableWRTERank[[#This Row],[FPS]]-INDEX(TableWRTERank[FPS],MATCH(WRTEVORPCalc,TableWRTERank[RK],0)))/INDEX(TableWRTERank[FPS],MATCH(WRTEVORPCalc,TableWRTERank[RK],0)),"")</f>
        <v>6.459017506661241E-2</v>
      </c>
      <c r="BC51" t="s">
        <v>257</v>
      </c>
      <c r="BD51">
        <v>50</v>
      </c>
      <c r="BE51" s="86">
        <f>RANK(TableWRTEMaster[[#This Row],[VORP]],TableWRTEMaster[VORP])+COUNTIF($BJ$2:BJ51,BJ51)-1</f>
        <v>59</v>
      </c>
      <c r="BF51" s="123" t="str">
        <f>IFERROR(INDEX(TableWRVORP[WIDE RECEIVER],MATCH(TableWRTEMaster[[#This Row],[RK]],TableWRVORP[RK],0)),"")</f>
        <v>Diontae Johnson</v>
      </c>
      <c r="BG51" s="123" t="str">
        <f>_xlfn.CONCAT(TableWRTEMaster[[#This Row],[POS]],TableWRTEMaster[[#This Row],[RK]])</f>
        <v>WR50</v>
      </c>
      <c r="BH51" s="123">
        <f>IFERROR(INDEX(TableWRVORP[BYE],MATCH(TableWRTEMaster[[#This Row],[RK]],TableWRVORP[RK],0)),"")</f>
        <v>6</v>
      </c>
      <c r="BI51" s="124">
        <f>IFERROR(INDEX(TableWRVORP[FPS],MATCH(TableWRTEMaster[[#This Row],[RK]],TableWRVORP[RK],0)),"")</f>
        <v>144.91414323693797</v>
      </c>
      <c r="BJ51" s="125">
        <f>IFERROR(INDEX(TableWRVORP[VORP],MATCH(TableWRTEMaster[[#This Row],[RK]],TableWRVORP[RK],0)),"")</f>
        <v>0.1122251718955843</v>
      </c>
    </row>
    <row r="52" spans="1:62" x14ac:dyDescent="0.2">
      <c r="A52">
        <v>51</v>
      </c>
      <c r="B52" s="120" t="str">
        <f>IFERROR(INDEX(TableQBCalcPts[PLAYER],MATCH(TableQBVORP[[#This Row],[RK]],TableQBCalcPts[RK],0)),"")</f>
        <v>Nick Mullens</v>
      </c>
      <c r="C52" s="120" t="str">
        <f>IFERROR(INDEX(TableQBCalcPts[TM],MATCH(TableQBVORP[[#This Row],[RK]],TableQBCalcPts[RK],0)),"")</f>
        <v>MIN</v>
      </c>
      <c r="D52" s="120">
        <f>IFERROR(INDEX(TableQBCalcPts[BYE],MATCH(TableQBVORP[[#This Row],[RK]],TableQBCalcPts[RK],0)),"")</f>
        <v>13</v>
      </c>
      <c r="E52" s="121">
        <f>IFERROR(INDEX(TableQBCalcPts[Custom],MATCH(TableQBVORP[[#This Row],[RK]],TableQBCalcPts[RK],0)),"")</f>
        <v>7.8821260056000071</v>
      </c>
      <c r="F52" s="122">
        <f>(IFERROR((TableQBVORP[[#This Row],[FPS]]-INDEX(TableQBVORP[FPS],MATCH(QBVORPCalc,TableQBVORP[RK],0)))/INDEX(TableQBVORP[FPS],MATCH(QBVORPCalc,TableQBVORP[RK],0)),""))+(TableRBVORP[[#This Row],[VORP]]*0.45)</f>
        <v>-1.0466725728619128</v>
      </c>
      <c r="H52">
        <v>51</v>
      </c>
      <c r="I52" s="120" t="str">
        <f>IFERROR(INDEX(TableRBCalcPts[PLAYER],MATCH(TableRBVORP[[#This Row],[RK]],TableRBCalcPts[RK],0)),"")</f>
        <v>Elijah Mitchell</v>
      </c>
      <c r="J52" s="120" t="str">
        <f>IFERROR(INDEX(TableRBCalcPts[TM],MATCH(TableRBVORP[[#This Row],[RK]],TableRBCalcPts[RK],0)),"")</f>
        <v>SF</v>
      </c>
      <c r="K52" s="120">
        <f>IFERROR(INDEX(TableRBCalcPts[BYE],MATCH(TableRBVORP[[#This Row],[RK]],TableRBCalcPts[RK],0)),"")</f>
        <v>9</v>
      </c>
      <c r="L52" s="121">
        <f>IFERROR(INDEX(TableRBCalcPts[Custom],MATCH(TableRBVORP[[#This Row],[RK]],TableRBCalcPts[RK],0)),"")</f>
        <v>104.6005533109488</v>
      </c>
      <c r="M52" s="122">
        <f>IFERROR((TableRBVORP[[#This Row],[FPS]]-INDEX(TableRBVORP[FPS],MATCH(RBVORPCalc,TableRBVORP[RK],0)))/INDEX(TableRBVORP[FPS],MATCH(RBVORPCalc,TableRBVORP[RK],0)),"")</f>
        <v>-0.14585935788740167</v>
      </c>
      <c r="O52">
        <v>51</v>
      </c>
      <c r="P52" s="120" t="str">
        <f>IFERROR(INDEX(TableWRCalcPts[PLAYER],MATCH(TableWRVORP[[#This Row],[RK]],TableWRCalcPts[RK],0)),"")</f>
        <v>Jakobi Meyers</v>
      </c>
      <c r="Q52" s="120" t="str">
        <f>IFERROR(INDEX(TableWRCalcPts[TM],MATCH(TableWRVORP[[#This Row],[RK]],TableWRCalcPts[RK],0)),"")</f>
        <v>LV</v>
      </c>
      <c r="R52" s="120">
        <f>IFERROR(INDEX(TableWRCalcPts[BYE],MATCH(TableWRVORP[[#This Row],[RK]],TableWRCalcPts[RK],0)),"")</f>
        <v>13</v>
      </c>
      <c r="S52" s="121">
        <f>IFERROR(INDEX(TableWRCalcPts[Custom],MATCH(TableWRVORP[[#This Row],[RK]],TableWRCalcPts[RK],0)),"")</f>
        <v>144.71799711264924</v>
      </c>
      <c r="T52" s="122">
        <f>IFERROR((TableWRVORP[[#This Row],[FPS]]-INDEX(TableWRVORP[FPS],MATCH(WRVORPCalc,TableWRVORP[RK],0)))/INDEX(TableWRVORP[FPS],MATCH(WRVORPCalc,TableWRVORP[RK],0)),"")</f>
        <v>0.11071973804398989</v>
      </c>
      <c r="V52">
        <v>51</v>
      </c>
      <c r="W52" s="120" t="str">
        <f>IFERROR(INDEX(TableTECalcPts[PLAYER],MATCH(TableTEVORP[[#This Row],[RK]],TableTECalcPts[RK],0)),"")</f>
        <v>Trevon Wesco</v>
      </c>
      <c r="X52" s="120" t="str">
        <f>IFERROR(INDEX(TableTECalcPts[TM],MATCH(TableTEVORP[[#This Row],[RK]],TableTECalcPts[RK],0)),"")</f>
        <v>TEN</v>
      </c>
      <c r="Y52" s="120">
        <f>IFERROR(INDEX(TableTECalcPts[BYE],MATCH(TableTEVORP[[#This Row],[RK]],TableTECalcPts[RK],0)),"")</f>
        <v>7</v>
      </c>
      <c r="Z52" s="121">
        <f>IFERROR(INDEX(TableTECalcPts[Custom],MATCH(TableTEVORP[[#This Row],[RK]],TableTECalcPts[RK],0)),"")</f>
        <v>30.596001222191997</v>
      </c>
      <c r="AA52" s="122">
        <f>IFERROR((TableTEVORP[[#This Row],[FPS]]-INDEX(TableTEVORP[FPS],MATCH(TEVORPCalc,TableTEVORP[RK],0)))/INDEX(TableTEVORP[FPS],MATCH(TEVORPCalc,TableTEVORP[RK],0)),"")</f>
        <v>-0.7425233271511541</v>
      </c>
      <c r="AF52" t="s">
        <v>256</v>
      </c>
      <c r="AG52">
        <v>11</v>
      </c>
      <c r="AH52" s="86">
        <f>RANK(TableOverallMaster[[#This Row],[VORP]],TableOverallMaster[VORP])+COUNTIF($AM$2:AM52,AM52)-1</f>
        <v>18</v>
      </c>
      <c r="AI52" s="123" t="str">
        <f>IFERROR(INDEX(TableRBVORP[RUNNING BACK],MATCH(TableOverallMaster[[#This Row],[RK]],TableRBVORP[RK],0)),"")</f>
        <v>Jahmyr Gibbs</v>
      </c>
      <c r="AJ52" s="123" t="str">
        <f t="shared" si="0"/>
        <v>RB11</v>
      </c>
      <c r="AK52" s="123">
        <f>IFERROR(INDEX(TableRBVORP[BYE],MATCH(TableOverallMaster[[#This Row],[RK]],TableRBVORP[RK],0)),"")</f>
        <v>9</v>
      </c>
      <c r="AL52" s="124">
        <f>IFERROR(INDEX(TableRBVORP[FPS],MATCH(TableOverallMaster[[#This Row],[RK]],TableRBVORP[RK],0)),"")</f>
        <v>218.44083642233855</v>
      </c>
      <c r="AM52" s="125">
        <f>IFERROR(INDEX(TableRBVORP[VORP],MATCH(TableOverallMaster[[#This Row],[RK]],TableRBVORP[RK],0)),"")</f>
        <v>0.78373049070534506</v>
      </c>
      <c r="AO52">
        <v>51</v>
      </c>
      <c r="AP52" s="126" t="str">
        <f>IFERROR(INDEX(TableOverallMaster[OVERALL PLAYER],MATCH(TableOverallRank[[#This Row],[RK]],TableOverallMaster[OVR RK],0)),"")</f>
        <v>T.J. Hockenson</v>
      </c>
      <c r="AQ52" s="127" t="str">
        <f>IFERROR(INDEX(TableOverallMaster[POS RK],MATCH(TableOverallRank[[#This Row],[OVERALL PLAYER]],TableOverallMaster[OVERALL PLAYER],0)),"")</f>
        <v>TE4</v>
      </c>
      <c r="AR52" s="128">
        <f>IFERROR(INDEX(TableOverallMaster[BYE],MATCH(TableOverallRank[[#This Row],[OVERALL PLAYER]],TableOverallMaster[OVERALL PLAYER],0)),"")</f>
        <v>13</v>
      </c>
      <c r="AS52" s="127">
        <f>IFERROR(INDEX(TableOverallMaster[Custom],MATCH(TableOverallRank[[#This Row],[OVERALL PLAYER]],TableOverallMaster[OVERALL PLAYER],0)),"")</f>
        <v>173.66456609490382</v>
      </c>
      <c r="AT52" s="129">
        <f>IFERROR(INDEX(TableOverallMaster[VORP],MATCH(TableOverallRank[[#This Row],[OVERALL PLAYER]],TableOverallMaster[OVERALL PLAYER],0)),"")</f>
        <v>0.46145159117792761</v>
      </c>
      <c r="AV52">
        <v>51</v>
      </c>
      <c r="AW52" s="130" t="str">
        <f>IFERROR(INDEX(TableWRTECalcPts[PLAYER],MATCH(TableWRTERank[[#This Row],[RK]],TableWRTECalcPts[RK],0)),"")</f>
        <v>Jonathan Mingo</v>
      </c>
      <c r="AX52" s="130" t="str">
        <f>IFERROR(INDEX(TableWRTECalcPts[POS RK],MATCH(TableWRTERank[[#This Row],[WR and TE COMBINED]],TableWRTECalcPts[PLAYER],0)),"")</f>
        <v>WR46</v>
      </c>
      <c r="AY52" s="130">
        <f>IFERROR(INDEX(TableWRTECalcPts[BYE],MATCH(TableWRTERank[[#This Row],[RK]],TableWRTECalcPts[RK],0)),"")</f>
        <v>7</v>
      </c>
      <c r="AZ52" s="131">
        <f>IFERROR(INDEX(TableWRTECalcPts[Custom],MATCH(TableWRTERank[[#This Row],[RK]],TableWRTECalcPts[RK],0)),"")</f>
        <v>147.26314162241712</v>
      </c>
      <c r="BA52" s="188">
        <f>IFERROR((TableWRTERank[[#This Row],[FPS]]-INDEX(TableWRTERank[FPS],MATCH(WRTEVORPCalc,TableWRTERank[RK],0)))/INDEX(TableWRTERank[FPS],MATCH(WRTEVORPCalc,TableWRTERank[RK],0)),"")</f>
        <v>6.4116844853632254E-2</v>
      </c>
      <c r="BC52" t="s">
        <v>257</v>
      </c>
      <c r="BD52">
        <v>51</v>
      </c>
      <c r="BE52" s="86">
        <f>RANK(TableWRTEMaster[[#This Row],[VORP]],TableWRTEMaster[VORP])+COUNTIF($BJ$2:BJ52,BJ52)-1</f>
        <v>61</v>
      </c>
      <c r="BF52" s="123" t="str">
        <f>IFERROR(INDEX(TableWRVORP[WIDE RECEIVER],MATCH(TableWRTEMaster[[#This Row],[RK]],TableWRVORP[RK],0)),"")</f>
        <v>Jakobi Meyers</v>
      </c>
      <c r="BG52" s="123" t="str">
        <f>_xlfn.CONCAT(TableWRTEMaster[[#This Row],[POS]],TableWRTEMaster[[#This Row],[RK]])</f>
        <v>WR51</v>
      </c>
      <c r="BH52" s="123">
        <f>IFERROR(INDEX(TableWRVORP[BYE],MATCH(TableWRTEMaster[[#This Row],[RK]],TableWRVORP[RK],0)),"")</f>
        <v>13</v>
      </c>
      <c r="BI52" s="124">
        <f>IFERROR(INDEX(TableWRVORP[FPS],MATCH(TableWRTEMaster[[#This Row],[RK]],TableWRVORP[RK],0)),"")</f>
        <v>144.71799711264924</v>
      </c>
      <c r="BJ52" s="125">
        <f>IFERROR(INDEX(TableWRVORP[VORP],MATCH(TableWRTEMaster[[#This Row],[RK]],TableWRVORP[RK],0)),"")</f>
        <v>0.11071973804398989</v>
      </c>
    </row>
    <row r="53" spans="1:62" x14ac:dyDescent="0.2">
      <c r="A53">
        <v>52</v>
      </c>
      <c r="B53" s="120" t="str">
        <f>IFERROR(INDEX(TableQBCalcPts[PLAYER],MATCH(TableQBVORP[[#This Row],[RK]],TableQBCalcPts[RK],0)),"")</f>
        <v>Jameis Winston</v>
      </c>
      <c r="C53" s="120" t="str">
        <f>IFERROR(INDEX(TableQBCalcPts[TM],MATCH(TableQBVORP[[#This Row],[RK]],TableQBCalcPts[RK],0)),"")</f>
        <v>NO</v>
      </c>
      <c r="D53" s="120">
        <f>IFERROR(INDEX(TableQBCalcPts[BYE],MATCH(TableQBVORP[[#This Row],[RK]],TableQBCalcPts[RK],0)),"")</f>
        <v>11</v>
      </c>
      <c r="E53" s="121">
        <f>IFERROR(INDEX(TableQBCalcPts[Custom],MATCH(TableQBVORP[[#This Row],[RK]],TableQBCalcPts[RK],0)),"")</f>
        <v>7.8369386964400114</v>
      </c>
      <c r="F53" s="122">
        <f>(IFERROR((TableQBVORP[[#This Row],[FPS]]-INDEX(TableQBVORP[FPS],MATCH(QBVORPCalc,TableQBVORP[RK],0)))/INDEX(TableQBVORP[FPS],MATCH(QBVORPCalc,TableQBVORP[RK],0)),""))+(TableRBVORP[[#This Row],[VORP]]*0.45)</f>
        <v>-1.057272251016367</v>
      </c>
      <c r="H53">
        <v>52</v>
      </c>
      <c r="I53" s="120" t="str">
        <f>IFERROR(INDEX(TableRBCalcPts[PLAYER],MATCH(TableRBVORP[[#This Row],[RK]],TableRBCalcPts[RK],0)),"")</f>
        <v>Kyren Williams</v>
      </c>
      <c r="J53" s="120" t="str">
        <f>IFERROR(INDEX(TableRBCalcPts[TM],MATCH(TableRBVORP[[#This Row],[RK]],TableRBCalcPts[RK],0)),"")</f>
        <v>LAR</v>
      </c>
      <c r="K53" s="120">
        <f>IFERROR(INDEX(TableRBCalcPts[BYE],MATCH(TableRBVORP[[#This Row],[RK]],TableRBCalcPts[RK],0)),"")</f>
        <v>10</v>
      </c>
      <c r="L53" s="121">
        <f>IFERROR(INDEX(TableRBCalcPts[Custom],MATCH(TableRBVORP[[#This Row],[RK]],TableRBCalcPts[RK],0)),"")</f>
        <v>101.74554570819568</v>
      </c>
      <c r="M53" s="122">
        <f>IFERROR((TableRBVORP[[#This Row],[FPS]]-INDEX(TableRBVORP[FPS],MATCH(RBVORPCalc,TableRBVORP[RK],0)))/INDEX(TableRBVORP[FPS],MATCH(RBVORPCalc,TableRBVORP[RK],0)),"")</f>
        <v>-0.16917260002487561</v>
      </c>
      <c r="O53">
        <v>52</v>
      </c>
      <c r="P53" s="120" t="str">
        <f>IFERROR(INDEX(TableWRCalcPts[PLAYER],MATCH(TableWRVORP[[#This Row],[RK]],TableWRCalcPts[RK],0)),"")</f>
        <v>Tyler Boyd</v>
      </c>
      <c r="Q53" s="120" t="str">
        <f>IFERROR(INDEX(TableWRCalcPts[TM],MATCH(TableWRVORP[[#This Row],[RK]],TableWRCalcPts[RK],0)),"")</f>
        <v>CIN</v>
      </c>
      <c r="R53" s="120">
        <f>IFERROR(INDEX(TableWRCalcPts[BYE],MATCH(TableWRVORP[[#This Row],[RK]],TableWRCalcPts[RK],0)),"")</f>
        <v>7</v>
      </c>
      <c r="S53" s="121">
        <f>IFERROR(INDEX(TableWRCalcPts[Custom],MATCH(TableWRVORP[[#This Row],[RK]],TableWRCalcPts[RK],0)),"")</f>
        <v>139.21511967372822</v>
      </c>
      <c r="T53" s="122">
        <f>IFERROR((TableWRVORP[[#This Row],[FPS]]-INDEX(TableWRVORP[FPS],MATCH(WRVORPCalc,TableWRVORP[RK],0)))/INDEX(TableWRVORP[FPS],MATCH(WRVORPCalc,TableWRVORP[RK],0)),"")</f>
        <v>6.8484807286284602E-2</v>
      </c>
      <c r="V53">
        <v>52</v>
      </c>
      <c r="W53" s="120" t="str">
        <f>IFERROR(INDEX(TableTECalcPts[PLAYER],MATCH(TableTEVORP[[#This Row],[RK]],TableTECalcPts[RK],0)),"")</f>
        <v>James Mitchell</v>
      </c>
      <c r="X53" s="120" t="str">
        <f>IFERROR(INDEX(TableTECalcPts[TM],MATCH(TableTEVORP[[#This Row],[RK]],TableTECalcPts[RK],0)),"")</f>
        <v>DET</v>
      </c>
      <c r="Y53" s="120">
        <f>IFERROR(INDEX(TableTECalcPts[BYE],MATCH(TableTEVORP[[#This Row],[RK]],TableTECalcPts[RK],0)),"")</f>
        <v>9</v>
      </c>
      <c r="Z53" s="121">
        <f>IFERROR(INDEX(TableTECalcPts[Custom],MATCH(TableTEVORP[[#This Row],[RK]],TableTECalcPts[RK],0)),"")</f>
        <v>28.641318240820141</v>
      </c>
      <c r="AA53" s="122">
        <f>IFERROR((TableTEVORP[[#This Row],[FPS]]-INDEX(TableTEVORP[FPS],MATCH(TEVORPCalc,TableTEVORP[RK],0)))/INDEX(TableTEVORP[FPS],MATCH(TEVORPCalc,TableTEVORP[RK],0)),"")</f>
        <v>-0.75897270780266379</v>
      </c>
      <c r="AF53" t="s">
        <v>256</v>
      </c>
      <c r="AG53">
        <v>12</v>
      </c>
      <c r="AH53" s="86">
        <f>RANK(TableOverallMaster[[#This Row],[VORP]],TableOverallMaster[VORP])+COUNTIF($AM$2:AM53,AM53)-1</f>
        <v>19</v>
      </c>
      <c r="AI53" s="123" t="str">
        <f>IFERROR(INDEX(TableRBVORP[RUNNING BACK],MATCH(TableOverallMaster[[#This Row],[RK]],TableRBVORP[RK],0)),"")</f>
        <v>Dameon Pierce</v>
      </c>
      <c r="AJ53" s="123" t="str">
        <f t="shared" si="0"/>
        <v>RB12</v>
      </c>
      <c r="AK53" s="123">
        <f>IFERROR(INDEX(TableRBVORP[BYE],MATCH(TableOverallMaster[[#This Row],[RK]],TableRBVORP[RK],0)),"")</f>
        <v>7</v>
      </c>
      <c r="AL53" s="124">
        <f>IFERROR(INDEX(TableRBVORP[FPS],MATCH(TableOverallMaster[[#This Row],[RK]],TableRBVORP[RK],0)),"")</f>
        <v>218.07090358355615</v>
      </c>
      <c r="AM53" s="125">
        <f>IFERROR(INDEX(TableRBVORP[VORP],MATCH(TableOverallMaster[[#This Row],[RK]],TableRBVORP[RK],0)),"")</f>
        <v>0.78070971631692632</v>
      </c>
      <c r="AO53">
        <v>52</v>
      </c>
      <c r="AP53" s="126" t="str">
        <f>IFERROR(INDEX(TableOverallMaster[OVERALL PLAYER],MATCH(TableOverallRank[[#This Row],[RK]],TableOverallMaster[OVR RK],0)),"")</f>
        <v>DeAndre Hopkins</v>
      </c>
      <c r="AQ53" s="127" t="str">
        <f>IFERROR(INDEX(TableOverallMaster[POS RK],MATCH(TableOverallRank[[#This Row],[OVERALL PLAYER]],TableOverallMaster[OVERALL PLAYER],0)),"")</f>
        <v>WR17</v>
      </c>
      <c r="AR53" s="128">
        <f>IFERROR(INDEX(TableOverallMaster[BYE],MATCH(TableOverallRank[[#This Row],[OVERALL PLAYER]],TableOverallMaster[OVERALL PLAYER],0)),"")</f>
        <v>7</v>
      </c>
      <c r="AS53" s="127">
        <f>IFERROR(INDEX(TableOverallMaster[Custom],MATCH(TableOverallRank[[#This Row],[OVERALL PLAYER]],TableOverallMaster[OVERALL PLAYER],0)),"")</f>
        <v>189.24061536009924</v>
      </c>
      <c r="AT53" s="129">
        <f>IFERROR(INDEX(TableOverallMaster[VORP],MATCH(TableOverallRank[[#This Row],[OVERALL PLAYER]],TableOverallMaster[OVERALL PLAYER],0)),"")</f>
        <v>0.45243363585551372</v>
      </c>
      <c r="AV53">
        <v>52</v>
      </c>
      <c r="AW53" s="130" t="str">
        <f>IFERROR(INDEX(TableWRTECalcPts[PLAYER],MATCH(TableWRTERank[[#This Row],[RK]],TableWRTECalcPts[RK],0)),"")</f>
        <v>Adam Thielen</v>
      </c>
      <c r="AX53" s="130" t="str">
        <f>IFERROR(INDEX(TableWRTECalcPts[POS RK],MATCH(TableWRTERank[[#This Row],[WR and TE COMBINED]],TableWRTECalcPts[PLAYER],0)),"")</f>
        <v>WR47</v>
      </c>
      <c r="AY53" s="130">
        <f>IFERROR(INDEX(TableWRTECalcPts[BYE],MATCH(TableWRTERank[[#This Row],[RK]],TableWRTECalcPts[RK],0)),"")</f>
        <v>7</v>
      </c>
      <c r="AZ53" s="131">
        <f>IFERROR(INDEX(TableWRTECalcPts[Custom],MATCH(TableWRTERank[[#This Row],[RK]],TableWRTECalcPts[RK],0)),"")</f>
        <v>146.5873035192601</v>
      </c>
      <c r="BA53" s="188">
        <f>IFERROR((TableWRTERank[[#This Row],[FPS]]-INDEX(TableWRTERank[FPS],MATCH(WRTEVORPCalc,TableWRTERank[RK],0)))/INDEX(TableWRTERank[FPS],MATCH(WRTEVORPCalc,TableWRTERank[RK],0)),"")</f>
        <v>5.9233269085520054E-2</v>
      </c>
      <c r="BC53" t="s">
        <v>257</v>
      </c>
      <c r="BD53">
        <v>52</v>
      </c>
      <c r="BE53" s="86">
        <f>RANK(TableWRTEMaster[[#This Row],[VORP]],TableWRTEMaster[VORP])+COUNTIF($BJ$2:BJ53,BJ53)-1</f>
        <v>62</v>
      </c>
      <c r="BF53" s="123" t="str">
        <f>IFERROR(INDEX(TableWRVORP[WIDE RECEIVER],MATCH(TableWRTEMaster[[#This Row],[RK]],TableWRVORP[RK],0)),"")</f>
        <v>Tyler Boyd</v>
      </c>
      <c r="BG53" s="123" t="str">
        <f>_xlfn.CONCAT(TableWRTEMaster[[#This Row],[POS]],TableWRTEMaster[[#This Row],[RK]])</f>
        <v>WR52</v>
      </c>
      <c r="BH53" s="123">
        <f>IFERROR(INDEX(TableWRVORP[BYE],MATCH(TableWRTEMaster[[#This Row],[RK]],TableWRVORP[RK],0)),"")</f>
        <v>7</v>
      </c>
      <c r="BI53" s="124">
        <f>IFERROR(INDEX(TableWRVORP[FPS],MATCH(TableWRTEMaster[[#This Row],[RK]],TableWRVORP[RK],0)),"")</f>
        <v>139.21511967372822</v>
      </c>
      <c r="BJ53" s="125">
        <f>IFERROR(INDEX(TableWRVORP[VORP],MATCH(TableWRTEMaster[[#This Row],[RK]],TableWRVORP[RK],0)),"")</f>
        <v>6.8484807286284602E-2</v>
      </c>
    </row>
    <row r="54" spans="1:62" x14ac:dyDescent="0.2">
      <c r="A54">
        <v>53</v>
      </c>
      <c r="B54" s="120" t="str">
        <f>IFERROR(INDEX(TableQBCalcPts[PLAYER],MATCH(TableQBVORP[[#This Row],[RK]],TableQBCalcPts[RK],0)),"")</f>
        <v>Tyler Huntley</v>
      </c>
      <c r="C54" s="120" t="str">
        <f>IFERROR(INDEX(TableQBCalcPts[TM],MATCH(TableQBVORP[[#This Row],[RK]],TableQBCalcPts[RK],0)),"")</f>
        <v>BAL</v>
      </c>
      <c r="D54" s="120">
        <f>IFERROR(INDEX(TableQBCalcPts[BYE],MATCH(TableQBVORP[[#This Row],[RK]],TableQBCalcPts[RK],0)),"")</f>
        <v>13</v>
      </c>
      <c r="E54" s="121">
        <f>IFERROR(INDEX(TableQBCalcPts[Custom],MATCH(TableQBVORP[[#This Row],[RK]],TableQBCalcPts[RK],0)),"")</f>
        <v>7.6206734192034498</v>
      </c>
      <c r="F54" s="122">
        <f>(IFERROR((TableQBVORP[[#This Row],[FPS]]-INDEX(TableQBVORP[FPS],MATCH(QBVORPCalc,TableQBVORP[RK],0)))/INDEX(TableQBVORP[FPS],MATCH(QBVORPCalc,TableQBVORP[RK],0)),""))+(TableRBVORP[[#This Row],[VORP]]*0.45)</f>
        <v>-1.0595598954936527</v>
      </c>
      <c r="H54">
        <v>53</v>
      </c>
      <c r="I54" s="120" t="str">
        <f>IFERROR(INDEX(TableRBCalcPts[PLAYER],MATCH(TableRBVORP[[#This Row],[RK]],TableRBCalcPts[RK],0)),"")</f>
        <v>Kenneth Gainwell</v>
      </c>
      <c r="J54" s="120" t="str">
        <f>IFERROR(INDEX(TableRBCalcPts[TM],MATCH(TableRBVORP[[#This Row],[RK]],TableRBCalcPts[RK],0)),"")</f>
        <v>PHI</v>
      </c>
      <c r="K54" s="120">
        <f>IFERROR(INDEX(TableRBCalcPts[BYE],MATCH(TableRBVORP[[#This Row],[RK]],TableRBCalcPts[RK],0)),"")</f>
        <v>10</v>
      </c>
      <c r="L54" s="121">
        <f>IFERROR(INDEX(TableRBCalcPts[Custom],MATCH(TableRBVORP[[#This Row],[RK]],TableRBCalcPts[RK],0)),"")</f>
        <v>101.2645883177376</v>
      </c>
      <c r="M54" s="122">
        <f>IFERROR((TableRBVORP[[#This Row],[FPS]]-INDEX(TableRBVORP[FPS],MATCH(RBVORPCalc,TableRBVORP[RK],0)))/INDEX(TableRBVORP[FPS],MATCH(RBVORPCalc,TableRBVORP[RK],0)),"")</f>
        <v>-0.17309997173861261</v>
      </c>
      <c r="O54">
        <v>53</v>
      </c>
      <c r="P54" s="120" t="str">
        <f>IFERROR(INDEX(TableWRCalcPts[PLAYER],MATCH(TableWRVORP[[#This Row],[RK]],TableWRCalcPts[RK],0)),"")</f>
        <v>Odell Beckham</v>
      </c>
      <c r="Q54" s="120" t="str">
        <f>IFERROR(INDEX(TableWRCalcPts[TM],MATCH(TableWRVORP[[#This Row],[RK]],TableWRCalcPts[RK],0)),"")</f>
        <v>BAL</v>
      </c>
      <c r="R54" s="120">
        <f>IFERROR(INDEX(TableWRCalcPts[BYE],MATCH(TableWRVORP[[#This Row],[RK]],TableWRCalcPts[RK],0)),"")</f>
        <v>13</v>
      </c>
      <c r="S54" s="121">
        <f>IFERROR(INDEX(TableWRCalcPts[Custom],MATCH(TableWRVORP[[#This Row],[RK]],TableWRCalcPts[RK],0)),"")</f>
        <v>136.85398142950658</v>
      </c>
      <c r="T54" s="122">
        <f>IFERROR((TableWRVORP[[#This Row],[FPS]]-INDEX(TableWRVORP[FPS],MATCH(WRVORPCalc,TableWRVORP[RK],0)))/INDEX(TableWRVORP[FPS],MATCH(WRVORPCalc,TableWRVORP[RK],0)),"")</f>
        <v>5.0362922624862007E-2</v>
      </c>
      <c r="V54">
        <v>53</v>
      </c>
      <c r="W54" s="120" t="str">
        <f>IFERROR(INDEX(TableTECalcPts[PLAYER],MATCH(TableTEVORP[[#This Row],[RK]],TableTECalcPts[RK],0)),"")</f>
        <v>Peyton Hendershot</v>
      </c>
      <c r="X54" s="120" t="str">
        <f>IFERROR(INDEX(TableTECalcPts[TM],MATCH(TableTEVORP[[#This Row],[RK]],TableTECalcPts[RK],0)),"")</f>
        <v>DAL</v>
      </c>
      <c r="Y54" s="120">
        <f>IFERROR(INDEX(TableTECalcPts[BYE],MATCH(TableTEVORP[[#This Row],[RK]],TableTECalcPts[RK],0)),"")</f>
        <v>7</v>
      </c>
      <c r="Z54" s="121">
        <f>IFERROR(INDEX(TableTECalcPts[Custom],MATCH(TableTEVORP[[#This Row],[RK]],TableTECalcPts[RK],0)),"")</f>
        <v>28.504394505953329</v>
      </c>
      <c r="AA54" s="122">
        <f>IFERROR((TableTEVORP[[#This Row],[FPS]]-INDEX(TableTEVORP[FPS],MATCH(TEVORPCalc,TableTEVORP[RK],0)))/INDEX(TableTEVORP[FPS],MATCH(TEVORPCalc,TableTEVORP[RK],0)),"")</f>
        <v>-0.7601249717024956</v>
      </c>
      <c r="AF54" t="s">
        <v>256</v>
      </c>
      <c r="AG54">
        <v>13</v>
      </c>
      <c r="AH54" s="86">
        <f>RANK(TableOverallMaster[[#This Row],[VORP]],TableOverallMaster[VORP])+COUNTIF($AM$2:AM54,AM54)-1</f>
        <v>21</v>
      </c>
      <c r="AI54" s="123" t="str">
        <f>IFERROR(INDEX(TableRBVORP[RUNNING BACK],MATCH(TableOverallMaster[[#This Row],[RK]],TableRBVORP[RK],0)),"")</f>
        <v>Najee Harris</v>
      </c>
      <c r="AJ54" s="123" t="str">
        <f t="shared" si="0"/>
        <v>RB13</v>
      </c>
      <c r="AK54" s="123">
        <f>IFERROR(INDEX(TableRBVORP[BYE],MATCH(TableOverallMaster[[#This Row],[RK]],TableRBVORP[RK],0)),"")</f>
        <v>6</v>
      </c>
      <c r="AL54" s="124">
        <f>IFERROR(INDEX(TableRBVORP[FPS],MATCH(TableOverallMaster[[#This Row],[RK]],TableRBVORP[RK],0)),"")</f>
        <v>216.23753147350604</v>
      </c>
      <c r="AM54" s="125">
        <f>IFERROR(INDEX(TableRBVORP[VORP],MATCH(TableOverallMaster[[#This Row],[RK]],TableRBVORP[RK],0)),"")</f>
        <v>0.76573888125208334</v>
      </c>
      <c r="AO54">
        <v>53</v>
      </c>
      <c r="AP54" s="126" t="str">
        <f>IFERROR(INDEX(TableOverallMaster[OVERALL PLAYER],MATCH(TableOverallRank[[#This Row],[RK]],TableOverallMaster[OVR RK],0)),"")</f>
        <v>DeVonta Smith</v>
      </c>
      <c r="AQ54" s="127" t="str">
        <f>IFERROR(INDEX(TableOverallMaster[POS RK],MATCH(TableOverallRank[[#This Row],[OVERALL PLAYER]],TableOverallMaster[OVERALL PLAYER],0)),"")</f>
        <v>WR18</v>
      </c>
      <c r="AR54" s="128">
        <f>IFERROR(INDEX(TableOverallMaster[BYE],MATCH(TableOverallRank[[#This Row],[OVERALL PLAYER]],TableOverallMaster[OVERALL PLAYER],0)),"")</f>
        <v>10</v>
      </c>
      <c r="AS54" s="127">
        <f>IFERROR(INDEX(TableOverallMaster[Custom],MATCH(TableOverallRank[[#This Row],[OVERALL PLAYER]],TableOverallMaster[OVERALL PLAYER],0)),"")</f>
        <v>189.0966160335829</v>
      </c>
      <c r="AT54" s="129">
        <f>IFERROR(INDEX(TableOverallMaster[VORP],MATCH(TableOverallRank[[#This Row],[OVERALL PLAYER]],TableOverallMaster[OVERALL PLAYER],0)),"")</f>
        <v>0.45132843195953776</v>
      </c>
      <c r="AV54">
        <v>53</v>
      </c>
      <c r="AW54" s="130" t="str">
        <f>IFERROR(INDEX(TableWRTECalcPts[PLAYER],MATCH(TableWRTERank[[#This Row],[RK]],TableWRTECalcPts[RK],0)),"")</f>
        <v>Treylon Burks</v>
      </c>
      <c r="AX54" s="130" t="str">
        <f>IFERROR(INDEX(TableWRTECalcPts[POS RK],MATCH(TableWRTERank[[#This Row],[WR and TE COMBINED]],TableWRTECalcPts[PLAYER],0)),"")</f>
        <v>WR48</v>
      </c>
      <c r="AY54" s="130">
        <f>IFERROR(INDEX(TableWRTECalcPts[BYE],MATCH(TableWRTERank[[#This Row],[RK]],TableWRTECalcPts[RK],0)),"")</f>
        <v>7</v>
      </c>
      <c r="AZ54" s="131">
        <f>IFERROR(INDEX(TableWRTECalcPts[Custom],MATCH(TableWRTERank[[#This Row],[RK]],TableWRTECalcPts[RK],0)),"")</f>
        <v>146.50792170981475</v>
      </c>
      <c r="BA54" s="188">
        <f>IFERROR((TableWRTERank[[#This Row],[FPS]]-INDEX(TableWRTERank[FPS],MATCH(WRTEVORPCalc,TableWRTERank[RK],0)))/INDEX(TableWRTERank[FPS],MATCH(WRTEVORPCalc,TableWRTERank[RK],0)),"")</f>
        <v>5.8659659697080244E-2</v>
      </c>
      <c r="BC54" t="s">
        <v>257</v>
      </c>
      <c r="BD54">
        <v>53</v>
      </c>
      <c r="BE54" s="86">
        <f>RANK(TableWRTEMaster[[#This Row],[VORP]],TableWRTEMaster[VORP])+COUNTIF($BJ$2:BJ54,BJ54)-1</f>
        <v>63</v>
      </c>
      <c r="BF54" s="123" t="str">
        <f>IFERROR(INDEX(TableWRVORP[WIDE RECEIVER],MATCH(TableWRTEMaster[[#This Row],[RK]],TableWRVORP[RK],0)),"")</f>
        <v>Odell Beckham</v>
      </c>
      <c r="BG54" s="123" t="str">
        <f>_xlfn.CONCAT(TableWRTEMaster[[#This Row],[POS]],TableWRTEMaster[[#This Row],[RK]])</f>
        <v>WR53</v>
      </c>
      <c r="BH54" s="123">
        <f>IFERROR(INDEX(TableWRVORP[BYE],MATCH(TableWRTEMaster[[#This Row],[RK]],TableWRVORP[RK],0)),"")</f>
        <v>13</v>
      </c>
      <c r="BI54" s="124">
        <f>IFERROR(INDEX(TableWRVORP[FPS],MATCH(TableWRTEMaster[[#This Row],[RK]],TableWRVORP[RK],0)),"")</f>
        <v>136.85398142950658</v>
      </c>
      <c r="BJ54" s="125">
        <f>IFERROR(INDEX(TableWRVORP[VORP],MATCH(TableWRTEMaster[[#This Row],[RK]],TableWRVORP[RK],0)),"")</f>
        <v>5.0362922624862007E-2</v>
      </c>
    </row>
    <row r="55" spans="1:62" x14ac:dyDescent="0.2">
      <c r="A55">
        <v>54</v>
      </c>
      <c r="B55" s="120" t="str">
        <f>IFERROR(INDEX(TableQBCalcPts[PLAYER],MATCH(TableQBVORP[[#This Row],[RK]],TableQBCalcPts[RK],0)),"")</f>
        <v>Mike White</v>
      </c>
      <c r="C55" s="120" t="str">
        <f>IFERROR(INDEX(TableQBCalcPts[TM],MATCH(TableQBVORP[[#This Row],[RK]],TableQBCalcPts[RK],0)),"")</f>
        <v>MIA</v>
      </c>
      <c r="D55" s="120">
        <f>IFERROR(INDEX(TableQBCalcPts[BYE],MATCH(TableQBVORP[[#This Row],[RK]],TableQBCalcPts[RK],0)),"")</f>
        <v>10</v>
      </c>
      <c r="E55" s="121">
        <f>IFERROR(INDEX(TableQBCalcPts[Custom],MATCH(TableQBVORP[[#This Row],[RK]],TableQBCalcPts[RK],0)),"")</f>
        <v>7.1777933223661545</v>
      </c>
      <c r="F55" s="122">
        <f>(IFERROR((TableQBVORP[[#This Row],[FPS]]-INDEX(TableQBVORP[FPS],MATCH(QBVORPCalc,TableQBVORP[RK],0)))/INDEX(TableQBVORP[FPS],MATCH(QBVORPCalc,TableQBVORP[RK],0)),""))+(TableRBVORP[[#This Row],[VORP]]*0.45)</f>
        <v>-1.0687830296798717</v>
      </c>
      <c r="H55">
        <v>54</v>
      </c>
      <c r="I55" s="120" t="str">
        <f>IFERROR(INDEX(TableRBCalcPts[PLAYER],MATCH(TableRBVORP[[#This Row],[RK]],TableRBCalcPts[RK],0)),"")</f>
        <v>Jeff Wilson</v>
      </c>
      <c r="J55" s="120" t="str">
        <f>IFERROR(INDEX(TableRBCalcPts[TM],MATCH(TableRBVORP[[#This Row],[RK]],TableRBCalcPts[RK],0)),"")</f>
        <v>MIA</v>
      </c>
      <c r="K55" s="120">
        <f>IFERROR(INDEX(TableRBCalcPts[BYE],MATCH(TableRBVORP[[#This Row],[RK]],TableRBCalcPts[RK],0)),"")</f>
        <v>10</v>
      </c>
      <c r="L55" s="121">
        <f>IFERROR(INDEX(TableRBCalcPts[Custom],MATCH(TableRBVORP[[#This Row],[RK]],TableRBCalcPts[RK],0)),"")</f>
        <v>99.044586269217561</v>
      </c>
      <c r="M55" s="122">
        <f>IFERROR((TableRBVORP[[#This Row],[FPS]]-INDEX(TableRBVORP[FPS],MATCH(RBVORPCalc,TableRBVORP[RK],0)))/INDEX(TableRBVORP[FPS],MATCH(RBVORPCalc,TableRBVORP[RK],0)),"")</f>
        <v>-0.19122792532196822</v>
      </c>
      <c r="O55">
        <v>54</v>
      </c>
      <c r="P55" s="120" t="str">
        <f>IFERROR(INDEX(TableWRCalcPts[PLAYER],MATCH(TableWRVORP[[#This Row],[RK]],TableWRCalcPts[RK],0)),"")</f>
        <v>Donovan Peoples-Jones</v>
      </c>
      <c r="Q55" s="120" t="str">
        <f>IFERROR(INDEX(TableWRCalcPts[TM],MATCH(TableWRVORP[[#This Row],[RK]],TableWRCalcPts[RK],0)),"")</f>
        <v>CLE</v>
      </c>
      <c r="R55" s="120">
        <f>IFERROR(INDEX(TableWRCalcPts[BYE],MATCH(TableWRVORP[[#This Row],[RK]],TableWRCalcPts[RK],0)),"")</f>
        <v>5</v>
      </c>
      <c r="S55" s="121">
        <f>IFERROR(INDEX(TableWRCalcPts[Custom],MATCH(TableWRVORP[[#This Row],[RK]],TableWRCalcPts[RK],0)),"")</f>
        <v>133.57256369839229</v>
      </c>
      <c r="T55" s="122">
        <f>IFERROR((TableWRVORP[[#This Row],[FPS]]-INDEX(TableWRVORP[FPS],MATCH(WRVORPCalc,TableWRVORP[RK],0)))/INDEX(TableWRVORP[FPS],MATCH(WRVORPCalc,TableWRVORP[RK],0)),"")</f>
        <v>2.5177834968631629E-2</v>
      </c>
      <c r="V55">
        <v>54</v>
      </c>
      <c r="W55" s="120" t="str">
        <f>IFERROR(INDEX(TableTECalcPts[PLAYER],MATCH(TableTEVORP[[#This Row],[RK]],TableTECalcPts[RK],0)),"")</f>
        <v>Brenton Strange</v>
      </c>
      <c r="X55" s="120" t="str">
        <f>IFERROR(INDEX(TableTECalcPts[TM],MATCH(TableTEVORP[[#This Row],[RK]],TableTECalcPts[RK],0)),"")</f>
        <v>JAX</v>
      </c>
      <c r="Y55" s="120">
        <f>IFERROR(INDEX(TableTECalcPts[BYE],MATCH(TableTEVORP[[#This Row],[RK]],TableTECalcPts[RK],0)),"")</f>
        <v>9</v>
      </c>
      <c r="Z55" s="121">
        <f>IFERROR(INDEX(TableTECalcPts[Custom],MATCH(TableTEVORP[[#This Row],[RK]],TableTECalcPts[RK],0)),"")</f>
        <v>27.978221136532827</v>
      </c>
      <c r="AA55" s="122">
        <f>IFERROR((TableTEVORP[[#This Row],[FPS]]-INDEX(TableTEVORP[FPS],MATCH(TEVORPCalc,TableTEVORP[RK],0)))/INDEX(TableTEVORP[FPS],MATCH(TEVORPCalc,TableTEVORP[RK],0)),"")</f>
        <v>-0.76455291532546144</v>
      </c>
      <c r="AF55" t="s">
        <v>256</v>
      </c>
      <c r="AG55">
        <v>14</v>
      </c>
      <c r="AH55" s="86">
        <f>RANK(TableOverallMaster[[#This Row],[VORP]],TableOverallMaster[VORP])+COUNTIF($AM$2:AM55,AM55)-1</f>
        <v>22</v>
      </c>
      <c r="AI55" s="123" t="str">
        <f>IFERROR(INDEX(TableRBVORP[RUNNING BACK],MATCH(TableOverallMaster[[#This Row],[RK]],TableRBVORP[RK],0)),"")</f>
        <v>Rachaad White</v>
      </c>
      <c r="AJ55" s="123" t="str">
        <f t="shared" si="0"/>
        <v>RB14</v>
      </c>
      <c r="AK55" s="123">
        <f>IFERROR(INDEX(TableRBVORP[BYE],MATCH(TableOverallMaster[[#This Row],[RK]],TableRBVORP[RK],0)),"")</f>
        <v>5</v>
      </c>
      <c r="AL55" s="124">
        <f>IFERROR(INDEX(TableRBVORP[FPS],MATCH(TableOverallMaster[[#This Row],[RK]],TableRBVORP[RK],0)),"")</f>
        <v>206.53143530729474</v>
      </c>
      <c r="AM55" s="125">
        <f>IFERROR(INDEX(TableRBVORP[VORP],MATCH(TableOverallMaster[[#This Row],[RK]],TableRBVORP[RK],0)),"")</f>
        <v>0.68648144953306234</v>
      </c>
      <c r="AO55">
        <v>54</v>
      </c>
      <c r="AP55" s="126" t="str">
        <f>IFERROR(INDEX(TableOverallMaster[OVERALL PLAYER],MATCH(TableOverallRank[[#This Row],[RK]],TableOverallMaster[OVR RK],0)),"")</f>
        <v>Keenan Allen</v>
      </c>
      <c r="AQ55" s="127" t="str">
        <f>IFERROR(INDEX(TableOverallMaster[POS RK],MATCH(TableOverallRank[[#This Row],[OVERALL PLAYER]],TableOverallMaster[OVERALL PLAYER],0)),"")</f>
        <v>WR19</v>
      </c>
      <c r="AR55" s="128">
        <f>IFERROR(INDEX(TableOverallMaster[BYE],MATCH(TableOverallRank[[#This Row],[OVERALL PLAYER]],TableOverallMaster[OVERALL PLAYER],0)),"")</f>
        <v>5</v>
      </c>
      <c r="AS55" s="127">
        <f>IFERROR(INDEX(TableOverallMaster[Custom],MATCH(TableOverallRank[[#This Row],[OVERALL PLAYER]],TableOverallMaster[OVERALL PLAYER],0)),"")</f>
        <v>188.37080588355121</v>
      </c>
      <c r="AT55" s="129">
        <f>IFERROR(INDEX(TableOverallMaster[VORP],MATCH(TableOverallRank[[#This Row],[OVERALL PLAYER]],TableOverallMaster[OVERALL PLAYER],0)),"")</f>
        <v>0.44575779336726001</v>
      </c>
      <c r="AV55">
        <v>54</v>
      </c>
      <c r="AW55" s="130" t="str">
        <f>IFERROR(INDEX(TableWRTECalcPts[PLAYER],MATCH(TableWRTERank[[#This Row],[RK]],TableWRTECalcPts[RK],0)),"")</f>
        <v>Quentin Johnston</v>
      </c>
      <c r="AX55" s="130" t="str">
        <f>IFERROR(INDEX(TableWRTECalcPts[POS RK],MATCH(TableWRTERank[[#This Row],[WR and TE COMBINED]],TableWRTECalcPts[PLAYER],0)),"")</f>
        <v>WR49</v>
      </c>
      <c r="AY55" s="130">
        <f>IFERROR(INDEX(TableWRTECalcPts[BYE],MATCH(TableWRTERank[[#This Row],[RK]],TableWRTECalcPts[RK],0)),"")</f>
        <v>5</v>
      </c>
      <c r="AZ55" s="131">
        <f>IFERROR(INDEX(TableWRTECalcPts[Custom],MATCH(TableWRTERank[[#This Row],[RK]],TableWRTECalcPts[RK],0)),"")</f>
        <v>146.30157488677921</v>
      </c>
      <c r="BA55" s="188">
        <f>IFERROR((TableWRTERank[[#This Row],[FPS]]-INDEX(TableWRTERank[FPS],MATCH(WRTEVORPCalc,TableWRTERank[RK],0)))/INDEX(TableWRTERank[FPS],MATCH(WRTEVORPCalc,TableWRTERank[RK],0)),"")</f>
        <v>5.7168606824955927E-2</v>
      </c>
      <c r="BC55" t="s">
        <v>257</v>
      </c>
      <c r="BD55">
        <v>54</v>
      </c>
      <c r="BE55" s="86">
        <f>RANK(TableWRTEMaster[[#This Row],[VORP]],TableWRTEMaster[VORP])+COUNTIF($BJ$2:BJ55,BJ55)-1</f>
        <v>64</v>
      </c>
      <c r="BF55" s="123" t="str">
        <f>IFERROR(INDEX(TableWRVORP[WIDE RECEIVER],MATCH(TableWRTEMaster[[#This Row],[RK]],TableWRVORP[RK],0)),"")</f>
        <v>Donovan Peoples-Jones</v>
      </c>
      <c r="BG55" s="123" t="str">
        <f>_xlfn.CONCAT(TableWRTEMaster[[#This Row],[POS]],TableWRTEMaster[[#This Row],[RK]])</f>
        <v>WR54</v>
      </c>
      <c r="BH55" s="123">
        <f>IFERROR(INDEX(TableWRVORP[BYE],MATCH(TableWRTEMaster[[#This Row],[RK]],TableWRVORP[RK],0)),"")</f>
        <v>5</v>
      </c>
      <c r="BI55" s="124">
        <f>IFERROR(INDEX(TableWRVORP[FPS],MATCH(TableWRTEMaster[[#This Row],[RK]],TableWRVORP[RK],0)),"")</f>
        <v>133.57256369839229</v>
      </c>
      <c r="BJ55" s="125">
        <f>IFERROR(INDEX(TableWRVORP[VORP],MATCH(TableWRTEMaster[[#This Row],[RK]],TableWRVORP[RK],0)),"")</f>
        <v>2.5177834968631629E-2</v>
      </c>
    </row>
    <row r="56" spans="1:62" x14ac:dyDescent="0.2">
      <c r="A56">
        <v>55</v>
      </c>
      <c r="B56" s="120" t="str">
        <f>IFERROR(INDEX(TableQBCalcPts[PLAYER],MATCH(TableQBVORP[[#This Row],[RK]],TableQBCalcPts[RK],0)),"")</f>
        <v>Dorian Thompson-Robinson</v>
      </c>
      <c r="C56" s="120" t="str">
        <f>IFERROR(INDEX(TableQBCalcPts[TM],MATCH(TableQBVORP[[#This Row],[RK]],TableQBCalcPts[RK],0)),"")</f>
        <v>CLE</v>
      </c>
      <c r="D56" s="120">
        <f>IFERROR(INDEX(TableQBCalcPts[BYE],MATCH(TableQBVORP[[#This Row],[RK]],TableQBCalcPts[RK],0)),"")</f>
        <v>5</v>
      </c>
      <c r="E56" s="121">
        <f>IFERROR(INDEX(TableQBCalcPts[Custom],MATCH(TableQBVORP[[#This Row],[RK]],TableQBCalcPts[RK],0)),"")</f>
        <v>6.7185977184000034</v>
      </c>
      <c r="F56" s="122">
        <f>(IFERROR((TableQBVORP[[#This Row],[FPS]]-INDEX(TableQBVORP[FPS],MATCH(QBVORPCalc,TableQBVORP[RK],0)))/INDEX(TableQBVORP[FPS],MATCH(QBVORPCalc,TableQBVORP[RK],0)),""))+(TableRBVORP[[#This Row],[VORP]]*0.45)</f>
        <v>-1.0749966732099947</v>
      </c>
      <c r="H56">
        <v>55</v>
      </c>
      <c r="I56" s="120" t="str">
        <f>IFERROR(INDEX(TableRBCalcPts[PLAYER],MATCH(TableRBVORP[[#This Row],[RK]],TableRBCalcPts[RK],0)),"")</f>
        <v>Joshua Kelley</v>
      </c>
      <c r="J56" s="120" t="str">
        <f>IFERROR(INDEX(TableRBCalcPts[TM],MATCH(TableRBVORP[[#This Row],[RK]],TableRBCalcPts[RK],0)),"")</f>
        <v>LAC</v>
      </c>
      <c r="K56" s="120">
        <f>IFERROR(INDEX(TableRBCalcPts[BYE],MATCH(TableRBVORP[[#This Row],[RK]],TableRBCalcPts[RK],0)),"")</f>
        <v>5</v>
      </c>
      <c r="L56" s="121">
        <f>IFERROR(INDEX(TableRBCalcPts[Custom],MATCH(TableRBVORP[[#This Row],[RK]],TableRBCalcPts[RK],0)),"")</f>
        <v>97.654269176520614</v>
      </c>
      <c r="M56" s="122">
        <f>IFERROR((TableRBVORP[[#This Row],[FPS]]-INDEX(TableRBVORP[FPS],MATCH(RBVORPCalc,TableRBVORP[RK],0)))/INDEX(TableRBVORP[FPS],MATCH(RBVORPCalc,TableRBVORP[RK],0)),"")</f>
        <v>-0.20258088949574365</v>
      </c>
      <c r="O56">
        <v>55</v>
      </c>
      <c r="P56" s="120" t="str">
        <f>IFERROR(INDEX(TableWRCalcPts[PLAYER],MATCH(TableWRVORP[[#This Row],[RK]],TableWRCalcPts[RK],0)),"")</f>
        <v>JuJu Smith-Schuster</v>
      </c>
      <c r="Q56" s="120" t="str">
        <f>IFERROR(INDEX(TableWRCalcPts[TM],MATCH(TableWRVORP[[#This Row],[RK]],TableWRCalcPts[RK],0)),"")</f>
        <v>NE</v>
      </c>
      <c r="R56" s="120">
        <f>IFERROR(INDEX(TableWRCalcPts[BYE],MATCH(TableWRVORP[[#This Row],[RK]],TableWRCalcPts[RK],0)),"")</f>
        <v>11</v>
      </c>
      <c r="S56" s="121">
        <f>IFERROR(INDEX(TableWRCalcPts[Custom],MATCH(TableWRVORP[[#This Row],[RK]],TableWRCalcPts[RK],0)),"")</f>
        <v>132.92429779365278</v>
      </c>
      <c r="T56" s="122">
        <f>IFERROR((TableWRVORP[[#This Row],[FPS]]-INDEX(TableWRVORP[FPS],MATCH(WRVORPCalc,TableWRVORP[RK],0)))/INDEX(TableWRVORP[FPS],MATCH(WRVORPCalc,TableWRVORP[RK],0)),"")</f>
        <v>2.0202353340492269E-2</v>
      </c>
      <c r="V56">
        <v>55</v>
      </c>
      <c r="W56" s="120" t="str">
        <f>IFERROR(INDEX(TableTECalcPts[PLAYER],MATCH(TableTEVORP[[#This Row],[RK]],TableTECalcPts[RK],0)),"")</f>
        <v>Tre' McKitty</v>
      </c>
      <c r="X56" s="120" t="str">
        <f>IFERROR(INDEX(TableTECalcPts[TM],MATCH(TableTEVORP[[#This Row],[RK]],TableTECalcPts[RK],0)),"")</f>
        <v>LAC</v>
      </c>
      <c r="Y56" s="120">
        <f>IFERROR(INDEX(TableTECalcPts[BYE],MATCH(TableTEVORP[[#This Row],[RK]],TableTECalcPts[RK],0)),"")</f>
        <v>5</v>
      </c>
      <c r="Z56" s="121">
        <f>IFERROR(INDEX(TableTECalcPts[Custom],MATCH(TableTEVORP[[#This Row],[RK]],TableTECalcPts[RK],0)),"")</f>
        <v>26.7579091087308</v>
      </c>
      <c r="AA56" s="122">
        <f>IFERROR((TableTEVORP[[#This Row],[FPS]]-INDEX(TableTEVORP[FPS],MATCH(TEVORPCalc,TableTEVORP[RK],0)))/INDEX(TableTEVORP[FPS],MATCH(TEVORPCalc,TableTEVORP[RK],0)),"")</f>
        <v>-0.77482229263637603</v>
      </c>
      <c r="AF56" t="s">
        <v>256</v>
      </c>
      <c r="AG56">
        <v>15</v>
      </c>
      <c r="AH56" s="86">
        <f>RANK(TableOverallMaster[[#This Row],[VORP]],TableOverallMaster[VORP])+COUNTIF($AM$2:AM56,AM56)-1</f>
        <v>24</v>
      </c>
      <c r="AI56" s="123" t="str">
        <f>IFERROR(INDEX(TableRBVORP[RUNNING BACK],MATCH(TableOverallMaster[[#This Row],[RK]],TableRBVORP[RK],0)),"")</f>
        <v>Aaron Jones</v>
      </c>
      <c r="AJ56" s="123" t="str">
        <f t="shared" si="0"/>
        <v>RB15</v>
      </c>
      <c r="AK56" s="123">
        <f>IFERROR(INDEX(TableRBVORP[BYE],MATCH(TableOverallMaster[[#This Row],[RK]],TableRBVORP[RK],0)),"")</f>
        <v>6</v>
      </c>
      <c r="AL56" s="124">
        <f>IFERROR(INDEX(TableRBVORP[FPS],MATCH(TableOverallMaster[[#This Row],[RK]],TableRBVORP[RK],0)),"")</f>
        <v>204.13862350454943</v>
      </c>
      <c r="AM56" s="125">
        <f>IFERROR(INDEX(TableRBVORP[VORP],MATCH(TableOverallMaster[[#This Row],[RK]],TableRBVORP[RK],0)),"")</f>
        <v>0.6669423768899585</v>
      </c>
      <c r="AO56">
        <v>55</v>
      </c>
      <c r="AP56" s="126" t="str">
        <f>IFERROR(INDEX(TableOverallMaster[OVERALL PLAYER],MATCH(TableOverallRank[[#This Row],[RK]],TableOverallMaster[OVR RK],0)),"")</f>
        <v>DK Metcalf</v>
      </c>
      <c r="AQ56" s="127" t="str">
        <f>IFERROR(INDEX(TableOverallMaster[POS RK],MATCH(TableOverallRank[[#This Row],[OVERALL PLAYER]],TableOverallMaster[OVERALL PLAYER],0)),"")</f>
        <v>WR20</v>
      </c>
      <c r="AR56" s="128">
        <f>IFERROR(INDEX(TableOverallMaster[BYE],MATCH(TableOverallRank[[#This Row],[OVERALL PLAYER]],TableOverallMaster[OVERALL PLAYER],0)),"")</f>
        <v>5</v>
      </c>
      <c r="AS56" s="127">
        <f>IFERROR(INDEX(TableOverallMaster[Custom],MATCH(TableOverallRank[[#This Row],[OVERALL PLAYER]],TableOverallMaster[OVERALL PLAYER],0)),"")</f>
        <v>188.35721763550663</v>
      </c>
      <c r="AT56" s="129">
        <f>IFERROR(INDEX(TableOverallMaster[VORP],MATCH(TableOverallRank[[#This Row],[OVERALL PLAYER]],TableOverallMaster[OVERALL PLAYER],0)),"")</f>
        <v>0.44565350270811821</v>
      </c>
      <c r="AV56">
        <v>55</v>
      </c>
      <c r="AW56" s="130" t="str">
        <f>IFERROR(INDEX(TableWRTECalcPts[PLAYER],MATCH(TableWRTERank[[#This Row],[RK]],TableWRTECalcPts[RK],0)),"")</f>
        <v>Diontae Johnson</v>
      </c>
      <c r="AX56" s="130" t="str">
        <f>IFERROR(INDEX(TableWRTECalcPts[POS RK],MATCH(TableWRTERank[[#This Row],[WR and TE COMBINED]],TableWRTECalcPts[PLAYER],0)),"")</f>
        <v>WR50</v>
      </c>
      <c r="AY56" s="130">
        <f>IFERROR(INDEX(TableWRTECalcPts[BYE],MATCH(TableWRTERank[[#This Row],[RK]],TableWRTECalcPts[RK],0)),"")</f>
        <v>6</v>
      </c>
      <c r="AZ56" s="131">
        <f>IFERROR(INDEX(TableWRTECalcPts[Custom],MATCH(TableWRTERank[[#This Row],[RK]],TableWRTECalcPts[RK],0)),"")</f>
        <v>144.91414323693797</v>
      </c>
      <c r="BA56" s="188">
        <f>IFERROR((TableWRTERank[[#This Row],[FPS]]-INDEX(TableWRTERank[FPS],MATCH(WRTEVORPCalc,TableWRTERank[RK],0)))/INDEX(TableWRTERank[FPS],MATCH(WRTEVORPCalc,TableWRTERank[RK],0)),"")</f>
        <v>4.7143088060290522E-2</v>
      </c>
      <c r="BC56" t="s">
        <v>257</v>
      </c>
      <c r="BD56">
        <v>55</v>
      </c>
      <c r="BE56" s="86">
        <f>RANK(TableWRTEMaster[[#This Row],[VORP]],TableWRTEMaster[VORP])+COUNTIF($BJ$2:BJ56,BJ56)-1</f>
        <v>66</v>
      </c>
      <c r="BF56" s="123" t="str">
        <f>IFERROR(INDEX(TableWRVORP[WIDE RECEIVER],MATCH(TableWRTEMaster[[#This Row],[RK]],TableWRVORP[RK],0)),"")</f>
        <v>JuJu Smith-Schuster</v>
      </c>
      <c r="BG56" s="123" t="str">
        <f>_xlfn.CONCAT(TableWRTEMaster[[#This Row],[POS]],TableWRTEMaster[[#This Row],[RK]])</f>
        <v>WR55</v>
      </c>
      <c r="BH56" s="123">
        <f>IFERROR(INDEX(TableWRVORP[BYE],MATCH(TableWRTEMaster[[#This Row],[RK]],TableWRVORP[RK],0)),"")</f>
        <v>11</v>
      </c>
      <c r="BI56" s="124">
        <f>IFERROR(INDEX(TableWRVORP[FPS],MATCH(TableWRTEMaster[[#This Row],[RK]],TableWRVORP[RK],0)),"")</f>
        <v>132.92429779365278</v>
      </c>
      <c r="BJ56" s="125">
        <f>IFERROR(INDEX(TableWRVORP[VORP],MATCH(TableWRTEMaster[[#This Row],[RK]],TableWRVORP[RK],0)),"")</f>
        <v>2.0202353340492269E-2</v>
      </c>
    </row>
    <row r="57" spans="1:62" x14ac:dyDescent="0.2">
      <c r="A57">
        <v>56</v>
      </c>
      <c r="B57" s="120" t="str">
        <f>IFERROR(INDEX(TableQBCalcPts[PLAYER],MATCH(TableQBVORP[[#This Row],[RK]],TableQBCalcPts[RK],0)),"")</f>
        <v>Tyson Bagent</v>
      </c>
      <c r="C57" s="120" t="str">
        <f>IFERROR(INDEX(TableQBCalcPts[TM],MATCH(TableQBVORP[[#This Row],[RK]],TableQBCalcPts[RK],0)),"")</f>
        <v>CHI</v>
      </c>
      <c r="D57" s="120">
        <f>IFERROR(INDEX(TableQBCalcPts[BYE],MATCH(TableQBVORP[[#This Row],[RK]],TableQBCalcPts[RK],0)),"")</f>
        <v>13</v>
      </c>
      <c r="E57" s="121">
        <f>IFERROR(INDEX(TableQBCalcPts[Custom],MATCH(TableQBVORP[[#This Row],[RK]],TableQBCalcPts[RK],0)),"")</f>
        <v>6.6868205304145709</v>
      </c>
      <c r="F57" s="122">
        <f>(IFERROR((TableQBVORP[[#This Row],[FPS]]-INDEX(TableQBVORP[FPS],MATCH(QBVORPCalc,TableQBVORP[RK],0)))/INDEX(TableQBVORP[FPS],MATCH(QBVORPCalc,TableQBVORP[RK],0)),""))+(TableRBVORP[[#This Row],[VORP]]*0.45)</f>
        <v>-1.0886143421935754</v>
      </c>
      <c r="H57">
        <v>56</v>
      </c>
      <c r="I57" s="120" t="str">
        <f>IFERROR(INDEX(TableRBCalcPts[PLAYER],MATCH(TableRBVORP[[#This Row],[RK]],TableRBCalcPts[RK],0)),"")</f>
        <v>Tyjae Spears</v>
      </c>
      <c r="J57" s="120" t="str">
        <f>IFERROR(INDEX(TableRBCalcPts[TM],MATCH(TableRBVORP[[#This Row],[RK]],TableRBCalcPts[RK],0)),"")</f>
        <v>TEN</v>
      </c>
      <c r="K57" s="120">
        <f>IFERROR(INDEX(TableRBCalcPts[BYE],MATCH(TableRBVORP[[#This Row],[RK]],TableRBCalcPts[RK],0)),"")</f>
        <v>7</v>
      </c>
      <c r="L57" s="121">
        <f>IFERROR(INDEX(TableRBCalcPts[Custom],MATCH(TableRBVORP[[#This Row],[RK]],TableRBCalcPts[RK],0)),"")</f>
        <v>93.969165711551824</v>
      </c>
      <c r="M57" s="122">
        <f>IFERROR((TableRBVORP[[#This Row],[FPS]]-INDEX(TableRBVORP[FPS],MATCH(RBVORPCalc,TableRBVORP[RK],0)))/INDEX(TableRBVORP[FPS],MATCH(RBVORPCalc,TableRBVORP[RK],0)),"")</f>
        <v>-0.2326724763964636</v>
      </c>
      <c r="O57">
        <v>56</v>
      </c>
      <c r="P57" s="120" t="str">
        <f>IFERROR(INDEX(TableWRCalcPts[PLAYER],MATCH(TableWRVORP[[#This Row],[RK]],TableWRCalcPts[RK],0)),"")</f>
        <v>Romeo Doubs</v>
      </c>
      <c r="Q57" s="120" t="str">
        <f>IFERROR(INDEX(TableWRCalcPts[TM],MATCH(TableWRVORP[[#This Row],[RK]],TableWRCalcPts[RK],0)),"")</f>
        <v>GB</v>
      </c>
      <c r="R57" s="120">
        <f>IFERROR(INDEX(TableWRCalcPts[BYE],MATCH(TableWRVORP[[#This Row],[RK]],TableWRCalcPts[RK],0)),"")</f>
        <v>6</v>
      </c>
      <c r="S57" s="121">
        <f>IFERROR(INDEX(TableWRCalcPts[Custom],MATCH(TableWRVORP[[#This Row],[RK]],TableWRCalcPts[RK],0)),"")</f>
        <v>131.5987978749377</v>
      </c>
      <c r="T57" s="122">
        <f>IFERROR((TableWRVORP[[#This Row],[FPS]]-INDEX(TableWRVORP[FPS],MATCH(WRVORPCalc,TableWRVORP[RK],0)))/INDEX(TableWRVORP[FPS],MATCH(WRVORPCalc,TableWRVORP[RK],0)),"")</f>
        <v>1.0029058022242868E-2</v>
      </c>
      <c r="V57">
        <v>56</v>
      </c>
      <c r="W57" s="120" t="str">
        <f>IFERROR(INDEX(TableTECalcPts[PLAYER],MATCH(TableTEVORP[[#This Row],[RK]],TableTECalcPts[RK],0)),"")</f>
        <v>Connor Heyward</v>
      </c>
      <c r="X57" s="120" t="str">
        <f>IFERROR(INDEX(TableTECalcPts[TM],MATCH(TableTEVORP[[#This Row],[RK]],TableTECalcPts[RK],0)),"")</f>
        <v>PIT</v>
      </c>
      <c r="Y57" s="120">
        <f>IFERROR(INDEX(TableTECalcPts[BYE],MATCH(TableTEVORP[[#This Row],[RK]],TableTECalcPts[RK],0)),"")</f>
        <v>6</v>
      </c>
      <c r="Z57" s="121">
        <f>IFERROR(INDEX(TableTECalcPts[Custom],MATCH(TableTEVORP[[#This Row],[RK]],TableTECalcPts[RK],0)),"")</f>
        <v>24.628471667553608</v>
      </c>
      <c r="AA57" s="122">
        <f>IFERROR((TableTEVORP[[#This Row],[FPS]]-INDEX(TableTEVORP[FPS],MATCH(TEVORPCalc,TableTEVORP[RK],0)))/INDEX(TableTEVORP[FPS],MATCH(TEVORPCalc,TableTEVORP[RK],0)),"")</f>
        <v>-0.79274229673797025</v>
      </c>
      <c r="AF57" t="s">
        <v>256</v>
      </c>
      <c r="AG57">
        <v>16</v>
      </c>
      <c r="AH57" s="86">
        <f>RANK(TableOverallMaster[[#This Row],[VORP]],TableOverallMaster[VORP])+COUNTIF($AM$2:AM57,AM57)-1</f>
        <v>27</v>
      </c>
      <c r="AI57" s="123" t="str">
        <f>IFERROR(INDEX(TableRBVORP[RUNNING BACK],MATCH(TableOverallMaster[[#This Row],[RK]],TableRBVORP[RK],0)),"")</f>
        <v>Cam Akers</v>
      </c>
      <c r="AJ57" s="123" t="str">
        <f t="shared" si="0"/>
        <v>RB16</v>
      </c>
      <c r="AK57" s="123">
        <f>IFERROR(INDEX(TableRBVORP[BYE],MATCH(TableOverallMaster[[#This Row],[RK]],TableRBVORP[RK],0)),"")</f>
        <v>10</v>
      </c>
      <c r="AL57" s="124">
        <f>IFERROR(INDEX(TableRBVORP[FPS],MATCH(TableOverallMaster[[#This Row],[RK]],TableRBVORP[RK],0)),"")</f>
        <v>198.18796580263299</v>
      </c>
      <c r="AM57" s="125">
        <f>IFERROR(INDEX(TableRBVORP[VORP],MATCH(TableOverallMaster[[#This Row],[RK]],TableRBVORP[RK],0)),"")</f>
        <v>0.61835086920072369</v>
      </c>
      <c r="AO57">
        <v>56</v>
      </c>
      <c r="AP57" s="126" t="str">
        <f>IFERROR(INDEX(TableOverallMaster[OVERALL PLAYER],MATCH(TableOverallRank[[#This Row],[RK]],TableOverallMaster[OVR RK],0)),"")</f>
        <v>Deebo Samuel</v>
      </c>
      <c r="AQ57" s="127" t="str">
        <f>IFERROR(INDEX(TableOverallMaster[POS RK],MATCH(TableOverallRank[[#This Row],[OVERALL PLAYER]],TableOverallMaster[OVERALL PLAYER],0)),"")</f>
        <v>WR21</v>
      </c>
      <c r="AR57" s="128">
        <f>IFERROR(INDEX(TableOverallMaster[BYE],MATCH(TableOverallRank[[#This Row],[OVERALL PLAYER]],TableOverallMaster[OVERALL PLAYER],0)),"")</f>
        <v>9</v>
      </c>
      <c r="AS57" s="127">
        <f>IFERROR(INDEX(TableOverallMaster[Custom],MATCH(TableOverallRank[[#This Row],[OVERALL PLAYER]],TableOverallMaster[OVERALL PLAYER],0)),"")</f>
        <v>187.77475092905638</v>
      </c>
      <c r="AT57" s="129">
        <f>IFERROR(INDEX(TableOverallMaster[VORP],MATCH(TableOverallRank[[#This Row],[OVERALL PLAYER]],TableOverallMaster[OVERALL PLAYER],0)),"")</f>
        <v>0.44118303406900228</v>
      </c>
      <c r="AV57">
        <v>56</v>
      </c>
      <c r="AW57" s="130" t="str">
        <f>IFERROR(INDEX(TableWRTECalcPts[PLAYER],MATCH(TableWRTERank[[#This Row],[RK]],TableWRTECalcPts[RK],0)),"")</f>
        <v>Jakobi Meyers</v>
      </c>
      <c r="AX57" s="130" t="str">
        <f>IFERROR(INDEX(TableWRTECalcPts[POS RK],MATCH(TableWRTERank[[#This Row],[WR and TE COMBINED]],TableWRTECalcPts[PLAYER],0)),"")</f>
        <v>WR51</v>
      </c>
      <c r="AY57" s="130">
        <f>IFERROR(INDEX(TableWRTECalcPts[BYE],MATCH(TableWRTERank[[#This Row],[RK]],TableWRTECalcPts[RK],0)),"")</f>
        <v>13</v>
      </c>
      <c r="AZ57" s="131">
        <f>IFERROR(INDEX(TableWRTECalcPts[Custom],MATCH(TableWRTERank[[#This Row],[RK]],TableWRTECalcPts[RK],0)),"")</f>
        <v>144.71799711264924</v>
      </c>
      <c r="BA57" s="188">
        <f>IFERROR((TableWRTERank[[#This Row],[FPS]]-INDEX(TableWRTERank[FPS],MATCH(WRTEVORPCalc,TableWRTERank[RK],0)))/INDEX(TableWRTERank[FPS],MATCH(WRTEVORPCalc,TableWRTERank[RK],0)),"")</f>
        <v>4.5725744978994884E-2</v>
      </c>
      <c r="BC57" t="s">
        <v>257</v>
      </c>
      <c r="BD57">
        <v>56</v>
      </c>
      <c r="BE57" s="86">
        <f>RANK(TableWRTEMaster[[#This Row],[VORP]],TableWRTEMaster[VORP])+COUNTIF($BJ$2:BJ57,BJ57)-1</f>
        <v>67</v>
      </c>
      <c r="BF57" s="123" t="str">
        <f>IFERROR(INDEX(TableWRVORP[WIDE RECEIVER],MATCH(TableWRTEMaster[[#This Row],[RK]],TableWRVORP[RK],0)),"")</f>
        <v>Romeo Doubs</v>
      </c>
      <c r="BG57" s="123" t="str">
        <f>_xlfn.CONCAT(TableWRTEMaster[[#This Row],[POS]],TableWRTEMaster[[#This Row],[RK]])</f>
        <v>WR56</v>
      </c>
      <c r="BH57" s="123">
        <f>IFERROR(INDEX(TableWRVORP[BYE],MATCH(TableWRTEMaster[[#This Row],[RK]],TableWRVORP[RK],0)),"")</f>
        <v>6</v>
      </c>
      <c r="BI57" s="124">
        <f>IFERROR(INDEX(TableWRVORP[FPS],MATCH(TableWRTEMaster[[#This Row],[RK]],TableWRVORP[RK],0)),"")</f>
        <v>131.5987978749377</v>
      </c>
      <c r="BJ57" s="125">
        <f>IFERROR(INDEX(TableWRVORP[VORP],MATCH(TableWRTEMaster[[#This Row],[RK]],TableWRVORP[RK],0)),"")</f>
        <v>1.0029058022242868E-2</v>
      </c>
    </row>
    <row r="58" spans="1:62" x14ac:dyDescent="0.2">
      <c r="A58">
        <v>57</v>
      </c>
      <c r="B58" s="120" t="str">
        <f>IFERROR(INDEX(TableQBCalcPts[PLAYER],MATCH(TableQBVORP[[#This Row],[RK]],TableQBCalcPts[RK],0)),"")</f>
        <v>Davis Mills</v>
      </c>
      <c r="C58" s="120" t="str">
        <f>IFERROR(INDEX(TableQBCalcPts[TM],MATCH(TableQBVORP[[#This Row],[RK]],TableQBCalcPts[RK],0)),"")</f>
        <v>HOU</v>
      </c>
      <c r="D58" s="120">
        <f>IFERROR(INDEX(TableQBCalcPts[BYE],MATCH(TableQBVORP[[#This Row],[RK]],TableQBCalcPts[RK],0)),"")</f>
        <v>7</v>
      </c>
      <c r="E58" s="121">
        <f>IFERROR(INDEX(TableQBCalcPts[Custom],MATCH(TableQBVORP[[#This Row],[RK]],TableQBCalcPts[RK],0)),"")</f>
        <v>6.0265679597533444</v>
      </c>
      <c r="F58" s="122">
        <f>(IFERROR((TableQBVORP[[#This Row],[FPS]]-INDEX(TableQBVORP[FPS],MATCH(QBVORPCalc,TableQBVORP[RK],0)))/INDEX(TableQBVORP[FPS],MATCH(QBVORPCalc,TableQBVORP[RK],0)),""))+(TableRBVORP[[#This Row],[VORP]]*0.45)</f>
        <v>-1.1149110556033295</v>
      </c>
      <c r="H58">
        <v>57</v>
      </c>
      <c r="I58" s="120" t="str">
        <f>IFERROR(INDEX(TableRBCalcPts[PLAYER],MATCH(TableRBVORP[[#This Row],[RK]],TableRBCalcPts[RK],0)),"")</f>
        <v>Gus Edwards</v>
      </c>
      <c r="J58" s="120" t="str">
        <f>IFERROR(INDEX(TableRBCalcPts[TM],MATCH(TableRBVORP[[#This Row],[RK]],TableRBCalcPts[RK],0)),"")</f>
        <v>BAL</v>
      </c>
      <c r="K58" s="120">
        <f>IFERROR(INDEX(TableRBCalcPts[BYE],MATCH(TableRBVORP[[#This Row],[RK]],TableRBCalcPts[RK],0)),"")</f>
        <v>13</v>
      </c>
      <c r="L58" s="121">
        <f>IFERROR(INDEX(TableRBCalcPts[Custom],MATCH(TableRBVORP[[#This Row],[RK]],TableRBCalcPts[RK],0)),"")</f>
        <v>87.245089713516052</v>
      </c>
      <c r="M58" s="122">
        <f>IFERROR((TableRBVORP[[#This Row],[FPS]]-INDEX(TableRBVORP[FPS],MATCH(RBVORPCalc,TableRBVORP[RK],0)))/INDEX(TableRBVORP[FPS],MATCH(RBVORPCalc,TableRBVORP[RK],0)),"")</f>
        <v>-0.28757951473213</v>
      </c>
      <c r="O58">
        <v>57</v>
      </c>
      <c r="P58" s="120" t="str">
        <f>IFERROR(INDEX(TableWRCalcPts[PLAYER],MATCH(TableWRVORP[[#This Row],[RK]],TableWRCalcPts[RK],0)),"")</f>
        <v>Zay Flowers</v>
      </c>
      <c r="Q58" s="120" t="str">
        <f>IFERROR(INDEX(TableWRCalcPts[TM],MATCH(TableWRVORP[[#This Row],[RK]],TableWRCalcPts[RK],0)),"")</f>
        <v>BAL</v>
      </c>
      <c r="R58" s="120">
        <f>IFERROR(INDEX(TableWRCalcPts[BYE],MATCH(TableWRVORP[[#This Row],[RK]],TableWRCalcPts[RK],0)),"")</f>
        <v>13</v>
      </c>
      <c r="S58" s="121">
        <f>IFERROR(INDEX(TableWRCalcPts[Custom],MATCH(TableWRVORP[[#This Row],[RK]],TableWRCalcPts[RK],0)),"")</f>
        <v>130.29209093511014</v>
      </c>
      <c r="T58" s="122">
        <f>IFERROR((TableWRVORP[[#This Row],[FPS]]-INDEX(TableWRVORP[FPS],MATCH(WRVORPCalc,TableWRVORP[RK],0)))/INDEX(TableWRVORP[FPS],MATCH(WRVORPCalc,TableWRVORP[RK],0)),"")</f>
        <v>0</v>
      </c>
      <c r="V58">
        <v>57</v>
      </c>
      <c r="W58" s="120" t="str">
        <f>IFERROR(INDEX(TableTECalcPts[PLAYER],MATCH(TableTEVORP[[#This Row],[RK]],TableTECalcPts[RK],0)),"")</f>
        <v>Daniel Bellinger</v>
      </c>
      <c r="X58" s="120" t="str">
        <f>IFERROR(INDEX(TableTECalcPts[TM],MATCH(TableTEVORP[[#This Row],[RK]],TableTECalcPts[RK],0)),"")</f>
        <v>NYG</v>
      </c>
      <c r="Y58" s="120">
        <f>IFERROR(INDEX(TableTECalcPts[BYE],MATCH(TableTEVORP[[#This Row],[RK]],TableTECalcPts[RK],0)),"")</f>
        <v>13</v>
      </c>
      <c r="Z58" s="121">
        <f>IFERROR(INDEX(TableTECalcPts[Custom],MATCH(TableTEVORP[[#This Row],[RK]],TableTECalcPts[RK],0)),"")</f>
        <v>23.798835293150606</v>
      </c>
      <c r="AA58" s="122">
        <f>IFERROR((TableTEVORP[[#This Row],[FPS]]-INDEX(TableTEVORP[FPS],MATCH(TEVORPCalc,TableTEVORP[RK],0)))/INDEX(TableTEVORP[FPS],MATCH(TEVORPCalc,TableTEVORP[RK],0)),"")</f>
        <v>-0.79972399384944526</v>
      </c>
      <c r="AF58" t="s">
        <v>256</v>
      </c>
      <c r="AG58">
        <v>17</v>
      </c>
      <c r="AH58" s="86">
        <f>RANK(TableOverallMaster[[#This Row],[VORP]],TableOverallMaster[VORP])+COUNTIF($AM$2:AM58,AM58)-1</f>
        <v>28</v>
      </c>
      <c r="AI58" s="123" t="str">
        <f>IFERROR(INDEX(TableRBVORP[RUNNING BACK],MATCH(TableOverallMaster[[#This Row],[RK]],TableRBVORP[RK],0)),"")</f>
        <v>Miles Sanders</v>
      </c>
      <c r="AJ58" s="123" t="str">
        <f t="shared" si="0"/>
        <v>RB17</v>
      </c>
      <c r="AK58" s="123">
        <f>IFERROR(INDEX(TableRBVORP[BYE],MATCH(TableOverallMaster[[#This Row],[RK]],TableRBVORP[RK],0)),"")</f>
        <v>7</v>
      </c>
      <c r="AL58" s="124">
        <f>IFERROR(INDEX(TableRBVORP[FPS],MATCH(TableOverallMaster[[#This Row],[RK]],TableRBVORP[RK],0)),"")</f>
        <v>198.17585634036573</v>
      </c>
      <c r="AM58" s="125">
        <f>IFERROR(INDEX(TableRBVORP[VORP],MATCH(TableOverallMaster[[#This Row],[RK]],TableRBVORP[RK],0)),"")</f>
        <v>0.61825198651273394</v>
      </c>
      <c r="AO58">
        <v>57</v>
      </c>
      <c r="AP58" s="126" t="str">
        <f>IFERROR(INDEX(TableOverallMaster[OVERALL PLAYER],MATCH(TableOverallRank[[#This Row],[RK]],TableOverallMaster[OVR RK],0)),"")</f>
        <v>Terry McLaurin</v>
      </c>
      <c r="AQ58" s="127" t="str">
        <f>IFERROR(INDEX(TableOverallMaster[POS RK],MATCH(TableOverallRank[[#This Row],[OVERALL PLAYER]],TableOverallMaster[OVERALL PLAYER],0)),"")</f>
        <v>WR22</v>
      </c>
      <c r="AR58" s="128">
        <f>IFERROR(INDEX(TableOverallMaster[BYE],MATCH(TableOverallRank[[#This Row],[OVERALL PLAYER]],TableOverallMaster[OVERALL PLAYER],0)),"")</f>
        <v>14</v>
      </c>
      <c r="AS58" s="127">
        <f>IFERROR(INDEX(TableOverallMaster[Custom],MATCH(TableOverallRank[[#This Row],[OVERALL PLAYER]],TableOverallMaster[OVERALL PLAYER],0)),"")</f>
        <v>185.45630681519057</v>
      </c>
      <c r="AT58" s="129">
        <f>IFERROR(INDEX(TableOverallMaster[VORP],MATCH(TableOverallRank[[#This Row],[OVERALL PLAYER]],TableOverallMaster[OVERALL PLAYER],0)),"")</f>
        <v>0.42338882954571722</v>
      </c>
      <c r="AV58">
        <v>57</v>
      </c>
      <c r="AW58" s="130" t="str">
        <f>IFERROR(INDEX(TableWRTECalcPts[PLAYER],MATCH(TableWRTERank[[#This Row],[RK]],TableWRTECalcPts[RK],0)),"")</f>
        <v>Dallas Goedert</v>
      </c>
      <c r="AX58" s="130" t="str">
        <f>IFERROR(INDEX(TableWRTECalcPts[POS RK],MATCH(TableWRTERank[[#This Row],[WR and TE COMBINED]],TableWRTECalcPts[PLAYER],0)),"")</f>
        <v>TE6</v>
      </c>
      <c r="AY58" s="130">
        <f>IFERROR(INDEX(TableWRTECalcPts[BYE],MATCH(TableWRTERank[[#This Row],[RK]],TableWRTECalcPts[RK],0)),"")</f>
        <v>10</v>
      </c>
      <c r="AZ58" s="131">
        <f>IFERROR(INDEX(TableWRTECalcPts[Custom],MATCH(TableWRTERank[[#This Row],[RK]],TableWRTECalcPts[RK],0)),"")</f>
        <v>140.56778839078723</v>
      </c>
      <c r="BA58" s="188">
        <f>IFERROR((TableWRTERank[[#This Row],[FPS]]-INDEX(TableWRTERank[FPS],MATCH(WRTEVORPCalc,TableWRTERank[RK],0)))/INDEX(TableWRTERank[FPS],MATCH(WRTEVORPCalc,TableWRTERank[RK],0)),"")</f>
        <v>1.5736523223049668E-2</v>
      </c>
      <c r="BC58" t="s">
        <v>257</v>
      </c>
      <c r="BD58">
        <v>57</v>
      </c>
      <c r="BE58" s="86">
        <f>RANK(TableWRTEMaster[[#This Row],[VORP]],TableWRTEMaster[VORP])+COUNTIF($BJ$2:BJ58,BJ58)-1</f>
        <v>68</v>
      </c>
      <c r="BF58" s="123" t="str">
        <f>IFERROR(INDEX(TableWRVORP[WIDE RECEIVER],MATCH(TableWRTEMaster[[#This Row],[RK]],TableWRVORP[RK],0)),"")</f>
        <v>Zay Flowers</v>
      </c>
      <c r="BG58" s="123" t="str">
        <f>_xlfn.CONCAT(TableWRTEMaster[[#This Row],[POS]],TableWRTEMaster[[#This Row],[RK]])</f>
        <v>WR57</v>
      </c>
      <c r="BH58" s="123">
        <f>IFERROR(INDEX(TableWRVORP[BYE],MATCH(TableWRTEMaster[[#This Row],[RK]],TableWRVORP[RK],0)),"")</f>
        <v>13</v>
      </c>
      <c r="BI58" s="124">
        <f>IFERROR(INDEX(TableWRVORP[FPS],MATCH(TableWRTEMaster[[#This Row],[RK]],TableWRVORP[RK],0)),"")</f>
        <v>130.29209093511014</v>
      </c>
      <c r="BJ58" s="125">
        <f>IFERROR(INDEX(TableWRVORP[VORP],MATCH(TableWRTEMaster[[#This Row],[RK]],TableWRVORP[RK],0)),"")</f>
        <v>0</v>
      </c>
    </row>
    <row r="59" spans="1:62" x14ac:dyDescent="0.2">
      <c r="A59">
        <v>58</v>
      </c>
      <c r="B59" s="120" t="str">
        <f>IFERROR(INDEX(TableQBCalcPts[PLAYER],MATCH(TableQBVORP[[#This Row],[RK]],TableQBCalcPts[RK],0)),"")</f>
        <v>Teddy Bridgewater</v>
      </c>
      <c r="C59" s="120" t="str">
        <f>IFERROR(INDEX(TableQBCalcPts[TM],MATCH(TableQBVORP[[#This Row],[RK]],TableQBCalcPts[RK],0)),"")</f>
        <v>DET</v>
      </c>
      <c r="D59" s="120">
        <f>IFERROR(INDEX(TableQBCalcPts[BYE],MATCH(TableQBVORP[[#This Row],[RK]],TableQBCalcPts[RK],0)),"")</f>
        <v>9</v>
      </c>
      <c r="E59" s="121">
        <f>IFERROR(INDEX(TableQBCalcPts[Custom],MATCH(TableQBVORP[[#This Row],[RK]],TableQBCalcPts[RK],0)),"")</f>
        <v>5.0024858939142973</v>
      </c>
      <c r="F59" s="122">
        <f>(IFERROR((TableQBVORP[[#This Row],[FPS]]-INDEX(TableQBVORP[FPS],MATCH(QBVORPCalc,TableQBVORP[RK],0)))/INDEX(TableQBVORP[FPS],MATCH(QBVORPCalc,TableQBVORP[RK],0)),""))+(TableRBVORP[[#This Row],[VORP]]*0.45)</f>
        <v>-1.1298959328198812</v>
      </c>
      <c r="H59">
        <v>58</v>
      </c>
      <c r="I59" s="120" t="str">
        <f>IFERROR(INDEX(TableRBCalcPts[PLAYER],MATCH(TableRBVORP[[#This Row],[RK]],TableRBCalcPts[RK],0)),"")</f>
        <v>Devin Singletary</v>
      </c>
      <c r="J59" s="120" t="str">
        <f>IFERROR(INDEX(TableRBCalcPts[TM],MATCH(TableRBVORP[[#This Row],[RK]],TableRBCalcPts[RK],0)),"")</f>
        <v>HOU</v>
      </c>
      <c r="K59" s="120">
        <f>IFERROR(INDEX(TableRBCalcPts[BYE],MATCH(TableRBVORP[[#This Row],[RK]],TableRBCalcPts[RK],0)),"")</f>
        <v>7</v>
      </c>
      <c r="L59" s="121">
        <f>IFERROR(INDEX(TableRBCalcPts[Custom],MATCH(TableRBVORP[[#This Row],[RK]],TableRBCalcPts[RK],0)),"")</f>
        <v>83.837635517984992</v>
      </c>
      <c r="M59" s="122">
        <f>IFERROR((TableRBVORP[[#This Row],[FPS]]-INDEX(TableRBVORP[FPS],MATCH(RBVORPCalc,TableRBVORP[RK],0)))/INDEX(TableRBVORP[FPS],MATCH(RBVORPCalc,TableRBVORP[RK],0)),"")</f>
        <v>-0.31540389063087132</v>
      </c>
      <c r="O59">
        <v>58</v>
      </c>
      <c r="P59" s="120" t="str">
        <f>IFERROR(INDEX(TableWRCalcPts[PLAYER],MATCH(TableWRVORP[[#This Row],[RK]],TableWRCalcPts[RK],0)),"")</f>
        <v>Van Jefferson</v>
      </c>
      <c r="Q59" s="120" t="str">
        <f>IFERROR(INDEX(TableWRCalcPts[TM],MATCH(TableWRVORP[[#This Row],[RK]],TableWRCalcPts[RK],0)),"")</f>
        <v>LAR</v>
      </c>
      <c r="R59" s="120">
        <f>IFERROR(INDEX(TableWRCalcPts[BYE],MATCH(TableWRVORP[[#This Row],[RK]],TableWRCalcPts[RK],0)),"")</f>
        <v>10</v>
      </c>
      <c r="S59" s="121">
        <f>IFERROR(INDEX(TableWRCalcPts[Custom],MATCH(TableWRVORP[[#This Row],[RK]],TableWRCalcPts[RK],0)),"")</f>
        <v>130.16505343713359</v>
      </c>
      <c r="T59" s="122">
        <f>IFERROR((TableWRVORP[[#This Row],[FPS]]-INDEX(TableWRVORP[FPS],MATCH(WRVORPCalc,TableWRVORP[RK],0)))/INDEX(TableWRVORP[FPS],MATCH(WRVORPCalc,TableWRVORP[RK],0)),"")</f>
        <v>-9.7502079416174174E-4</v>
      </c>
      <c r="V59">
        <v>58</v>
      </c>
      <c r="W59" s="120" t="str">
        <f>IFERROR(INDEX(TableTECalcPts[PLAYER],MATCH(TableTEVORP[[#This Row],[RK]],TableTECalcPts[RK],0)),"")</f>
        <v>Noah Gray</v>
      </c>
      <c r="X59" s="120" t="str">
        <f>IFERROR(INDEX(TableTECalcPts[TM],MATCH(TableTEVORP[[#This Row],[RK]],TableTECalcPts[RK],0)),"")</f>
        <v>KC</v>
      </c>
      <c r="Y59" s="120">
        <f>IFERROR(INDEX(TableTECalcPts[BYE],MATCH(TableTEVORP[[#This Row],[RK]],TableTECalcPts[RK],0)),"")</f>
        <v>10</v>
      </c>
      <c r="Z59" s="121">
        <f>IFERROR(INDEX(TableTECalcPts[Custom],MATCH(TableTEVORP[[#This Row],[RK]],TableTECalcPts[RK],0)),"")</f>
        <v>23.702476663268556</v>
      </c>
      <c r="AA59" s="122">
        <f>IFERROR((TableTEVORP[[#This Row],[FPS]]-INDEX(TableTEVORP[FPS],MATCH(TEVORPCalc,TableTEVORP[RK],0)))/INDEX(TableTEVORP[FPS],MATCH(TEVORPCalc,TableTEVORP[RK],0)),"")</f>
        <v>-0.800534887379032</v>
      </c>
      <c r="AF59" t="s">
        <v>256</v>
      </c>
      <c r="AG59">
        <v>18</v>
      </c>
      <c r="AH59" s="86">
        <f>RANK(TableOverallMaster[[#This Row],[VORP]],TableOverallMaster[VORP])+COUNTIF($AM$2:AM59,AM59)-1</f>
        <v>29</v>
      </c>
      <c r="AI59" s="123" t="str">
        <f>IFERROR(INDEX(TableRBVORP[RUNNING BACK],MATCH(TableOverallMaster[[#This Row],[RK]],TableRBVORP[RK],0)),"")</f>
        <v>J.K. Dobbins</v>
      </c>
      <c r="AJ59" s="123" t="str">
        <f t="shared" si="0"/>
        <v>RB18</v>
      </c>
      <c r="AK59" s="123">
        <f>IFERROR(INDEX(TableRBVORP[BYE],MATCH(TableOverallMaster[[#This Row],[RK]],TableRBVORP[RK],0)),"")</f>
        <v>13</v>
      </c>
      <c r="AL59" s="124">
        <f>IFERROR(INDEX(TableRBVORP[FPS],MATCH(TableOverallMaster[[#This Row],[RK]],TableRBVORP[RK],0)),"")</f>
        <v>196.46388437581254</v>
      </c>
      <c r="AM59" s="125">
        <f>IFERROR(INDEX(TableRBVORP[VORP],MATCH(TableOverallMaster[[#This Row],[RK]],TableRBVORP[RK],0)),"")</f>
        <v>0.60427247314691734</v>
      </c>
      <c r="AO59">
        <v>58</v>
      </c>
      <c r="AP59" s="126" t="str">
        <f>IFERROR(INDEX(TableOverallMaster[OVERALL PLAYER],MATCH(TableOverallRank[[#This Row],[RK]],TableOverallMaster[OVR RK],0)),"")</f>
        <v>Mike Williams</v>
      </c>
      <c r="AQ59" s="127" t="str">
        <f>IFERROR(INDEX(TableOverallMaster[POS RK],MATCH(TableOverallRank[[#This Row],[OVERALL PLAYER]],TableOverallMaster[OVERALL PLAYER],0)),"")</f>
        <v>WR23</v>
      </c>
      <c r="AR59" s="128">
        <f>IFERROR(INDEX(TableOverallMaster[BYE],MATCH(TableOverallRank[[#This Row],[OVERALL PLAYER]],TableOverallMaster[OVERALL PLAYER],0)),"")</f>
        <v>5</v>
      </c>
      <c r="AS59" s="127">
        <f>IFERROR(INDEX(TableOverallMaster[Custom],MATCH(TableOverallRank[[#This Row],[OVERALL PLAYER]],TableOverallMaster[OVERALL PLAYER],0)),"")</f>
        <v>184.79340105256802</v>
      </c>
      <c r="AT59" s="129">
        <f>IFERROR(INDEX(TableOverallMaster[VORP],MATCH(TableOverallRank[[#This Row],[OVERALL PLAYER]],TableOverallMaster[OVERALL PLAYER],0)),"")</f>
        <v>0.4183009860867255</v>
      </c>
      <c r="AV59">
        <v>58</v>
      </c>
      <c r="AW59" s="130" t="str">
        <f>IFERROR(INDEX(TableWRTECalcPts[PLAYER],MATCH(TableWRTERank[[#This Row],[RK]],TableWRTECalcPts[RK],0)),"")</f>
        <v>Tyler Boyd</v>
      </c>
      <c r="AX59" s="130" t="str">
        <f>IFERROR(INDEX(TableWRTECalcPts[POS RK],MATCH(TableWRTERank[[#This Row],[WR and TE COMBINED]],TableWRTECalcPts[PLAYER],0)),"")</f>
        <v>WR52</v>
      </c>
      <c r="AY59" s="130">
        <f>IFERROR(INDEX(TableWRTECalcPts[BYE],MATCH(TableWRTERank[[#This Row],[RK]],TableWRTECalcPts[RK],0)),"")</f>
        <v>7</v>
      </c>
      <c r="AZ59" s="131">
        <f>IFERROR(INDEX(TableWRTECalcPts[Custom],MATCH(TableWRTERank[[#This Row],[RK]],TableWRTECalcPts[RK],0)),"")</f>
        <v>139.21511967372822</v>
      </c>
      <c r="BA59" s="188">
        <f>IFERROR((TableWRTERank[[#This Row],[FPS]]-INDEX(TableWRTERank[FPS],MATCH(WRTEVORPCalc,TableWRTERank[RK],0)))/INDEX(TableWRTERank[FPS],MATCH(WRTEVORPCalc,TableWRTERank[RK],0)),"")</f>
        <v>5.9621998487755061E-3</v>
      </c>
      <c r="BC59" t="s">
        <v>257</v>
      </c>
      <c r="BD59">
        <v>58</v>
      </c>
      <c r="BE59" s="86">
        <f>RANK(TableWRTEMaster[[#This Row],[VORP]],TableWRTEMaster[VORP])+COUNTIF($BJ$2:BJ59,BJ59)-1</f>
        <v>70</v>
      </c>
      <c r="BF59" s="123" t="str">
        <f>IFERROR(INDEX(TableWRVORP[WIDE RECEIVER],MATCH(TableWRTEMaster[[#This Row],[RK]],TableWRVORP[RK],0)),"")</f>
        <v>Van Jefferson</v>
      </c>
      <c r="BG59" s="123" t="str">
        <f>_xlfn.CONCAT(TableWRTEMaster[[#This Row],[POS]],TableWRTEMaster[[#This Row],[RK]])</f>
        <v>WR58</v>
      </c>
      <c r="BH59" s="123">
        <f>IFERROR(INDEX(TableWRVORP[BYE],MATCH(TableWRTEMaster[[#This Row],[RK]],TableWRVORP[RK],0)),"")</f>
        <v>10</v>
      </c>
      <c r="BI59" s="124">
        <f>IFERROR(INDEX(TableWRVORP[FPS],MATCH(TableWRTEMaster[[#This Row],[RK]],TableWRVORP[RK],0)),"")</f>
        <v>130.16505343713359</v>
      </c>
      <c r="BJ59" s="125">
        <f>IFERROR(INDEX(TableWRVORP[VORP],MATCH(TableWRTEMaster[[#This Row],[RK]],TableWRVORP[RK],0)),"")</f>
        <v>-9.7502079416174174E-4</v>
      </c>
    </row>
    <row r="60" spans="1:62" x14ac:dyDescent="0.2">
      <c r="A60">
        <v>59</v>
      </c>
      <c r="B60" s="120" t="str">
        <f>IFERROR(INDEX(TableQBCalcPts[PLAYER],MATCH(TableQBVORP[[#This Row],[RK]],TableQBCalcPts[RK],0)),"")</f>
        <v>Jarrett Stidham</v>
      </c>
      <c r="C60" s="120" t="str">
        <f>IFERROR(INDEX(TableQBCalcPts[TM],MATCH(TableQBVORP[[#This Row],[RK]],TableQBCalcPts[RK],0)),"")</f>
        <v>DEN</v>
      </c>
      <c r="D60" s="120">
        <f>IFERROR(INDEX(TableQBCalcPts[BYE],MATCH(TableQBVORP[[#This Row],[RK]],TableQBCalcPts[RK],0)),"")</f>
        <v>9</v>
      </c>
      <c r="E60" s="121">
        <f>IFERROR(INDEX(TableQBCalcPts[Custom],MATCH(TableQBVORP[[#This Row],[RK]],TableQBCalcPts[RK],0)),"")</f>
        <v>3.0679900639155027</v>
      </c>
      <c r="F60" s="122">
        <f>(IFERROR((TableQBVORP[[#This Row],[FPS]]-INDEX(TableQBVORP[FPS],MATCH(QBVORPCalc,TableQBVORP[RK],0)))/INDEX(TableQBVORP[FPS],MATCH(QBVORPCalc,TableQBVORP[RK],0)),""))+(TableRBVORP[[#This Row],[VORP]]*0.45)</f>
        <v>-1.1443144752049399</v>
      </c>
      <c r="H60">
        <v>59</v>
      </c>
      <c r="I60" s="120" t="str">
        <f>IFERROR(INDEX(TableRBCalcPts[PLAYER],MATCH(TableRBVORP[[#This Row],[RK]],TableRBCalcPts[RK],0)),"")</f>
        <v>Zamir White</v>
      </c>
      <c r="J60" s="120" t="str">
        <f>IFERROR(INDEX(TableRBCalcPts[TM],MATCH(TableRBVORP[[#This Row],[RK]],TableRBCalcPts[RK],0)),"")</f>
        <v>LV</v>
      </c>
      <c r="K60" s="120">
        <f>IFERROR(INDEX(TableRBCalcPts[BYE],MATCH(TableRBVORP[[#This Row],[RK]],TableRBCalcPts[RK],0)),"")</f>
        <v>13</v>
      </c>
      <c r="L60" s="121">
        <f>IFERROR(INDEX(TableRBCalcPts[Custom],MATCH(TableRBVORP[[#This Row],[RK]],TableRBCalcPts[RK],0)),"")</f>
        <v>81.180405652583815</v>
      </c>
      <c r="M60" s="122">
        <f>IFERROR((TableRBVORP[[#This Row],[FPS]]-INDEX(TableRBVORP[FPS],MATCH(RBVORPCalc,TableRBVORP[RK],0)))/INDEX(TableRBVORP[FPS],MATCH(RBVORPCalc,TableRBVORP[RK],0)),"")</f>
        <v>-0.337102131716915</v>
      </c>
      <c r="O60">
        <v>59</v>
      </c>
      <c r="P60" s="120" t="str">
        <f>IFERROR(INDEX(TableWRCalcPts[PLAYER],MATCH(TableWRVORP[[#This Row],[RK]],TableWRCalcPts[RK],0)),"")</f>
        <v>Marvin Mims</v>
      </c>
      <c r="Q60" s="120" t="str">
        <f>IFERROR(INDEX(TableWRCalcPts[TM],MATCH(TableWRVORP[[#This Row],[RK]],TableWRCalcPts[RK],0)),"")</f>
        <v>DEN</v>
      </c>
      <c r="R60" s="120">
        <f>IFERROR(INDEX(TableWRCalcPts[BYE],MATCH(TableWRVORP[[#This Row],[RK]],TableWRCalcPts[RK],0)),"")</f>
        <v>9</v>
      </c>
      <c r="S60" s="121">
        <f>IFERROR(INDEX(TableWRCalcPts[Custom],MATCH(TableWRVORP[[#This Row],[RK]],TableWRCalcPts[RK],0)),"")</f>
        <v>129.2891470122569</v>
      </c>
      <c r="T60" s="122">
        <f>IFERROR((TableWRVORP[[#This Row],[FPS]]-INDEX(TableWRVORP[FPS],MATCH(WRVORPCalc,TableWRVORP[RK],0)))/INDEX(TableWRVORP[FPS],MATCH(WRVORPCalc,TableWRVORP[RK],0)),"")</f>
        <v>-7.6976577446495496E-3</v>
      </c>
      <c r="V60">
        <v>59</v>
      </c>
      <c r="W60" s="120" t="str">
        <f>IFERROR(INDEX(TableTECalcPts[PLAYER],MATCH(TableTEVORP[[#This Row],[RK]],TableTECalcPts[RK],0)),"")</f>
        <v>Robert Tonyan</v>
      </c>
      <c r="X60" s="120" t="str">
        <f>IFERROR(INDEX(TableTECalcPts[TM],MATCH(TableTEVORP[[#This Row],[RK]],TableTECalcPts[RK],0)),"")</f>
        <v>CHI</v>
      </c>
      <c r="Y60" s="120">
        <f>IFERROR(INDEX(TableTECalcPts[BYE],MATCH(TableTEVORP[[#This Row],[RK]],TableTECalcPts[RK],0)),"")</f>
        <v>13</v>
      </c>
      <c r="Z60" s="121">
        <f>IFERROR(INDEX(TableTECalcPts[Custom],MATCH(TableTEVORP[[#This Row],[RK]],TableTECalcPts[RK],0)),"")</f>
        <v>23.028311172227735</v>
      </c>
      <c r="AA60" s="122">
        <f>IFERROR((TableTEVORP[[#This Row],[FPS]]-INDEX(TableTEVORP[FPS],MATCH(TEVORPCalc,TableTEVORP[RK],0)))/INDEX(TableTEVORP[FPS],MATCH(TEVORPCalc,TableTEVORP[RK],0)),"")</f>
        <v>-0.80620823947240283</v>
      </c>
      <c r="AF60" t="s">
        <v>256</v>
      </c>
      <c r="AG60">
        <v>19</v>
      </c>
      <c r="AH60" s="86">
        <f>RANK(TableOverallMaster[[#This Row],[VORP]],TableOverallMaster[VORP])+COUNTIF($AM$2:AM60,AM60)-1</f>
        <v>32</v>
      </c>
      <c r="AI60" s="123" t="str">
        <f>IFERROR(INDEX(TableRBVORP[RUNNING BACK],MATCH(TableOverallMaster[[#This Row],[RK]],TableRBVORP[RK],0)),"")</f>
        <v>Khalil Herbert</v>
      </c>
      <c r="AJ60" s="123" t="str">
        <f t="shared" si="0"/>
        <v>RB19</v>
      </c>
      <c r="AK60" s="123">
        <f>IFERROR(INDEX(TableRBVORP[BYE],MATCH(TableOverallMaster[[#This Row],[RK]],TableRBVORP[RK],0)),"")</f>
        <v>13</v>
      </c>
      <c r="AL60" s="124">
        <f>IFERROR(INDEX(TableRBVORP[FPS],MATCH(TableOverallMaster[[#This Row],[RK]],TableRBVORP[RK],0)),"")</f>
        <v>194.00349793430235</v>
      </c>
      <c r="AM60" s="125">
        <f>IFERROR(INDEX(TableRBVORP[VORP],MATCH(TableOverallMaster[[#This Row],[RK]],TableRBVORP[RK],0)),"")</f>
        <v>0.58418160375400485</v>
      </c>
      <c r="AO60">
        <v>59</v>
      </c>
      <c r="AP60" s="126" t="str">
        <f>IFERROR(INDEX(TableOverallMaster[OVERALL PLAYER],MATCH(TableOverallRank[[#This Row],[RK]],TableOverallMaster[OVR RK],0)),"")</f>
        <v>Amari Cooper</v>
      </c>
      <c r="AQ60" s="127" t="str">
        <f>IFERROR(INDEX(TableOverallMaster[POS RK],MATCH(TableOverallRank[[#This Row],[OVERALL PLAYER]],TableOverallMaster[OVERALL PLAYER],0)),"")</f>
        <v>WR24</v>
      </c>
      <c r="AR60" s="128">
        <f>IFERROR(INDEX(TableOverallMaster[BYE],MATCH(TableOverallRank[[#This Row],[OVERALL PLAYER]],TableOverallMaster[OVERALL PLAYER],0)),"")</f>
        <v>5</v>
      </c>
      <c r="AS60" s="127">
        <f>IFERROR(INDEX(TableOverallMaster[Custom],MATCH(TableOverallRank[[#This Row],[OVERALL PLAYER]],TableOverallMaster[OVERALL PLAYER],0)),"")</f>
        <v>183.883298165518</v>
      </c>
      <c r="AT60" s="129">
        <f>IFERROR(INDEX(TableOverallMaster[VORP],MATCH(TableOverallRank[[#This Row],[OVERALL PLAYER]],TableOverallMaster[OVERALL PLAYER],0)),"")</f>
        <v>0.41131588913634132</v>
      </c>
      <c r="AV60">
        <v>59</v>
      </c>
      <c r="AW60" s="130" t="str">
        <f>IFERROR(INDEX(TableWRTECalcPts[PLAYER],MATCH(TableWRTERank[[#This Row],[RK]],TableWRTECalcPts[RK],0)),"")</f>
        <v>Kyle Pitts</v>
      </c>
      <c r="AX60" s="130" t="str">
        <f>IFERROR(INDEX(TableWRTECalcPts[POS RK],MATCH(TableWRTERank[[#This Row],[WR and TE COMBINED]],TableWRTECalcPts[PLAYER],0)),"")</f>
        <v>TE7</v>
      </c>
      <c r="AY60" s="130">
        <f>IFERROR(INDEX(TableWRTECalcPts[BYE],MATCH(TableWRTERank[[#This Row],[RK]],TableWRTECalcPts[RK],0)),"")</f>
        <v>11</v>
      </c>
      <c r="AZ60" s="131">
        <f>IFERROR(INDEX(TableWRTECalcPts[Custom],MATCH(TableWRTERank[[#This Row],[RK]],TableWRTECalcPts[RK],0)),"")</f>
        <v>138.52950994352989</v>
      </c>
      <c r="BA60" s="188">
        <f>IFERROR((TableWRTERank[[#This Row],[FPS]]-INDEX(TableWRTERank[FPS],MATCH(WRTEVORPCalc,TableWRTERank[RK],0)))/INDEX(TableWRTERank[FPS],MATCH(WRTEVORPCalc,TableWRTERank[RK],0)),"")</f>
        <v>1.0080147427004253E-3</v>
      </c>
      <c r="BC60" t="s">
        <v>257</v>
      </c>
      <c r="BD60">
        <v>59</v>
      </c>
      <c r="BE60" s="86">
        <f>RANK(TableWRTEMaster[[#This Row],[VORP]],TableWRTEMaster[VORP])+COUNTIF($BJ$2:BJ60,BJ60)-1</f>
        <v>71</v>
      </c>
      <c r="BF60" s="123" t="str">
        <f>IFERROR(INDEX(TableWRVORP[WIDE RECEIVER],MATCH(TableWRTEMaster[[#This Row],[RK]],TableWRVORP[RK],0)),"")</f>
        <v>Marvin Mims</v>
      </c>
      <c r="BG60" s="123" t="str">
        <f>_xlfn.CONCAT(TableWRTEMaster[[#This Row],[POS]],TableWRTEMaster[[#This Row],[RK]])</f>
        <v>WR59</v>
      </c>
      <c r="BH60" s="123">
        <f>IFERROR(INDEX(TableWRVORP[BYE],MATCH(TableWRTEMaster[[#This Row],[RK]],TableWRVORP[RK],0)),"")</f>
        <v>9</v>
      </c>
      <c r="BI60" s="124">
        <f>IFERROR(INDEX(TableWRVORP[FPS],MATCH(TableWRTEMaster[[#This Row],[RK]],TableWRVORP[RK],0)),"")</f>
        <v>129.2891470122569</v>
      </c>
      <c r="BJ60" s="125">
        <f>IFERROR(INDEX(TableWRVORP[VORP],MATCH(TableWRTEMaster[[#This Row],[RK]],TableWRVORP[RK],0)),"")</f>
        <v>-7.6976577446495496E-3</v>
      </c>
    </row>
    <row r="61" spans="1:62" x14ac:dyDescent="0.2">
      <c r="A61">
        <v>60</v>
      </c>
      <c r="B61" s="120" t="str">
        <f>IFERROR(INDEX(TableQBCalcPts[PLAYER],MATCH(TableQBVORP[[#This Row],[RK]],TableQBCalcPts[RK],0)),"")</f>
        <v>Zach Wilson</v>
      </c>
      <c r="C61" s="120" t="str">
        <f>IFERROR(INDEX(TableQBCalcPts[TM],MATCH(TableQBVORP[[#This Row],[RK]],TableQBCalcPts[RK],0)),"")</f>
        <v>NYJ</v>
      </c>
      <c r="D61" s="120">
        <f>IFERROR(INDEX(TableQBCalcPts[BYE],MATCH(TableQBVORP[[#This Row],[RK]],TableQBCalcPts[RK],0)),"")</f>
        <v>7</v>
      </c>
      <c r="E61" s="121">
        <f>IFERROR(INDEX(TableQBCalcPts[Custom],MATCH(TableQBVORP[[#This Row],[RK]],TableQBCalcPts[RK],0)),"")</f>
        <v>2.8400780345311172</v>
      </c>
      <c r="F61" s="122">
        <f>(IFERROR((TableQBVORP[[#This Row],[FPS]]-INDEX(TableQBVORP[FPS],MATCH(QBVORPCalc,TableQBVORP[RK],0)))/INDEX(TableQBVORP[FPS],MATCH(QBVORPCalc,TableQBVORP[RK],0)),""))+(TableRBVORP[[#This Row],[VORP]]*0.45)</f>
        <v>-1.1508876607625405</v>
      </c>
      <c r="H61">
        <v>60</v>
      </c>
      <c r="I61" s="120" t="str">
        <f>IFERROR(INDEX(TableRBCalcPts[PLAYER],MATCH(TableRBVORP[[#This Row],[RK]],TableRBCalcPts[RK],0)),"")</f>
        <v>Chuba Hubbard</v>
      </c>
      <c r="J61" s="120" t="str">
        <f>IFERROR(INDEX(TableRBCalcPts[TM],MATCH(TableRBVORP[[#This Row],[RK]],TableRBCalcPts[RK],0)),"")</f>
        <v>CAR</v>
      </c>
      <c r="K61" s="120">
        <f>IFERROR(INDEX(TableRBCalcPts[BYE],MATCH(TableRBVORP[[#This Row],[RK]],TableRBCalcPts[RK],0)),"")</f>
        <v>7</v>
      </c>
      <c r="L61" s="121">
        <f>IFERROR(INDEX(TableRBCalcPts[Custom],MATCH(TableRBVORP[[#This Row],[RK]],TableRBCalcPts[RK],0)),"")</f>
        <v>79.540807738711649</v>
      </c>
      <c r="M61" s="122">
        <f>IFERROR((TableRBVORP[[#This Row],[FPS]]-INDEX(TableRBVORP[FPS],MATCH(RBVORPCalc,TableRBVORP[RK],0)))/INDEX(TableRBVORP[FPS],MATCH(RBVORPCalc,TableRBVORP[RK],0)),"")</f>
        <v>-0.35049065759591397</v>
      </c>
      <c r="O61">
        <v>60</v>
      </c>
      <c r="P61" s="120" t="str">
        <f>IFERROR(INDEX(TableWRCalcPts[PLAYER],MATCH(TableWRVORP[[#This Row],[RK]],TableWRCalcPts[RK],0)),"")</f>
        <v>Curtis Samuel</v>
      </c>
      <c r="Q61" s="120" t="str">
        <f>IFERROR(INDEX(TableWRCalcPts[TM],MATCH(TableWRVORP[[#This Row],[RK]],TableWRCalcPts[RK],0)),"")</f>
        <v>WSH</v>
      </c>
      <c r="R61" s="120">
        <f>IFERROR(INDEX(TableWRCalcPts[BYE],MATCH(TableWRVORP[[#This Row],[RK]],TableWRCalcPts[RK],0)),"")</f>
        <v>14</v>
      </c>
      <c r="S61" s="121">
        <f>IFERROR(INDEX(TableWRCalcPts[Custom],MATCH(TableWRVORP[[#This Row],[RK]],TableWRCalcPts[RK],0)),"")</f>
        <v>129.28583659160677</v>
      </c>
      <c r="T61" s="122">
        <f>IFERROR((TableWRVORP[[#This Row],[FPS]]-INDEX(TableWRVORP[FPS],MATCH(WRVORPCalc,TableWRVORP[RK],0)))/INDEX(TableWRVORP[FPS],MATCH(WRVORPCalc,TableWRVORP[RK],0)),"")</f>
        <v>-7.7230654315350606E-3</v>
      </c>
      <c r="V61">
        <v>60</v>
      </c>
      <c r="W61" s="120" t="str">
        <f>IFERROR(INDEX(TableTECalcPts[PLAYER],MATCH(TableTEVORP[[#This Row],[RK]],TableTECalcPts[RK],0)),"")</f>
        <v>Jordan Akins</v>
      </c>
      <c r="X61" s="120" t="str">
        <f>IFERROR(INDEX(TableTECalcPts[TM],MATCH(TableTEVORP[[#This Row],[RK]],TableTECalcPts[RK],0)),"")</f>
        <v>CLE</v>
      </c>
      <c r="Y61" s="120">
        <f>IFERROR(INDEX(TableTECalcPts[BYE],MATCH(TableTEVORP[[#This Row],[RK]],TableTECalcPts[RK],0)),"")</f>
        <v>5</v>
      </c>
      <c r="Z61" s="121">
        <f>IFERROR(INDEX(TableTECalcPts[Custom],MATCH(TableTEVORP[[#This Row],[RK]],TableTECalcPts[RK],0)),"")</f>
        <v>22.879912683379221</v>
      </c>
      <c r="AA61" s="122">
        <f>IFERROR((TableTEVORP[[#This Row],[FPS]]-INDEX(TableTEVORP[FPS],MATCH(TEVORPCalc,TableTEVORP[RK],0)))/INDEX(TableTEVORP[FPS],MATCH(TEVORPCalc,TableTEVORP[RK],0)),"")</f>
        <v>-0.80745706767341618</v>
      </c>
      <c r="AF61" t="s">
        <v>256</v>
      </c>
      <c r="AG61">
        <v>20</v>
      </c>
      <c r="AH61" s="86">
        <f>RANK(TableOverallMaster[[#This Row],[VORP]],TableOverallMaster[VORP])+COUNTIF($AM$2:AM61,AM61)-1</f>
        <v>35</v>
      </c>
      <c r="AI61" s="123" t="str">
        <f>IFERROR(INDEX(TableRBVORP[RUNNING BACK],MATCH(TableOverallMaster[[#This Row],[RK]],TableRBVORP[RK],0)),"")</f>
        <v>David Montgomery</v>
      </c>
      <c r="AJ61" s="123" t="str">
        <f t="shared" si="0"/>
        <v>RB20</v>
      </c>
      <c r="AK61" s="123">
        <f>IFERROR(INDEX(TableRBVORP[BYE],MATCH(TableOverallMaster[[#This Row],[RK]],TableRBVORP[RK],0)),"")</f>
        <v>9</v>
      </c>
      <c r="AL61" s="124">
        <f>IFERROR(INDEX(TableRBVORP[FPS],MATCH(TableOverallMaster[[#This Row],[RK]],TableRBVORP[RK],0)),"")</f>
        <v>192.12072685644694</v>
      </c>
      <c r="AM61" s="125">
        <f>IFERROR(INDEX(TableRBVORP[VORP],MATCH(TableOverallMaster[[#This Row],[RK]],TableRBVORP[RK],0)),"")</f>
        <v>0.56880738969406719</v>
      </c>
      <c r="AO61">
        <v>60</v>
      </c>
      <c r="AP61" s="126" t="str">
        <f>IFERROR(INDEX(TableOverallMaster[OVERALL PLAYER],MATCH(TableOverallRank[[#This Row],[RK]],TableOverallMaster[OVR RK],0)),"")</f>
        <v>Brian Robinson</v>
      </c>
      <c r="AQ61" s="127" t="str">
        <f>IFERROR(INDEX(TableOverallMaster[POS RK],MATCH(TableOverallRank[[#This Row],[OVERALL PLAYER]],TableOverallMaster[OVERALL PLAYER],0)),"")</f>
        <v>RB29</v>
      </c>
      <c r="AR61" s="128">
        <f>IFERROR(INDEX(TableOverallMaster[BYE],MATCH(TableOverallRank[[#This Row],[OVERALL PLAYER]],TableOverallMaster[OVERALL PLAYER],0)),"")</f>
        <v>14</v>
      </c>
      <c r="AS61" s="127">
        <f>IFERROR(INDEX(TableOverallMaster[Custom],MATCH(TableOverallRank[[#This Row],[OVERALL PLAYER]],TableOverallMaster[OVERALL PLAYER],0)),"")</f>
        <v>172.64825861373072</v>
      </c>
      <c r="AT61" s="129">
        <f>IFERROR(INDEX(TableOverallMaster[VORP],MATCH(TableOverallRank[[#This Row],[OVERALL PLAYER]],TableOverallMaster[OVERALL PLAYER],0)),"")</f>
        <v>0.40980032900570013</v>
      </c>
      <c r="AV61">
        <v>60</v>
      </c>
      <c r="AW61" s="130" t="str">
        <f>IFERROR(INDEX(TableWRTECalcPts[PLAYER],MATCH(TableWRTERank[[#This Row],[RK]],TableWRTECalcPts[RK],0)),"")</f>
        <v>Tyler Higbee</v>
      </c>
      <c r="AX61" s="130" t="str">
        <f>IFERROR(INDEX(TableWRTECalcPts[POS RK],MATCH(TableWRTERank[[#This Row],[WR and TE COMBINED]],TableWRTECalcPts[PLAYER],0)),"")</f>
        <v>TE8</v>
      </c>
      <c r="AY61" s="130">
        <f>IFERROR(INDEX(TableWRTECalcPts[BYE],MATCH(TableWRTERank[[#This Row],[RK]],TableWRTECalcPts[RK],0)),"")</f>
        <v>10</v>
      </c>
      <c r="AZ61" s="131">
        <f>IFERROR(INDEX(TableWRTECalcPts[Custom],MATCH(TableWRTERank[[#This Row],[RK]],TableWRTECalcPts[RK],0)),"")</f>
        <v>138.39001077242881</v>
      </c>
      <c r="BA61" s="188">
        <f>IFERROR((TableWRTERank[[#This Row],[FPS]]-INDEX(TableWRTERank[FPS],MATCH(WRTEVORPCalc,TableWRTERank[RK],0)))/INDEX(TableWRTERank[FPS],MATCH(WRTEVORPCalc,TableWRTERank[RK],0)),"")</f>
        <v>0</v>
      </c>
      <c r="BC61" t="s">
        <v>257</v>
      </c>
      <c r="BD61">
        <v>60</v>
      </c>
      <c r="BE61" s="86">
        <f>RANK(TableWRTEMaster[[#This Row],[VORP]],TableWRTEMaster[VORP])+COUNTIF($BJ$2:BJ61,BJ61)-1</f>
        <v>72</v>
      </c>
      <c r="BF61" s="123" t="str">
        <f>IFERROR(INDEX(TableWRVORP[WIDE RECEIVER],MATCH(TableWRTEMaster[[#This Row],[RK]],TableWRVORP[RK],0)),"")</f>
        <v>Curtis Samuel</v>
      </c>
      <c r="BG61" s="123" t="str">
        <f>_xlfn.CONCAT(TableWRTEMaster[[#This Row],[POS]],TableWRTEMaster[[#This Row],[RK]])</f>
        <v>WR60</v>
      </c>
      <c r="BH61" s="123">
        <f>IFERROR(INDEX(TableWRVORP[BYE],MATCH(TableWRTEMaster[[#This Row],[RK]],TableWRVORP[RK],0)),"")</f>
        <v>14</v>
      </c>
      <c r="BI61" s="124">
        <f>IFERROR(INDEX(TableWRVORP[FPS],MATCH(TableWRTEMaster[[#This Row],[RK]],TableWRVORP[RK],0)),"")</f>
        <v>129.28583659160677</v>
      </c>
      <c r="BJ61" s="125">
        <f>IFERROR(INDEX(TableWRVORP[VORP],MATCH(TableWRTEMaster[[#This Row],[RK]],TableWRVORP[RK],0)),"")</f>
        <v>-7.7230654315350606E-3</v>
      </c>
    </row>
    <row r="62" spans="1:62" x14ac:dyDescent="0.2">
      <c r="A62">
        <v>61</v>
      </c>
      <c r="B62" s="120" t="str">
        <f>IFERROR(INDEX(TableQBCalcPts[PLAYER],MATCH(TableQBVORP[[#This Row],[RK]],TableQBCalcPts[RK],0)),"")</f>
        <v>Blaine Gabbert</v>
      </c>
      <c r="C62" s="120" t="str">
        <f>IFERROR(INDEX(TableQBCalcPts[TM],MATCH(TableQBVORP[[#This Row],[RK]],TableQBCalcPts[RK],0)),"")</f>
        <v>KC</v>
      </c>
      <c r="D62" s="120">
        <f>IFERROR(INDEX(TableQBCalcPts[BYE],MATCH(TableQBVORP[[#This Row],[RK]],TableQBCalcPts[RK],0)),"")</f>
        <v>10</v>
      </c>
      <c r="E62" s="121">
        <f>IFERROR(INDEX(TableQBCalcPts[Custom],MATCH(TableQBVORP[[#This Row],[RK]],TableQBCalcPts[RK],0)),"")</f>
        <v>2.7295891675666519</v>
      </c>
      <c r="F62" s="122">
        <f>(IFERROR((TableQBVORP[[#This Row],[FPS]]-INDEX(TableQBVORP[FPS],MATCH(QBVORPCalc,TableQBVORP[RK],0)))/INDEX(TableQBVORP[FPS],MATCH(QBVORPCalc,TableQBVORP[RK],0)),""))+(TableRBVORP[[#This Row],[VORP]]*0.45)</f>
        <v>-1.1674503754287437</v>
      </c>
      <c r="H62">
        <v>61</v>
      </c>
      <c r="I62" s="120" t="str">
        <f>IFERROR(INDEX(TableRBCalcPts[PLAYER],MATCH(TableRBVORP[[#This Row],[RK]],TableRBCalcPts[RK],0)),"")</f>
        <v>Cordarrelle Patterson</v>
      </c>
      <c r="J62" s="120" t="str">
        <f>IFERROR(INDEX(TableRBCalcPts[TM],MATCH(TableRBVORP[[#This Row],[RK]],TableRBCalcPts[RK],0)),"")</f>
        <v>ATL</v>
      </c>
      <c r="K62" s="120">
        <f>IFERROR(INDEX(TableRBCalcPts[BYE],MATCH(TableRBVORP[[#This Row],[RK]],TableRBCalcPts[RK],0)),"")</f>
        <v>11</v>
      </c>
      <c r="L62" s="121">
        <f>IFERROR(INDEX(TableRBCalcPts[Custom],MATCH(TableRBVORP[[#This Row],[RK]],TableRBCalcPts[RK],0)),"")</f>
        <v>75.105777315267275</v>
      </c>
      <c r="M62" s="122">
        <f>IFERROR((TableRBVORP[[#This Row],[FPS]]-INDEX(TableRBVORP[FPS],MATCH(RBVORPCalc,TableRBVORP[RK],0)))/INDEX(TableRBVORP[FPS],MATCH(RBVORPCalc,TableRBVORP[RK],0)),"")</f>
        <v>-0.38670595105051536</v>
      </c>
      <c r="O62">
        <v>61</v>
      </c>
      <c r="P62" s="120" t="str">
        <f>IFERROR(INDEX(TableWRCalcPts[PLAYER],MATCH(TableWRVORP[[#This Row],[RK]],TableWRCalcPts[RK],0)),"")</f>
        <v>Darius Slayton</v>
      </c>
      <c r="Q62" s="120" t="str">
        <f>IFERROR(INDEX(TableWRCalcPts[TM],MATCH(TableWRVORP[[#This Row],[RK]],TableWRCalcPts[RK],0)),"")</f>
        <v>NYG</v>
      </c>
      <c r="R62" s="120">
        <f>IFERROR(INDEX(TableWRCalcPts[BYE],MATCH(TableWRVORP[[#This Row],[RK]],TableWRCalcPts[RK],0)),"")</f>
        <v>13</v>
      </c>
      <c r="S62" s="121">
        <f>IFERROR(INDEX(TableWRCalcPts[Custom],MATCH(TableWRVORP[[#This Row],[RK]],TableWRCalcPts[RK],0)),"")</f>
        <v>121.11123240350437</v>
      </c>
      <c r="T62" s="122">
        <f>IFERROR((TableWRVORP[[#This Row],[FPS]]-INDEX(TableWRVORP[FPS],MATCH(WRVORPCalc,TableWRVORP[RK],0)))/INDEX(TableWRVORP[FPS],MATCH(WRVORPCalc,TableWRVORP[RK],0)),"")</f>
        <v>-7.0463667178218378E-2</v>
      </c>
      <c r="V62">
        <v>61</v>
      </c>
      <c r="W62" s="120" t="str">
        <f>IFERROR(INDEX(TableTECalcPts[PLAYER],MATCH(TableTEVORP[[#This Row],[RK]],TableTECalcPts[RK],0)),"")</f>
        <v>Harrison Bryant</v>
      </c>
      <c r="X62" s="120" t="str">
        <f>IFERROR(INDEX(TableTECalcPts[TM],MATCH(TableTEVORP[[#This Row],[RK]],TableTECalcPts[RK],0)),"")</f>
        <v>CLE</v>
      </c>
      <c r="Y62" s="120">
        <f>IFERROR(INDEX(TableTECalcPts[BYE],MATCH(TableTEVORP[[#This Row],[RK]],TableTECalcPts[RK],0)),"")</f>
        <v>5</v>
      </c>
      <c r="Z62" s="121">
        <f>IFERROR(INDEX(TableTECalcPts[Custom],MATCH(TableTEVORP[[#This Row],[RK]],TableTECalcPts[RK],0)),"")</f>
        <v>22.41543281140352</v>
      </c>
      <c r="AA62" s="122">
        <f>IFERROR((TableTEVORP[[#This Row],[FPS]]-INDEX(TableTEVORP[FPS],MATCH(TEVORPCalc,TableTEVORP[RK],0)))/INDEX(TableTEVORP[FPS],MATCH(TEVORPCalc,TableTEVORP[RK],0)),"")</f>
        <v>-0.81136583768466908</v>
      </c>
      <c r="AF62" t="s">
        <v>256</v>
      </c>
      <c r="AG62">
        <v>21</v>
      </c>
      <c r="AH62" s="86">
        <f>RANK(TableOverallMaster[[#This Row],[VORP]],TableOverallMaster[VORP])+COUNTIF($AM$2:AM62,AM62)-1</f>
        <v>36</v>
      </c>
      <c r="AI62" s="123" t="str">
        <f>IFERROR(INDEX(TableRBVORP[RUNNING BACK],MATCH(TableOverallMaster[[#This Row],[RK]],TableRBVORP[RK],0)),"")</f>
        <v>Alexander Mattison</v>
      </c>
      <c r="AJ62" s="123" t="str">
        <f t="shared" si="0"/>
        <v>RB21</v>
      </c>
      <c r="AK62" s="123">
        <f>IFERROR(INDEX(TableRBVORP[BYE],MATCH(TableOverallMaster[[#This Row],[RK]],TableRBVORP[RK],0)),"")</f>
        <v>13</v>
      </c>
      <c r="AL62" s="124">
        <f>IFERROR(INDEX(TableRBVORP[FPS],MATCH(TableOverallMaster[[#This Row],[RK]],TableRBVORP[RK],0)),"")</f>
        <v>191.99821730314738</v>
      </c>
      <c r="AM62" s="125">
        <f>IFERROR(INDEX(TableRBVORP[VORP],MATCH(TableOverallMaster[[#This Row],[RK]],TableRBVORP[RK],0)),"")</f>
        <v>0.56780700886234114</v>
      </c>
      <c r="AO62">
        <v>61</v>
      </c>
      <c r="AP62" s="126" t="str">
        <f>IFERROR(INDEX(TableOverallMaster[OVERALL PLAYER],MATCH(TableOverallRank[[#This Row],[RK]],TableOverallMaster[OVR RK],0)),"")</f>
        <v>DJ Moore</v>
      </c>
      <c r="AQ62" s="127" t="str">
        <f>IFERROR(INDEX(TableOverallMaster[POS RK],MATCH(TableOverallRank[[#This Row],[OVERALL PLAYER]],TableOverallMaster[OVERALL PLAYER],0)),"")</f>
        <v>WR25</v>
      </c>
      <c r="AR62" s="128">
        <f>IFERROR(INDEX(TableOverallMaster[BYE],MATCH(TableOverallRank[[#This Row],[OVERALL PLAYER]],TableOverallMaster[OVERALL PLAYER],0)),"")</f>
        <v>13</v>
      </c>
      <c r="AS62" s="127">
        <f>IFERROR(INDEX(TableOverallMaster[Custom],MATCH(TableOverallRank[[#This Row],[OVERALL PLAYER]],TableOverallMaster[OVERALL PLAYER],0)),"")</f>
        <v>182.80721027452122</v>
      </c>
      <c r="AT62" s="129">
        <f>IFERROR(INDEX(TableOverallMaster[VORP],MATCH(TableOverallRank[[#This Row],[OVERALL PLAYER]],TableOverallMaster[OVERALL PLAYER],0)),"")</f>
        <v>0.40305684683167292</v>
      </c>
      <c r="AV62">
        <v>61</v>
      </c>
      <c r="AW62" s="130" t="str">
        <f>IFERROR(INDEX(TableWRTECalcPts[PLAYER],MATCH(TableWRTERank[[#This Row],[RK]],TableWRTECalcPts[RK],0)),"")</f>
        <v>Odell Beckham</v>
      </c>
      <c r="AX62" s="130" t="str">
        <f>IFERROR(INDEX(TableWRTECalcPts[POS RK],MATCH(TableWRTERank[[#This Row],[WR and TE COMBINED]],TableWRTECalcPts[PLAYER],0)),"")</f>
        <v>WR53</v>
      </c>
      <c r="AY62" s="130">
        <f>IFERROR(INDEX(TableWRTECalcPts[BYE],MATCH(TableWRTERank[[#This Row],[RK]],TableWRTECalcPts[RK],0)),"")</f>
        <v>13</v>
      </c>
      <c r="AZ62" s="131">
        <f>IFERROR(INDEX(TableWRTECalcPts[Custom],MATCH(TableWRTERank[[#This Row],[RK]],TableWRTECalcPts[RK],0)),"")</f>
        <v>136.85398142950658</v>
      </c>
      <c r="BA62" s="188">
        <f>IFERROR((TableWRTERank[[#This Row],[FPS]]-INDEX(TableWRTERank[FPS],MATCH(WRTEVORPCalc,TableWRTERank[RK],0)))/INDEX(TableWRTERank[FPS],MATCH(WRTEVORPCalc,TableWRTERank[RK],0)),"")</f>
        <v>-1.1099279018397577E-2</v>
      </c>
      <c r="BC62" t="s">
        <v>257</v>
      </c>
      <c r="BD62">
        <v>61</v>
      </c>
      <c r="BE62" s="86">
        <f>RANK(TableWRTEMaster[[#This Row],[VORP]],TableWRTEMaster[VORP])+COUNTIF($BJ$2:BJ62,BJ62)-1</f>
        <v>76</v>
      </c>
      <c r="BF62" s="123" t="str">
        <f>IFERROR(INDEX(TableWRVORP[WIDE RECEIVER],MATCH(TableWRTEMaster[[#This Row],[RK]],TableWRVORP[RK],0)),"")</f>
        <v>Darius Slayton</v>
      </c>
      <c r="BG62" s="123" t="str">
        <f>_xlfn.CONCAT(TableWRTEMaster[[#This Row],[POS]],TableWRTEMaster[[#This Row],[RK]])</f>
        <v>WR61</v>
      </c>
      <c r="BH62" s="123">
        <f>IFERROR(INDEX(TableWRVORP[BYE],MATCH(TableWRTEMaster[[#This Row],[RK]],TableWRVORP[RK],0)),"")</f>
        <v>13</v>
      </c>
      <c r="BI62" s="124">
        <f>IFERROR(INDEX(TableWRVORP[FPS],MATCH(TableWRTEMaster[[#This Row],[RK]],TableWRVORP[RK],0)),"")</f>
        <v>121.11123240350437</v>
      </c>
      <c r="BJ62" s="125">
        <f>IFERROR(INDEX(TableWRVORP[VORP],MATCH(TableWRTEMaster[[#This Row],[RK]],TableWRVORP[RK],0)),"")</f>
        <v>-7.0463667178218378E-2</v>
      </c>
    </row>
    <row r="63" spans="1:62" x14ac:dyDescent="0.2">
      <c r="A63">
        <v>62</v>
      </c>
      <c r="B63" s="120" t="str">
        <f>IFERROR(INDEX(TableQBCalcPts[PLAYER],MATCH(TableQBVORP[[#This Row],[RK]],TableQBCalcPts[RK],0)),"")</f>
        <v>Easton Stick</v>
      </c>
      <c r="C63" s="120" t="str">
        <f>IFERROR(INDEX(TableQBCalcPts[TM],MATCH(TableQBVORP[[#This Row],[RK]],TableQBCalcPts[RK],0)),"")</f>
        <v>LAC</v>
      </c>
      <c r="D63" s="120">
        <f>IFERROR(INDEX(TableQBCalcPts[BYE],MATCH(TableQBVORP[[#This Row],[RK]],TableQBCalcPts[RK],0)),"")</f>
        <v>5</v>
      </c>
      <c r="E63" s="121">
        <f>IFERROR(INDEX(TableQBCalcPts[Custom],MATCH(TableQBVORP[[#This Row],[RK]],TableQBCalcPts[RK],0)),"")</f>
        <v>2.583076314319138</v>
      </c>
      <c r="F63" s="122">
        <f>(IFERROR((TableQBVORP[[#This Row],[FPS]]-INDEX(TableQBVORP[FPS],MATCH(QBVORPCalc,TableQBVORP[RK],0)))/INDEX(TableQBVORP[FPS],MATCH(QBVORPCalc,TableQBVORP[RK],0)),""))+(TableRBVORP[[#This Row],[VORP]]*0.45)</f>
        <v>-1.1712335624946684</v>
      </c>
      <c r="H63">
        <v>62</v>
      </c>
      <c r="I63" s="120" t="str">
        <f>IFERROR(INDEX(TableRBCalcPts[PLAYER],MATCH(TableRBVORP[[#This Row],[RK]],TableRBCalcPts[RK],0)),"")</f>
        <v>Tyler Allgeier</v>
      </c>
      <c r="J63" s="120" t="str">
        <f>IFERROR(INDEX(TableRBCalcPts[TM],MATCH(TableRBVORP[[#This Row],[RK]],TableRBCalcPts[RK],0)),"")</f>
        <v>ATL</v>
      </c>
      <c r="K63" s="120">
        <f>IFERROR(INDEX(TableRBCalcPts[BYE],MATCH(TableRBVORP[[#This Row],[RK]],TableRBCalcPts[RK],0)),"")</f>
        <v>11</v>
      </c>
      <c r="L63" s="121">
        <f>IFERROR(INDEX(TableRBCalcPts[Custom],MATCH(TableRBVORP[[#This Row],[RK]],TableRBCalcPts[RK],0)),"")</f>
        <v>74.172152182090741</v>
      </c>
      <c r="M63" s="122">
        <f>IFERROR((TableRBVORP[[#This Row],[FPS]]-INDEX(TableRBVORP[FPS],MATCH(RBVORPCalc,TableRBVORP[RK],0)))/INDEX(TableRBVORP[FPS],MATCH(RBVORPCalc,TableRBVORP[RK],0)),"")</f>
        <v>-0.39432968864560503</v>
      </c>
      <c r="O63">
        <v>62</v>
      </c>
      <c r="P63" s="120" t="str">
        <f>IFERROR(INDEX(TableWRCalcPts[PLAYER],MATCH(TableWRVORP[[#This Row],[RK]],TableWRCalcPts[RK],0)),"")</f>
        <v>Michael Wilson</v>
      </c>
      <c r="Q63" s="120" t="str">
        <f>IFERROR(INDEX(TableWRCalcPts[TM],MATCH(TableWRVORP[[#This Row],[RK]],TableWRCalcPts[RK],0)),"")</f>
        <v>ARI</v>
      </c>
      <c r="R63" s="120">
        <f>IFERROR(INDEX(TableWRCalcPts[BYE],MATCH(TableWRVORP[[#This Row],[RK]],TableWRCalcPts[RK],0)),"")</f>
        <v>14</v>
      </c>
      <c r="S63" s="121">
        <f>IFERROR(INDEX(TableWRCalcPts[Custom],MATCH(TableWRVORP[[#This Row],[RK]],TableWRCalcPts[RK],0)),"")</f>
        <v>119.77105166565002</v>
      </c>
      <c r="T63" s="122">
        <f>IFERROR((TableWRVORP[[#This Row],[FPS]]-INDEX(TableWRVORP[FPS],MATCH(WRVORPCalc,TableWRVORP[RK],0)))/INDEX(TableWRVORP[FPS],MATCH(WRVORPCalc,TableWRVORP[RK],0)),"")</f>
        <v>-8.0749638707540206E-2</v>
      </c>
      <c r="V63">
        <v>62</v>
      </c>
      <c r="W63" s="120" t="str">
        <f>IFERROR(INDEX(TableTECalcPts[PLAYER],MATCH(TableTEVORP[[#This Row],[RK]],TableTECalcPts[RK],0)),"")</f>
        <v>Drew Sample</v>
      </c>
      <c r="X63" s="120" t="str">
        <f>IFERROR(INDEX(TableTECalcPts[TM],MATCH(TableTEVORP[[#This Row],[RK]],TableTECalcPts[RK],0)),"")</f>
        <v>CIN</v>
      </c>
      <c r="Y63" s="120">
        <f>IFERROR(INDEX(TableTECalcPts[BYE],MATCH(TableTEVORP[[#This Row],[RK]],TableTECalcPts[RK],0)),"")</f>
        <v>7</v>
      </c>
      <c r="Z63" s="121">
        <f>IFERROR(INDEX(TableTECalcPts[Custom],MATCH(TableTEVORP[[#This Row],[RK]],TableTECalcPts[RK],0)),"")</f>
        <v>22.221847504079999</v>
      </c>
      <c r="AA63" s="122">
        <f>IFERROR((TableTEVORP[[#This Row],[FPS]]-INDEX(TableTEVORP[FPS],MATCH(TEVORPCalc,TableTEVORP[RK],0)))/INDEX(TableTEVORP[FPS],MATCH(TEVORPCalc,TableTEVORP[RK],0)),"")</f>
        <v>-0.81299492968529063</v>
      </c>
      <c r="AF63" t="s">
        <v>256</v>
      </c>
      <c r="AG63">
        <v>22</v>
      </c>
      <c r="AH63" s="86">
        <f>RANK(TableOverallMaster[[#This Row],[VORP]],TableOverallMaster[VORP])+COUNTIF($AM$2:AM63,AM63)-1</f>
        <v>38</v>
      </c>
      <c r="AI63" s="123" t="str">
        <f>IFERROR(INDEX(TableRBVORP[RUNNING BACK],MATCH(TableOverallMaster[[#This Row],[RK]],TableRBVORP[RK],0)),"")</f>
        <v>Travis Etienne</v>
      </c>
      <c r="AJ63" s="123" t="str">
        <f t="shared" si="0"/>
        <v>RB22</v>
      </c>
      <c r="AK63" s="123">
        <f>IFERROR(INDEX(TableRBVORP[BYE],MATCH(TableOverallMaster[[#This Row],[RK]],TableRBVORP[RK],0)),"")</f>
        <v>9</v>
      </c>
      <c r="AL63" s="124">
        <f>IFERROR(INDEX(TableRBVORP[FPS],MATCH(TableOverallMaster[[#This Row],[RK]],TableRBVORP[RK],0)),"")</f>
        <v>189.55388505593726</v>
      </c>
      <c r="AM63" s="125">
        <f>IFERROR(INDEX(TableRBVORP[VORP],MATCH(TableOverallMaster[[#This Row],[RK]],TableRBVORP[RK],0)),"")</f>
        <v>0.54784723380300548</v>
      </c>
      <c r="AO63">
        <v>62</v>
      </c>
      <c r="AP63" s="126" t="str">
        <f>IFERROR(INDEX(TableOverallMaster[OVERALL PLAYER],MATCH(TableOverallRank[[#This Row],[RK]],TableOverallMaster[OVR RK],0)),"")</f>
        <v>Tyler Lockett</v>
      </c>
      <c r="AQ63" s="127" t="str">
        <f>IFERROR(INDEX(TableOverallMaster[POS RK],MATCH(TableOverallRank[[#This Row],[OVERALL PLAYER]],TableOverallMaster[OVERALL PLAYER],0)),"")</f>
        <v>WR26</v>
      </c>
      <c r="AR63" s="128">
        <f>IFERROR(INDEX(TableOverallMaster[BYE],MATCH(TableOverallRank[[#This Row],[OVERALL PLAYER]],TableOverallMaster[OVERALL PLAYER],0)),"")</f>
        <v>5</v>
      </c>
      <c r="AS63" s="127">
        <f>IFERROR(INDEX(TableOverallMaster[Custom],MATCH(TableOverallRank[[#This Row],[OVERALL PLAYER]],TableOverallMaster[OVERALL PLAYER],0)),"")</f>
        <v>180.30568338510338</v>
      </c>
      <c r="AT63" s="129">
        <f>IFERROR(INDEX(TableOverallMaster[VORP],MATCH(TableOverallRank[[#This Row],[OVERALL PLAYER]],TableOverallMaster[OVERALL PLAYER],0)),"")</f>
        <v>0.38385747048070401</v>
      </c>
      <c r="AV63">
        <v>62</v>
      </c>
      <c r="AW63" s="130" t="str">
        <f>IFERROR(INDEX(TableWRTECalcPts[PLAYER],MATCH(TableWRTERank[[#This Row],[RK]],TableWRTECalcPts[RK],0)),"")</f>
        <v>Donovan Peoples-Jones</v>
      </c>
      <c r="AX63" s="130" t="str">
        <f>IFERROR(INDEX(TableWRTECalcPts[POS RK],MATCH(TableWRTERank[[#This Row],[WR and TE COMBINED]],TableWRTECalcPts[PLAYER],0)),"")</f>
        <v>WR54</v>
      </c>
      <c r="AY63" s="130">
        <f>IFERROR(INDEX(TableWRTECalcPts[BYE],MATCH(TableWRTERank[[#This Row],[RK]],TableWRTECalcPts[RK],0)),"")</f>
        <v>5</v>
      </c>
      <c r="AZ63" s="131">
        <f>IFERROR(INDEX(TableWRTECalcPts[Custom],MATCH(TableWRTERank[[#This Row],[RK]],TableWRTECalcPts[RK],0)),"")</f>
        <v>133.57256369839229</v>
      </c>
      <c r="BA63" s="188">
        <f>IFERROR((TableWRTERank[[#This Row],[FPS]]-INDEX(TableWRTERank[FPS],MATCH(WRTEVORPCalc,TableWRTERank[RK],0)))/INDEX(TableWRTERank[FPS],MATCH(WRTEVORPCalc,TableWRTERank[RK],0)),"")</f>
        <v>-3.4810656109843248E-2</v>
      </c>
      <c r="BC63" t="s">
        <v>257</v>
      </c>
      <c r="BD63">
        <v>62</v>
      </c>
      <c r="BE63" s="86">
        <f>RANK(TableWRTEMaster[[#This Row],[VORP]],TableWRTEMaster[VORP])+COUNTIF($BJ$2:BJ63,BJ63)-1</f>
        <v>77</v>
      </c>
      <c r="BF63" s="123" t="str">
        <f>IFERROR(INDEX(TableWRVORP[WIDE RECEIVER],MATCH(TableWRTEMaster[[#This Row],[RK]],TableWRVORP[RK],0)),"")</f>
        <v>Michael Wilson</v>
      </c>
      <c r="BG63" s="123" t="str">
        <f>_xlfn.CONCAT(TableWRTEMaster[[#This Row],[POS]],TableWRTEMaster[[#This Row],[RK]])</f>
        <v>WR62</v>
      </c>
      <c r="BH63" s="123">
        <f>IFERROR(INDEX(TableWRVORP[BYE],MATCH(TableWRTEMaster[[#This Row],[RK]],TableWRVORP[RK],0)),"")</f>
        <v>14</v>
      </c>
      <c r="BI63" s="124">
        <f>IFERROR(INDEX(TableWRVORP[FPS],MATCH(TableWRTEMaster[[#This Row],[RK]],TableWRVORP[RK],0)),"")</f>
        <v>119.77105166565002</v>
      </c>
      <c r="BJ63" s="125">
        <f>IFERROR(INDEX(TableWRVORP[VORP],MATCH(TableWRTEMaster[[#This Row],[RK]],TableWRVORP[RK],0)),"")</f>
        <v>-8.0749638707540206E-2</v>
      </c>
    </row>
    <row r="64" spans="1:62" x14ac:dyDescent="0.2">
      <c r="A64">
        <v>63</v>
      </c>
      <c r="B64" s="120" t="str">
        <f>IFERROR(INDEX(TableQBCalcPts[PLAYER],MATCH(TableQBVORP[[#This Row],[RK]],TableQBCalcPts[RK],0)),"")</f>
        <v>C.J. Beathard</v>
      </c>
      <c r="C64" s="120" t="str">
        <f>IFERROR(INDEX(TableQBCalcPts[TM],MATCH(TableQBVORP[[#This Row],[RK]],TableQBCalcPts[RK],0)),"")</f>
        <v>JAX</v>
      </c>
      <c r="D64" s="120">
        <f>IFERROR(INDEX(TableQBCalcPts[BYE],MATCH(TableQBVORP[[#This Row],[RK]],TableQBCalcPts[RK],0)),"")</f>
        <v>9</v>
      </c>
      <c r="E64" s="121">
        <f>IFERROR(INDEX(TableQBCalcPts[Custom],MATCH(TableQBVORP[[#This Row],[RK]],TableQBCalcPts[RK],0)),"")</f>
        <v>2.3851871068851112</v>
      </c>
      <c r="F64" s="122">
        <f>(IFERROR((TableQBVORP[[#This Row],[FPS]]-INDEX(TableQBVORP[FPS],MATCH(QBVORPCalc,TableQBVORP[RK],0)))/INDEX(TableQBVORP[FPS],MATCH(QBVORPCalc,TableQBVORP[RK],0)),""))+(TableRBVORP[[#This Row],[VORP]]*0.45)</f>
        <v>-1.1778907941782411</v>
      </c>
      <c r="H64">
        <v>63</v>
      </c>
      <c r="I64" s="120" t="str">
        <f>IFERROR(INDEX(TableRBCalcPts[PLAYER],MATCH(TableRBVORP[[#This Row],[RK]],TableRBCalcPts[RK],0)),"")</f>
        <v>Rico Dowdle</v>
      </c>
      <c r="J64" s="120" t="str">
        <f>IFERROR(INDEX(TableRBCalcPts[TM],MATCH(TableRBVORP[[#This Row],[RK]],TableRBCalcPts[RK],0)),"")</f>
        <v>DAL</v>
      </c>
      <c r="K64" s="120">
        <f>IFERROR(INDEX(TableRBCalcPts[BYE],MATCH(TableRBVORP[[#This Row],[RK]],TableRBCalcPts[RK],0)),"")</f>
        <v>7</v>
      </c>
      <c r="L64" s="121">
        <f>IFERROR(INDEX(TableRBCalcPts[Custom],MATCH(TableRBVORP[[#This Row],[RK]],TableRBCalcPts[RK],0)),"")</f>
        <v>72.49002424290903</v>
      </c>
      <c r="M64" s="122">
        <f>IFERROR((TableRBVORP[[#This Row],[FPS]]-INDEX(TableRBVORP[FPS],MATCH(RBVORPCalc,TableRBVORP[RK],0)))/INDEX(TableRBVORP[FPS],MATCH(RBVORPCalc,TableRBVORP[RK],0)),"")</f>
        <v>-0.40806550353959586</v>
      </c>
      <c r="O64">
        <v>63</v>
      </c>
      <c r="P64" s="120" t="str">
        <f>IFERROR(INDEX(TableWRCalcPts[PLAYER],MATCH(TableWRVORP[[#This Row],[RK]],TableWRCalcPts[RK],0)),"")</f>
        <v>Jayden Reed</v>
      </c>
      <c r="Q64" s="120" t="str">
        <f>IFERROR(INDEX(TableWRCalcPts[TM],MATCH(TableWRVORP[[#This Row],[RK]],TableWRCalcPts[RK],0)),"")</f>
        <v>GB</v>
      </c>
      <c r="R64" s="120">
        <f>IFERROR(INDEX(TableWRCalcPts[BYE],MATCH(TableWRVORP[[#This Row],[RK]],TableWRCalcPts[RK],0)),"")</f>
        <v>6</v>
      </c>
      <c r="S64" s="121">
        <f>IFERROR(INDEX(TableWRCalcPts[Custom],MATCH(TableWRVORP[[#This Row],[RK]],TableWRCalcPts[RK],0)),"")</f>
        <v>119.06544448157086</v>
      </c>
      <c r="T64" s="122">
        <f>IFERROR((TableWRVORP[[#This Row],[FPS]]-INDEX(TableWRVORP[FPS],MATCH(WRVORPCalc,TableWRVORP[RK],0)))/INDEX(TableWRVORP[FPS],MATCH(WRVORPCalc,TableWRVORP[RK],0)),"")</f>
        <v>-8.6165218264326757E-2</v>
      </c>
      <c r="V64">
        <v>63</v>
      </c>
      <c r="W64" s="120" t="str">
        <f>IFERROR(INDEX(TableTECalcPts[PLAYER],MATCH(TableTEVORP[[#This Row],[RK]],TableTECalcPts[RK],0)),"")</f>
        <v>Ross Dwelley</v>
      </c>
      <c r="X64" s="120" t="str">
        <f>IFERROR(INDEX(TableTECalcPts[TM],MATCH(TableTEVORP[[#This Row],[RK]],TableTECalcPts[RK],0)),"")</f>
        <v>SF</v>
      </c>
      <c r="Y64" s="120">
        <f>IFERROR(INDEX(TableTECalcPts[BYE],MATCH(TableTEVORP[[#This Row],[RK]],TableTECalcPts[RK],0)),"")</f>
        <v>9</v>
      </c>
      <c r="Z64" s="121">
        <f>IFERROR(INDEX(TableTECalcPts[Custom],MATCH(TableTEVORP[[#This Row],[RK]],TableTECalcPts[RK],0)),"")</f>
        <v>21.379160225181359</v>
      </c>
      <c r="AA64" s="122">
        <f>IFERROR((TableTEVORP[[#This Row],[FPS]]-INDEX(TableTEVORP[FPS],MATCH(TEVORPCalc,TableTEVORP[RK],0)))/INDEX(TableTEVORP[FPS],MATCH(TEVORPCalc,TableTEVORP[RK],0)),"")</f>
        <v>-0.82008645498780286</v>
      </c>
      <c r="AF64" t="s">
        <v>256</v>
      </c>
      <c r="AG64">
        <v>23</v>
      </c>
      <c r="AH64" s="86">
        <f>RANK(TableOverallMaster[[#This Row],[VORP]],TableOverallMaster[VORP])+COUNTIF($AM$2:AM64,AM64)-1</f>
        <v>39</v>
      </c>
      <c r="AI64" s="123" t="str">
        <f>IFERROR(INDEX(TableRBVORP[RUNNING BACK],MATCH(TableOverallMaster[[#This Row],[RK]],TableRBVORP[RK],0)),"")</f>
        <v>Javonte Williams</v>
      </c>
      <c r="AJ64" s="123" t="str">
        <f t="shared" si="0"/>
        <v>RB23</v>
      </c>
      <c r="AK64" s="123">
        <f>IFERROR(INDEX(TableRBVORP[BYE],MATCH(TableOverallMaster[[#This Row],[RK]],TableRBVORP[RK],0)),"")</f>
        <v>9</v>
      </c>
      <c r="AL64" s="124">
        <f>IFERROR(INDEX(TableRBVORP[FPS],MATCH(TableOverallMaster[[#This Row],[RK]],TableRBVORP[RK],0)),"")</f>
        <v>188.88375102331094</v>
      </c>
      <c r="AM64" s="125">
        <f>IFERROR(INDEX(TableRBVORP[VORP],MATCH(TableOverallMaster[[#This Row],[RK]],TableRBVORP[RK],0)),"")</f>
        <v>0.54237509532179307</v>
      </c>
      <c r="AO64">
        <v>63</v>
      </c>
      <c r="AP64" s="126" t="str">
        <f>IFERROR(INDEX(TableOverallMaster[OVERALL PLAYER],MATCH(TableOverallRank[[#This Row],[RK]],TableOverallMaster[OVR RK],0)),"")</f>
        <v>Isiah Pacheco</v>
      </c>
      <c r="AQ64" s="127" t="str">
        <f>IFERROR(INDEX(TableOverallMaster[POS RK],MATCH(TableOverallRank[[#This Row],[OVERALL PLAYER]],TableOverallMaster[OVERALL PLAYER],0)),"")</f>
        <v>RB30</v>
      </c>
      <c r="AR64" s="128">
        <f>IFERROR(INDEX(TableOverallMaster[BYE],MATCH(TableOverallRank[[#This Row],[OVERALL PLAYER]],TableOverallMaster[OVERALL PLAYER],0)),"")</f>
        <v>10</v>
      </c>
      <c r="AS64" s="127">
        <f>IFERROR(INDEX(TableOverallMaster[Custom],MATCH(TableOverallRank[[#This Row],[OVERALL PLAYER]],TableOverallMaster[OVERALL PLAYER],0)),"")</f>
        <v>169.26071656943054</v>
      </c>
      <c r="AT64" s="129">
        <f>IFERROR(INDEX(TableOverallMaster[VORP],MATCH(TableOverallRank[[#This Row],[OVERALL PLAYER]],TableOverallMaster[OVERALL PLAYER],0)),"")</f>
        <v>0.3821385505034337</v>
      </c>
      <c r="AV64">
        <v>63</v>
      </c>
      <c r="AW64" s="130" t="str">
        <f>IFERROR(INDEX(TableWRTECalcPts[PLAYER],MATCH(TableWRTERank[[#This Row],[RK]],TableWRTECalcPts[RK],0)),"")</f>
        <v>JuJu Smith-Schuster</v>
      </c>
      <c r="AX64" s="130" t="str">
        <f>IFERROR(INDEX(TableWRTECalcPts[POS RK],MATCH(TableWRTERank[[#This Row],[WR and TE COMBINED]],TableWRTECalcPts[PLAYER],0)),"")</f>
        <v>WR55</v>
      </c>
      <c r="AY64" s="130">
        <f>IFERROR(INDEX(TableWRTECalcPts[BYE],MATCH(TableWRTERank[[#This Row],[RK]],TableWRTECalcPts[RK],0)),"")</f>
        <v>11</v>
      </c>
      <c r="AZ64" s="131">
        <f>IFERROR(INDEX(TableWRTECalcPts[Custom],MATCH(TableWRTERank[[#This Row],[RK]],TableWRTECalcPts[RK],0)),"")</f>
        <v>132.92429779365278</v>
      </c>
      <c r="BA64" s="188">
        <f>IFERROR((TableWRTERank[[#This Row],[FPS]]-INDEX(TableWRTERank[FPS],MATCH(WRTEVORPCalc,TableWRTERank[RK],0)))/INDEX(TableWRTERank[FPS],MATCH(WRTEVORPCalc,TableWRTERank[RK],0)),"")</f>
        <v>-3.9494996411005047E-2</v>
      </c>
      <c r="BC64" t="s">
        <v>257</v>
      </c>
      <c r="BD64">
        <v>63</v>
      </c>
      <c r="BE64" s="86">
        <f>RANK(TableWRTEMaster[[#This Row],[VORP]],TableWRTEMaster[VORP])+COUNTIF($BJ$2:BJ64,BJ64)-1</f>
        <v>78</v>
      </c>
      <c r="BF64" s="123" t="str">
        <f>IFERROR(INDEX(TableWRVORP[WIDE RECEIVER],MATCH(TableWRTEMaster[[#This Row],[RK]],TableWRVORP[RK],0)),"")</f>
        <v>Jayden Reed</v>
      </c>
      <c r="BG64" s="123" t="str">
        <f>_xlfn.CONCAT(TableWRTEMaster[[#This Row],[POS]],TableWRTEMaster[[#This Row],[RK]])</f>
        <v>WR63</v>
      </c>
      <c r="BH64" s="123">
        <f>IFERROR(INDEX(TableWRVORP[BYE],MATCH(TableWRTEMaster[[#This Row],[RK]],TableWRVORP[RK],0)),"")</f>
        <v>6</v>
      </c>
      <c r="BI64" s="124">
        <f>IFERROR(INDEX(TableWRVORP[FPS],MATCH(TableWRTEMaster[[#This Row],[RK]],TableWRVORP[RK],0)),"")</f>
        <v>119.06544448157086</v>
      </c>
      <c r="BJ64" s="125">
        <f>IFERROR(INDEX(TableWRVORP[VORP],MATCH(TableWRTEMaster[[#This Row],[RK]],TableWRVORP[RK],0)),"")</f>
        <v>-8.6165218264326757E-2</v>
      </c>
    </row>
    <row r="65" spans="1:62" x14ac:dyDescent="0.2">
      <c r="A65">
        <v>64</v>
      </c>
      <c r="B65" s="120" t="str">
        <f>IFERROR(INDEX(TableQBCalcPts[PLAYER],MATCH(TableQBVORP[[#This Row],[RK]],TableQBCalcPts[RK],0)),"")</f>
        <v>Kyle Allen</v>
      </c>
      <c r="C65" s="120" t="str">
        <f>IFERROR(INDEX(TableQBCalcPts[TM],MATCH(TableQBVORP[[#This Row],[RK]],TableQBCalcPts[RK],0)),"")</f>
        <v>BUF</v>
      </c>
      <c r="D65" s="120">
        <f>IFERROR(INDEX(TableQBCalcPts[BYE],MATCH(TableQBVORP[[#This Row],[RK]],TableQBCalcPts[RK],0)),"")</f>
        <v>13</v>
      </c>
      <c r="E65" s="121">
        <f>IFERROR(INDEX(TableQBCalcPts[Custom],MATCH(TableQBVORP[[#This Row],[RK]],TableQBCalcPts[RK],0)),"")</f>
        <v>2.2760892000000021</v>
      </c>
      <c r="F65" s="122">
        <f>(IFERROR((TableQBVORP[[#This Row],[FPS]]-INDEX(TableQBVORP[FPS],MATCH(QBVORPCalc,TableQBVORP[RK],0)))/INDEX(TableQBVORP[FPS],MATCH(QBVORPCalc,TableQBVORP[RK],0)),""))+(TableRBVORP[[#This Row],[VORP]]*0.45)</f>
        <v>-1.1825875858626826</v>
      </c>
      <c r="H65">
        <v>64</v>
      </c>
      <c r="I65" s="120" t="str">
        <f>IFERROR(INDEX(TableRBCalcPts[PLAYER],MATCH(TableRBVORP[[#This Row],[RK]],TableRBCalcPts[RK],0)),"")</f>
        <v>Sean Tucker</v>
      </c>
      <c r="J65" s="120" t="str">
        <f>IFERROR(INDEX(TableRBCalcPts[TM],MATCH(TableRBVORP[[#This Row],[RK]],TableRBCalcPts[RK],0)),"")</f>
        <v>TB</v>
      </c>
      <c r="K65" s="120">
        <f>IFERROR(INDEX(TableRBCalcPts[BYE],MATCH(TableRBVORP[[#This Row],[RK]],TableRBCalcPts[RK],0)),"")</f>
        <v>5</v>
      </c>
      <c r="L65" s="121">
        <f>IFERROR(INDEX(TableRBCalcPts[Custom],MATCH(TableRBVORP[[#This Row],[RK]],TableRBCalcPts[RK],0)),"")</f>
        <v>71.283273128167366</v>
      </c>
      <c r="M65" s="122">
        <f>IFERROR((TableRBVORP[[#This Row],[FPS]]-INDEX(TableRBVORP[FPS],MATCH(RBVORPCalc,TableRBVORP[RK],0)))/INDEX(TableRBVORP[FPS],MATCH(RBVORPCalc,TableRBVORP[RK],0)),"")</f>
        <v>-0.41791951615606304</v>
      </c>
      <c r="O65">
        <v>64</v>
      </c>
      <c r="P65" s="120" t="str">
        <f>IFERROR(INDEX(TableWRCalcPts[PLAYER],MATCH(TableWRVORP[[#This Row],[RK]],TableWRCalcPts[RK],0)),"")</f>
        <v>Elijah Moore</v>
      </c>
      <c r="Q65" s="120" t="str">
        <f>IFERROR(INDEX(TableWRCalcPts[TM],MATCH(TableWRVORP[[#This Row],[RK]],TableWRCalcPts[RK],0)),"")</f>
        <v>CLE</v>
      </c>
      <c r="R65" s="120">
        <f>IFERROR(INDEX(TableWRCalcPts[BYE],MATCH(TableWRVORP[[#This Row],[RK]],TableWRCalcPts[RK],0)),"")</f>
        <v>5</v>
      </c>
      <c r="S65" s="121">
        <f>IFERROR(INDEX(TableWRCalcPts[Custom],MATCH(TableWRVORP[[#This Row],[RK]],TableWRCalcPts[RK],0)),"")</f>
        <v>118.66713195414852</v>
      </c>
      <c r="T65" s="122">
        <f>IFERROR((TableWRVORP[[#This Row],[FPS]]-INDEX(TableWRVORP[FPS],MATCH(WRVORPCalc,TableWRVORP[RK],0)))/INDEX(TableWRVORP[FPS],MATCH(WRVORPCalc,TableWRVORP[RK],0)),"")</f>
        <v>-8.9222291986635199E-2</v>
      </c>
      <c r="V65">
        <v>64</v>
      </c>
      <c r="W65" s="120" t="str">
        <f>IFERROR(INDEX(TableTECalcPts[PLAYER],MATCH(TableTEVORP[[#This Row],[RK]],TableTECalcPts[RK],0)),"")</f>
        <v>Tommy Tremble</v>
      </c>
      <c r="X65" s="120" t="str">
        <f>IFERROR(INDEX(TableTECalcPts[TM],MATCH(TableTEVORP[[#This Row],[RK]],TableTECalcPts[RK],0)),"")</f>
        <v>CAR</v>
      </c>
      <c r="Y65" s="120">
        <f>IFERROR(INDEX(TableTECalcPts[BYE],MATCH(TableTEVORP[[#This Row],[RK]],TableTECalcPts[RK],0)),"")</f>
        <v>7</v>
      </c>
      <c r="Z65" s="121">
        <f>IFERROR(INDEX(TableTECalcPts[Custom],MATCH(TableTEVORP[[#This Row],[RK]],TableTECalcPts[RK],0)),"")</f>
        <v>21.056662527364388</v>
      </c>
      <c r="AA65" s="122">
        <f>IFERROR((TableTEVORP[[#This Row],[FPS]]-INDEX(TableTEVORP[FPS],MATCH(TEVORPCalc,TableTEVORP[RK],0)))/INDEX(TableTEVORP[FPS],MATCH(TEVORPCalc,TableTEVORP[RK],0)),"")</f>
        <v>-0.82280039246062198</v>
      </c>
      <c r="AF65" t="s">
        <v>256</v>
      </c>
      <c r="AG65">
        <v>24</v>
      </c>
      <c r="AH65" s="86">
        <f>RANK(TableOverallMaster[[#This Row],[VORP]],TableOverallMaster[VORP])+COUNTIF($AM$2:AM65,AM65)-1</f>
        <v>42</v>
      </c>
      <c r="AI65" s="123" t="str">
        <f>IFERROR(INDEX(TableRBVORP[RUNNING BACK],MATCH(TableOverallMaster[[#This Row],[RK]],TableRBVORP[RK],0)),"")</f>
        <v>Samaje Perine</v>
      </c>
      <c r="AJ65" s="123" t="str">
        <f t="shared" si="0"/>
        <v>RB24</v>
      </c>
      <c r="AK65" s="123">
        <f>IFERROR(INDEX(TableRBVORP[BYE],MATCH(TableOverallMaster[[#This Row],[RK]],TableRBVORP[RK],0)),"")</f>
        <v>9</v>
      </c>
      <c r="AL65" s="124">
        <f>IFERROR(INDEX(TableRBVORP[FPS],MATCH(TableOverallMaster[[#This Row],[RK]],TableRBVORP[RK],0)),"")</f>
        <v>185.98112900157915</v>
      </c>
      <c r="AM65" s="125">
        <f>IFERROR(INDEX(TableRBVORP[VORP],MATCH(TableOverallMaster[[#This Row],[RK]],TableRBVORP[RK],0)),"")</f>
        <v>0.51867304634618172</v>
      </c>
      <c r="AO65">
        <v>64</v>
      </c>
      <c r="AP65" s="126" t="str">
        <f>IFERROR(INDEX(TableOverallMaster[OVERALL PLAYER],MATCH(TableOverallRank[[#This Row],[RK]],TableOverallMaster[OVR RK],0)),"")</f>
        <v>Kenneth Walker</v>
      </c>
      <c r="AQ65" s="127" t="str">
        <f>IFERROR(INDEX(TableOverallMaster[POS RK],MATCH(TableOverallRank[[#This Row],[OVERALL PLAYER]],TableOverallMaster[OVERALL PLAYER],0)),"")</f>
        <v>RB31</v>
      </c>
      <c r="AR65" s="128">
        <f>IFERROR(INDEX(TableOverallMaster[BYE],MATCH(TableOverallRank[[#This Row],[OVERALL PLAYER]],TableOverallMaster[OVERALL PLAYER],0)),"")</f>
        <v>5</v>
      </c>
      <c r="AS65" s="127">
        <f>IFERROR(INDEX(TableOverallMaster[Custom],MATCH(TableOverallRank[[#This Row],[OVERALL PLAYER]],TableOverallMaster[OVERALL PLAYER],0)),"")</f>
        <v>168.27099333838893</v>
      </c>
      <c r="AT65" s="129">
        <f>IFERROR(INDEX(TableOverallMaster[VORP],MATCH(TableOverallRank[[#This Row],[OVERALL PLAYER]],TableOverallMaster[OVERALL PLAYER],0)),"")</f>
        <v>0.37405673057689276</v>
      </c>
      <c r="AV65">
        <v>64</v>
      </c>
      <c r="AW65" s="130" t="str">
        <f>IFERROR(INDEX(TableWRTECalcPts[PLAYER],MATCH(TableWRTERank[[#This Row],[RK]],TableWRTECalcPts[RK],0)),"")</f>
        <v>David Njoku</v>
      </c>
      <c r="AX65" s="130" t="str">
        <f>IFERROR(INDEX(TableWRTECalcPts[POS RK],MATCH(TableWRTERank[[#This Row],[WR and TE COMBINED]],TableWRTECalcPts[PLAYER],0)),"")</f>
        <v>TE9</v>
      </c>
      <c r="AY65" s="130">
        <f>IFERROR(INDEX(TableWRTECalcPts[BYE],MATCH(TableWRTERank[[#This Row],[RK]],TableWRTECalcPts[RK],0)),"")</f>
        <v>5</v>
      </c>
      <c r="AZ65" s="131">
        <f>IFERROR(INDEX(TableWRTECalcPts[Custom],MATCH(TableWRTERank[[#This Row],[RK]],TableWRTECalcPts[RK],0)),"")</f>
        <v>132.8430292226715</v>
      </c>
      <c r="BA65" s="188">
        <f>IFERROR((TableWRTERank[[#This Row],[FPS]]-INDEX(TableWRTERank[FPS],MATCH(WRTEVORPCalc,TableWRTERank[RK],0)))/INDEX(TableWRTERank[FPS],MATCH(WRTEVORPCalc,TableWRTERank[RK],0)),"")</f>
        <v>-4.0082239453531572E-2</v>
      </c>
      <c r="BC65" t="s">
        <v>257</v>
      </c>
      <c r="BD65">
        <v>64</v>
      </c>
      <c r="BE65" s="86">
        <f>RANK(TableWRTEMaster[[#This Row],[VORP]],TableWRTEMaster[VORP])+COUNTIF($BJ$2:BJ65,BJ65)-1</f>
        <v>79</v>
      </c>
      <c r="BF65" s="123" t="str">
        <f>IFERROR(INDEX(TableWRVORP[WIDE RECEIVER],MATCH(TableWRTEMaster[[#This Row],[RK]],TableWRVORP[RK],0)),"")</f>
        <v>Elijah Moore</v>
      </c>
      <c r="BG65" s="123" t="str">
        <f>_xlfn.CONCAT(TableWRTEMaster[[#This Row],[POS]],TableWRTEMaster[[#This Row],[RK]])</f>
        <v>WR64</v>
      </c>
      <c r="BH65" s="123">
        <f>IFERROR(INDEX(TableWRVORP[BYE],MATCH(TableWRTEMaster[[#This Row],[RK]],TableWRVORP[RK],0)),"")</f>
        <v>5</v>
      </c>
      <c r="BI65" s="124">
        <f>IFERROR(INDEX(TableWRVORP[FPS],MATCH(TableWRTEMaster[[#This Row],[RK]],TableWRVORP[RK],0)),"")</f>
        <v>118.66713195414852</v>
      </c>
      <c r="BJ65" s="125">
        <f>IFERROR(INDEX(TableWRVORP[VORP],MATCH(TableWRTEMaster[[#This Row],[RK]],TableWRVORP[RK],0)),"")</f>
        <v>-8.9222291986635199E-2</v>
      </c>
    </row>
    <row r="66" spans="1:62" x14ac:dyDescent="0.2">
      <c r="A66">
        <v>65</v>
      </c>
      <c r="B66" s="120" t="str">
        <f>IFERROR(INDEX(TableQBCalcPts[PLAYER],MATCH(TableQBVORP[[#This Row],[RK]],TableQBCalcPts[RK],0)),"")</f>
        <v>Sean Clifford</v>
      </c>
      <c r="C66" s="120" t="str">
        <f>IFERROR(INDEX(TableQBCalcPts[TM],MATCH(TableQBVORP[[#This Row],[RK]],TableQBCalcPts[RK],0)),"")</f>
        <v>GB</v>
      </c>
      <c r="D66" s="120">
        <f>IFERROR(INDEX(TableQBCalcPts[BYE],MATCH(TableQBVORP[[#This Row],[RK]],TableQBCalcPts[RK],0)),"")</f>
        <v>6</v>
      </c>
      <c r="E66" s="121">
        <f>IFERROR(INDEX(TableQBCalcPts[Custom],MATCH(TableQBVORP[[#This Row],[RK]],TableQBCalcPts[RK],0)),"")</f>
        <v>2.2216458982080018</v>
      </c>
      <c r="F66" s="122">
        <f>(IFERROR((TableQBVORP[[#This Row],[FPS]]-INDEX(TableQBVORP[FPS],MATCH(QBVORPCalc,TableQBVORP[RK],0)))/INDEX(TableQBVORP[FPS],MATCH(QBVORPCalc,TableQBVORP[RK],0)),""))+(TableRBVORP[[#This Row],[VORP]]*0.45)</f>
        <v>-1.1833891853748018</v>
      </c>
      <c r="H66">
        <v>65</v>
      </c>
      <c r="I66" s="120" t="str">
        <f>IFERROR(INDEX(TableRBCalcPts[PLAYER],MATCH(TableRBVORP[[#This Row],[RK]],TableRBCalcPts[RK],0)),"")</f>
        <v>Chris Evans</v>
      </c>
      <c r="J66" s="120" t="str">
        <f>IFERROR(INDEX(TableRBCalcPts[TM],MATCH(TableRBVORP[[#This Row],[RK]],TableRBCalcPts[RK],0)),"")</f>
        <v>CIN</v>
      </c>
      <c r="K66" s="120">
        <f>IFERROR(INDEX(TableRBCalcPts[BYE],MATCH(TableRBVORP[[#This Row],[RK]],TableRBCalcPts[RK],0)),"")</f>
        <v>7</v>
      </c>
      <c r="L66" s="121">
        <f>IFERROR(INDEX(TableRBCalcPts[Custom],MATCH(TableRBVORP[[#This Row],[RK]],TableRBCalcPts[RK],0)),"")</f>
        <v>71.100773257316817</v>
      </c>
      <c r="M66" s="122">
        <f>IFERROR((TableRBVORP[[#This Row],[FPS]]-INDEX(TableRBVORP[FPS],MATCH(RBVORPCalc,TableRBVORP[RK],0)))/INDEX(TableRBVORP[FPS],MATCH(RBVORPCalc,TableRBVORP[RK],0)),"")</f>
        <v>-0.41940976216279652</v>
      </c>
      <c r="O66">
        <v>65</v>
      </c>
      <c r="P66" s="120" t="str">
        <f>IFERROR(INDEX(TableWRCalcPts[PLAYER],MATCH(TableWRVORP[[#This Row],[RK]],TableWRCalcPts[RK],0)),"")</f>
        <v>Kadarius Toney</v>
      </c>
      <c r="Q66" s="120" t="str">
        <f>IFERROR(INDEX(TableWRCalcPts[TM],MATCH(TableWRVORP[[#This Row],[RK]],TableWRCalcPts[RK],0)),"")</f>
        <v>KC</v>
      </c>
      <c r="R66" s="120">
        <f>IFERROR(INDEX(TableWRCalcPts[BYE],MATCH(TableWRVORP[[#This Row],[RK]],TableWRCalcPts[RK],0)),"")</f>
        <v>10</v>
      </c>
      <c r="S66" s="121">
        <f>IFERROR(INDEX(TableWRCalcPts[Custom],MATCH(TableWRVORP[[#This Row],[RK]],TableWRCalcPts[RK],0)),"")</f>
        <v>115.6532121174868</v>
      </c>
      <c r="T66" s="122">
        <f>IFERROR((TableWRVORP[[#This Row],[FPS]]-INDEX(TableWRVORP[FPS],MATCH(WRVORPCalc,TableWRVORP[RK],0)))/INDEX(TableWRVORP[FPS],MATCH(WRVORPCalc,TableWRVORP[RK],0)),"")</f>
        <v>-0.11235431646356794</v>
      </c>
      <c r="V66">
        <v>65</v>
      </c>
      <c r="W66" s="120" t="str">
        <f>IFERROR(INDEX(TableTECalcPts[PLAYER],MATCH(TableTEVORP[[#This Row],[RK]],TableTECalcPts[RK],0)),"")</f>
        <v>Ko Kieft</v>
      </c>
      <c r="X66" s="120" t="str">
        <f>IFERROR(INDEX(TableTECalcPts[TM],MATCH(TableTEVORP[[#This Row],[RK]],TableTECalcPts[RK],0)),"")</f>
        <v>TB</v>
      </c>
      <c r="Y66" s="120">
        <f>IFERROR(INDEX(TableTECalcPts[BYE],MATCH(TableTEVORP[[#This Row],[RK]],TableTECalcPts[RK],0)),"")</f>
        <v>5</v>
      </c>
      <c r="Z66" s="121">
        <f>IFERROR(INDEX(TableTECalcPts[Custom],MATCH(TableTEVORP[[#This Row],[RK]],TableTECalcPts[RK],0)),"")</f>
        <v>20.890689470209896</v>
      </c>
      <c r="AA66" s="122">
        <f>IFERROR((TableTEVORP[[#This Row],[FPS]]-INDEX(TableTEVORP[FPS],MATCH(TEVORPCalc,TableTEVORP[RK],0)))/INDEX(TableTEVORP[FPS],MATCH(TEVORPCalc,TableTEVORP[RK],0)),"")</f>
        <v>-0.82419711715769428</v>
      </c>
      <c r="AF66" t="s">
        <v>256</v>
      </c>
      <c r="AG66">
        <v>25</v>
      </c>
      <c r="AH66" s="86">
        <f>RANK(TableOverallMaster[[#This Row],[VORP]],TableOverallMaster[VORP])+COUNTIF($AM$2:AM66,AM66)-1</f>
        <v>43</v>
      </c>
      <c r="AI66" s="123" t="str">
        <f>IFERROR(INDEX(TableRBVORP[RUNNING BACK],MATCH(TableOverallMaster[[#This Row],[RK]],TableRBVORP[RK],0)),"")</f>
        <v>James Conner</v>
      </c>
      <c r="AJ66" s="123" t="str">
        <f t="shared" ref="AJ66:AJ129" si="1">CONCATENATE(AF66,AG66)</f>
        <v>RB25</v>
      </c>
      <c r="AK66" s="123">
        <f>IFERROR(INDEX(TableRBVORP[BYE],MATCH(TableOverallMaster[[#This Row],[RK]],TableRBVORP[RK],0)),"")</f>
        <v>14</v>
      </c>
      <c r="AL66" s="124">
        <f>IFERROR(INDEX(TableRBVORP[FPS],MATCH(TableOverallMaster[[#This Row],[RK]],TableRBVORP[RK],0)),"")</f>
        <v>185.87450180481002</v>
      </c>
      <c r="AM66" s="125">
        <f>IFERROR(INDEX(TableRBVORP[VORP],MATCH(TableOverallMaster[[#This Row],[RK]],TableRBVORP[RK],0)),"")</f>
        <v>0.51780235666594354</v>
      </c>
      <c r="AO66">
        <v>65</v>
      </c>
      <c r="AP66" s="126" t="str">
        <f>IFERROR(INDEX(TableOverallMaster[OVERALL PLAYER],MATCH(TableOverallRank[[#This Row],[RK]],TableOverallMaster[OVR RK],0)),"")</f>
        <v>AJ Dillon</v>
      </c>
      <c r="AQ66" s="127" t="str">
        <f>IFERROR(INDEX(TableOverallMaster[POS RK],MATCH(TableOverallRank[[#This Row],[OVERALL PLAYER]],TableOverallMaster[OVERALL PLAYER],0)),"")</f>
        <v>RB32</v>
      </c>
      <c r="AR66" s="128">
        <f>IFERROR(INDEX(TableOverallMaster[BYE],MATCH(TableOverallRank[[#This Row],[OVERALL PLAYER]],TableOverallMaster[OVERALL PLAYER],0)),"")</f>
        <v>6</v>
      </c>
      <c r="AS66" s="127">
        <f>IFERROR(INDEX(TableOverallMaster[Custom],MATCH(TableOverallRank[[#This Row],[OVERALL PLAYER]],TableOverallMaster[OVERALL PLAYER],0)),"")</f>
        <v>168.16281556267418</v>
      </c>
      <c r="AT66" s="129">
        <f>IFERROR(INDEX(TableOverallMaster[VORP],MATCH(TableOverallRank[[#This Row],[OVERALL PLAYER]],TableOverallMaster[OVERALL PLAYER],0)),"")</f>
        <v>0.37317337927628697</v>
      </c>
      <c r="AV66">
        <v>65</v>
      </c>
      <c r="AW66" s="130" t="str">
        <f>IFERROR(INDEX(TableWRTECalcPts[PLAYER],MATCH(TableWRTERank[[#This Row],[RK]],TableWRTECalcPts[RK],0)),"")</f>
        <v>Evan Engram</v>
      </c>
      <c r="AX66" s="130" t="str">
        <f>IFERROR(INDEX(TableWRTECalcPts[POS RK],MATCH(TableWRTERank[[#This Row],[WR and TE COMBINED]],TableWRTECalcPts[PLAYER],0)),"")</f>
        <v>TE10</v>
      </c>
      <c r="AY66" s="130">
        <f>IFERROR(INDEX(TableWRTECalcPts[BYE],MATCH(TableWRTERank[[#This Row],[RK]],TableWRTECalcPts[RK],0)),"")</f>
        <v>9</v>
      </c>
      <c r="AZ66" s="131">
        <f>IFERROR(INDEX(TableWRTECalcPts[Custom],MATCH(TableWRTERank[[#This Row],[RK]],TableWRTECalcPts[RK],0)),"")</f>
        <v>132.11341947692489</v>
      </c>
      <c r="BA66" s="188">
        <f>IFERROR((TableWRTERank[[#This Row],[FPS]]-INDEX(TableWRTERank[FPS],MATCH(WRTEVORPCalc,TableWRTERank[RK],0)))/INDEX(TableWRTERank[FPS],MATCH(WRTEVORPCalc,TableWRTERank[RK],0)),"")</f>
        <v>-4.5354366695044682E-2</v>
      </c>
      <c r="BC66" t="s">
        <v>257</v>
      </c>
      <c r="BD66">
        <v>65</v>
      </c>
      <c r="BE66" s="86">
        <f>RANK(TableWRTEMaster[[#This Row],[VORP]],TableWRTEMaster[VORP])+COUNTIF($BJ$2:BJ66,BJ66)-1</f>
        <v>81</v>
      </c>
      <c r="BF66" s="123" t="str">
        <f>IFERROR(INDEX(TableWRVORP[WIDE RECEIVER],MATCH(TableWRTEMaster[[#This Row],[RK]],TableWRVORP[RK],0)),"")</f>
        <v>Kadarius Toney</v>
      </c>
      <c r="BG66" s="123" t="str">
        <f>_xlfn.CONCAT(TableWRTEMaster[[#This Row],[POS]],TableWRTEMaster[[#This Row],[RK]])</f>
        <v>WR65</v>
      </c>
      <c r="BH66" s="123">
        <f>IFERROR(INDEX(TableWRVORP[BYE],MATCH(TableWRTEMaster[[#This Row],[RK]],TableWRVORP[RK],0)),"")</f>
        <v>10</v>
      </c>
      <c r="BI66" s="124">
        <f>IFERROR(INDEX(TableWRVORP[FPS],MATCH(TableWRTEMaster[[#This Row],[RK]],TableWRVORP[RK],0)),"")</f>
        <v>115.6532121174868</v>
      </c>
      <c r="BJ66" s="125">
        <f>IFERROR(INDEX(TableWRVORP[VORP],MATCH(TableWRTEMaster[[#This Row],[RK]],TableWRVORP[RK],0)),"")</f>
        <v>-0.11235431646356794</v>
      </c>
    </row>
    <row r="67" spans="1:62" x14ac:dyDescent="0.2">
      <c r="A67">
        <v>66</v>
      </c>
      <c r="B67" s="120" t="str">
        <f>IFERROR(INDEX(TableQBCalcPts[PLAYER],MATCH(TableQBVORP[[#This Row],[RK]],TableQBCalcPts[RK],0)),"")</f>
        <v/>
      </c>
      <c r="C67" s="120" t="str">
        <f>IFERROR(INDEX(TableQBCalcPts[TM],MATCH(TableQBVORP[[#This Row],[RK]],TableQBCalcPts[RK],0)),"")</f>
        <v/>
      </c>
      <c r="D67" s="120" t="str">
        <f>IFERROR(INDEX(TableQBCalcPts[BYE],MATCH(TableQBVORP[[#This Row],[RK]],TableQBCalcPts[RK],0)),"")</f>
        <v/>
      </c>
      <c r="E67" s="121" t="str">
        <f>IFERROR(INDEX(TableQBCalcPts[Custom],MATCH(TableQBVORP[[#This Row],[RK]],TableQBCalcPts[RK],0)),"")</f>
        <v/>
      </c>
      <c r="F67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67">
        <v>66</v>
      </c>
      <c r="I67" s="120" t="str">
        <f>IFERROR(INDEX(TableRBCalcPts[PLAYER],MATCH(TableRBVORP[[#This Row],[RK]],TableRBCalcPts[RK],0)),"")</f>
        <v>Deon Jackson</v>
      </c>
      <c r="J67" s="120" t="str">
        <f>IFERROR(INDEX(TableRBCalcPts[TM],MATCH(TableRBVORP[[#This Row],[RK]],TableRBCalcPts[RK],0)),"")</f>
        <v>IND</v>
      </c>
      <c r="K67" s="120">
        <f>IFERROR(INDEX(TableRBCalcPts[BYE],MATCH(TableRBVORP[[#This Row],[RK]],TableRBCalcPts[RK],0)),"")</f>
        <v>11</v>
      </c>
      <c r="L67" s="121">
        <f>IFERROR(INDEX(TableRBCalcPts[Custom],MATCH(TableRBVORP[[#This Row],[RK]],TableRBCalcPts[RK],0)),"")</f>
        <v>71.005509132096009</v>
      </c>
      <c r="M67" s="122">
        <f>IFERROR((TableRBVORP[[#This Row],[FPS]]-INDEX(TableRBVORP[FPS],MATCH(RBVORPCalc,TableRBVORP[RK],0)))/INDEX(TableRBVORP[FPS],MATCH(RBVORPCalc,TableRBVORP[RK],0)),"")</f>
        <v>-0.42018766398559576</v>
      </c>
      <c r="O67">
        <v>66</v>
      </c>
      <c r="P67" s="120" t="str">
        <f>IFERROR(INDEX(TableWRCalcPts[PLAYER],MATCH(TableWRVORP[[#This Row],[RK]],TableWRCalcPts[RK],0)),"")</f>
        <v>Nico Collins</v>
      </c>
      <c r="Q67" s="120" t="str">
        <f>IFERROR(INDEX(TableWRCalcPts[TM],MATCH(TableWRVORP[[#This Row],[RK]],TableWRCalcPts[RK],0)),"")</f>
        <v>HOU</v>
      </c>
      <c r="R67" s="120">
        <f>IFERROR(INDEX(TableWRCalcPts[BYE],MATCH(TableWRVORP[[#This Row],[RK]],TableWRCalcPts[RK],0)),"")</f>
        <v>7</v>
      </c>
      <c r="S67" s="121">
        <f>IFERROR(INDEX(TableWRCalcPts[Custom],MATCH(TableWRVORP[[#This Row],[RK]],TableWRCalcPts[RK],0)),"")</f>
        <v>114.84809106865067</v>
      </c>
      <c r="T67" s="122">
        <f>IFERROR((TableWRVORP[[#This Row],[FPS]]-INDEX(TableWRVORP[FPS],MATCH(WRVORPCalc,TableWRVORP[RK],0)))/INDEX(TableWRVORP[FPS],MATCH(WRVORPCalc,TableWRVORP[RK],0)),"")</f>
        <v>-0.11853367119690401</v>
      </c>
      <c r="V67">
        <v>66</v>
      </c>
      <c r="W67" s="120" t="str">
        <f>IFERROR(INDEX(TableTECalcPts[PLAYER],MATCH(TableTEVORP[[#This Row],[RK]],TableTECalcPts[RK],0)),"")</f>
        <v>Brock Wright</v>
      </c>
      <c r="X67" s="120" t="str">
        <f>IFERROR(INDEX(TableTECalcPts[TM],MATCH(TableTEVORP[[#This Row],[RK]],TableTECalcPts[RK],0)),"")</f>
        <v>DET</v>
      </c>
      <c r="Y67" s="120">
        <f>IFERROR(INDEX(TableTECalcPts[BYE],MATCH(TableTEVORP[[#This Row],[RK]],TableTECalcPts[RK],0)),"")</f>
        <v>9</v>
      </c>
      <c r="Z67" s="121">
        <f>IFERROR(INDEX(TableTECalcPts[Custom],MATCH(TableTEVORP[[#This Row],[RK]],TableTECalcPts[RK],0)),"")</f>
        <v>20.420866563743786</v>
      </c>
      <c r="AA67" s="122">
        <f>IFERROR((TableTEVORP[[#This Row],[FPS]]-INDEX(TableTEVORP[FPS],MATCH(TEVORPCalc,TableTEVORP[RK],0)))/INDEX(TableTEVORP[FPS],MATCH(TEVORPCalc,TableTEVORP[RK],0)),"")</f>
        <v>-0.82815085078146367</v>
      </c>
      <c r="AF67" t="s">
        <v>256</v>
      </c>
      <c r="AG67">
        <v>26</v>
      </c>
      <c r="AH67" s="86">
        <f>RANK(TableOverallMaster[[#This Row],[VORP]],TableOverallMaster[VORP])+COUNTIF($AM$2:AM67,AM67)-1</f>
        <v>44</v>
      </c>
      <c r="AI67" s="123" t="str">
        <f>IFERROR(INDEX(TableRBVORP[RUNNING BACK],MATCH(TableOverallMaster[[#This Row],[RK]],TableRBVORP[RK],0)),"")</f>
        <v>Breece Hall</v>
      </c>
      <c r="AJ67" s="123" t="str">
        <f t="shared" si="1"/>
        <v>RB26</v>
      </c>
      <c r="AK67" s="123">
        <f>IFERROR(INDEX(TableRBVORP[BYE],MATCH(TableOverallMaster[[#This Row],[RK]],TableRBVORP[RK],0)),"")</f>
        <v>7</v>
      </c>
      <c r="AL67" s="124">
        <f>IFERROR(INDEX(TableRBVORP[FPS],MATCH(TableOverallMaster[[#This Row],[RK]],TableRBVORP[RK],0)),"")</f>
        <v>184.31202324745902</v>
      </c>
      <c r="AM67" s="125">
        <f>IFERROR(INDEX(TableRBVORP[VORP],MATCH(TableOverallMaster[[#This Row],[RK]],TableRBVORP[RK],0)),"")</f>
        <v>0.50504356719476728</v>
      </c>
      <c r="AO67">
        <v>66</v>
      </c>
      <c r="AP67" s="126" t="str">
        <f>IFERROR(INDEX(TableOverallMaster[OVERALL PLAYER],MATCH(TableOverallRank[[#This Row],[RK]],TableOverallMaster[OVR RK],0)),"")</f>
        <v>Lamar Jackson</v>
      </c>
      <c r="AQ67" s="127" t="str">
        <f>IFERROR(INDEX(TableOverallMaster[POS RK],MATCH(TableOverallRank[[#This Row],[OVERALL PLAYER]],TableOverallMaster[OVERALL PLAYER],0)),"")</f>
        <v>QB4</v>
      </c>
      <c r="AR67" s="128">
        <f>IFERROR(INDEX(TableOverallMaster[BYE],MATCH(TableOverallRank[[#This Row],[OVERALL PLAYER]],TableOverallMaster[OVERALL PLAYER],0)),"")</f>
        <v>13</v>
      </c>
      <c r="AS67" s="127">
        <f>IFERROR(INDEX(TableOverallMaster[Custom],MATCH(TableOverallRank[[#This Row],[OVERALL PLAYER]],TableOverallMaster[OVERALL PLAYER],0)),"")</f>
        <v>361.60434219642514</v>
      </c>
      <c r="AT67" s="129">
        <f>IFERROR(INDEX(TableOverallMaster[VORP],MATCH(TableOverallRank[[#This Row],[OVERALL PLAYER]],TableOverallMaster[OVERALL PLAYER],0)),"")</f>
        <v>0.36783024586407997</v>
      </c>
      <c r="AV67">
        <v>66</v>
      </c>
      <c r="AW67" s="130" t="str">
        <f>IFERROR(INDEX(TableWRTECalcPts[PLAYER],MATCH(TableWRTERank[[#This Row],[RK]],TableWRTECalcPts[RK],0)),"")</f>
        <v>Romeo Doubs</v>
      </c>
      <c r="AX67" s="130" t="str">
        <f>IFERROR(INDEX(TableWRTECalcPts[POS RK],MATCH(TableWRTERank[[#This Row],[WR and TE COMBINED]],TableWRTECalcPts[PLAYER],0)),"")</f>
        <v>WR56</v>
      </c>
      <c r="AY67" s="130">
        <f>IFERROR(INDEX(TableWRTECalcPts[BYE],MATCH(TableWRTERank[[#This Row],[RK]],TableWRTECalcPts[RK],0)),"")</f>
        <v>6</v>
      </c>
      <c r="AZ67" s="131">
        <f>IFERROR(INDEX(TableWRTECalcPts[Custom],MATCH(TableWRTERank[[#This Row],[RK]],TableWRTECalcPts[RK],0)),"")</f>
        <v>131.5987978749377</v>
      </c>
      <c r="BA67" s="188">
        <f>IFERROR((TableWRTERank[[#This Row],[FPS]]-INDEX(TableWRTERank[FPS],MATCH(WRTEVORPCalc,TableWRTERank[RK],0)))/INDEX(TableWRTERank[FPS],MATCH(WRTEVORPCalc,TableWRTERank[RK],0)),"")</f>
        <v>-4.9072999269135893E-2</v>
      </c>
      <c r="BC67" t="s">
        <v>257</v>
      </c>
      <c r="BD67">
        <v>66</v>
      </c>
      <c r="BE67" s="86">
        <f>RANK(TableWRTEMaster[[#This Row],[VORP]],TableWRTEMaster[VORP])+COUNTIF($BJ$2:BJ67,BJ67)-1</f>
        <v>82</v>
      </c>
      <c r="BF67" s="123" t="str">
        <f>IFERROR(INDEX(TableWRVORP[WIDE RECEIVER],MATCH(TableWRTEMaster[[#This Row],[RK]],TableWRVORP[RK],0)),"")</f>
        <v>Nico Collins</v>
      </c>
      <c r="BG67" s="123" t="str">
        <f>_xlfn.CONCAT(TableWRTEMaster[[#This Row],[POS]],TableWRTEMaster[[#This Row],[RK]])</f>
        <v>WR66</v>
      </c>
      <c r="BH67" s="123">
        <f>IFERROR(INDEX(TableWRVORP[BYE],MATCH(TableWRTEMaster[[#This Row],[RK]],TableWRVORP[RK],0)),"")</f>
        <v>7</v>
      </c>
      <c r="BI67" s="124">
        <f>IFERROR(INDEX(TableWRVORP[FPS],MATCH(TableWRTEMaster[[#This Row],[RK]],TableWRVORP[RK],0)),"")</f>
        <v>114.84809106865067</v>
      </c>
      <c r="BJ67" s="125">
        <f>IFERROR(INDEX(TableWRVORP[VORP],MATCH(TableWRTEMaster[[#This Row],[RK]],TableWRVORP[RK],0)),"")</f>
        <v>-0.11853367119690401</v>
      </c>
    </row>
    <row r="68" spans="1:62" x14ac:dyDescent="0.2">
      <c r="A68">
        <v>67</v>
      </c>
      <c r="B68" s="120" t="str">
        <f>IFERROR(INDEX(TableQBCalcPts[PLAYER],MATCH(TableQBVORP[[#This Row],[RK]],TableQBCalcPts[RK],0)),"")</f>
        <v/>
      </c>
      <c r="C68" s="120" t="str">
        <f>IFERROR(INDEX(TableQBCalcPts[TM],MATCH(TableQBVORP[[#This Row],[RK]],TableQBCalcPts[RK],0)),"")</f>
        <v/>
      </c>
      <c r="D68" s="120" t="str">
        <f>IFERROR(INDEX(TableQBCalcPts[BYE],MATCH(TableQBVORP[[#This Row],[RK]],TableQBCalcPts[RK],0)),"")</f>
        <v/>
      </c>
      <c r="E68" s="121" t="str">
        <f>IFERROR(INDEX(TableQBCalcPts[Custom],MATCH(TableQBVORP[[#This Row],[RK]],TableQBCalcPts[RK],0)),"")</f>
        <v/>
      </c>
      <c r="F68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68">
        <v>67</v>
      </c>
      <c r="I68" s="120" t="str">
        <f>IFERROR(INDEX(TableRBCalcPts[PLAYER],MATCH(TableRBVORP[[#This Row],[RK]],TableRBCalcPts[RK],0)),"")</f>
        <v>Zack Moss</v>
      </c>
      <c r="J68" s="120" t="str">
        <f>IFERROR(INDEX(TableRBCalcPts[TM],MATCH(TableRBVORP[[#This Row],[RK]],TableRBCalcPts[RK],0)),"")</f>
        <v>IND</v>
      </c>
      <c r="K68" s="120">
        <f>IFERROR(INDEX(TableRBCalcPts[BYE],MATCH(TableRBVORP[[#This Row],[RK]],TableRBCalcPts[RK],0)),"")</f>
        <v>11</v>
      </c>
      <c r="L68" s="121">
        <f>IFERROR(INDEX(TableRBCalcPts[Custom],MATCH(TableRBVORP[[#This Row],[RK]],TableRBCalcPts[RK],0)),"")</f>
        <v>66.203085416160008</v>
      </c>
      <c r="M68" s="122">
        <f>IFERROR((TableRBVORP[[#This Row],[FPS]]-INDEX(TableRBVORP[FPS],MATCH(RBVORPCalc,TableRBVORP[RK],0)))/INDEX(TableRBVORP[FPS],MATCH(RBVORPCalc,TableRBVORP[RK],0)),"")</f>
        <v>-0.45940299456068734</v>
      </c>
      <c r="O68">
        <v>67</v>
      </c>
      <c r="P68" s="120" t="str">
        <f>IFERROR(INDEX(TableWRCalcPts[PLAYER],MATCH(TableWRVORP[[#This Row],[RK]],TableWRCalcPts[RK],0)),"")</f>
        <v>K.J. Osborn</v>
      </c>
      <c r="Q68" s="120" t="str">
        <f>IFERROR(INDEX(TableWRCalcPts[TM],MATCH(TableWRVORP[[#This Row],[RK]],TableWRCalcPts[RK],0)),"")</f>
        <v>MIN</v>
      </c>
      <c r="R68" s="120">
        <f>IFERROR(INDEX(TableWRCalcPts[BYE],MATCH(TableWRVORP[[#This Row],[RK]],TableWRCalcPts[RK],0)),"")</f>
        <v>13</v>
      </c>
      <c r="S68" s="121">
        <f>IFERROR(INDEX(TableWRCalcPts[Custom],MATCH(TableWRVORP[[#This Row],[RK]],TableWRCalcPts[RK],0)),"")</f>
        <v>113.8911756591277</v>
      </c>
      <c r="T68" s="122">
        <f>IFERROR((TableWRVORP[[#This Row],[FPS]]-INDEX(TableWRVORP[FPS],MATCH(WRVORPCalc,TableWRVORP[RK],0)))/INDEX(TableWRVORP[FPS],MATCH(WRVORPCalc,TableWRVORP[RK],0)),"")</f>
        <v>-0.12587805720418327</v>
      </c>
      <c r="V68">
        <v>67</v>
      </c>
      <c r="W68" s="120" t="str">
        <f>IFERROR(INDEX(TableTECalcPts[PLAYER],MATCH(TableTEVORP[[#This Row],[RK]],TableTECalcPts[RK],0)),"")</f>
        <v>Hunter Long</v>
      </c>
      <c r="X68" s="120" t="str">
        <f>IFERROR(INDEX(TableTECalcPts[TM],MATCH(TableTEVORP[[#This Row],[RK]],TableTECalcPts[RK],0)),"")</f>
        <v>LAR</v>
      </c>
      <c r="Y68" s="120">
        <f>IFERROR(INDEX(TableTECalcPts[BYE],MATCH(TableTEVORP[[#This Row],[RK]],TableTECalcPts[RK],0)),"")</f>
        <v>10</v>
      </c>
      <c r="Z68" s="121">
        <f>IFERROR(INDEX(TableTECalcPts[Custom],MATCH(TableTEVORP[[#This Row],[RK]],TableTECalcPts[RK],0)),"")</f>
        <v>20.068881155988553</v>
      </c>
      <c r="AA68" s="122">
        <f>IFERROR((TableTEVORP[[#This Row],[FPS]]-INDEX(TableTEVORP[FPS],MATCH(TEVORPCalc,TableTEVORP[RK],0)))/INDEX(TableTEVORP[FPS],MATCH(TEVORPCalc,TableTEVORP[RK],0)),"")</f>
        <v>-0.83111293824583554</v>
      </c>
      <c r="AF68" t="s">
        <v>256</v>
      </c>
      <c r="AG68">
        <v>27</v>
      </c>
      <c r="AH68" s="86">
        <f>RANK(TableOverallMaster[[#This Row],[VORP]],TableOverallMaster[VORP])+COUNTIF($AM$2:AM68,AM68)-1</f>
        <v>46</v>
      </c>
      <c r="AI68" s="123" t="str">
        <f>IFERROR(INDEX(TableRBVORP[RUNNING BACK],MATCH(TableOverallMaster[[#This Row],[RK]],TableRBVORP[RK],0)),"")</f>
        <v>James Cook</v>
      </c>
      <c r="AJ68" s="123" t="str">
        <f t="shared" si="1"/>
        <v>RB27</v>
      </c>
      <c r="AK68" s="123">
        <f>IFERROR(INDEX(TableRBVORP[BYE],MATCH(TableOverallMaster[[#This Row],[RK]],TableRBVORP[RK],0)),"")</f>
        <v>13</v>
      </c>
      <c r="AL68" s="124">
        <f>IFERROR(INDEX(TableRBVORP[FPS],MATCH(TableOverallMaster[[#This Row],[RK]],TableRBVORP[RK],0)),"")</f>
        <v>182.3763858942709</v>
      </c>
      <c r="AM68" s="125">
        <f>IFERROR(INDEX(TableRBVORP[VORP],MATCH(TableOverallMaster[[#This Row],[RK]],TableRBVORP[RK],0)),"")</f>
        <v>0.48923766101725008</v>
      </c>
      <c r="AO68">
        <v>67</v>
      </c>
      <c r="AP68" s="126" t="str">
        <f>IFERROR(INDEX(TableOverallMaster[OVERALL PLAYER],MATCH(TableOverallRank[[#This Row],[RK]],TableOverallMaster[OVR RK],0)),"")</f>
        <v>Jordan Addison</v>
      </c>
      <c r="AQ68" s="127" t="str">
        <f>IFERROR(INDEX(TableOverallMaster[POS RK],MATCH(TableOverallRank[[#This Row],[OVERALL PLAYER]],TableOverallMaster[OVERALL PLAYER],0)),"")</f>
        <v>WR27</v>
      </c>
      <c r="AR68" s="128">
        <f>IFERROR(INDEX(TableOverallMaster[BYE],MATCH(TableOverallRank[[#This Row],[OVERALL PLAYER]],TableOverallMaster[OVERALL PLAYER],0)),"")</f>
        <v>13</v>
      </c>
      <c r="AS68" s="127">
        <f>IFERROR(INDEX(TableOverallMaster[Custom],MATCH(TableOverallRank[[#This Row],[OVERALL PLAYER]],TableOverallMaster[OVERALL PLAYER],0)),"")</f>
        <v>176.77315343207513</v>
      </c>
      <c r="AT68" s="129">
        <f>IFERROR(INDEX(TableOverallMaster[VORP],MATCH(TableOverallRank[[#This Row],[OVERALL PLAYER]],TableOverallMaster[OVERALL PLAYER],0)),"")</f>
        <v>0.35674508071341132</v>
      </c>
      <c r="AV68">
        <v>67</v>
      </c>
      <c r="AW68" s="130" t="str">
        <f>IFERROR(INDEX(TableWRTECalcPts[PLAYER],MATCH(TableWRTERank[[#This Row],[RK]],TableWRTECalcPts[RK],0)),"")</f>
        <v>Zay Flowers</v>
      </c>
      <c r="AX68" s="130" t="str">
        <f>IFERROR(INDEX(TableWRTECalcPts[POS RK],MATCH(TableWRTERank[[#This Row],[WR and TE COMBINED]],TableWRTECalcPts[PLAYER],0)),"")</f>
        <v>WR57</v>
      </c>
      <c r="AY68" s="130">
        <f>IFERROR(INDEX(TableWRTECalcPts[BYE],MATCH(TableWRTERank[[#This Row],[RK]],TableWRTECalcPts[RK],0)),"")</f>
        <v>13</v>
      </c>
      <c r="AZ68" s="131">
        <f>IFERROR(INDEX(TableWRTECalcPts[Custom],MATCH(TableWRTERank[[#This Row],[RK]],TableWRTECalcPts[RK],0)),"")</f>
        <v>130.29209093511014</v>
      </c>
      <c r="BA68" s="188">
        <f>IFERROR((TableWRTERank[[#This Row],[FPS]]-INDEX(TableWRTERank[FPS],MATCH(WRTEVORPCalc,TableWRTERank[RK],0)))/INDEX(TableWRTERank[FPS],MATCH(WRTEVORPCalc,TableWRTERank[RK],0)),"")</f>
        <v>-5.8515204906191137E-2</v>
      </c>
      <c r="BC68" t="s">
        <v>257</v>
      </c>
      <c r="BD68">
        <v>67</v>
      </c>
      <c r="BE68" s="86">
        <f>RANK(TableWRTEMaster[[#This Row],[VORP]],TableWRTEMaster[VORP])+COUNTIF($BJ$2:BJ68,BJ68)-1</f>
        <v>83</v>
      </c>
      <c r="BF68" s="123" t="str">
        <f>IFERROR(INDEX(TableWRVORP[WIDE RECEIVER],MATCH(TableWRTEMaster[[#This Row],[RK]],TableWRVORP[RK],0)),"")</f>
        <v>K.J. Osborn</v>
      </c>
      <c r="BG68" s="123" t="str">
        <f>_xlfn.CONCAT(TableWRTEMaster[[#This Row],[POS]],TableWRTEMaster[[#This Row],[RK]])</f>
        <v>WR67</v>
      </c>
      <c r="BH68" s="123">
        <f>IFERROR(INDEX(TableWRVORP[BYE],MATCH(TableWRTEMaster[[#This Row],[RK]],TableWRVORP[RK],0)),"")</f>
        <v>13</v>
      </c>
      <c r="BI68" s="124">
        <f>IFERROR(INDEX(TableWRVORP[FPS],MATCH(TableWRTEMaster[[#This Row],[RK]],TableWRVORP[RK],0)),"")</f>
        <v>113.8911756591277</v>
      </c>
      <c r="BJ68" s="125">
        <f>IFERROR(INDEX(TableWRVORP[VORP],MATCH(TableWRTEMaster[[#This Row],[RK]],TableWRVORP[RK],0)),"")</f>
        <v>-0.12587805720418327</v>
      </c>
    </row>
    <row r="69" spans="1:62" x14ac:dyDescent="0.2">
      <c r="A69">
        <v>68</v>
      </c>
      <c r="B69" s="120" t="str">
        <f>IFERROR(INDEX(TableQBCalcPts[PLAYER],MATCH(TableQBVORP[[#This Row],[RK]],TableQBCalcPts[RK],0)),"")</f>
        <v/>
      </c>
      <c r="C69" s="120" t="str">
        <f>IFERROR(INDEX(TableQBCalcPts[TM],MATCH(TableQBVORP[[#This Row],[RK]],TableQBCalcPts[RK],0)),"")</f>
        <v/>
      </c>
      <c r="D69" s="120" t="str">
        <f>IFERROR(INDEX(TableQBCalcPts[BYE],MATCH(TableQBVORP[[#This Row],[RK]],TableQBCalcPts[RK],0)),"")</f>
        <v/>
      </c>
      <c r="E69" s="121" t="str">
        <f>IFERROR(INDEX(TableQBCalcPts[Custom],MATCH(TableQBVORP[[#This Row],[RK]],TableQBCalcPts[RK],0)),"")</f>
        <v/>
      </c>
      <c r="F69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69">
        <v>68</v>
      </c>
      <c r="I69" s="120" t="str">
        <f>IFERROR(INDEX(TableRBCalcPts[PLAYER],MATCH(TableRBVORP[[#This Row],[RK]],TableRBCalcPts[RK],0)),"")</f>
        <v>Pierre Strong</v>
      </c>
      <c r="J69" s="120" t="str">
        <f>IFERROR(INDEX(TableRBCalcPts[TM],MATCH(TableRBVORP[[#This Row],[RK]],TableRBCalcPts[RK],0)),"")</f>
        <v>CLE</v>
      </c>
      <c r="K69" s="120">
        <f>IFERROR(INDEX(TableRBCalcPts[BYE],MATCH(TableRBVORP[[#This Row],[RK]],TableRBCalcPts[RK],0)),"")</f>
        <v>5</v>
      </c>
      <c r="L69" s="121">
        <f>IFERROR(INDEX(TableRBCalcPts[Custom],MATCH(TableRBVORP[[#This Row],[RK]],TableRBCalcPts[RK],0)),"")</f>
        <v>63.675737980142394</v>
      </c>
      <c r="M69" s="122">
        <f>IFERROR((TableRBVORP[[#This Row],[FPS]]-INDEX(TableRBVORP[FPS],MATCH(RBVORPCalc,TableRBVORP[RK],0)))/INDEX(TableRBVORP[FPS],MATCH(RBVORPCalc,TableRBVORP[RK],0)),"")</f>
        <v>-0.48004064984559258</v>
      </c>
      <c r="O69">
        <v>68</v>
      </c>
      <c r="P69" s="120" t="str">
        <f>IFERROR(INDEX(TableWRCalcPts[PLAYER],MATCH(TableWRVORP[[#This Row],[RK]],TableWRCalcPts[RK],0)),"")</f>
        <v>Josh Downs</v>
      </c>
      <c r="Q69" s="120" t="str">
        <f>IFERROR(INDEX(TableWRCalcPts[TM],MATCH(TableWRVORP[[#This Row],[RK]],TableWRCalcPts[RK],0)),"")</f>
        <v>IND</v>
      </c>
      <c r="R69" s="120">
        <f>IFERROR(INDEX(TableWRCalcPts[BYE],MATCH(TableWRVORP[[#This Row],[RK]],TableWRCalcPts[RK],0)),"")</f>
        <v>11</v>
      </c>
      <c r="S69" s="121">
        <f>IFERROR(INDEX(TableWRCalcPts[Custom],MATCH(TableWRVORP[[#This Row],[RK]],TableWRCalcPts[RK],0)),"")</f>
        <v>113.73967041881546</v>
      </c>
      <c r="T69" s="122">
        <f>IFERROR((TableWRVORP[[#This Row],[FPS]]-INDEX(TableWRVORP[FPS],MATCH(WRVORPCalc,TableWRVORP[RK],0)))/INDEX(TableWRVORP[FPS],MATCH(WRVORPCalc,TableWRVORP[RK],0)),"")</f>
        <v>-0.1270408694610507</v>
      </c>
      <c r="V69">
        <v>68</v>
      </c>
      <c r="W69" s="120" t="str">
        <f>IFERROR(INDEX(TableTECalcPts[PLAYER],MATCH(TableTEVORP[[#This Row],[RK]],TableTECalcPts[RK],0)),"")</f>
        <v>Grant Calcaterra</v>
      </c>
      <c r="X69" s="120" t="str">
        <f>IFERROR(INDEX(TableTECalcPts[TM],MATCH(TableTEVORP[[#This Row],[RK]],TableTECalcPts[RK],0)),"")</f>
        <v>PHI</v>
      </c>
      <c r="Y69" s="120">
        <f>IFERROR(INDEX(TableTECalcPts[BYE],MATCH(TableTEVORP[[#This Row],[RK]],TableTECalcPts[RK],0)),"")</f>
        <v>10</v>
      </c>
      <c r="Z69" s="121">
        <f>IFERROR(INDEX(TableTECalcPts[Custom],MATCH(TableTEVORP[[#This Row],[RK]],TableTECalcPts[RK],0)),"")</f>
        <v>17.356951041360002</v>
      </c>
      <c r="AA69" s="122">
        <f>IFERROR((TableTEVORP[[#This Row],[FPS]]-INDEX(TableTEVORP[FPS],MATCH(TEVORPCalc,TableTEVORP[RK],0)))/INDEX(TableTEVORP[FPS],MATCH(TEVORPCalc,TableTEVORP[RK],0)),"")</f>
        <v>-0.85393483375571944</v>
      </c>
      <c r="AF69" t="s">
        <v>256</v>
      </c>
      <c r="AG69">
        <v>28</v>
      </c>
      <c r="AH69" s="86">
        <f>RANK(TableOverallMaster[[#This Row],[VORP]],TableOverallMaster[VORP])+COUNTIF($AM$2:AM69,AM69)-1</f>
        <v>48</v>
      </c>
      <c r="AI69" s="123" t="str">
        <f>IFERROR(INDEX(TableRBVORP[RUNNING BACK],MATCH(TableOverallMaster[[#This Row],[RK]],TableRBVORP[RK],0)),"")</f>
        <v>Alvin Kamara</v>
      </c>
      <c r="AJ69" s="123" t="str">
        <f t="shared" si="1"/>
        <v>RB28</v>
      </c>
      <c r="AK69" s="123">
        <f>IFERROR(INDEX(TableRBVORP[BYE],MATCH(TableOverallMaster[[#This Row],[RK]],TableRBVORP[RK],0)),"")</f>
        <v>11</v>
      </c>
      <c r="AL69" s="124">
        <f>IFERROR(INDEX(TableRBVORP[FPS],MATCH(TableOverallMaster[[#This Row],[RK]],TableRBVORP[RK],0)),"")</f>
        <v>181.29594105419741</v>
      </c>
      <c r="AM69" s="125">
        <f>IFERROR(INDEX(TableRBVORP[VORP],MATCH(TableOverallMaster[[#This Row],[RK]],TableRBVORP[RK],0)),"")</f>
        <v>0.48041503226189136</v>
      </c>
      <c r="AO69">
        <v>68</v>
      </c>
      <c r="AP69" s="126" t="str">
        <f>IFERROR(INDEX(TableOverallMaster[OVERALL PLAYER],MATCH(TableOverallRank[[#This Row],[RK]],TableOverallMaster[OVR RK],0)),"")</f>
        <v>Justin Fields</v>
      </c>
      <c r="AQ69" s="127" t="str">
        <f>IFERROR(INDEX(TableOverallMaster[POS RK],MATCH(TableOverallRank[[#This Row],[OVERALL PLAYER]],TableOverallMaster[OVERALL PLAYER],0)),"")</f>
        <v>QB5</v>
      </c>
      <c r="AR69" s="128">
        <f>IFERROR(INDEX(TableOverallMaster[BYE],MATCH(TableOverallRank[[#This Row],[OVERALL PLAYER]],TableOverallMaster[OVERALL PLAYER],0)),"")</f>
        <v>13</v>
      </c>
      <c r="AS69" s="127">
        <f>IFERROR(INDEX(TableOverallMaster[Custom],MATCH(TableOverallRank[[#This Row],[OVERALL PLAYER]],TableOverallMaster[OVERALL PLAYER],0)),"")</f>
        <v>356.81311597053582</v>
      </c>
      <c r="AT69" s="129">
        <f>IFERROR(INDEX(TableOverallMaster[VORP],MATCH(TableOverallRank[[#This Row],[OVERALL PLAYER]],TableOverallMaster[OVERALL PLAYER],0)),"")</f>
        <v>0.35445721551331011</v>
      </c>
      <c r="AV69">
        <v>68</v>
      </c>
      <c r="AW69" s="130" t="str">
        <f>IFERROR(INDEX(TableWRTECalcPts[PLAYER],MATCH(TableWRTERank[[#This Row],[RK]],TableWRTECalcPts[RK],0)),"")</f>
        <v>Van Jefferson</v>
      </c>
      <c r="AX69" s="130" t="str">
        <f>IFERROR(INDEX(TableWRTECalcPts[POS RK],MATCH(TableWRTERank[[#This Row],[WR and TE COMBINED]],TableWRTECalcPts[PLAYER],0)),"")</f>
        <v>WR58</v>
      </c>
      <c r="AY69" s="130">
        <f>IFERROR(INDEX(TableWRTECalcPts[BYE],MATCH(TableWRTERank[[#This Row],[RK]],TableWRTECalcPts[RK],0)),"")</f>
        <v>10</v>
      </c>
      <c r="AZ69" s="131">
        <f>IFERROR(INDEX(TableWRTECalcPts[Custom],MATCH(TableWRTERank[[#This Row],[RK]],TableWRTECalcPts[RK],0)),"")</f>
        <v>130.16505343713359</v>
      </c>
      <c r="BA69" s="188">
        <f>IFERROR((TableWRTERank[[#This Row],[FPS]]-INDEX(TableWRTERank[FPS],MATCH(WRTEVORPCalc,TableWRTERank[RK],0)))/INDEX(TableWRTERank[FPS],MATCH(WRTEVORPCalc,TableWRTERank[RK],0)),"")</f>
        <v>-5.9433172158794706E-2</v>
      </c>
      <c r="BC69" t="s">
        <v>257</v>
      </c>
      <c r="BD69">
        <v>68</v>
      </c>
      <c r="BE69" s="86">
        <f>RANK(TableWRTEMaster[[#This Row],[VORP]],TableWRTEMaster[VORP])+COUNTIF($BJ$2:BJ69,BJ69)-1</f>
        <v>84</v>
      </c>
      <c r="BF69" s="123" t="str">
        <f>IFERROR(INDEX(TableWRVORP[WIDE RECEIVER],MATCH(TableWRTEMaster[[#This Row],[RK]],TableWRVORP[RK],0)),"")</f>
        <v>Josh Downs</v>
      </c>
      <c r="BG69" s="123" t="str">
        <f>_xlfn.CONCAT(TableWRTEMaster[[#This Row],[POS]],TableWRTEMaster[[#This Row],[RK]])</f>
        <v>WR68</v>
      </c>
      <c r="BH69" s="123">
        <f>IFERROR(INDEX(TableWRVORP[BYE],MATCH(TableWRTEMaster[[#This Row],[RK]],TableWRVORP[RK],0)),"")</f>
        <v>11</v>
      </c>
      <c r="BI69" s="124">
        <f>IFERROR(INDEX(TableWRVORP[FPS],MATCH(TableWRTEMaster[[#This Row],[RK]],TableWRVORP[RK],0)),"")</f>
        <v>113.73967041881546</v>
      </c>
      <c r="BJ69" s="125">
        <f>IFERROR(INDEX(TableWRVORP[VORP],MATCH(TableWRTEMaster[[#This Row],[RK]],TableWRVORP[RK],0)),"")</f>
        <v>-0.1270408694610507</v>
      </c>
    </row>
    <row r="70" spans="1:62" x14ac:dyDescent="0.2">
      <c r="A70">
        <v>69</v>
      </c>
      <c r="B70" s="120" t="str">
        <f>IFERROR(INDEX(TableQBCalcPts[PLAYER],MATCH(TableQBVORP[[#This Row],[RK]],TableQBCalcPts[RK],0)),"")</f>
        <v/>
      </c>
      <c r="C70" s="120" t="str">
        <f>IFERROR(INDEX(TableQBCalcPts[TM],MATCH(TableQBVORP[[#This Row],[RK]],TableQBCalcPts[RK],0)),"")</f>
        <v/>
      </c>
      <c r="D70" s="120" t="str">
        <f>IFERROR(INDEX(TableQBCalcPts[BYE],MATCH(TableQBVORP[[#This Row],[RK]],TableQBCalcPts[RK],0)),"")</f>
        <v/>
      </c>
      <c r="E70" s="121" t="str">
        <f>IFERROR(INDEX(TableQBCalcPts[Custom],MATCH(TableQBVORP[[#This Row],[RK]],TableQBCalcPts[RK],0)),"")</f>
        <v/>
      </c>
      <c r="F70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70">
        <v>69</v>
      </c>
      <c r="I70" s="120" t="str">
        <f>IFERROR(INDEX(TableRBCalcPts[PLAYER],MATCH(TableRBVORP[[#This Row],[RK]],TableRBCalcPts[RK],0)),"")</f>
        <v>Clyde Edwards-Helaire</v>
      </c>
      <c r="J70" s="120" t="str">
        <f>IFERROR(INDEX(TableRBCalcPts[TM],MATCH(TableRBVORP[[#This Row],[RK]],TableRBCalcPts[RK],0)),"")</f>
        <v>KC</v>
      </c>
      <c r="K70" s="120">
        <f>IFERROR(INDEX(TableRBCalcPts[BYE],MATCH(TableRBVORP[[#This Row],[RK]],TableRBCalcPts[RK],0)),"")</f>
        <v>10</v>
      </c>
      <c r="L70" s="121">
        <f>IFERROR(INDEX(TableRBCalcPts[Custom],MATCH(TableRBVORP[[#This Row],[RK]],TableRBCalcPts[RK],0)),"")</f>
        <v>61.455917554297137</v>
      </c>
      <c r="M70" s="122">
        <f>IFERROR((TableRBVORP[[#This Row],[FPS]]-INDEX(TableRBVORP[FPS],MATCH(RBVORPCalc,TableRBVORP[RK],0)))/INDEX(TableRBVORP[FPS],MATCH(RBVORPCalc,TableRBVORP[RK],0)),"")</f>
        <v>-0.49816712034589405</v>
      </c>
      <c r="O70">
        <v>69</v>
      </c>
      <c r="P70" s="120" t="str">
        <f>IFERROR(INDEX(TableWRCalcPts[PLAYER],MATCH(TableWRVORP[[#This Row],[RK]],TableWRCalcPts[RK],0)),"")</f>
        <v>DJ Chark</v>
      </c>
      <c r="Q70" s="120" t="str">
        <f>IFERROR(INDEX(TableWRCalcPts[TM],MATCH(TableWRVORP[[#This Row],[RK]],TableWRCalcPts[RK],0)),"")</f>
        <v>CAR</v>
      </c>
      <c r="R70" s="120">
        <f>IFERROR(INDEX(TableWRCalcPts[BYE],MATCH(TableWRVORP[[#This Row],[RK]],TableWRCalcPts[RK],0)),"")</f>
        <v>7</v>
      </c>
      <c r="S70" s="121">
        <f>IFERROR(INDEX(TableWRCalcPts[Custom],MATCH(TableWRVORP[[#This Row],[RK]],TableWRCalcPts[RK],0)),"")</f>
        <v>113.20957392716396</v>
      </c>
      <c r="T70" s="122">
        <f>IFERROR((TableWRVORP[[#This Row],[FPS]]-INDEX(TableWRVORP[FPS],MATCH(WRVORPCalc,TableWRVORP[RK],0)))/INDEX(TableWRVORP[FPS],MATCH(WRVORPCalc,TableWRVORP[RK],0)),"")</f>
        <v>-0.13110939340480651</v>
      </c>
      <c r="V70">
        <v>69</v>
      </c>
      <c r="W70" s="120" t="str">
        <f>IFERROR(INDEX(TableTECalcPts[PLAYER],MATCH(TableTEVORP[[#This Row],[RK]],TableTECalcPts[RK],0)),"")</f>
        <v>Chris Manhertz</v>
      </c>
      <c r="X70" s="120" t="str">
        <f>IFERROR(INDEX(TableTECalcPts[TM],MATCH(TableTEVORP[[#This Row],[RK]],TableTECalcPts[RK],0)),"")</f>
        <v>DEN</v>
      </c>
      <c r="Y70" s="120">
        <f>IFERROR(INDEX(TableTECalcPts[BYE],MATCH(TableTEVORP[[#This Row],[RK]],TableTECalcPts[RK],0)),"")</f>
        <v>9</v>
      </c>
      <c r="Z70" s="121">
        <f>IFERROR(INDEX(TableTECalcPts[Custom],MATCH(TableTEVORP[[#This Row],[RK]],TableTECalcPts[RK],0)),"")</f>
        <v>16.832874630670773</v>
      </c>
      <c r="AA70" s="122">
        <f>IFERROR((TableTEVORP[[#This Row],[FPS]]-INDEX(TableTEVORP[FPS],MATCH(TEVORPCalc,TableTEVORP[RK],0)))/INDEX(TableTEVORP[FPS],MATCH(TEVORPCalc,TableTEVORP[RK],0)),"")</f>
        <v>-0.85834513069494678</v>
      </c>
      <c r="AF70" t="s">
        <v>256</v>
      </c>
      <c r="AG70">
        <v>29</v>
      </c>
      <c r="AH70" s="86">
        <f>RANK(TableOverallMaster[[#This Row],[VORP]],TableOverallMaster[VORP])+COUNTIF($AM$2:AM70,AM70)-1</f>
        <v>60</v>
      </c>
      <c r="AI70" s="123" t="str">
        <f>IFERROR(INDEX(TableRBVORP[RUNNING BACK],MATCH(TableOverallMaster[[#This Row],[RK]],TableRBVORP[RK],0)),"")</f>
        <v>Brian Robinson</v>
      </c>
      <c r="AJ70" s="123" t="str">
        <f t="shared" si="1"/>
        <v>RB29</v>
      </c>
      <c r="AK70" s="123">
        <f>IFERROR(INDEX(TableRBVORP[BYE],MATCH(TableOverallMaster[[#This Row],[RK]],TableRBVORP[RK],0)),"")</f>
        <v>14</v>
      </c>
      <c r="AL70" s="124">
        <f>IFERROR(INDEX(TableRBVORP[FPS],MATCH(TableOverallMaster[[#This Row],[RK]],TableRBVORP[RK],0)),"")</f>
        <v>172.64825861373072</v>
      </c>
      <c r="AM70" s="125">
        <f>IFERROR(INDEX(TableRBVORP[VORP],MATCH(TableOverallMaster[[#This Row],[RK]],TableRBVORP[RK],0)),"")</f>
        <v>0.40980032900570013</v>
      </c>
      <c r="AO70">
        <v>69</v>
      </c>
      <c r="AP70" s="126" t="str">
        <f>IFERROR(INDEX(TableOverallMaster[OVERALL PLAYER],MATCH(TableOverallRank[[#This Row],[RK]],TableOverallMaster[OVR RK],0)),"")</f>
        <v>Gabe Davis</v>
      </c>
      <c r="AQ70" s="127" t="str">
        <f>IFERROR(INDEX(TableOverallMaster[POS RK],MATCH(TableOverallRank[[#This Row],[OVERALL PLAYER]],TableOverallMaster[OVERALL PLAYER],0)),"")</f>
        <v>WR28</v>
      </c>
      <c r="AR70" s="128">
        <f>IFERROR(INDEX(TableOverallMaster[BYE],MATCH(TableOverallRank[[#This Row],[OVERALL PLAYER]],TableOverallMaster[OVERALL PLAYER],0)),"")</f>
        <v>13</v>
      </c>
      <c r="AS70" s="127">
        <f>IFERROR(INDEX(TableOverallMaster[Custom],MATCH(TableOverallRank[[#This Row],[OVERALL PLAYER]],TableOverallMaster[OVERALL PLAYER],0)),"")</f>
        <v>176.46008169396845</v>
      </c>
      <c r="AT70" s="129">
        <f>IFERROR(INDEX(TableOverallMaster[VORP],MATCH(TableOverallRank[[#This Row],[OVERALL PLAYER]],TableOverallMaster[OVERALL PLAYER],0)),"")</f>
        <v>0.35434223541512988</v>
      </c>
      <c r="AV70">
        <v>69</v>
      </c>
      <c r="AW70" s="130" t="str">
        <f>IFERROR(INDEX(TableWRTECalcPts[PLAYER],MATCH(TableWRTERank[[#This Row],[RK]],TableWRTECalcPts[RK],0)),"")</f>
        <v>Marvin Mims</v>
      </c>
      <c r="AX70" s="130" t="str">
        <f>IFERROR(INDEX(TableWRTECalcPts[POS RK],MATCH(TableWRTERank[[#This Row],[WR and TE COMBINED]],TableWRTECalcPts[PLAYER],0)),"")</f>
        <v>WR59</v>
      </c>
      <c r="AY70" s="130">
        <f>IFERROR(INDEX(TableWRTECalcPts[BYE],MATCH(TableWRTERank[[#This Row],[RK]],TableWRTECalcPts[RK],0)),"")</f>
        <v>9</v>
      </c>
      <c r="AZ70" s="131">
        <f>IFERROR(INDEX(TableWRTECalcPts[Custom],MATCH(TableWRTERank[[#This Row],[RK]],TableWRTECalcPts[RK],0)),"")</f>
        <v>129.2891470122569</v>
      </c>
      <c r="BA70" s="188">
        <f>IFERROR((TableWRTERank[[#This Row],[FPS]]-INDEX(TableWRTERank[FPS],MATCH(WRTEVORPCalc,TableWRTERank[RK],0)))/INDEX(TableWRTERank[FPS],MATCH(WRTEVORPCalc,TableWRTERank[RK],0)),"")</f>
        <v>-6.5762432630614792E-2</v>
      </c>
      <c r="BC70" t="s">
        <v>257</v>
      </c>
      <c r="BD70">
        <v>69</v>
      </c>
      <c r="BE70" s="86">
        <f>RANK(TableWRTEMaster[[#This Row],[VORP]],TableWRTEMaster[VORP])+COUNTIF($BJ$2:BJ70,BJ70)-1</f>
        <v>85</v>
      </c>
      <c r="BF70" s="123" t="str">
        <f>IFERROR(INDEX(TableWRVORP[WIDE RECEIVER],MATCH(TableWRTEMaster[[#This Row],[RK]],TableWRVORP[RK],0)),"")</f>
        <v>DJ Chark</v>
      </c>
      <c r="BG70" s="123" t="str">
        <f>_xlfn.CONCAT(TableWRTEMaster[[#This Row],[POS]],TableWRTEMaster[[#This Row],[RK]])</f>
        <v>WR69</v>
      </c>
      <c r="BH70" s="123">
        <f>IFERROR(INDEX(TableWRVORP[BYE],MATCH(TableWRTEMaster[[#This Row],[RK]],TableWRVORP[RK],0)),"")</f>
        <v>7</v>
      </c>
      <c r="BI70" s="124">
        <f>IFERROR(INDEX(TableWRVORP[FPS],MATCH(TableWRTEMaster[[#This Row],[RK]],TableWRVORP[RK],0)),"")</f>
        <v>113.20957392716396</v>
      </c>
      <c r="BJ70" s="125">
        <f>IFERROR(INDEX(TableWRVORP[VORP],MATCH(TableWRTEMaster[[#This Row],[RK]],TableWRVORP[RK],0)),"")</f>
        <v>-0.13110939340480651</v>
      </c>
    </row>
    <row r="71" spans="1:62" x14ac:dyDescent="0.2">
      <c r="A71">
        <v>70</v>
      </c>
      <c r="B71" s="120" t="str">
        <f>IFERROR(INDEX(TableQBCalcPts[PLAYER],MATCH(TableQBVORP[[#This Row],[RK]],TableQBCalcPts[RK],0)),"")</f>
        <v/>
      </c>
      <c r="C71" s="120" t="str">
        <f>IFERROR(INDEX(TableQBCalcPts[TM],MATCH(TableQBVORP[[#This Row],[RK]],TableQBCalcPts[RK],0)),"")</f>
        <v/>
      </c>
      <c r="D71" s="120" t="str">
        <f>IFERROR(INDEX(TableQBCalcPts[BYE],MATCH(TableQBVORP[[#This Row],[RK]],TableQBCalcPts[RK],0)),"")</f>
        <v/>
      </c>
      <c r="E71" s="121" t="str">
        <f>IFERROR(INDEX(TableQBCalcPts[Custom],MATCH(TableQBVORP[[#This Row],[RK]],TableQBCalcPts[RK],0)),"")</f>
        <v/>
      </c>
      <c r="F71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71">
        <v>70</v>
      </c>
      <c r="I71" s="120" t="str">
        <f>IFERROR(INDEX(TableRBCalcPts[PLAYER],MATCH(TableRBVORP[[#This Row],[RK]],TableRBCalcPts[RK],0)),"")</f>
        <v>Jordan Mason</v>
      </c>
      <c r="J71" s="120" t="str">
        <f>IFERROR(INDEX(TableRBCalcPts[TM],MATCH(TableRBVORP[[#This Row],[RK]],TableRBCalcPts[RK],0)),"")</f>
        <v>SF</v>
      </c>
      <c r="K71" s="120">
        <f>IFERROR(INDEX(TableRBCalcPts[BYE],MATCH(TableRBVORP[[#This Row],[RK]],TableRBCalcPts[RK],0)),"")</f>
        <v>9</v>
      </c>
      <c r="L71" s="121">
        <f>IFERROR(INDEX(TableRBCalcPts[Custom],MATCH(TableRBVORP[[#This Row],[RK]],TableRBCalcPts[RK],0)),"")</f>
        <v>60.282796608378746</v>
      </c>
      <c r="M71" s="122">
        <f>IFERROR((TableRBVORP[[#This Row],[FPS]]-INDEX(TableRBVORP[FPS],MATCH(RBVORPCalc,TableRBVORP[RK],0)))/INDEX(TableRBVORP[FPS],MATCH(RBVORPCalc,TableRBVORP[RK],0)),"")</f>
        <v>-0.50774651783764324</v>
      </c>
      <c r="O71">
        <v>70</v>
      </c>
      <c r="P71" s="120" t="str">
        <f>IFERROR(INDEX(TableWRCalcPts[PLAYER],MATCH(TableWRVORP[[#This Row],[RK]],TableWRCalcPts[RK],0)),"")</f>
        <v>DeVante Parker</v>
      </c>
      <c r="Q71" s="120" t="str">
        <f>IFERROR(INDEX(TableWRCalcPts[TM],MATCH(TableWRVORP[[#This Row],[RK]],TableWRCalcPts[RK],0)),"")</f>
        <v>NE</v>
      </c>
      <c r="R71" s="120">
        <f>IFERROR(INDEX(TableWRCalcPts[BYE],MATCH(TableWRVORP[[#This Row],[RK]],TableWRCalcPts[RK],0)),"")</f>
        <v>11</v>
      </c>
      <c r="S71" s="121">
        <f>IFERROR(INDEX(TableWRCalcPts[Custom],MATCH(TableWRVORP[[#This Row],[RK]],TableWRCalcPts[RK],0)),"")</f>
        <v>111.97896938137993</v>
      </c>
      <c r="T71" s="122">
        <f>IFERROR((TableWRVORP[[#This Row],[FPS]]-INDEX(TableWRVORP[FPS],MATCH(WRVORPCalc,TableWRVORP[RK],0)))/INDEX(TableWRVORP[FPS],MATCH(WRVORPCalc,TableWRVORP[RK],0)),"")</f>
        <v>-0.140554360762011</v>
      </c>
      <c r="V71">
        <v>70</v>
      </c>
      <c r="W71" s="120" t="str">
        <f>IFERROR(INDEX(TableTECalcPts[PLAYER],MATCH(TableTEVORP[[#This Row],[RK]],TableTECalcPts[RK],0)),"")</f>
        <v>Josh Whyle</v>
      </c>
      <c r="X71" s="120" t="str">
        <f>IFERROR(INDEX(TableTECalcPts[TM],MATCH(TableTEVORP[[#This Row],[RK]],TableTECalcPts[RK],0)),"")</f>
        <v>TEN</v>
      </c>
      <c r="Y71" s="120">
        <f>IFERROR(INDEX(TableTECalcPts[BYE],MATCH(TableTEVORP[[#This Row],[RK]],TableTECalcPts[RK],0)),"")</f>
        <v>7</v>
      </c>
      <c r="Z71" s="121">
        <f>IFERROR(INDEX(TableTECalcPts[Custom],MATCH(TableTEVORP[[#This Row],[RK]],TableTECalcPts[RK],0)),"")</f>
        <v>16.71059312879585</v>
      </c>
      <c r="AA71" s="122">
        <f>IFERROR((TableTEVORP[[#This Row],[FPS]]-INDEX(TableTEVORP[FPS],MATCH(TEVORPCalc,TableTEVORP[RK],0)))/INDEX(TableTEVORP[FPS],MATCH(TEVORPCalc,TableTEVORP[RK],0)),"")</f>
        <v>-0.85937417478554767</v>
      </c>
      <c r="AF71" t="s">
        <v>256</v>
      </c>
      <c r="AG71">
        <v>30</v>
      </c>
      <c r="AH71" s="86">
        <f>RANK(TableOverallMaster[[#This Row],[VORP]],TableOverallMaster[VORP])+COUNTIF($AM$2:AM71,AM71)-1</f>
        <v>63</v>
      </c>
      <c r="AI71" s="123" t="str">
        <f>IFERROR(INDEX(TableRBVORP[RUNNING BACK],MATCH(TableOverallMaster[[#This Row],[RK]],TableRBVORP[RK],0)),"")</f>
        <v>Isiah Pacheco</v>
      </c>
      <c r="AJ71" s="123" t="str">
        <f t="shared" si="1"/>
        <v>RB30</v>
      </c>
      <c r="AK71" s="123">
        <f>IFERROR(INDEX(TableRBVORP[BYE],MATCH(TableOverallMaster[[#This Row],[RK]],TableRBVORP[RK],0)),"")</f>
        <v>10</v>
      </c>
      <c r="AL71" s="124">
        <f>IFERROR(INDEX(TableRBVORP[FPS],MATCH(TableOverallMaster[[#This Row],[RK]],TableRBVORP[RK],0)),"")</f>
        <v>169.26071656943054</v>
      </c>
      <c r="AM71" s="125">
        <f>IFERROR(INDEX(TableRBVORP[VORP],MATCH(TableOverallMaster[[#This Row],[RK]],TableRBVORP[RK],0)),"")</f>
        <v>0.3821385505034337</v>
      </c>
      <c r="AO71">
        <v>70</v>
      </c>
      <c r="AP71" s="126" t="str">
        <f>IFERROR(INDEX(TableOverallMaster[OVERALL PLAYER],MATCH(TableOverallRank[[#This Row],[RK]],TableOverallMaster[OVR RK],0)),"")</f>
        <v>George Kittle</v>
      </c>
      <c r="AQ71" s="127" t="str">
        <f>IFERROR(INDEX(TableOverallMaster[POS RK],MATCH(TableOverallRank[[#This Row],[OVERALL PLAYER]],TableOverallMaster[OVERALL PLAYER],0)),"")</f>
        <v>TE5</v>
      </c>
      <c r="AR71" s="128">
        <f>IFERROR(INDEX(TableOverallMaster[BYE],MATCH(TableOverallRank[[#This Row],[OVERALL PLAYER]],TableOverallMaster[OVERALL PLAYER],0)),"")</f>
        <v>9</v>
      </c>
      <c r="AS71" s="127">
        <f>IFERROR(INDEX(TableOverallMaster[Custom],MATCH(TableOverallRank[[#This Row],[OVERALL PLAYER]],TableOverallMaster[OVERALL PLAYER],0)),"")</f>
        <v>160.72749918287673</v>
      </c>
      <c r="AT71" s="129">
        <f>IFERROR(INDEX(TableOverallMaster[VORP],MATCH(TableOverallRank[[#This Row],[OVERALL PLAYER]],TableOverallMaster[OVERALL PLAYER],0)),"")</f>
        <v>0.35258138553433588</v>
      </c>
      <c r="AV71">
        <v>70</v>
      </c>
      <c r="AW71" s="130" t="str">
        <f>IFERROR(INDEX(TableWRTECalcPts[PLAYER],MATCH(TableWRTERank[[#This Row],[RK]],TableWRTECalcPts[RK],0)),"")</f>
        <v>Curtis Samuel</v>
      </c>
      <c r="AX71" s="130" t="str">
        <f>IFERROR(INDEX(TableWRTECalcPts[POS RK],MATCH(TableWRTERank[[#This Row],[WR and TE COMBINED]],TableWRTECalcPts[PLAYER],0)),"")</f>
        <v>WR60</v>
      </c>
      <c r="AY71" s="130">
        <f>IFERROR(INDEX(TableWRTECalcPts[BYE],MATCH(TableWRTERank[[#This Row],[RK]],TableWRTECalcPts[RK],0)),"")</f>
        <v>14</v>
      </c>
      <c r="AZ71" s="131">
        <f>IFERROR(INDEX(TableWRTECalcPts[Custom],MATCH(TableWRTERank[[#This Row],[RK]],TableWRTECalcPts[RK],0)),"")</f>
        <v>129.28583659160677</v>
      </c>
      <c r="BA71" s="188">
        <f>IFERROR((TableWRTERank[[#This Row],[FPS]]-INDEX(TableWRTERank[FPS],MATCH(WRTEVORPCalc,TableWRTERank[RK],0)))/INDEX(TableWRTERank[FPS],MATCH(WRTEVORPCalc,TableWRTERank[RK],0)),"")</f>
        <v>-6.5786353581495996E-2</v>
      </c>
      <c r="BC71" t="s">
        <v>257</v>
      </c>
      <c r="BD71">
        <v>70</v>
      </c>
      <c r="BE71" s="86">
        <f>RANK(TableWRTEMaster[[#This Row],[VORP]],TableWRTEMaster[VORP])+COUNTIF($BJ$2:BJ71,BJ71)-1</f>
        <v>87</v>
      </c>
      <c r="BF71" s="123" t="str">
        <f>IFERROR(INDEX(TableWRVORP[WIDE RECEIVER],MATCH(TableWRTEMaster[[#This Row],[RK]],TableWRVORP[RK],0)),"")</f>
        <v>DeVante Parker</v>
      </c>
      <c r="BG71" s="123" t="str">
        <f>_xlfn.CONCAT(TableWRTEMaster[[#This Row],[POS]],TableWRTEMaster[[#This Row],[RK]])</f>
        <v>WR70</v>
      </c>
      <c r="BH71" s="123">
        <f>IFERROR(INDEX(TableWRVORP[BYE],MATCH(TableWRTEMaster[[#This Row],[RK]],TableWRVORP[RK],0)),"")</f>
        <v>11</v>
      </c>
      <c r="BI71" s="124">
        <f>IFERROR(INDEX(TableWRVORP[FPS],MATCH(TableWRTEMaster[[#This Row],[RK]],TableWRVORP[RK],0)),"")</f>
        <v>111.97896938137993</v>
      </c>
      <c r="BJ71" s="125">
        <f>IFERROR(INDEX(TableWRVORP[VORP],MATCH(TableWRTEMaster[[#This Row],[RK]],TableWRVORP[RK],0)),"")</f>
        <v>-0.140554360762011</v>
      </c>
    </row>
    <row r="72" spans="1:62" x14ac:dyDescent="0.2">
      <c r="A72">
        <v>71</v>
      </c>
      <c r="B72" s="120" t="str">
        <f>IFERROR(INDEX(TableQBCalcPts[PLAYER],MATCH(TableQBVORP[[#This Row],[RK]],TableQBCalcPts[RK],0)),"")</f>
        <v/>
      </c>
      <c r="C72" s="120" t="str">
        <f>IFERROR(INDEX(TableQBCalcPts[TM],MATCH(TableQBVORP[[#This Row],[RK]],TableQBCalcPts[RK],0)),"")</f>
        <v/>
      </c>
      <c r="D72" s="120" t="str">
        <f>IFERROR(INDEX(TableQBCalcPts[BYE],MATCH(TableQBVORP[[#This Row],[RK]],TableQBCalcPts[RK],0)),"")</f>
        <v/>
      </c>
      <c r="E72" s="121" t="str">
        <f>IFERROR(INDEX(TableQBCalcPts[Custom],MATCH(TableQBVORP[[#This Row],[RK]],TableQBCalcPts[RK],0)),"")</f>
        <v/>
      </c>
      <c r="F72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72">
        <v>71</v>
      </c>
      <c r="I72" s="120" t="str">
        <f>IFERROR(INDEX(TableRBCalcPts[PLAYER],MATCH(TableRBVORP[[#This Row],[RK]],TableRBCalcPts[RK],0)),"")</f>
        <v>Matt Breida</v>
      </c>
      <c r="J72" s="120" t="str">
        <f>IFERROR(INDEX(TableRBCalcPts[TM],MATCH(TableRBVORP[[#This Row],[RK]],TableRBCalcPts[RK],0)),"")</f>
        <v>NYG</v>
      </c>
      <c r="K72" s="120">
        <f>IFERROR(INDEX(TableRBCalcPts[BYE],MATCH(TableRBVORP[[#This Row],[RK]],TableRBCalcPts[RK],0)),"")</f>
        <v>13</v>
      </c>
      <c r="L72" s="121">
        <f>IFERROR(INDEX(TableRBCalcPts[Custom],MATCH(TableRBVORP[[#This Row],[RK]],TableRBCalcPts[RK],0)),"")</f>
        <v>56.452478120573126</v>
      </c>
      <c r="M72" s="122">
        <f>IFERROR((TableRBVORP[[#This Row],[FPS]]-INDEX(TableRBVORP[FPS],MATCH(RBVORPCalc,TableRBVORP[RK],0)))/INDEX(TableRBVORP[FPS],MATCH(RBVORPCalc,TableRBVORP[RK],0)),"")</f>
        <v>-0.53902389247011184</v>
      </c>
      <c r="O72">
        <v>71</v>
      </c>
      <c r="P72" s="120" t="str">
        <f>IFERROR(INDEX(TableWRCalcPts[PLAYER],MATCH(TableWRVORP[[#This Row],[RK]],TableWRCalcPts[RK],0)),"")</f>
        <v>Robert Woods</v>
      </c>
      <c r="Q72" s="120" t="str">
        <f>IFERROR(INDEX(TableWRCalcPts[TM],MATCH(TableWRVORP[[#This Row],[RK]],TableWRCalcPts[RK],0)),"")</f>
        <v>HOU</v>
      </c>
      <c r="R72" s="120">
        <f>IFERROR(INDEX(TableWRCalcPts[BYE],MATCH(TableWRVORP[[#This Row],[RK]],TableWRCalcPts[RK],0)),"")</f>
        <v>7</v>
      </c>
      <c r="S72" s="121">
        <f>IFERROR(INDEX(TableWRCalcPts[Custom],MATCH(TableWRVORP[[#This Row],[RK]],TableWRCalcPts[RK],0)),"")</f>
        <v>109.84140305335866</v>
      </c>
      <c r="T72" s="122">
        <f>IFERROR((TableWRVORP[[#This Row],[FPS]]-INDEX(TableWRVORP[FPS],MATCH(WRVORPCalc,TableWRVORP[RK],0)))/INDEX(TableWRVORP[FPS],MATCH(WRVORPCalc,TableWRVORP[RK],0)),"")</f>
        <v>-0.15696031689242451</v>
      </c>
      <c r="V72">
        <v>71</v>
      </c>
      <c r="W72" s="120" t="str">
        <f>IFERROR(INDEX(TableTECalcPts[PLAYER],MATCH(TableTEVORP[[#This Row],[RK]],TableTECalcPts[RK],0)),"")</f>
        <v>Johnny Mundt</v>
      </c>
      <c r="X72" s="120" t="str">
        <f>IFERROR(INDEX(TableTECalcPts[TM],MATCH(TableTEVORP[[#This Row],[RK]],TableTECalcPts[RK],0)),"")</f>
        <v>MIN</v>
      </c>
      <c r="Y72" s="120">
        <f>IFERROR(INDEX(TableTECalcPts[BYE],MATCH(TableTEVORP[[#This Row],[RK]],TableTECalcPts[RK],0)),"")</f>
        <v>13</v>
      </c>
      <c r="Z72" s="121">
        <f>IFERROR(INDEX(TableTECalcPts[Custom],MATCH(TableTEVORP[[#This Row],[RK]],TableTECalcPts[RK],0)),"")</f>
        <v>16.388591751839996</v>
      </c>
      <c r="AA72" s="122">
        <f>IFERROR((TableTEVORP[[#This Row],[FPS]]-INDEX(TableTEVORP[FPS],MATCH(TEVORPCalc,TableTEVORP[RK],0)))/INDEX(TableTEVORP[FPS],MATCH(TEVORPCalc,TableTEVORP[RK],0)),"")</f>
        <v>-0.86208393553464868</v>
      </c>
      <c r="AF72" t="s">
        <v>256</v>
      </c>
      <c r="AG72">
        <v>31</v>
      </c>
      <c r="AH72" s="86">
        <f>RANK(TableOverallMaster[[#This Row],[VORP]],TableOverallMaster[VORP])+COUNTIF($AM$2:AM72,AM72)-1</f>
        <v>64</v>
      </c>
      <c r="AI72" s="123" t="str">
        <f>IFERROR(INDEX(TableRBVORP[RUNNING BACK],MATCH(TableOverallMaster[[#This Row],[RK]],TableRBVORP[RK],0)),"")</f>
        <v>Kenneth Walker</v>
      </c>
      <c r="AJ72" s="123" t="str">
        <f t="shared" si="1"/>
        <v>RB31</v>
      </c>
      <c r="AK72" s="123">
        <f>IFERROR(INDEX(TableRBVORP[BYE],MATCH(TableOverallMaster[[#This Row],[RK]],TableRBVORP[RK],0)),"")</f>
        <v>5</v>
      </c>
      <c r="AL72" s="124">
        <f>IFERROR(INDEX(TableRBVORP[FPS],MATCH(TableOverallMaster[[#This Row],[RK]],TableRBVORP[RK],0)),"")</f>
        <v>168.27099333838893</v>
      </c>
      <c r="AM72" s="125">
        <f>IFERROR(INDEX(TableRBVORP[VORP],MATCH(TableOverallMaster[[#This Row],[RK]],TableRBVORP[RK],0)),"")</f>
        <v>0.37405673057689276</v>
      </c>
      <c r="AO72">
        <v>71</v>
      </c>
      <c r="AP72" s="126" t="str">
        <f>IFERROR(INDEX(TableOverallMaster[OVERALL PLAYER],MATCH(TableOverallRank[[#This Row],[RK]],TableOverallMaster[OVR RK],0)),"")</f>
        <v>Joe Burrow</v>
      </c>
      <c r="AQ72" s="127" t="str">
        <f>IFERROR(INDEX(TableOverallMaster[POS RK],MATCH(TableOverallRank[[#This Row],[OVERALL PLAYER]],TableOverallMaster[OVERALL PLAYER],0)),"")</f>
        <v>QB6</v>
      </c>
      <c r="AR72" s="128">
        <f>IFERROR(INDEX(TableOverallMaster[BYE],MATCH(TableOverallRank[[#This Row],[OVERALL PLAYER]],TableOverallMaster[OVERALL PLAYER],0)),"")</f>
        <v>7</v>
      </c>
      <c r="AS72" s="127">
        <f>IFERROR(INDEX(TableOverallMaster[Custom],MATCH(TableOverallRank[[#This Row],[OVERALL PLAYER]],TableOverallMaster[OVERALL PLAYER],0)),"")</f>
        <v>349.60554170617019</v>
      </c>
      <c r="AT72" s="129">
        <f>IFERROR(INDEX(TableOverallMaster[VORP],MATCH(TableOverallRank[[#This Row],[OVERALL PLAYER]],TableOverallMaster[OVERALL PLAYER],0)),"")</f>
        <v>0.32737491197803337</v>
      </c>
      <c r="AV72">
        <v>71</v>
      </c>
      <c r="AW72" s="130" t="str">
        <f>IFERROR(INDEX(TableWRTECalcPts[PLAYER],MATCH(TableWRTERank[[#This Row],[RK]],TableWRTECalcPts[RK],0)),"")</f>
        <v>Pat Freiermuth</v>
      </c>
      <c r="AX72" s="130" t="str">
        <f>IFERROR(INDEX(TableWRTECalcPts[POS RK],MATCH(TableWRTERank[[#This Row],[WR and TE COMBINED]],TableWRTECalcPts[PLAYER],0)),"")</f>
        <v>TE11</v>
      </c>
      <c r="AY72" s="130">
        <f>IFERROR(INDEX(TableWRTECalcPts[BYE],MATCH(TableWRTERank[[#This Row],[RK]],TableWRTECalcPts[RK],0)),"")</f>
        <v>6</v>
      </c>
      <c r="AZ72" s="131">
        <f>IFERROR(INDEX(TableWRTECalcPts[Custom],MATCH(TableWRTERank[[#This Row],[RK]],TableWRTECalcPts[RK],0)),"")</f>
        <v>121.31963431833421</v>
      </c>
      <c r="BA72" s="188">
        <f>IFERROR((TableWRTERank[[#This Row],[FPS]]-INDEX(TableWRTERank[FPS],MATCH(WRTEVORPCalc,TableWRTERank[RK],0)))/INDEX(TableWRTERank[FPS],MATCH(WRTEVORPCalc,TableWRTERank[RK],0)),"")</f>
        <v>-0.1233497732879395</v>
      </c>
      <c r="BC72" t="s">
        <v>257</v>
      </c>
      <c r="BD72">
        <v>71</v>
      </c>
      <c r="BE72" s="86">
        <f>RANK(TableWRTEMaster[[#This Row],[VORP]],TableWRTEMaster[VORP])+COUNTIF($BJ$2:BJ72,BJ72)-1</f>
        <v>90</v>
      </c>
      <c r="BF72" s="123" t="str">
        <f>IFERROR(INDEX(TableWRVORP[WIDE RECEIVER],MATCH(TableWRTEMaster[[#This Row],[RK]],TableWRVORP[RK],0)),"")</f>
        <v>Robert Woods</v>
      </c>
      <c r="BG72" s="123" t="str">
        <f>_xlfn.CONCAT(TableWRTEMaster[[#This Row],[POS]],TableWRTEMaster[[#This Row],[RK]])</f>
        <v>WR71</v>
      </c>
      <c r="BH72" s="123">
        <f>IFERROR(INDEX(TableWRVORP[BYE],MATCH(TableWRTEMaster[[#This Row],[RK]],TableWRVORP[RK],0)),"")</f>
        <v>7</v>
      </c>
      <c r="BI72" s="124">
        <f>IFERROR(INDEX(TableWRVORP[FPS],MATCH(TableWRTEMaster[[#This Row],[RK]],TableWRVORP[RK],0)),"")</f>
        <v>109.84140305335866</v>
      </c>
      <c r="BJ72" s="125">
        <f>IFERROR(INDEX(TableWRVORP[VORP],MATCH(TableWRTEMaster[[#This Row],[RK]],TableWRVORP[RK],0)),"")</f>
        <v>-0.15696031689242451</v>
      </c>
    </row>
    <row r="73" spans="1:62" x14ac:dyDescent="0.2">
      <c r="A73">
        <v>72</v>
      </c>
      <c r="B73" s="120" t="str">
        <f>IFERROR(INDEX(TableQBCalcPts[PLAYER],MATCH(TableQBVORP[[#This Row],[RK]],TableQBCalcPts[RK],0)),"")</f>
        <v/>
      </c>
      <c r="C73" s="120" t="str">
        <f>IFERROR(INDEX(TableQBCalcPts[TM],MATCH(TableQBVORP[[#This Row],[RK]],TableQBCalcPts[RK],0)),"")</f>
        <v/>
      </c>
      <c r="D73" s="120" t="str">
        <f>IFERROR(INDEX(TableQBCalcPts[BYE],MATCH(TableQBVORP[[#This Row],[RK]],TableQBCalcPts[RK],0)),"")</f>
        <v/>
      </c>
      <c r="E73" s="121" t="str">
        <f>IFERROR(INDEX(TableQBCalcPts[Custom],MATCH(TableQBVORP[[#This Row],[RK]],TableQBCalcPts[RK],0)),"")</f>
        <v/>
      </c>
      <c r="F73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73">
        <v>72</v>
      </c>
      <c r="I73" s="120" t="str">
        <f>IFERROR(INDEX(TableRBCalcPts[PLAYER],MATCH(TableRBVORP[[#This Row],[RK]],TableRBCalcPts[RK],0)),"")</f>
        <v>Jerome Ford</v>
      </c>
      <c r="J73" s="120" t="str">
        <f>IFERROR(INDEX(TableRBCalcPts[TM],MATCH(TableRBVORP[[#This Row],[RK]],TableRBCalcPts[RK],0)),"")</f>
        <v>CLE</v>
      </c>
      <c r="K73" s="120">
        <f>IFERROR(INDEX(TableRBCalcPts[BYE],MATCH(TableRBVORP[[#This Row],[RK]],TableRBCalcPts[RK],0)),"")</f>
        <v>5</v>
      </c>
      <c r="L73" s="121">
        <f>IFERROR(INDEX(TableRBCalcPts[Custom],MATCH(TableRBVORP[[#This Row],[RK]],TableRBCalcPts[RK],0)),"")</f>
        <v>55.672108526486717</v>
      </c>
      <c r="M73" s="122">
        <f>IFERROR((TableRBVORP[[#This Row],[FPS]]-INDEX(TableRBVORP[FPS],MATCH(RBVORPCalc,TableRBVORP[RK],0)))/INDEX(TableRBVORP[FPS],MATCH(RBVORPCalc,TableRBVORP[RK],0)),"")</f>
        <v>-0.54539618558979219</v>
      </c>
      <c r="O73">
        <v>72</v>
      </c>
      <c r="P73" s="120" t="str">
        <f>IFERROR(INDEX(TableWRCalcPts[PLAYER],MATCH(TableWRVORP[[#This Row],[RK]],TableWRCalcPts[RK],0)),"")</f>
        <v>Rondale Moore</v>
      </c>
      <c r="Q73" s="120" t="str">
        <f>IFERROR(INDEX(TableWRCalcPts[TM],MATCH(TableWRVORP[[#This Row],[RK]],TableWRCalcPts[RK],0)),"")</f>
        <v>ARI</v>
      </c>
      <c r="R73" s="120">
        <f>IFERROR(INDEX(TableWRCalcPts[BYE],MATCH(TableWRVORP[[#This Row],[RK]],TableWRCalcPts[RK],0)),"")</f>
        <v>14</v>
      </c>
      <c r="S73" s="121">
        <f>IFERROR(INDEX(TableWRCalcPts[Custom],MATCH(TableWRVORP[[#This Row],[RK]],TableWRCalcPts[RK],0)),"")</f>
        <v>98.677687369437947</v>
      </c>
      <c r="T73" s="122">
        <f>IFERROR((TableWRVORP[[#This Row],[FPS]]-INDEX(TableWRVORP[FPS],MATCH(WRVORPCalc,TableWRVORP[RK],0)))/INDEX(TableWRVORP[FPS],MATCH(WRVORPCalc,TableWRVORP[RK],0)),"")</f>
        <v>-0.24264253753834705</v>
      </c>
      <c r="V73">
        <v>72</v>
      </c>
      <c r="W73" s="120" t="str">
        <f>IFERROR(INDEX(TableTECalcPts[PLAYER],MATCH(TableTEVORP[[#This Row],[RK]],TableTECalcPts[RK],0)),"")</f>
        <v>Jeremy Ruckert</v>
      </c>
      <c r="X73" s="120" t="str">
        <f>IFERROR(INDEX(TableTECalcPts[TM],MATCH(TableTEVORP[[#This Row],[RK]],TableTECalcPts[RK],0)),"")</f>
        <v>NYJ</v>
      </c>
      <c r="Y73" s="120">
        <f>IFERROR(INDEX(TableTECalcPts[BYE],MATCH(TableTEVORP[[#This Row],[RK]],TableTECalcPts[RK],0)),"")</f>
        <v>7</v>
      </c>
      <c r="Z73" s="121">
        <f>IFERROR(INDEX(TableTECalcPts[Custom],MATCH(TableTEVORP[[#This Row],[RK]],TableTECalcPts[RK],0)),"")</f>
        <v>16.080363280799997</v>
      </c>
      <c r="AA73" s="122">
        <f>IFERROR((TableTEVORP[[#This Row],[FPS]]-INDEX(TableTEVORP[FPS],MATCH(TEVORPCalc,TableTEVORP[RK],0)))/INDEX(TableTEVORP[FPS],MATCH(TEVORPCalc,TableTEVORP[RK],0)),"")</f>
        <v>-0.86467779218357255</v>
      </c>
      <c r="AF73" t="s">
        <v>256</v>
      </c>
      <c r="AG73">
        <v>32</v>
      </c>
      <c r="AH73" s="86">
        <f>RANK(TableOverallMaster[[#This Row],[VORP]],TableOverallMaster[VORP])+COUNTIF($AM$2:AM73,AM73)-1</f>
        <v>65</v>
      </c>
      <c r="AI73" s="123" t="str">
        <f>IFERROR(INDEX(TableRBVORP[RUNNING BACK],MATCH(TableOverallMaster[[#This Row],[RK]],TableRBVORP[RK],0)),"")</f>
        <v>AJ Dillon</v>
      </c>
      <c r="AJ73" s="123" t="str">
        <f t="shared" si="1"/>
        <v>RB32</v>
      </c>
      <c r="AK73" s="123">
        <f>IFERROR(INDEX(TableRBVORP[BYE],MATCH(TableOverallMaster[[#This Row],[RK]],TableRBVORP[RK],0)),"")</f>
        <v>6</v>
      </c>
      <c r="AL73" s="124">
        <f>IFERROR(INDEX(TableRBVORP[FPS],MATCH(TableOverallMaster[[#This Row],[RK]],TableRBVORP[RK],0)),"")</f>
        <v>168.16281556267418</v>
      </c>
      <c r="AM73" s="125">
        <f>IFERROR(INDEX(TableRBVORP[VORP],MATCH(TableOverallMaster[[#This Row],[RK]],TableRBVORP[RK],0)),"")</f>
        <v>0.37317337927628697</v>
      </c>
      <c r="AO73">
        <v>72</v>
      </c>
      <c r="AP73" s="126" t="str">
        <f>IFERROR(INDEX(TableOverallMaster[OVERALL PLAYER],MATCH(TableOverallRank[[#This Row],[RK]],TableOverallMaster[OVR RK],0)),"")</f>
        <v>Christian Kirk</v>
      </c>
      <c r="AQ73" s="127" t="str">
        <f>IFERROR(INDEX(TableOverallMaster[POS RK],MATCH(TableOverallRank[[#This Row],[OVERALL PLAYER]],TableOverallMaster[OVERALL PLAYER],0)),"")</f>
        <v>WR29</v>
      </c>
      <c r="AR73" s="128">
        <f>IFERROR(INDEX(TableOverallMaster[BYE],MATCH(TableOverallRank[[#This Row],[OVERALL PLAYER]],TableOverallMaster[OVERALL PLAYER],0)),"")</f>
        <v>9</v>
      </c>
      <c r="AS73" s="127">
        <f>IFERROR(INDEX(TableOverallMaster[Custom],MATCH(TableOverallRank[[#This Row],[OVERALL PLAYER]],TableOverallMaster[OVERALL PLAYER],0)),"")</f>
        <v>171.53592071198523</v>
      </c>
      <c r="AT73" s="129">
        <f>IFERROR(INDEX(TableOverallMaster[VORP],MATCH(TableOverallRank[[#This Row],[OVERALL PLAYER]],TableOverallMaster[OVERALL PLAYER],0)),"")</f>
        <v>0.31654898989544888</v>
      </c>
      <c r="AV73">
        <v>72</v>
      </c>
      <c r="AW73" s="130" t="str">
        <f>IFERROR(INDEX(TableWRTECalcPts[PLAYER],MATCH(TableWRTERank[[#This Row],[RK]],TableWRTECalcPts[RK],0)),"")</f>
        <v>Darius Slayton</v>
      </c>
      <c r="AX73" s="130" t="str">
        <f>IFERROR(INDEX(TableWRTECalcPts[POS RK],MATCH(TableWRTERank[[#This Row],[WR and TE COMBINED]],TableWRTECalcPts[PLAYER],0)),"")</f>
        <v>WR61</v>
      </c>
      <c r="AY73" s="130">
        <f>IFERROR(INDEX(TableWRTECalcPts[BYE],MATCH(TableWRTERank[[#This Row],[RK]],TableWRTECalcPts[RK],0)),"")</f>
        <v>13</v>
      </c>
      <c r="AZ73" s="131">
        <f>IFERROR(INDEX(TableWRTECalcPts[Custom],MATCH(TableWRTERank[[#This Row],[RK]],TableWRTECalcPts[RK],0)),"")</f>
        <v>121.11123240350437</v>
      </c>
      <c r="BA73" s="188">
        <f>IFERROR((TableWRTERank[[#This Row],[FPS]]-INDEX(TableWRTERank[FPS],MATCH(WRTEVORPCalc,TableWRTERank[RK],0)))/INDEX(TableWRTERank[FPS],MATCH(WRTEVORPCalc,TableWRTERank[RK],0)),"")</f>
        <v>-0.12485567616103441</v>
      </c>
      <c r="BC73" t="s">
        <v>257</v>
      </c>
      <c r="BD73">
        <v>72</v>
      </c>
      <c r="BE73" s="86">
        <f>RANK(TableWRTEMaster[[#This Row],[VORP]],TableWRTEMaster[VORP])+COUNTIF($BJ$2:BJ73,BJ73)-1</f>
        <v>98</v>
      </c>
      <c r="BF73" s="123" t="str">
        <f>IFERROR(INDEX(TableWRVORP[WIDE RECEIVER],MATCH(TableWRTEMaster[[#This Row],[RK]],TableWRVORP[RK],0)),"")</f>
        <v>Rondale Moore</v>
      </c>
      <c r="BG73" s="123" t="str">
        <f>_xlfn.CONCAT(TableWRTEMaster[[#This Row],[POS]],TableWRTEMaster[[#This Row],[RK]])</f>
        <v>WR72</v>
      </c>
      <c r="BH73" s="123">
        <f>IFERROR(INDEX(TableWRVORP[BYE],MATCH(TableWRTEMaster[[#This Row],[RK]],TableWRVORP[RK],0)),"")</f>
        <v>14</v>
      </c>
      <c r="BI73" s="124">
        <f>IFERROR(INDEX(TableWRVORP[FPS],MATCH(TableWRTEMaster[[#This Row],[RK]],TableWRVORP[RK],0)),"")</f>
        <v>98.677687369437947</v>
      </c>
      <c r="BJ73" s="125">
        <f>IFERROR(INDEX(TableWRVORP[VORP],MATCH(TableWRTEMaster[[#This Row],[RK]],TableWRVORP[RK],0)),"")</f>
        <v>-0.24264253753834705</v>
      </c>
    </row>
    <row r="74" spans="1:62" x14ac:dyDescent="0.2">
      <c r="A74">
        <v>73</v>
      </c>
      <c r="B74" s="120" t="str">
        <f>IFERROR(INDEX(TableQBCalcPts[PLAYER],MATCH(TableQBVORP[[#This Row],[RK]],TableQBCalcPts[RK],0)),"")</f>
        <v/>
      </c>
      <c r="C74" s="120" t="str">
        <f>IFERROR(INDEX(TableQBCalcPts[TM],MATCH(TableQBVORP[[#This Row],[RK]],TableQBCalcPts[RK],0)),"")</f>
        <v/>
      </c>
      <c r="D74" s="120" t="str">
        <f>IFERROR(INDEX(TableQBCalcPts[BYE],MATCH(TableQBVORP[[#This Row],[RK]],TableQBCalcPts[RK],0)),"")</f>
        <v/>
      </c>
      <c r="E74" s="121" t="str">
        <f>IFERROR(INDEX(TableQBCalcPts[Custom],MATCH(TableQBVORP[[#This Row],[RK]],TableQBCalcPts[RK],0)),"")</f>
        <v/>
      </c>
      <c r="F74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74">
        <v>73</v>
      </c>
      <c r="I74" s="120" t="str">
        <f>IFERROR(INDEX(TableRBCalcPts[PLAYER],MATCH(TableRBVORP[[#This Row],[RK]],TableRBCalcPts[RK],0)),"")</f>
        <v>Chase Edmonds</v>
      </c>
      <c r="J74" s="120" t="str">
        <f>IFERROR(INDEX(TableRBCalcPts[TM],MATCH(TableRBVORP[[#This Row],[RK]],TableRBCalcPts[RK],0)),"")</f>
        <v>TB</v>
      </c>
      <c r="K74" s="120">
        <f>IFERROR(INDEX(TableRBCalcPts[BYE],MATCH(TableRBVORP[[#This Row],[RK]],TableRBCalcPts[RK],0)),"")</f>
        <v>5</v>
      </c>
      <c r="L74" s="121">
        <f>IFERROR(INDEX(TableRBCalcPts[Custom],MATCH(TableRBVORP[[#This Row],[RK]],TableRBCalcPts[RK],0)),"")</f>
        <v>52.093323083656742</v>
      </c>
      <c r="M74" s="122">
        <f>IFERROR((TableRBVORP[[#This Row],[FPS]]-INDEX(TableRBVORP[FPS],MATCH(RBVORPCalc,TableRBVORP[RK],0)))/INDEX(TableRBVORP[FPS],MATCH(RBVORPCalc,TableRBVORP[RK],0)),"")</f>
        <v>-0.57461960744909168</v>
      </c>
      <c r="O74">
        <v>73</v>
      </c>
      <c r="P74" s="120" t="str">
        <f>IFERROR(INDEX(TableWRCalcPts[PLAYER],MATCH(TableWRVORP[[#This Row],[RK]],TableWRCalcPts[RK],0)),"")</f>
        <v>Jameson Williams</v>
      </c>
      <c r="Q74" s="120" t="str">
        <f>IFERROR(INDEX(TableWRCalcPts[TM],MATCH(TableWRVORP[[#This Row],[RK]],TableWRCalcPts[RK],0)),"")</f>
        <v>DET</v>
      </c>
      <c r="R74" s="120">
        <f>IFERROR(INDEX(TableWRCalcPts[BYE],MATCH(TableWRVORP[[#This Row],[RK]],TableWRCalcPts[RK],0)),"")</f>
        <v>9</v>
      </c>
      <c r="S74" s="121">
        <f>IFERROR(INDEX(TableWRCalcPts[Custom],MATCH(TableWRVORP[[#This Row],[RK]],TableWRCalcPts[RK],0)),"")</f>
        <v>96.934568288463439</v>
      </c>
      <c r="T74" s="122">
        <f>IFERROR((TableWRVORP[[#This Row],[FPS]]-INDEX(TableWRVORP[FPS],MATCH(WRVORPCalc,TableWRVORP[RK],0)))/INDEX(TableWRVORP[FPS],MATCH(WRVORPCalc,TableWRVORP[RK],0)),"")</f>
        <v>-0.2560210862166597</v>
      </c>
      <c r="V74">
        <v>73</v>
      </c>
      <c r="W74" s="120" t="str">
        <f>IFERROR(INDEX(TableTECalcPts[PLAYER],MATCH(TableTEVORP[[#This Row],[RK]],TableTECalcPts[RK],0)),"")</f>
        <v>Jack Stoll</v>
      </c>
      <c r="X74" s="120" t="str">
        <f>IFERROR(INDEX(TableTECalcPts[TM],MATCH(TableTEVORP[[#This Row],[RK]],TableTECalcPts[RK],0)),"")</f>
        <v>PHI</v>
      </c>
      <c r="Y74" s="120">
        <f>IFERROR(INDEX(TableTECalcPts[BYE],MATCH(TableTEVORP[[#This Row],[RK]],TableTECalcPts[RK],0)),"")</f>
        <v>10</v>
      </c>
      <c r="Z74" s="121">
        <f>IFERROR(INDEX(TableTECalcPts[Custom],MATCH(TableTEVORP[[#This Row],[RK]],TableTECalcPts[RK],0)),"")</f>
        <v>15.309824690277596</v>
      </c>
      <c r="AA74" s="122">
        <f>IFERROR((TableTEVORP[[#This Row],[FPS]]-INDEX(TableTEVORP[FPS],MATCH(TEVORPCalc,TableTEVORP[RK],0)))/INDEX(TableTEVORP[FPS],MATCH(TEVORPCalc,TableTEVORP[RK],0)),"")</f>
        <v>-0.87116215957356491</v>
      </c>
      <c r="AF74" t="s">
        <v>256</v>
      </c>
      <c r="AG74">
        <v>33</v>
      </c>
      <c r="AH74" s="86">
        <f>RANK(TableOverallMaster[[#This Row],[VORP]],TableOverallMaster[VORP])+COUNTIF($AM$2:AM74,AM74)-1</f>
        <v>75</v>
      </c>
      <c r="AI74" s="123" t="str">
        <f>IFERROR(INDEX(TableRBVORP[RUNNING BACK],MATCH(TableOverallMaster[[#This Row],[RK]],TableRBVORP[RK],0)),"")</f>
        <v>Dalvin Cook</v>
      </c>
      <c r="AJ74" s="123" t="str">
        <f t="shared" si="1"/>
        <v>RB33</v>
      </c>
      <c r="AK74" s="123">
        <f>IFERROR(INDEX(TableRBVORP[BYE],MATCH(TableOverallMaster[[#This Row],[RK]],TableRBVORP[RK],0)),"")</f>
        <v>7</v>
      </c>
      <c r="AL74" s="124">
        <f>IFERROR(INDEX(TableRBVORP[FPS],MATCH(TableOverallMaster[[#This Row],[RK]],TableRBVORP[RK],0)),"")</f>
        <v>160.13808023888697</v>
      </c>
      <c r="AM74" s="125">
        <f>IFERROR(INDEX(TableRBVORP[VORP],MATCH(TableOverallMaster[[#This Row],[RK]],TableRBVORP[RK],0)),"")</f>
        <v>0.30764549854063311</v>
      </c>
      <c r="AO74">
        <v>73</v>
      </c>
      <c r="AP74" s="126" t="str">
        <f>IFERROR(INDEX(TableOverallMaster[OVERALL PLAYER],MATCH(TableOverallRank[[#This Row],[RK]],TableOverallMaster[OVR RK],0)),"")</f>
        <v>Jerry Jeudy</v>
      </c>
      <c r="AQ74" s="127" t="str">
        <f>IFERROR(INDEX(TableOverallMaster[POS RK],MATCH(TableOverallRank[[#This Row],[OVERALL PLAYER]],TableOverallMaster[OVERALL PLAYER],0)),"")</f>
        <v>WR30</v>
      </c>
      <c r="AR74" s="128">
        <f>IFERROR(INDEX(TableOverallMaster[BYE],MATCH(TableOverallRank[[#This Row],[OVERALL PLAYER]],TableOverallMaster[OVERALL PLAYER],0)),"")</f>
        <v>9</v>
      </c>
      <c r="AS74" s="127">
        <f>IFERROR(INDEX(TableOverallMaster[Custom],MATCH(TableOverallRank[[#This Row],[OVERALL PLAYER]],TableOverallMaster[OVERALL PLAYER],0)),"")</f>
        <v>171.08206155698551</v>
      </c>
      <c r="AT74" s="129">
        <f>IFERROR(INDEX(TableOverallMaster[VORP],MATCH(TableOverallRank[[#This Row],[OVERALL PLAYER]],TableOverallMaster[OVERALL PLAYER],0)),"")</f>
        <v>0.31306559230974468</v>
      </c>
      <c r="AV74">
        <v>73</v>
      </c>
      <c r="AW74" s="130" t="str">
        <f>IFERROR(INDEX(TableWRTECalcPts[PLAYER],MATCH(TableWRTERank[[#This Row],[RK]],TableWRTECalcPts[RK],0)),"")</f>
        <v>Michael Wilson</v>
      </c>
      <c r="AX74" s="130" t="str">
        <f>IFERROR(INDEX(TableWRTECalcPts[POS RK],MATCH(TableWRTERank[[#This Row],[WR and TE COMBINED]],TableWRTECalcPts[PLAYER],0)),"")</f>
        <v>WR62</v>
      </c>
      <c r="AY74" s="130">
        <f>IFERROR(INDEX(TableWRTECalcPts[BYE],MATCH(TableWRTERank[[#This Row],[RK]],TableWRTECalcPts[RK],0)),"")</f>
        <v>14</v>
      </c>
      <c r="AZ74" s="131">
        <f>IFERROR(INDEX(TableWRTECalcPts[Custom],MATCH(TableWRTERank[[#This Row],[RK]],TableWRTECalcPts[RK],0)),"")</f>
        <v>119.77105166565002</v>
      </c>
      <c r="BA74" s="188">
        <f>IFERROR((TableWRTERank[[#This Row],[FPS]]-INDEX(TableWRTERank[FPS],MATCH(WRTEVORPCalc,TableWRTERank[RK],0)))/INDEX(TableWRTERank[FPS],MATCH(WRTEVORPCalc,TableWRTERank[RK],0)),"")</f>
        <v>-0.13453976195865872</v>
      </c>
      <c r="BC74" t="s">
        <v>257</v>
      </c>
      <c r="BD74">
        <v>73</v>
      </c>
      <c r="BE74" s="86">
        <f>RANK(TableWRTEMaster[[#This Row],[VORP]],TableWRTEMaster[VORP])+COUNTIF($BJ$2:BJ74,BJ74)-1</f>
        <v>100</v>
      </c>
      <c r="BF74" s="123" t="str">
        <f>IFERROR(INDEX(TableWRVORP[WIDE RECEIVER],MATCH(TableWRTEMaster[[#This Row],[RK]],TableWRVORP[RK],0)),"")</f>
        <v>Jameson Williams</v>
      </c>
      <c r="BG74" s="123" t="str">
        <f>_xlfn.CONCAT(TableWRTEMaster[[#This Row],[POS]],TableWRTEMaster[[#This Row],[RK]])</f>
        <v>WR73</v>
      </c>
      <c r="BH74" s="123">
        <f>IFERROR(INDEX(TableWRVORP[BYE],MATCH(TableWRTEMaster[[#This Row],[RK]],TableWRVORP[RK],0)),"")</f>
        <v>9</v>
      </c>
      <c r="BI74" s="124">
        <f>IFERROR(INDEX(TableWRVORP[FPS],MATCH(TableWRTEMaster[[#This Row],[RK]],TableWRVORP[RK],0)),"")</f>
        <v>96.934568288463439</v>
      </c>
      <c r="BJ74" s="125">
        <f>IFERROR(INDEX(TableWRVORP[VORP],MATCH(TableWRTEMaster[[#This Row],[RK]],TableWRVORP[RK],0)),"")</f>
        <v>-0.2560210862166597</v>
      </c>
    </row>
    <row r="75" spans="1:62" x14ac:dyDescent="0.2">
      <c r="A75">
        <v>74</v>
      </c>
      <c r="B75" s="120" t="str">
        <f>IFERROR(INDEX(TableQBCalcPts[PLAYER],MATCH(TableQBVORP[[#This Row],[RK]],TableQBCalcPts[RK],0)),"")</f>
        <v/>
      </c>
      <c r="C75" s="120" t="str">
        <f>IFERROR(INDEX(TableQBCalcPts[TM],MATCH(TableQBVORP[[#This Row],[RK]],TableQBCalcPts[RK],0)),"")</f>
        <v/>
      </c>
      <c r="D75" s="120" t="str">
        <f>IFERROR(INDEX(TableQBCalcPts[BYE],MATCH(TableQBVORP[[#This Row],[RK]],TableQBCalcPts[RK],0)),"")</f>
        <v/>
      </c>
      <c r="E75" s="121" t="str">
        <f>IFERROR(INDEX(TableQBCalcPts[Custom],MATCH(TableQBVORP[[#This Row],[RK]],TableQBCalcPts[RK],0)),"")</f>
        <v/>
      </c>
      <c r="F75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75">
        <v>74</v>
      </c>
      <c r="I75" s="120" t="str">
        <f>IFERROR(INDEX(TableRBCalcPts[PLAYER],MATCH(TableRBVORP[[#This Row],[RK]],TableRBCalcPts[RK],0)),"")</f>
        <v>Kendre Miller</v>
      </c>
      <c r="J75" s="120" t="str">
        <f>IFERROR(INDEX(TableRBCalcPts[TM],MATCH(TableRBVORP[[#This Row],[RK]],TableRBCalcPts[RK],0)),"")</f>
        <v>NO</v>
      </c>
      <c r="K75" s="120">
        <f>IFERROR(INDEX(TableRBCalcPts[BYE],MATCH(TableRBVORP[[#This Row],[RK]],TableRBCalcPts[RK],0)),"")</f>
        <v>11</v>
      </c>
      <c r="L75" s="121">
        <f>IFERROR(INDEX(TableRBCalcPts[Custom],MATCH(TableRBVORP[[#This Row],[RK]],TableRBCalcPts[RK],0)),"")</f>
        <v>48.784507484923481</v>
      </c>
      <c r="M75" s="122">
        <f>IFERROR((TableRBVORP[[#This Row],[FPS]]-INDEX(TableRBVORP[FPS],MATCH(RBVORPCalc,TableRBVORP[RK],0)))/INDEX(TableRBVORP[FPS],MATCH(RBVORPCalc,TableRBVORP[RK],0)),"")</f>
        <v>-0.60163852647653426</v>
      </c>
      <c r="O75">
        <v>74</v>
      </c>
      <c r="P75" s="120" t="str">
        <f>IFERROR(INDEX(TableWRCalcPts[PLAYER],MATCH(TableWRVORP[[#This Row],[RK]],TableWRCalcPts[RK],0)),"")</f>
        <v>Darnell Mooney</v>
      </c>
      <c r="Q75" s="120" t="str">
        <f>IFERROR(INDEX(TableWRCalcPts[TM],MATCH(TableWRVORP[[#This Row],[RK]],TableWRCalcPts[RK],0)),"")</f>
        <v>CHI</v>
      </c>
      <c r="R75" s="120">
        <f>IFERROR(INDEX(TableWRCalcPts[BYE],MATCH(TableWRVORP[[#This Row],[RK]],TableWRCalcPts[RK],0)),"")</f>
        <v>13</v>
      </c>
      <c r="S75" s="121">
        <f>IFERROR(INDEX(TableWRCalcPts[Custom],MATCH(TableWRVORP[[#This Row],[RK]],TableWRCalcPts[RK],0)),"")</f>
        <v>96.007529586463335</v>
      </c>
      <c r="T75" s="122">
        <f>IFERROR((TableWRVORP[[#This Row],[FPS]]-INDEX(TableWRVORP[FPS],MATCH(WRVORPCalc,TableWRVORP[RK],0)))/INDEX(TableWRVORP[FPS],MATCH(WRVORPCalc,TableWRVORP[RK],0)),"")</f>
        <v>-0.26313616661291955</v>
      </c>
      <c r="V75">
        <v>74</v>
      </c>
      <c r="W75" s="120" t="str">
        <f>IFERROR(INDEX(TableTECalcPts[PLAYER],MATCH(TableTEVORP[[#This Row],[RK]],TableTECalcPts[RK],0)),"")</f>
        <v>Darnell Washington</v>
      </c>
      <c r="X75" s="120" t="str">
        <f>IFERROR(INDEX(TableTECalcPts[TM],MATCH(TableTEVORP[[#This Row],[RK]],TableTECalcPts[RK],0)),"")</f>
        <v>PIT</v>
      </c>
      <c r="Y75" s="120">
        <f>IFERROR(INDEX(TableTECalcPts[BYE],MATCH(TableTEVORP[[#This Row],[RK]],TableTECalcPts[RK],0)),"")</f>
        <v>6</v>
      </c>
      <c r="Z75" s="121">
        <f>IFERROR(INDEX(TableTECalcPts[Custom],MATCH(TableTEVORP[[#This Row],[RK]],TableTECalcPts[RK],0)),"")</f>
        <v>14.404509715954163</v>
      </c>
      <c r="AA75" s="122">
        <f>IFERROR((TableTEVORP[[#This Row],[FPS]]-INDEX(TableTEVORP[FPS],MATCH(TEVORPCalc,TableTEVORP[RK],0)))/INDEX(TableTEVORP[FPS],MATCH(TEVORPCalc,TableTEVORP[RK],0)),"")</f>
        <v>-0.87878072010950725</v>
      </c>
      <c r="AF75" t="s">
        <v>256</v>
      </c>
      <c r="AG75">
        <v>34</v>
      </c>
      <c r="AH75" s="86">
        <f>RANK(TableOverallMaster[[#This Row],[VORP]],TableOverallMaster[VORP])+COUNTIF($AM$2:AM75,AM75)-1</f>
        <v>79</v>
      </c>
      <c r="AI75" s="123" t="str">
        <f>IFERROR(INDEX(TableRBVORP[RUNNING BACK],MATCH(TableOverallMaster[[#This Row],[RK]],TableRBVORP[RK],0)),"")</f>
        <v>D'Andre Swift</v>
      </c>
      <c r="AJ75" s="123" t="str">
        <f t="shared" si="1"/>
        <v>RB34</v>
      </c>
      <c r="AK75" s="123">
        <f>IFERROR(INDEX(TableRBVORP[BYE],MATCH(TableOverallMaster[[#This Row],[RK]],TableRBVORP[RK],0)),"")</f>
        <v>10</v>
      </c>
      <c r="AL75" s="124">
        <f>IFERROR(INDEX(TableRBVORP[FPS],MATCH(TableOverallMaster[[#This Row],[RK]],TableRBVORP[RK],0)),"")</f>
        <v>158.55879954993404</v>
      </c>
      <c r="AM75" s="125">
        <f>IFERROR(INDEX(TableRBVORP[VORP],MATCH(TableOverallMaster[[#This Row],[RK]],TableRBVORP[RK],0)),"")</f>
        <v>0.29474950727633936</v>
      </c>
      <c r="AO75">
        <v>74</v>
      </c>
      <c r="AP75" s="126" t="str">
        <f>IFERROR(INDEX(TableOverallMaster[OVERALL PLAYER],MATCH(TableOverallRank[[#This Row],[RK]],TableOverallMaster[OVR RK],0)),"")</f>
        <v>Trevor Lawrence</v>
      </c>
      <c r="AQ75" s="127" t="str">
        <f>IFERROR(INDEX(TableOverallMaster[POS RK],MATCH(TableOverallRank[[#This Row],[OVERALL PLAYER]],TableOverallMaster[OVERALL PLAYER],0)),"")</f>
        <v>QB7</v>
      </c>
      <c r="AR75" s="128">
        <f>IFERROR(INDEX(TableOverallMaster[BYE],MATCH(TableOverallRank[[#This Row],[OVERALL PLAYER]],TableOverallMaster[OVERALL PLAYER],0)),"")</f>
        <v>9</v>
      </c>
      <c r="AS75" s="127">
        <f>IFERROR(INDEX(TableOverallMaster[Custom],MATCH(TableOverallRank[[#This Row],[OVERALL PLAYER]],TableOverallMaster[OVERALL PLAYER],0)),"")</f>
        <v>342.58985660825209</v>
      </c>
      <c r="AT75" s="129">
        <f>IFERROR(INDEX(TableOverallMaster[VORP],MATCH(TableOverallRank[[#This Row],[OVERALL PLAYER]],TableOverallMaster[OVERALL PLAYER],0)),"")</f>
        <v>0.30820935610799982</v>
      </c>
      <c r="AV75">
        <v>74</v>
      </c>
      <c r="AW75" s="130" t="str">
        <f>IFERROR(INDEX(TableWRTECalcPts[PLAYER],MATCH(TableWRTERank[[#This Row],[RK]],TableWRTECalcPts[RK],0)),"")</f>
        <v>Jayden Reed</v>
      </c>
      <c r="AX75" s="130" t="str">
        <f>IFERROR(INDEX(TableWRTECalcPts[POS RK],MATCH(TableWRTERank[[#This Row],[WR and TE COMBINED]],TableWRTECalcPts[PLAYER],0)),"")</f>
        <v>WR63</v>
      </c>
      <c r="AY75" s="130">
        <f>IFERROR(INDEX(TableWRTECalcPts[BYE],MATCH(TableWRTERank[[#This Row],[RK]],TableWRTECalcPts[RK],0)),"")</f>
        <v>6</v>
      </c>
      <c r="AZ75" s="131">
        <f>IFERROR(INDEX(TableWRTECalcPts[Custom],MATCH(TableWRTERank[[#This Row],[RK]],TableWRTECalcPts[RK],0)),"")</f>
        <v>119.06544448157086</v>
      </c>
      <c r="BA75" s="188">
        <f>IFERROR((TableWRTERank[[#This Row],[FPS]]-INDEX(TableWRTERank[FPS],MATCH(WRTEVORPCalc,TableWRTERank[RK],0)))/INDEX(TableWRTERank[FPS],MATCH(WRTEVORPCalc,TableWRTERank[RK],0)),"")</f>
        <v>-0.13963844776799414</v>
      </c>
      <c r="BC75" t="s">
        <v>257</v>
      </c>
      <c r="BD75">
        <v>74</v>
      </c>
      <c r="BE75" s="86">
        <f>RANK(TableWRTEMaster[[#This Row],[VORP]],TableWRTEMaster[VORP])+COUNTIF($BJ$2:BJ75,BJ75)-1</f>
        <v>101</v>
      </c>
      <c r="BF75" s="123" t="str">
        <f>IFERROR(INDEX(TableWRVORP[WIDE RECEIVER],MATCH(TableWRTEMaster[[#This Row],[RK]],TableWRVORP[RK],0)),"")</f>
        <v>Darnell Mooney</v>
      </c>
      <c r="BG75" s="123" t="str">
        <f>_xlfn.CONCAT(TableWRTEMaster[[#This Row],[POS]],TableWRTEMaster[[#This Row],[RK]])</f>
        <v>WR74</v>
      </c>
      <c r="BH75" s="123">
        <f>IFERROR(INDEX(TableWRVORP[BYE],MATCH(TableWRTEMaster[[#This Row],[RK]],TableWRVORP[RK],0)),"")</f>
        <v>13</v>
      </c>
      <c r="BI75" s="124">
        <f>IFERROR(INDEX(TableWRVORP[FPS],MATCH(TableWRTEMaster[[#This Row],[RK]],TableWRVORP[RK],0)),"")</f>
        <v>96.007529586463335</v>
      </c>
      <c r="BJ75" s="125">
        <f>IFERROR(INDEX(TableWRVORP[VORP],MATCH(TableWRTEMaster[[#This Row],[RK]],TableWRVORP[RK],0)),"")</f>
        <v>-0.26313616661291955</v>
      </c>
    </row>
    <row r="76" spans="1:62" x14ac:dyDescent="0.2">
      <c r="A76">
        <v>75</v>
      </c>
      <c r="B76" s="120" t="str">
        <f>IFERROR(INDEX(TableQBCalcPts[PLAYER],MATCH(TableQBVORP[[#This Row],[RK]],TableQBCalcPts[RK],0)),"")</f>
        <v/>
      </c>
      <c r="C76" s="120" t="str">
        <f>IFERROR(INDEX(TableQBCalcPts[TM],MATCH(TableQBVORP[[#This Row],[RK]],TableQBCalcPts[RK],0)),"")</f>
        <v/>
      </c>
      <c r="D76" s="120" t="str">
        <f>IFERROR(INDEX(TableQBCalcPts[BYE],MATCH(TableQBVORP[[#This Row],[RK]],TableQBCalcPts[RK],0)),"")</f>
        <v/>
      </c>
      <c r="E76" s="121" t="str">
        <f>IFERROR(INDEX(TableQBCalcPts[Custom],MATCH(TableQBVORP[[#This Row],[RK]],TableQBCalcPts[RK],0)),"")</f>
        <v/>
      </c>
      <c r="F76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76">
        <v>75</v>
      </c>
      <c r="I76" s="120" t="str">
        <f>IFERROR(INDEX(TableRBCalcPts[PLAYER],MATCH(TableRBVORP[[#This Row],[RK]],TableRBCalcPts[RK],0)),"")</f>
        <v>Keaton Mitchell</v>
      </c>
      <c r="J76" s="120" t="str">
        <f>IFERROR(INDEX(TableRBCalcPts[TM],MATCH(TableRBVORP[[#This Row],[RK]],TableRBCalcPts[RK],0)),"")</f>
        <v>BAL</v>
      </c>
      <c r="K76" s="120">
        <f>IFERROR(INDEX(TableRBCalcPts[BYE],MATCH(TableRBVORP[[#This Row],[RK]],TableRBCalcPts[RK],0)),"")</f>
        <v>13</v>
      </c>
      <c r="L76" s="121">
        <f>IFERROR(INDEX(TableRBCalcPts[Custom],MATCH(TableRBVORP[[#This Row],[RK]],TableRBCalcPts[RK],0)),"")</f>
        <v>44.161659475282342</v>
      </c>
      <c r="M76" s="122">
        <f>IFERROR((TableRBVORP[[#This Row],[FPS]]-INDEX(TableRBVORP[FPS],MATCH(RBVORPCalc,TableRBVORP[RK],0)))/INDEX(TableRBVORP[FPS],MATCH(RBVORPCalc,TableRBVORP[RK],0)),"")</f>
        <v>-0.63938748900454156</v>
      </c>
      <c r="O76">
        <v>75</v>
      </c>
      <c r="P76" s="120" t="str">
        <f>IFERROR(INDEX(TableWRCalcPts[PLAYER],MATCH(TableWRVORP[[#This Row],[RK]],TableWRCalcPts[RK],0)),"")</f>
        <v>Rashod Bateman</v>
      </c>
      <c r="Q76" s="120" t="str">
        <f>IFERROR(INDEX(TableWRCalcPts[TM],MATCH(TableWRVORP[[#This Row],[RK]],TableWRCalcPts[RK],0)),"")</f>
        <v>BAL</v>
      </c>
      <c r="R76" s="120">
        <f>IFERROR(INDEX(TableWRCalcPts[BYE],MATCH(TableWRVORP[[#This Row],[RK]],TableWRCalcPts[RK],0)),"")</f>
        <v>13</v>
      </c>
      <c r="S76" s="121">
        <f>IFERROR(INDEX(TableWRCalcPts[Custom],MATCH(TableWRVORP[[#This Row],[RK]],TableWRCalcPts[RK],0)),"")</f>
        <v>95.75240316946082</v>
      </c>
      <c r="T76" s="122">
        <f>IFERROR((TableWRVORP[[#This Row],[FPS]]-INDEX(TableWRVORP[FPS],MATCH(WRVORPCalc,TableWRVORP[RK],0)))/INDEX(TableWRVORP[FPS],MATCH(WRVORPCalc,TableWRVORP[RK],0)),"")</f>
        <v>-0.26509427792398582</v>
      </c>
      <c r="V76">
        <v>75</v>
      </c>
      <c r="W76" s="120" t="str">
        <f>IFERROR(INDEX(TableTECalcPts[PLAYER],MATCH(TableTEVORP[[#This Row],[RK]],TableTECalcPts[RK],0)),"")</f>
        <v>Mitchell Wilcox</v>
      </c>
      <c r="X76" s="120" t="str">
        <f>IFERROR(INDEX(TableTECalcPts[TM],MATCH(TableTEVORP[[#This Row],[RK]],TableTECalcPts[RK],0)),"")</f>
        <v>CIN</v>
      </c>
      <c r="Y76" s="120">
        <f>IFERROR(INDEX(TableTECalcPts[BYE],MATCH(TableTEVORP[[#This Row],[RK]],TableTECalcPts[RK],0)),"")</f>
        <v>7</v>
      </c>
      <c r="Z76" s="121">
        <f>IFERROR(INDEX(TableTECalcPts[Custom],MATCH(TableTEVORP[[#This Row],[RK]],TableTECalcPts[RK],0)),"")</f>
        <v>14.109268348510804</v>
      </c>
      <c r="AA76" s="122">
        <f>IFERROR((TableTEVORP[[#This Row],[FPS]]-INDEX(TableTEVORP[FPS],MATCH(TEVORPCalc,TableTEVORP[RK],0)))/INDEX(TableTEVORP[FPS],MATCH(TEVORPCalc,TableTEVORP[RK],0)),"")</f>
        <v>-0.88126528547556948</v>
      </c>
      <c r="AF76" t="s">
        <v>256</v>
      </c>
      <c r="AG76">
        <v>35</v>
      </c>
      <c r="AH76" s="86">
        <f>RANK(TableOverallMaster[[#This Row],[VORP]],TableOverallMaster[VORP])+COUNTIF($AM$2:AM76,AM76)-1</f>
        <v>82</v>
      </c>
      <c r="AI76" s="123" t="str">
        <f>IFERROR(INDEX(TableRBVORP[RUNNING BACK],MATCH(TableOverallMaster[[#This Row],[RK]],TableRBVORP[RK],0)),"")</f>
        <v>Antonio Gibson</v>
      </c>
      <c r="AJ76" s="123" t="str">
        <f t="shared" si="1"/>
        <v>RB35</v>
      </c>
      <c r="AK76" s="123">
        <f>IFERROR(INDEX(TableRBVORP[BYE],MATCH(TableOverallMaster[[#This Row],[RK]],TableRBVORP[RK],0)),"")</f>
        <v>14</v>
      </c>
      <c r="AL76" s="124">
        <f>IFERROR(INDEX(TableRBVORP[FPS],MATCH(TableOverallMaster[[#This Row],[RK]],TableRBVORP[RK],0)),"")</f>
        <v>154.52928913426035</v>
      </c>
      <c r="AM76" s="125">
        <f>IFERROR(INDEX(TableRBVORP[VORP],MATCH(TableOverallMaster[[#This Row],[RK]],TableRBVORP[RK],0)),"")</f>
        <v>0.26184558368416211</v>
      </c>
      <c r="AO76">
        <v>75</v>
      </c>
      <c r="AP76" s="126" t="str">
        <f>IFERROR(INDEX(TableOverallMaster[OVERALL PLAYER],MATCH(TableOverallRank[[#This Row],[RK]],TableOverallMaster[OVR RK],0)),"")</f>
        <v>Dalvin Cook</v>
      </c>
      <c r="AQ76" s="127" t="str">
        <f>IFERROR(INDEX(TableOverallMaster[POS RK],MATCH(TableOverallRank[[#This Row],[OVERALL PLAYER]],TableOverallMaster[OVERALL PLAYER],0)),"")</f>
        <v>RB33</v>
      </c>
      <c r="AR76" s="128">
        <f>IFERROR(INDEX(TableOverallMaster[BYE],MATCH(TableOverallRank[[#This Row],[OVERALL PLAYER]],TableOverallMaster[OVERALL PLAYER],0)),"")</f>
        <v>7</v>
      </c>
      <c r="AS76" s="127">
        <f>IFERROR(INDEX(TableOverallMaster[Custom],MATCH(TableOverallRank[[#This Row],[OVERALL PLAYER]],TableOverallMaster[OVERALL PLAYER],0)),"")</f>
        <v>160.13808023888697</v>
      </c>
      <c r="AT76" s="129">
        <f>IFERROR(INDEX(TableOverallMaster[VORP],MATCH(TableOverallRank[[#This Row],[OVERALL PLAYER]],TableOverallMaster[OVERALL PLAYER],0)),"")</f>
        <v>0.30764549854063311</v>
      </c>
      <c r="AV76">
        <v>75</v>
      </c>
      <c r="AW76" s="130" t="str">
        <f>IFERROR(INDEX(TableWRTECalcPts[PLAYER],MATCH(TableWRTERank[[#This Row],[RK]],TableWRTECalcPts[RK],0)),"")</f>
        <v>Chigoziem Okonkwo</v>
      </c>
      <c r="AX76" s="130" t="str">
        <f>IFERROR(INDEX(TableWRTECalcPts[POS RK],MATCH(TableWRTERank[[#This Row],[WR and TE COMBINED]],TableWRTECalcPts[PLAYER],0)),"")</f>
        <v>TE12</v>
      </c>
      <c r="AY76" s="130">
        <f>IFERROR(INDEX(TableWRTECalcPts[BYE],MATCH(TableWRTERank[[#This Row],[RK]],TableWRTECalcPts[RK],0)),"")</f>
        <v>7</v>
      </c>
      <c r="AZ76" s="131">
        <f>IFERROR(INDEX(TableWRTECalcPts[Custom],MATCH(TableWRTERank[[#This Row],[RK]],TableWRTECalcPts[RK],0)),"")</f>
        <v>118.83018715312387</v>
      </c>
      <c r="BA76" s="188">
        <f>IFERROR((TableWRTERank[[#This Row],[FPS]]-INDEX(TableWRTERank[FPS],MATCH(WRTEVORPCalc,TableWRTERank[RK],0)))/INDEX(TableWRTERank[FPS],MATCH(WRTEVORPCalc,TableWRTERank[RK],0)),"")</f>
        <v>-0.14133840665327707</v>
      </c>
      <c r="BC76" t="s">
        <v>257</v>
      </c>
      <c r="BD76">
        <v>75</v>
      </c>
      <c r="BE76" s="86">
        <f>RANK(TableWRTEMaster[[#This Row],[VORP]],TableWRTEMaster[VORP])+COUNTIF($BJ$2:BJ76,BJ76)-1</f>
        <v>102</v>
      </c>
      <c r="BF76" s="123" t="str">
        <f>IFERROR(INDEX(TableWRVORP[WIDE RECEIVER],MATCH(TableWRTEMaster[[#This Row],[RK]],TableWRVORP[RK],0)),"")</f>
        <v>Rashod Bateman</v>
      </c>
      <c r="BG76" s="123" t="str">
        <f>_xlfn.CONCAT(TableWRTEMaster[[#This Row],[POS]],TableWRTEMaster[[#This Row],[RK]])</f>
        <v>WR75</v>
      </c>
      <c r="BH76" s="123">
        <f>IFERROR(INDEX(TableWRVORP[BYE],MATCH(TableWRTEMaster[[#This Row],[RK]],TableWRVORP[RK],0)),"")</f>
        <v>13</v>
      </c>
      <c r="BI76" s="124">
        <f>IFERROR(INDEX(TableWRVORP[FPS],MATCH(TableWRTEMaster[[#This Row],[RK]],TableWRVORP[RK],0)),"")</f>
        <v>95.75240316946082</v>
      </c>
      <c r="BJ76" s="125">
        <f>IFERROR(INDEX(TableWRVORP[VORP],MATCH(TableWRTEMaster[[#This Row],[RK]],TableWRVORP[RK],0)),"")</f>
        <v>-0.26509427792398582</v>
      </c>
    </row>
    <row r="77" spans="1:62" x14ac:dyDescent="0.2">
      <c r="A77">
        <v>76</v>
      </c>
      <c r="B77" s="120" t="str">
        <f>IFERROR(INDEX(TableQBCalcPts[PLAYER],MATCH(TableQBVORP[[#This Row],[RK]],TableQBCalcPts[RK],0)),"")</f>
        <v/>
      </c>
      <c r="C77" s="120" t="str">
        <f>IFERROR(INDEX(TableQBCalcPts[TM],MATCH(TableQBVORP[[#This Row],[RK]],TableQBCalcPts[RK],0)),"")</f>
        <v/>
      </c>
      <c r="D77" s="120" t="str">
        <f>IFERROR(INDEX(TableQBCalcPts[BYE],MATCH(TableQBVORP[[#This Row],[RK]],TableQBCalcPts[RK],0)),"")</f>
        <v/>
      </c>
      <c r="E77" s="121" t="str">
        <f>IFERROR(INDEX(TableQBCalcPts[Custom],MATCH(TableQBVORP[[#This Row],[RK]],TableQBCalcPts[RK],0)),"")</f>
        <v/>
      </c>
      <c r="F77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77">
        <v>76</v>
      </c>
      <c r="I77" s="120" t="str">
        <f>IFERROR(INDEX(TableRBCalcPts[PLAYER],MATCH(TableRBVORP[[#This Row],[RK]],TableRBCalcPts[RK],0)),"")</f>
        <v>Ameer Abdullah</v>
      </c>
      <c r="J77" s="120" t="str">
        <f>IFERROR(INDEX(TableRBCalcPts[TM],MATCH(TableRBVORP[[#This Row],[RK]],TableRBCalcPts[RK],0)),"")</f>
        <v>LV</v>
      </c>
      <c r="K77" s="120">
        <f>IFERROR(INDEX(TableRBCalcPts[BYE],MATCH(TableRBVORP[[#This Row],[RK]],TableRBCalcPts[RK],0)),"")</f>
        <v>13</v>
      </c>
      <c r="L77" s="121">
        <f>IFERROR(INDEX(TableRBCalcPts[Custom],MATCH(TableRBVORP[[#This Row],[RK]],TableRBCalcPts[RK],0)),"")</f>
        <v>42.351924386554309</v>
      </c>
      <c r="M77" s="122">
        <f>IFERROR((TableRBVORP[[#This Row],[FPS]]-INDEX(TableRBVORP[FPS],MATCH(RBVORPCalc,TableRBVORP[RK],0)))/INDEX(TableRBVORP[FPS],MATCH(RBVORPCalc,TableRBVORP[RK],0)),"")</f>
        <v>-0.65416531036218484</v>
      </c>
      <c r="O77">
        <v>76</v>
      </c>
      <c r="P77" s="120" t="str">
        <f>IFERROR(INDEX(TableWRCalcPts[PLAYER],MATCH(TableWRVORP[[#This Row],[RK]],TableWRCalcPts[RK],0)),"")</f>
        <v>Alec Pierce</v>
      </c>
      <c r="Q77" s="120" t="str">
        <f>IFERROR(INDEX(TableWRCalcPts[TM],MATCH(TableWRVORP[[#This Row],[RK]],TableWRCalcPts[RK],0)),"")</f>
        <v>IND</v>
      </c>
      <c r="R77" s="120">
        <f>IFERROR(INDEX(TableWRCalcPts[BYE],MATCH(TableWRVORP[[#This Row],[RK]],TableWRCalcPts[RK],0)),"")</f>
        <v>11</v>
      </c>
      <c r="S77" s="121">
        <f>IFERROR(INDEX(TableWRCalcPts[Custom],MATCH(TableWRVORP[[#This Row],[RK]],TableWRCalcPts[RK],0)),"")</f>
        <v>94.292158056808148</v>
      </c>
      <c r="T77" s="122">
        <f>IFERROR((TableWRVORP[[#This Row],[FPS]]-INDEX(TableWRVORP[FPS],MATCH(WRVORPCalc,TableWRVORP[RK],0)))/INDEX(TableWRVORP[FPS],MATCH(WRVORPCalc,TableWRVORP[RK],0)),"")</f>
        <v>-0.27630175108810845</v>
      </c>
      <c r="V77">
        <v>76</v>
      </c>
      <c r="W77" s="120" t="str">
        <f>IFERROR(INDEX(TableTECalcPts[PLAYER],MATCH(TableTEVORP[[#This Row],[RK]],TableTECalcPts[RK],0)),"")</f>
        <v>Foster Moreau</v>
      </c>
      <c r="X77" s="120" t="str">
        <f>IFERROR(INDEX(TableTECalcPts[TM],MATCH(TableTEVORP[[#This Row],[RK]],TableTECalcPts[RK],0)),"")</f>
        <v>NO</v>
      </c>
      <c r="Y77" s="120">
        <f>IFERROR(INDEX(TableTECalcPts[BYE],MATCH(TableTEVORP[[#This Row],[RK]],TableTECalcPts[RK],0)),"")</f>
        <v>11</v>
      </c>
      <c r="Z77" s="121">
        <f>IFERROR(INDEX(TableTECalcPts[Custom],MATCH(TableTEVORP[[#This Row],[RK]],TableTECalcPts[RK],0)),"")</f>
        <v>13.781646022609921</v>
      </c>
      <c r="AA77" s="122">
        <f>IFERROR((TableTEVORP[[#This Row],[FPS]]-INDEX(TableTEVORP[FPS],MATCH(TEVORPCalc,TableTEVORP[RK],0)))/INDEX(TableTEVORP[FPS],MATCH(TEVORPCalc,TableTEVORP[RK],0)),"")</f>
        <v>-0.88402234859016948</v>
      </c>
      <c r="AF77" t="s">
        <v>256</v>
      </c>
      <c r="AG77">
        <v>36</v>
      </c>
      <c r="AH77" s="86">
        <f>RANK(TableOverallMaster[[#This Row],[VORP]],TableOverallMaster[VORP])+COUNTIF($AM$2:AM77,AM77)-1</f>
        <v>83</v>
      </c>
      <c r="AI77" s="123" t="str">
        <f>IFERROR(INDEX(TableRBVORP[RUNNING BACK],MATCH(TableOverallMaster[[#This Row],[RK]],TableRBVORP[RK],0)),"")</f>
        <v>Zach Charbonnet</v>
      </c>
      <c r="AJ77" s="123" t="str">
        <f t="shared" si="1"/>
        <v>RB36</v>
      </c>
      <c r="AK77" s="123">
        <f>IFERROR(INDEX(TableRBVORP[BYE],MATCH(TableOverallMaster[[#This Row],[RK]],TableRBVORP[RK],0)),"")</f>
        <v>5</v>
      </c>
      <c r="AL77" s="124">
        <f>IFERROR(INDEX(TableRBVORP[FPS],MATCH(TableOverallMaster[[#This Row],[RK]],TableRBVORP[RK],0)),"")</f>
        <v>154.45059742536267</v>
      </c>
      <c r="AM77" s="125">
        <f>IFERROR(INDEX(TableRBVORP[VORP],MATCH(TableOverallMaster[[#This Row],[RK]],TableRBVORP[RK],0)),"")</f>
        <v>0.26120300785985462</v>
      </c>
      <c r="AO77">
        <v>76</v>
      </c>
      <c r="AP77" s="126" t="str">
        <f>IFERROR(INDEX(TableOverallMaster[OVERALL PLAYER],MATCH(TableOverallRank[[#This Row],[RK]],TableOverallMaster[OVR RK],0)),"")</f>
        <v>Marquise Brown</v>
      </c>
      <c r="AQ77" s="127" t="str">
        <f>IFERROR(INDEX(TableOverallMaster[POS RK],MATCH(TableOverallRank[[#This Row],[OVERALL PLAYER]],TableOverallMaster[OVERALL PLAYER],0)),"")</f>
        <v>WR31</v>
      </c>
      <c r="AR77" s="128">
        <f>IFERROR(INDEX(TableOverallMaster[BYE],MATCH(TableOverallRank[[#This Row],[OVERALL PLAYER]],TableOverallMaster[OVERALL PLAYER],0)),"")</f>
        <v>14</v>
      </c>
      <c r="AS77" s="127">
        <f>IFERROR(INDEX(TableOverallMaster[Custom],MATCH(TableOverallRank[[#This Row],[OVERALL PLAYER]],TableOverallMaster[OVERALL PLAYER],0)),"")</f>
        <v>169.79884257105002</v>
      </c>
      <c r="AT77" s="129">
        <f>IFERROR(INDEX(TableOverallMaster[VORP],MATCH(TableOverallRank[[#This Row],[OVERALL PLAYER]],TableOverallMaster[OVERALL PLAYER],0)),"")</f>
        <v>0.30321680581222366</v>
      </c>
      <c r="AV77">
        <v>76</v>
      </c>
      <c r="AW77" s="130" t="str">
        <f>IFERROR(INDEX(TableWRTECalcPts[PLAYER],MATCH(TableWRTERank[[#This Row],[RK]],TableWRTECalcPts[RK],0)),"")</f>
        <v>Elijah Moore</v>
      </c>
      <c r="AX77" s="130" t="str">
        <f>IFERROR(INDEX(TableWRTECalcPts[POS RK],MATCH(TableWRTERank[[#This Row],[WR and TE COMBINED]],TableWRTECalcPts[PLAYER],0)),"")</f>
        <v>WR64</v>
      </c>
      <c r="AY77" s="130">
        <f>IFERROR(INDEX(TableWRTECalcPts[BYE],MATCH(TableWRTERank[[#This Row],[RK]],TableWRTECalcPts[RK],0)),"")</f>
        <v>5</v>
      </c>
      <c r="AZ77" s="131">
        <f>IFERROR(INDEX(TableWRTECalcPts[Custom],MATCH(TableWRTERank[[#This Row],[RK]],TableWRTECalcPts[RK],0)),"")</f>
        <v>118.66713195414852</v>
      </c>
      <c r="BA77" s="188">
        <f>IFERROR((TableWRTERank[[#This Row],[FPS]]-INDEX(TableWRTERank[FPS],MATCH(WRTEVORPCalc,TableWRTERank[RK],0)))/INDEX(TableWRTERank[FPS],MATCH(WRTEVORPCalc,TableWRTERank[RK],0)),"")</f>
        <v>-0.14251663619502836</v>
      </c>
      <c r="BC77" t="s">
        <v>257</v>
      </c>
      <c r="BD77">
        <v>76</v>
      </c>
      <c r="BE77" s="86">
        <f>RANK(TableWRTEMaster[[#This Row],[VORP]],TableWRTEMaster[VORP])+COUNTIF($BJ$2:BJ77,BJ77)-1</f>
        <v>104</v>
      </c>
      <c r="BF77" s="123" t="str">
        <f>IFERROR(INDEX(TableWRVORP[WIDE RECEIVER],MATCH(TableWRTEMaster[[#This Row],[RK]],TableWRVORP[RK],0)),"")</f>
        <v>Alec Pierce</v>
      </c>
      <c r="BG77" s="123" t="str">
        <f>_xlfn.CONCAT(TableWRTEMaster[[#This Row],[POS]],TableWRTEMaster[[#This Row],[RK]])</f>
        <v>WR76</v>
      </c>
      <c r="BH77" s="123">
        <f>IFERROR(INDEX(TableWRVORP[BYE],MATCH(TableWRTEMaster[[#This Row],[RK]],TableWRVORP[RK],0)),"")</f>
        <v>11</v>
      </c>
      <c r="BI77" s="124">
        <f>IFERROR(INDEX(TableWRVORP[FPS],MATCH(TableWRTEMaster[[#This Row],[RK]],TableWRVORP[RK],0)),"")</f>
        <v>94.292158056808148</v>
      </c>
      <c r="BJ77" s="125">
        <f>IFERROR(INDEX(TableWRVORP[VORP],MATCH(TableWRTEMaster[[#This Row],[RK]],TableWRVORP[RK],0)),"")</f>
        <v>-0.27630175108810845</v>
      </c>
    </row>
    <row r="78" spans="1:62" x14ac:dyDescent="0.2">
      <c r="A78">
        <v>77</v>
      </c>
      <c r="B78" s="120" t="str">
        <f>IFERROR(INDEX(TableQBCalcPts[PLAYER],MATCH(TableQBVORP[[#This Row],[RK]],TableQBCalcPts[RK],0)),"")</f>
        <v/>
      </c>
      <c r="C78" s="120" t="str">
        <f>IFERROR(INDEX(TableQBCalcPts[TM],MATCH(TableQBVORP[[#This Row],[RK]],TableQBCalcPts[RK],0)),"")</f>
        <v/>
      </c>
      <c r="D78" s="120" t="str">
        <f>IFERROR(INDEX(TableQBCalcPts[BYE],MATCH(TableQBVORP[[#This Row],[RK]],TableQBCalcPts[RK],0)),"")</f>
        <v/>
      </c>
      <c r="E78" s="121" t="str">
        <f>IFERROR(INDEX(TableQBCalcPts[Custom],MATCH(TableQBVORP[[#This Row],[RK]],TableQBCalcPts[RK],0)),"")</f>
        <v/>
      </c>
      <c r="F78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78">
        <v>77</v>
      </c>
      <c r="I78" s="120" t="str">
        <f>IFERROR(INDEX(TableRBCalcPts[PLAYER],MATCH(TableRBVORP[[#This Row],[RK]],TableRBCalcPts[RK],0)),"")</f>
        <v>Raheem Blackshear</v>
      </c>
      <c r="J78" s="120" t="str">
        <f>IFERROR(INDEX(TableRBCalcPts[TM],MATCH(TableRBVORP[[#This Row],[RK]],TableRBCalcPts[RK],0)),"")</f>
        <v>CAR</v>
      </c>
      <c r="K78" s="120">
        <f>IFERROR(INDEX(TableRBCalcPts[BYE],MATCH(TableRBVORP[[#This Row],[RK]],TableRBCalcPts[RK],0)),"")</f>
        <v>7</v>
      </c>
      <c r="L78" s="121">
        <f>IFERROR(INDEX(TableRBCalcPts[Custom],MATCH(TableRBVORP[[#This Row],[RK]],TableRBCalcPts[RK],0)),"")</f>
        <v>41.245026651799179</v>
      </c>
      <c r="M78" s="122">
        <f>IFERROR((TableRBVORP[[#This Row],[FPS]]-INDEX(TableRBVORP[FPS],MATCH(RBVORPCalc,TableRBVORP[RK],0)))/INDEX(TableRBVORP[FPS],MATCH(RBVORPCalc,TableRBVORP[RK],0)),"")</f>
        <v>-0.66320394650693049</v>
      </c>
      <c r="O78">
        <v>77</v>
      </c>
      <c r="P78" s="120" t="str">
        <f>IFERROR(INDEX(TableWRCalcPts[PLAYER],MATCH(TableWRVORP[[#This Row],[RK]],TableWRCalcPts[RK],0)),"")</f>
        <v>Michael Gallup</v>
      </c>
      <c r="Q78" s="120" t="str">
        <f>IFERROR(INDEX(TableWRCalcPts[TM],MATCH(TableWRVORP[[#This Row],[RK]],TableWRCalcPts[RK],0)),"")</f>
        <v>DAL</v>
      </c>
      <c r="R78" s="120">
        <f>IFERROR(INDEX(TableWRCalcPts[BYE],MATCH(TableWRVORP[[#This Row],[RK]],TableWRCalcPts[RK],0)),"")</f>
        <v>7</v>
      </c>
      <c r="S78" s="121">
        <f>IFERROR(INDEX(TableWRCalcPts[Custom],MATCH(TableWRVORP[[#This Row],[RK]],TableWRCalcPts[RK],0)),"")</f>
        <v>93.431094692524141</v>
      </c>
      <c r="T78" s="122">
        <f>IFERROR((TableWRVORP[[#This Row],[FPS]]-INDEX(TableWRVORP[FPS],MATCH(WRVORPCalc,TableWRVORP[RK],0)))/INDEX(TableWRVORP[FPS],MATCH(WRVORPCalc,TableWRVORP[RK],0)),"")</f>
        <v>-0.28291046661415559</v>
      </c>
      <c r="V78">
        <v>77</v>
      </c>
      <c r="W78" s="120" t="str">
        <f>IFERROR(INDEX(TableTECalcPts[PLAYER],MATCH(TableTEVORP[[#This Row],[RK]],TableTECalcPts[RK],0)),"")</f>
        <v>MyCole Pruitt</v>
      </c>
      <c r="X78" s="120" t="str">
        <f>IFERROR(INDEX(TableTECalcPts[TM],MATCH(TableTEVORP[[#This Row],[RK]],TableTECalcPts[RK],0)),"")</f>
        <v>ATL</v>
      </c>
      <c r="Y78" s="120">
        <f>IFERROR(INDEX(TableTECalcPts[BYE],MATCH(TableTEVORP[[#This Row],[RK]],TableTECalcPts[RK],0)),"")</f>
        <v>11</v>
      </c>
      <c r="Z78" s="121">
        <f>IFERROR(INDEX(TableTECalcPts[Custom],MATCH(TableTEVORP[[#This Row],[RK]],TableTECalcPts[RK],0)),"")</f>
        <v>11.888260212326399</v>
      </c>
      <c r="AA78" s="122">
        <f>IFERROR((TableTEVORP[[#This Row],[FPS]]-INDEX(TableTEVORP[FPS],MATCH(TEVORPCalc,TableTEVORP[RK],0)))/INDEX(TableTEVORP[FPS],MATCH(TEVORPCalc,TableTEVORP[RK],0)),"")</f>
        <v>-0.89995589086292305</v>
      </c>
      <c r="AF78" t="s">
        <v>256</v>
      </c>
      <c r="AG78">
        <v>37</v>
      </c>
      <c r="AH78" s="86">
        <f>RANK(TableOverallMaster[[#This Row],[VORP]],TableOverallMaster[VORP])+COUNTIF($AM$2:AM78,AM78)-1</f>
        <v>88</v>
      </c>
      <c r="AI78" s="123" t="str">
        <f>IFERROR(INDEX(TableRBVORP[RUNNING BACK],MATCH(TableOverallMaster[[#This Row],[RK]],TableRBVORP[RK],0)),"")</f>
        <v>Raheem Mostert</v>
      </c>
      <c r="AJ78" s="123" t="str">
        <f t="shared" si="1"/>
        <v>RB37</v>
      </c>
      <c r="AK78" s="123">
        <f>IFERROR(INDEX(TableRBVORP[BYE],MATCH(TableOverallMaster[[#This Row],[RK]],TableRBVORP[RK],0)),"")</f>
        <v>10</v>
      </c>
      <c r="AL78" s="124">
        <f>IFERROR(INDEX(TableRBVORP[FPS],MATCH(TableOverallMaster[[#This Row],[RK]],TableRBVORP[RK],0)),"")</f>
        <v>148.20650311068127</v>
      </c>
      <c r="AM78" s="125">
        <f>IFERROR(INDEX(TableRBVORP[VORP],MATCH(TableOverallMaster[[#This Row],[RK]],TableRBVORP[RK],0)),"")</f>
        <v>0.21021537387001274</v>
      </c>
      <c r="AO78">
        <v>77</v>
      </c>
      <c r="AP78" s="126" t="str">
        <f>IFERROR(INDEX(TableOverallMaster[OVERALL PLAYER],MATCH(TableOverallRank[[#This Row],[RK]],TableOverallMaster[OVR RK],0)),"")</f>
        <v>George Pickens</v>
      </c>
      <c r="AQ78" s="127" t="str">
        <f>IFERROR(INDEX(TableOverallMaster[POS RK],MATCH(TableOverallRank[[#This Row],[OVERALL PLAYER]],TableOverallMaster[OVERALL PLAYER],0)),"")</f>
        <v>WR32</v>
      </c>
      <c r="AR78" s="128">
        <f>IFERROR(INDEX(TableOverallMaster[BYE],MATCH(TableOverallRank[[#This Row],[OVERALL PLAYER]],TableOverallMaster[OVERALL PLAYER],0)),"")</f>
        <v>6</v>
      </c>
      <c r="AS78" s="127">
        <f>IFERROR(INDEX(TableOverallMaster[Custom],MATCH(TableOverallRank[[#This Row],[OVERALL PLAYER]],TableOverallMaster[OVERALL PLAYER],0)),"")</f>
        <v>169.33579636065119</v>
      </c>
      <c r="AT78" s="129">
        <f>IFERROR(INDEX(TableOverallMaster[VORP],MATCH(TableOverallRank[[#This Row],[OVERALL PLAYER]],TableOverallMaster[OVERALL PLAYER],0)),"")</f>
        <v>0.29966289699799303</v>
      </c>
      <c r="AV78">
        <v>77</v>
      </c>
      <c r="AW78" s="130" t="str">
        <f>IFERROR(INDEX(TableWRTECalcPts[PLAYER],MATCH(TableWRTERank[[#This Row],[RK]],TableWRTECalcPts[RK],0)),"")</f>
        <v>Kadarius Toney</v>
      </c>
      <c r="AX78" s="130" t="str">
        <f>IFERROR(INDEX(TableWRTECalcPts[POS RK],MATCH(TableWRTERank[[#This Row],[WR and TE COMBINED]],TableWRTECalcPts[PLAYER],0)),"")</f>
        <v>WR65</v>
      </c>
      <c r="AY78" s="130">
        <f>IFERROR(INDEX(TableWRTECalcPts[BYE],MATCH(TableWRTERank[[#This Row],[RK]],TableWRTECalcPts[RK],0)),"")</f>
        <v>10</v>
      </c>
      <c r="AZ78" s="131">
        <f>IFERROR(INDEX(TableWRTECalcPts[Custom],MATCH(TableWRTERank[[#This Row],[RK]],TableWRTECalcPts[RK],0)),"")</f>
        <v>115.6532121174868</v>
      </c>
      <c r="BA78" s="188">
        <f>IFERROR((TableWRTERank[[#This Row],[FPS]]-INDEX(TableWRTERank[FPS],MATCH(WRTEVORPCalc,TableWRTERank[RK],0)))/INDEX(TableWRTERank[FPS],MATCH(WRTEVORPCalc,TableWRTERank[RK],0)),"")</f>
        <v>-0.16429508551979835</v>
      </c>
      <c r="BC78" t="s">
        <v>257</v>
      </c>
      <c r="BD78">
        <v>77</v>
      </c>
      <c r="BE78" s="86">
        <f>RANK(TableWRTEMaster[[#This Row],[VORP]],TableWRTEMaster[VORP])+COUNTIF($BJ$2:BJ78,BJ78)-1</f>
        <v>105</v>
      </c>
      <c r="BF78" s="123" t="str">
        <f>IFERROR(INDEX(TableWRVORP[WIDE RECEIVER],MATCH(TableWRTEMaster[[#This Row],[RK]],TableWRVORP[RK],0)),"")</f>
        <v>Michael Gallup</v>
      </c>
      <c r="BG78" s="123" t="str">
        <f>_xlfn.CONCAT(TableWRTEMaster[[#This Row],[POS]],TableWRTEMaster[[#This Row],[RK]])</f>
        <v>WR77</v>
      </c>
      <c r="BH78" s="123">
        <f>IFERROR(INDEX(TableWRVORP[BYE],MATCH(TableWRTEMaster[[#This Row],[RK]],TableWRVORP[RK],0)),"")</f>
        <v>7</v>
      </c>
      <c r="BI78" s="124">
        <f>IFERROR(INDEX(TableWRVORP[FPS],MATCH(TableWRTEMaster[[#This Row],[RK]],TableWRVORP[RK],0)),"")</f>
        <v>93.431094692524141</v>
      </c>
      <c r="BJ78" s="125">
        <f>IFERROR(INDEX(TableWRVORP[VORP],MATCH(TableWRTEMaster[[#This Row],[RK]],TableWRVORP[RK],0)),"")</f>
        <v>-0.28291046661415559</v>
      </c>
    </row>
    <row r="79" spans="1:62" x14ac:dyDescent="0.2">
      <c r="A79">
        <v>78</v>
      </c>
      <c r="B79" s="120" t="str">
        <f>IFERROR(INDEX(TableQBCalcPts[PLAYER],MATCH(TableQBVORP[[#This Row],[RK]],TableQBCalcPts[RK],0)),"")</f>
        <v/>
      </c>
      <c r="C79" s="120" t="str">
        <f>IFERROR(INDEX(TableQBCalcPts[TM],MATCH(TableQBVORP[[#This Row],[RK]],TableQBCalcPts[RK],0)),"")</f>
        <v/>
      </c>
      <c r="D79" s="120" t="str">
        <f>IFERROR(INDEX(TableQBCalcPts[BYE],MATCH(TableQBVORP[[#This Row],[RK]],TableQBCalcPts[RK],0)),"")</f>
        <v/>
      </c>
      <c r="E79" s="121" t="str">
        <f>IFERROR(INDEX(TableQBCalcPts[Custom],MATCH(TableQBVORP[[#This Row],[RK]],TableQBCalcPts[RK],0)),"")</f>
        <v/>
      </c>
      <c r="F79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79">
        <v>78</v>
      </c>
      <c r="I79" s="120" t="str">
        <f>IFERROR(INDEX(TableRBCalcPts[PLAYER],MATCH(TableRBVORP[[#This Row],[RK]],TableRBCalcPts[RK],0)),"")</f>
        <v>Evan Hull</v>
      </c>
      <c r="J79" s="120" t="str">
        <f>IFERROR(INDEX(TableRBCalcPts[TM],MATCH(TableRBVORP[[#This Row],[RK]],TableRBCalcPts[RK],0)),"")</f>
        <v>IND</v>
      </c>
      <c r="K79" s="120">
        <f>IFERROR(INDEX(TableRBCalcPts[BYE],MATCH(TableRBVORP[[#This Row],[RK]],TableRBCalcPts[RK],0)),"")</f>
        <v>11</v>
      </c>
      <c r="L79" s="121">
        <f>IFERROR(INDEX(TableRBCalcPts[Custom],MATCH(TableRBVORP[[#This Row],[RK]],TableRBCalcPts[RK],0)),"")</f>
        <v>39.952245169669872</v>
      </c>
      <c r="M79" s="122">
        <f>IFERROR((TableRBVORP[[#This Row],[FPS]]-INDEX(TableRBVORP[FPS],MATCH(RBVORPCalc,TableRBVORP[RK],0)))/INDEX(TableRBVORP[FPS],MATCH(RBVORPCalc,TableRBVORP[RK],0)),"")</f>
        <v>-0.67376046050523275</v>
      </c>
      <c r="O79">
        <v>78</v>
      </c>
      <c r="P79" s="120" t="str">
        <f>IFERROR(INDEX(TableWRCalcPts[PLAYER],MATCH(TableWRVORP[[#This Row],[RK]],TableWRCalcPts[RK],0)),"")</f>
        <v>Justyn Ross</v>
      </c>
      <c r="Q79" s="120" t="str">
        <f>IFERROR(INDEX(TableWRCalcPts[TM],MATCH(TableWRVORP[[#This Row],[RK]],TableWRCalcPts[RK],0)),"")</f>
        <v>KC</v>
      </c>
      <c r="R79" s="120">
        <f>IFERROR(INDEX(TableWRCalcPts[BYE],MATCH(TableWRVORP[[#This Row],[RK]],TableWRCalcPts[RK],0)),"")</f>
        <v>10</v>
      </c>
      <c r="S79" s="121">
        <f>IFERROR(INDEX(TableWRCalcPts[Custom],MATCH(TableWRVORP[[#This Row],[RK]],TableWRCalcPts[RK],0)),"")</f>
        <v>92.112339109190401</v>
      </c>
      <c r="T79" s="122">
        <f>IFERROR((TableWRVORP[[#This Row],[FPS]]-INDEX(TableWRVORP[FPS],MATCH(WRVORPCalc,TableWRVORP[RK],0)))/INDEX(TableWRVORP[FPS],MATCH(WRVORPCalc,TableWRVORP[RK],0)),"")</f>
        <v>-0.29303199873378766</v>
      </c>
      <c r="V79">
        <v>78</v>
      </c>
      <c r="W79" s="120" t="str">
        <f>IFERROR(INDEX(TableTECalcPts[PLAYER],MATCH(TableTEVORP[[#This Row],[RK]],TableTECalcPts[RK],0)),"")</f>
        <v>Josiah Deguara</v>
      </c>
      <c r="X79" s="120" t="str">
        <f>IFERROR(INDEX(TableTECalcPts[TM],MATCH(TableTEVORP[[#This Row],[RK]],TableTECalcPts[RK],0)),"")</f>
        <v>GB</v>
      </c>
      <c r="Y79" s="120">
        <f>IFERROR(INDEX(TableTECalcPts[BYE],MATCH(TableTEVORP[[#This Row],[RK]],TableTECalcPts[RK],0)),"")</f>
        <v>6</v>
      </c>
      <c r="Z79" s="121">
        <f>IFERROR(INDEX(TableTECalcPts[Custom],MATCH(TableTEVORP[[#This Row],[RK]],TableTECalcPts[RK],0)),"")</f>
        <v>11.88686867845238</v>
      </c>
      <c r="AA79" s="122">
        <f>IFERROR((TableTEVORP[[#This Row],[FPS]]-INDEX(TableTEVORP[FPS],MATCH(TEVORPCalc,TableTEVORP[RK],0)))/INDEX(TableTEVORP[FPS],MATCH(TEVORPCalc,TableTEVORP[RK],0)),"")</f>
        <v>-0.89996760113543339</v>
      </c>
      <c r="AF79" t="s">
        <v>256</v>
      </c>
      <c r="AG79">
        <v>38</v>
      </c>
      <c r="AH79" s="86">
        <f>RANK(TableOverallMaster[[#This Row],[VORP]],TableOverallMaster[VORP])+COUNTIF($AM$2:AM79,AM79)-1</f>
        <v>112</v>
      </c>
      <c r="AI79" s="123" t="str">
        <f>IFERROR(INDEX(TableRBVORP[RUNNING BACK],MATCH(TableOverallMaster[[#This Row],[RK]],TableRBVORP[RK],0)),"")</f>
        <v>Jonathan Taylor</v>
      </c>
      <c r="AJ79" s="123" t="str">
        <f t="shared" si="1"/>
        <v>RB38</v>
      </c>
      <c r="AK79" s="123">
        <f>IFERROR(INDEX(TableRBVORP[BYE],MATCH(TableOverallMaster[[#This Row],[RK]],TableRBVORP[RK],0)),"")</f>
        <v>11</v>
      </c>
      <c r="AL79" s="124">
        <f>IFERROR(INDEX(TableRBVORP[FPS],MATCH(TableOverallMaster[[#This Row],[RK]],TableRBVORP[RK],0)),"")</f>
        <v>133.35083061101241</v>
      </c>
      <c r="AM79" s="125">
        <f>IFERROR(INDEX(TableRBVORP[VORP],MATCH(TableOverallMaster[[#This Row],[RK]],TableRBVORP[RK],0)),"")</f>
        <v>8.8907854490443139E-2</v>
      </c>
      <c r="AO79">
        <v>78</v>
      </c>
      <c r="AP79" s="126" t="str">
        <f>IFERROR(INDEX(TableOverallMaster[OVERALL PLAYER],MATCH(TableOverallRank[[#This Row],[RK]],TableOverallMaster[OVR RK],0)),"")</f>
        <v>Skyy Moore</v>
      </c>
      <c r="AQ79" s="127" t="str">
        <f>IFERROR(INDEX(TableOverallMaster[POS RK],MATCH(TableOverallRank[[#This Row],[OVERALL PLAYER]],TableOverallMaster[OVERALL PLAYER],0)),"")</f>
        <v>WR33</v>
      </c>
      <c r="AR79" s="128">
        <f>IFERROR(INDEX(TableOverallMaster[BYE],MATCH(TableOverallRank[[#This Row],[OVERALL PLAYER]],TableOverallMaster[OVERALL PLAYER],0)),"")</f>
        <v>10</v>
      </c>
      <c r="AS79" s="127">
        <f>IFERROR(INDEX(TableOverallMaster[Custom],MATCH(TableOverallRank[[#This Row],[OVERALL PLAYER]],TableOverallMaster[OVERALL PLAYER],0)),"")</f>
        <v>168.88950711828755</v>
      </c>
      <c r="AT79" s="129">
        <f>IFERROR(INDEX(TableOverallMaster[VORP],MATCH(TableOverallRank[[#This Row],[OVERALL PLAYER]],TableOverallMaster[OVERALL PLAYER],0)),"")</f>
        <v>0.29623759896830754</v>
      </c>
      <c r="AV79">
        <v>78</v>
      </c>
      <c r="AW79" s="130" t="str">
        <f>IFERROR(INDEX(TableWRTECalcPts[PLAYER],MATCH(TableWRTERank[[#This Row],[RK]],TableWRTECalcPts[RK],0)),"")</f>
        <v>Nico Collins</v>
      </c>
      <c r="AX79" s="130" t="str">
        <f>IFERROR(INDEX(TableWRTECalcPts[POS RK],MATCH(TableWRTERank[[#This Row],[WR and TE COMBINED]],TableWRTECalcPts[PLAYER],0)),"")</f>
        <v>WR66</v>
      </c>
      <c r="AY79" s="130">
        <f>IFERROR(INDEX(TableWRTECalcPts[BYE],MATCH(TableWRTERank[[#This Row],[RK]],TableWRTECalcPts[RK],0)),"")</f>
        <v>7</v>
      </c>
      <c r="AZ79" s="131">
        <f>IFERROR(INDEX(TableWRTECalcPts[Custom],MATCH(TableWRTERank[[#This Row],[RK]],TableWRTECalcPts[RK],0)),"")</f>
        <v>114.84809106865067</v>
      </c>
      <c r="BA79" s="188">
        <f>IFERROR((TableWRTERank[[#This Row],[FPS]]-INDEX(TableWRTERank[FPS],MATCH(WRTEVORPCalc,TableWRTERank[RK],0)))/INDEX(TableWRTERank[FPS],MATCH(WRTEVORPCalc,TableWRTERank[RK],0)),"")</f>
        <v>-0.17011285404472523</v>
      </c>
      <c r="BC79" t="s">
        <v>257</v>
      </c>
      <c r="BD79">
        <v>78</v>
      </c>
      <c r="BE79" s="86">
        <f>RANK(TableWRTEMaster[[#This Row],[VORP]],TableWRTEMaster[VORP])+COUNTIF($BJ$2:BJ79,BJ79)-1</f>
        <v>108</v>
      </c>
      <c r="BF79" s="123" t="str">
        <f>IFERROR(INDEX(TableWRVORP[WIDE RECEIVER],MATCH(TableWRTEMaster[[#This Row],[RK]],TableWRVORP[RK],0)),"")</f>
        <v>Justyn Ross</v>
      </c>
      <c r="BG79" s="123" t="str">
        <f>_xlfn.CONCAT(TableWRTEMaster[[#This Row],[POS]],TableWRTEMaster[[#This Row],[RK]])</f>
        <v>WR78</v>
      </c>
      <c r="BH79" s="123">
        <f>IFERROR(INDEX(TableWRVORP[BYE],MATCH(TableWRTEMaster[[#This Row],[RK]],TableWRVORP[RK],0)),"")</f>
        <v>10</v>
      </c>
      <c r="BI79" s="124">
        <f>IFERROR(INDEX(TableWRVORP[FPS],MATCH(TableWRTEMaster[[#This Row],[RK]],TableWRVORP[RK],0)),"")</f>
        <v>92.112339109190401</v>
      </c>
      <c r="BJ79" s="125">
        <f>IFERROR(INDEX(TableWRVORP[VORP],MATCH(TableWRTEMaster[[#This Row],[RK]],TableWRVORP[RK],0)),"")</f>
        <v>-0.29303199873378766</v>
      </c>
    </row>
    <row r="80" spans="1:62" x14ac:dyDescent="0.2">
      <c r="A80">
        <v>79</v>
      </c>
      <c r="B80" s="120" t="str">
        <f>IFERROR(INDEX(TableQBCalcPts[PLAYER],MATCH(TableQBVORP[[#This Row],[RK]],TableQBCalcPts[RK],0)),"")</f>
        <v/>
      </c>
      <c r="C80" s="120" t="str">
        <f>IFERROR(INDEX(TableQBCalcPts[TM],MATCH(TableQBVORP[[#This Row],[RK]],TableQBCalcPts[RK],0)),"")</f>
        <v/>
      </c>
      <c r="D80" s="120" t="str">
        <f>IFERROR(INDEX(TableQBCalcPts[BYE],MATCH(TableQBVORP[[#This Row],[RK]],TableQBCalcPts[RK],0)),"")</f>
        <v/>
      </c>
      <c r="E80" s="121" t="str">
        <f>IFERROR(INDEX(TableQBCalcPts[Custom],MATCH(TableQBVORP[[#This Row],[RK]],TableQBCalcPts[RK],0)),"")</f>
        <v/>
      </c>
      <c r="F80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80">
        <v>79</v>
      </c>
      <c r="I80" s="120" t="str">
        <f>IFERROR(INDEX(TableRBCalcPts[PLAYER],MATCH(TableRBVORP[[#This Row],[RK]],TableRBCalcPts[RK],0)),"")</f>
        <v>Latavius Murray</v>
      </c>
      <c r="J80" s="120" t="str">
        <f>IFERROR(INDEX(TableRBCalcPts[TM],MATCH(TableRBVORP[[#This Row],[RK]],TableRBCalcPts[RK],0)),"")</f>
        <v>BUF</v>
      </c>
      <c r="K80" s="120">
        <f>IFERROR(INDEX(TableRBCalcPts[BYE],MATCH(TableRBVORP[[#This Row],[RK]],TableRBCalcPts[RK],0)),"")</f>
        <v>13</v>
      </c>
      <c r="L80" s="121">
        <f>IFERROR(INDEX(TableRBCalcPts[Custom],MATCH(TableRBVORP[[#This Row],[RK]],TableRBCalcPts[RK],0)),"")</f>
        <v>38.743776008500859</v>
      </c>
      <c r="M80" s="122">
        <f>IFERROR((TableRBVORP[[#This Row],[FPS]]-INDEX(TableRBVORP[FPS],MATCH(RBVORPCalc,TableRBVORP[RK],0)))/INDEX(TableRBVORP[FPS],MATCH(RBVORPCalc,TableRBVORP[RK],0)),"")</f>
        <v>-0.68362850223753335</v>
      </c>
      <c r="O80">
        <v>79</v>
      </c>
      <c r="P80" s="120" t="str">
        <f>IFERROR(INDEX(TableWRCalcPts[PLAYER],MATCH(TableWRVORP[[#This Row],[RK]],TableWRCalcPts[RK],0)),"")</f>
        <v>Allen Robinson</v>
      </c>
      <c r="Q80" s="120" t="str">
        <f>IFERROR(INDEX(TableWRCalcPts[TM],MATCH(TableWRVORP[[#This Row],[RK]],TableWRCalcPts[RK],0)),"")</f>
        <v>PIT</v>
      </c>
      <c r="R80" s="120">
        <f>IFERROR(INDEX(TableWRCalcPts[BYE],MATCH(TableWRVORP[[#This Row],[RK]],TableWRCalcPts[RK],0)),"")</f>
        <v>6</v>
      </c>
      <c r="S80" s="121">
        <f>IFERROR(INDEX(TableWRCalcPts[Custom],MATCH(TableWRVORP[[#This Row],[RK]],TableWRCalcPts[RK],0)),"")</f>
        <v>92.066985387508694</v>
      </c>
      <c r="T80" s="122">
        <f>IFERROR((TableWRVORP[[#This Row],[FPS]]-INDEX(TableWRVORP[FPS],MATCH(WRVORPCalc,TableWRVORP[RK],0)))/INDEX(TableWRVORP[FPS],MATCH(WRVORPCalc,TableWRVORP[RK],0)),"")</f>
        <v>-0.29338009140277621</v>
      </c>
      <c r="V80">
        <v>79</v>
      </c>
      <c r="W80" s="120" t="str">
        <f>IFERROR(INDEX(TableTECalcPts[PLAYER],MATCH(TableTEVORP[[#This Row],[RK]],TableTECalcPts[RK],0)),"")</f>
        <v>Ian Thomas</v>
      </c>
      <c r="X80" s="120" t="str">
        <f>IFERROR(INDEX(TableTECalcPts[TM],MATCH(TableTEVORP[[#This Row],[RK]],TableTECalcPts[RK],0)),"")</f>
        <v>CAR</v>
      </c>
      <c r="Y80" s="120">
        <f>IFERROR(INDEX(TableTECalcPts[BYE],MATCH(TableTEVORP[[#This Row],[RK]],TableTECalcPts[RK],0)),"")</f>
        <v>7</v>
      </c>
      <c r="Z80" s="121">
        <f>IFERROR(INDEX(TableTECalcPts[Custom],MATCH(TableTEVORP[[#This Row],[RK]],TableTECalcPts[RK],0)),"")</f>
        <v>11.840852666214957</v>
      </c>
      <c r="AA80" s="122">
        <f>IFERROR((TableTEVORP[[#This Row],[FPS]]-INDEX(TableTEVORP[FPS],MATCH(TEVORPCalc,TableTEVORP[RK],0)))/INDEX(TableTEVORP[FPS],MATCH(TEVORPCalc,TableTEVORP[RK],0)),"")</f>
        <v>-0.90035484290740952</v>
      </c>
      <c r="AF80" t="s">
        <v>256</v>
      </c>
      <c r="AG80">
        <v>39</v>
      </c>
      <c r="AH80" s="86">
        <f>RANK(TableOverallMaster[[#This Row],[VORP]],TableOverallMaster[VORP])+COUNTIF($AM$2:AM80,AM80)-1</f>
        <v>113</v>
      </c>
      <c r="AI80" s="123" t="str">
        <f>IFERROR(INDEX(TableRBVORP[RUNNING BACK],MATCH(TableOverallMaster[[#This Row],[RK]],TableRBVORP[RK],0)),"")</f>
        <v>Jamaal Williams</v>
      </c>
      <c r="AJ80" s="123" t="str">
        <f t="shared" si="1"/>
        <v>RB39</v>
      </c>
      <c r="AK80" s="123">
        <f>IFERROR(INDEX(TableRBVORP[BYE],MATCH(TableOverallMaster[[#This Row],[RK]],TableRBVORP[RK],0)),"")</f>
        <v>11</v>
      </c>
      <c r="AL80" s="124">
        <f>IFERROR(INDEX(TableRBVORP[FPS],MATCH(TableOverallMaster[[#This Row],[RK]],TableRBVORP[RK],0)),"")</f>
        <v>131.74018152559984</v>
      </c>
      <c r="AM80" s="125">
        <f>IFERROR(INDEX(TableRBVORP[VORP],MATCH(TableOverallMaster[[#This Row],[RK]],TableRBVORP[RK],0)),"")</f>
        <v>7.5755717140435774E-2</v>
      </c>
      <c r="AO80">
        <v>79</v>
      </c>
      <c r="AP80" s="126" t="str">
        <f>IFERROR(INDEX(TableOverallMaster[OVERALL PLAYER],MATCH(TableOverallRank[[#This Row],[RK]],TableOverallMaster[OVR RK],0)),"")</f>
        <v>D'Andre Swift</v>
      </c>
      <c r="AQ80" s="127" t="str">
        <f>IFERROR(INDEX(TableOverallMaster[POS RK],MATCH(TableOverallRank[[#This Row],[OVERALL PLAYER]],TableOverallMaster[OVERALL PLAYER],0)),"")</f>
        <v>RB34</v>
      </c>
      <c r="AR80" s="128">
        <f>IFERROR(INDEX(TableOverallMaster[BYE],MATCH(TableOverallRank[[#This Row],[OVERALL PLAYER]],TableOverallMaster[OVERALL PLAYER],0)),"")</f>
        <v>10</v>
      </c>
      <c r="AS80" s="127">
        <f>IFERROR(INDEX(TableOverallMaster[Custom],MATCH(TableOverallRank[[#This Row],[OVERALL PLAYER]],TableOverallMaster[OVERALL PLAYER],0)),"")</f>
        <v>158.55879954993404</v>
      </c>
      <c r="AT80" s="129">
        <f>IFERROR(INDEX(TableOverallMaster[VORP],MATCH(TableOverallRank[[#This Row],[OVERALL PLAYER]],TableOverallMaster[OVERALL PLAYER],0)),"")</f>
        <v>0.29474950727633936</v>
      </c>
      <c r="AV80">
        <v>79</v>
      </c>
      <c r="AW80" s="130" t="str">
        <f>IFERROR(INDEX(TableWRTECalcPts[PLAYER],MATCH(TableWRTERank[[#This Row],[RK]],TableWRTECalcPts[RK],0)),"")</f>
        <v>K.J. Osborn</v>
      </c>
      <c r="AX80" s="130" t="str">
        <f>IFERROR(INDEX(TableWRTECalcPts[POS RK],MATCH(TableWRTERank[[#This Row],[WR and TE COMBINED]],TableWRTECalcPts[PLAYER],0)),"")</f>
        <v>WR67</v>
      </c>
      <c r="AY80" s="130">
        <f>IFERROR(INDEX(TableWRTECalcPts[BYE],MATCH(TableWRTERank[[#This Row],[RK]],TableWRTECalcPts[RK],0)),"")</f>
        <v>13</v>
      </c>
      <c r="AZ80" s="131">
        <f>IFERROR(INDEX(TableWRTECalcPts[Custom],MATCH(TableWRTERank[[#This Row],[RK]],TableWRTECalcPts[RK],0)),"")</f>
        <v>113.8911756591277</v>
      </c>
      <c r="BA80" s="188">
        <f>IFERROR((TableWRTERank[[#This Row],[FPS]]-INDEX(TableWRTERank[FPS],MATCH(WRTEVORPCalc,TableWRTERank[RK],0)))/INDEX(TableWRTERank[FPS],MATCH(WRTEVORPCalc,TableWRTERank[RK],0)),"")</f>
        <v>-0.17702748179987837</v>
      </c>
      <c r="BC80" t="s">
        <v>257</v>
      </c>
      <c r="BD80">
        <v>79</v>
      </c>
      <c r="BE80" s="86">
        <f>RANK(TableWRTEMaster[[#This Row],[VORP]],TableWRTEMaster[VORP])+COUNTIF($BJ$2:BJ80,BJ80)-1</f>
        <v>109</v>
      </c>
      <c r="BF80" s="123" t="str">
        <f>IFERROR(INDEX(TableWRVORP[WIDE RECEIVER],MATCH(TableWRTEMaster[[#This Row],[RK]],TableWRVORP[RK],0)),"")</f>
        <v>Allen Robinson</v>
      </c>
      <c r="BG80" s="123" t="str">
        <f>_xlfn.CONCAT(TableWRTEMaster[[#This Row],[POS]],TableWRTEMaster[[#This Row],[RK]])</f>
        <v>WR79</v>
      </c>
      <c r="BH80" s="123">
        <f>IFERROR(INDEX(TableWRVORP[BYE],MATCH(TableWRTEMaster[[#This Row],[RK]],TableWRVORP[RK],0)),"")</f>
        <v>6</v>
      </c>
      <c r="BI80" s="124">
        <f>IFERROR(INDEX(TableWRVORP[FPS],MATCH(TableWRTEMaster[[#This Row],[RK]],TableWRVORP[RK],0)),"")</f>
        <v>92.066985387508694</v>
      </c>
      <c r="BJ80" s="125">
        <f>IFERROR(INDEX(TableWRVORP[VORP],MATCH(TableWRTEMaster[[#This Row],[RK]],TableWRVORP[RK],0)),"")</f>
        <v>-0.29338009140277621</v>
      </c>
    </row>
    <row r="81" spans="1:62" x14ac:dyDescent="0.2">
      <c r="A81">
        <v>80</v>
      </c>
      <c r="B81" s="120" t="str">
        <f>IFERROR(INDEX(TableQBCalcPts[PLAYER],MATCH(TableQBVORP[[#This Row],[RK]],TableQBCalcPts[RK],0)),"")</f>
        <v/>
      </c>
      <c r="C81" s="120" t="str">
        <f>IFERROR(INDEX(TableQBCalcPts[TM],MATCH(TableQBVORP[[#This Row],[RK]],TableQBCalcPts[RK],0)),"")</f>
        <v/>
      </c>
      <c r="D81" s="120" t="str">
        <f>IFERROR(INDEX(TableQBCalcPts[BYE],MATCH(TableQBVORP[[#This Row],[RK]],TableQBCalcPts[RK],0)),"")</f>
        <v/>
      </c>
      <c r="E81" s="121" t="str">
        <f>IFERROR(INDEX(TableQBCalcPts[Custom],MATCH(TableQBVORP[[#This Row],[RK]],TableQBCalcPts[RK],0)),"")</f>
        <v/>
      </c>
      <c r="F81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81">
        <v>80</v>
      </c>
      <c r="I81" s="120" t="str">
        <f>IFERROR(INDEX(TableRBCalcPts[PLAYER],MATCH(TableRBVORP[[#This Row],[RK]],TableRBCalcPts[RK],0)),"")</f>
        <v>Chase Brown</v>
      </c>
      <c r="J81" s="120" t="str">
        <f>IFERROR(INDEX(TableRBCalcPts[TM],MATCH(TableRBVORP[[#This Row],[RK]],TableRBCalcPts[RK],0)),"")</f>
        <v>CIN</v>
      </c>
      <c r="K81" s="120">
        <f>IFERROR(INDEX(TableRBCalcPts[BYE],MATCH(TableRBVORP[[#This Row],[RK]],TableRBCalcPts[RK],0)),"")</f>
        <v>7</v>
      </c>
      <c r="L81" s="121">
        <f>IFERROR(INDEX(TableRBCalcPts[Custom],MATCH(TableRBVORP[[#This Row],[RK]],TableRBCalcPts[RK],0)),"")</f>
        <v>37.926964521529364</v>
      </c>
      <c r="M81" s="122">
        <f>IFERROR((TableRBVORP[[#This Row],[FPS]]-INDEX(TableRBVORP[FPS],MATCH(RBVORPCalc,TableRBVORP[RK],0)))/INDEX(TableRBVORP[FPS],MATCH(RBVORPCalc,TableRBVORP[RK],0)),"")</f>
        <v>-0.69029837028204366</v>
      </c>
      <c r="O81">
        <v>80</v>
      </c>
      <c r="P81" s="120" t="str">
        <f>IFERROR(INDEX(TableWRCalcPts[PLAYER],MATCH(TableWRVORP[[#This Row],[RK]],TableWRCalcPts[RK],0)),"")</f>
        <v>Marvin Jones</v>
      </c>
      <c r="Q81" s="120" t="str">
        <f>IFERROR(INDEX(TableWRCalcPts[TM],MATCH(TableWRVORP[[#This Row],[RK]],TableWRCalcPts[RK],0)),"")</f>
        <v>DET</v>
      </c>
      <c r="R81" s="120">
        <f>IFERROR(INDEX(TableWRCalcPts[BYE],MATCH(TableWRVORP[[#This Row],[RK]],TableWRCalcPts[RK],0)),"")</f>
        <v>9</v>
      </c>
      <c r="S81" s="121">
        <f>IFERROR(INDEX(TableWRCalcPts[Custom],MATCH(TableWRVORP[[#This Row],[RK]],TableWRCalcPts[RK],0)),"")</f>
        <v>91.94050662758977</v>
      </c>
      <c r="T81" s="122">
        <f>IFERROR((TableWRVORP[[#This Row],[FPS]]-INDEX(TableWRVORP[FPS],MATCH(WRVORPCalc,TableWRVORP[RK],0)))/INDEX(TableWRVORP[FPS],MATCH(WRVORPCalc,TableWRVORP[RK],0)),"")</f>
        <v>-0.29435082384717237</v>
      </c>
      <c r="V81">
        <v>80</v>
      </c>
      <c r="W81" s="120" t="str">
        <f>IFERROR(INDEX(TableTECalcPts[PLAYER],MATCH(TableTEVORP[[#This Row],[RK]],TableTECalcPts[RK],0)),"")</f>
        <v>Charlie Woerner</v>
      </c>
      <c r="X81" s="120" t="str">
        <f>IFERROR(INDEX(TableTECalcPts[TM],MATCH(TableTEVORP[[#This Row],[RK]],TableTECalcPts[RK],0)),"")</f>
        <v>SF</v>
      </c>
      <c r="Y81" s="120">
        <f>IFERROR(INDEX(TableTECalcPts[BYE],MATCH(TableTEVORP[[#This Row],[RK]],TableTECalcPts[RK],0)),"")</f>
        <v>9</v>
      </c>
      <c r="Z81" s="121">
        <f>IFERROR(INDEX(TableTECalcPts[Custom],MATCH(TableTEVORP[[#This Row],[RK]],TableTECalcPts[RK],0)),"")</f>
        <v>11.655864573509518</v>
      </c>
      <c r="AA81" s="122">
        <f>IFERROR((TableTEVORP[[#This Row],[FPS]]-INDEX(TableTEVORP[FPS],MATCH(TEVORPCalc,TableTEVORP[RK],0)))/INDEX(TableTEVORP[FPS],MATCH(TEVORPCalc,TableTEVORP[RK],0)),"")</f>
        <v>-0.90191158616547629</v>
      </c>
      <c r="AF81" t="s">
        <v>256</v>
      </c>
      <c r="AG81">
        <v>40</v>
      </c>
      <c r="AH81" s="86">
        <f>RANK(TableOverallMaster[[#This Row],[VORP]],TableOverallMaster[VORP])+COUNTIF($AM$2:AM81,AM81)-1</f>
        <v>115</v>
      </c>
      <c r="AI81" s="123" t="str">
        <f>IFERROR(INDEX(TableRBVORP[RUNNING BACK],MATCH(TableOverallMaster[[#This Row],[RK]],TableRBVORP[RK],0)),"")</f>
        <v>Ezekiel Elliott</v>
      </c>
      <c r="AJ81" s="123" t="str">
        <f t="shared" si="1"/>
        <v>RB40</v>
      </c>
      <c r="AK81" s="123">
        <f>IFERROR(INDEX(TableRBVORP[BYE],MATCH(TableOverallMaster[[#This Row],[RK]],TableRBVORP[RK],0)),"")</f>
        <v>11</v>
      </c>
      <c r="AL81" s="124">
        <f>IFERROR(INDEX(TableRBVORP[FPS],MATCH(TableOverallMaster[[#This Row],[RK]],TableRBVORP[RK],0)),"")</f>
        <v>129.219760046272</v>
      </c>
      <c r="AM81" s="125">
        <f>IFERROR(INDEX(TableRBVORP[VORP],MATCH(TableOverallMaster[[#This Row],[RK]],TableRBVORP[RK],0)),"")</f>
        <v>5.5174617398565426E-2</v>
      </c>
      <c r="AO81">
        <v>80</v>
      </c>
      <c r="AP81" s="126" t="str">
        <f>IFERROR(INDEX(TableOverallMaster[OVERALL PLAYER],MATCH(TableOverallRank[[#This Row],[RK]],TableOverallMaster[OVR RK],0)),"")</f>
        <v>Brandon Aiyuk</v>
      </c>
      <c r="AQ81" s="127" t="str">
        <f>IFERROR(INDEX(TableOverallMaster[POS RK],MATCH(TableOverallRank[[#This Row],[OVERALL PLAYER]],TableOverallMaster[OVERALL PLAYER],0)),"")</f>
        <v>WR34</v>
      </c>
      <c r="AR81" s="128">
        <f>IFERROR(INDEX(TableOverallMaster[BYE],MATCH(TableOverallRank[[#This Row],[OVERALL PLAYER]],TableOverallMaster[OVERALL PLAYER],0)),"")</f>
        <v>9</v>
      </c>
      <c r="AS81" s="127">
        <f>IFERROR(INDEX(TableOverallMaster[Custom],MATCH(TableOverallRank[[#This Row],[OVERALL PLAYER]],TableOverallMaster[OVERALL PLAYER],0)),"")</f>
        <v>165.73280716151041</v>
      </c>
      <c r="AT81" s="129">
        <f>IFERROR(INDEX(TableOverallMaster[VORP],MATCH(TableOverallRank[[#This Row],[OVERALL PLAYER]],TableOverallMaster[OVERALL PLAYER],0)),"")</f>
        <v>0.27200972808127655</v>
      </c>
      <c r="AV81">
        <v>80</v>
      </c>
      <c r="AW81" s="130" t="str">
        <f>IFERROR(INDEX(TableWRTECalcPts[PLAYER],MATCH(TableWRTERank[[#This Row],[RK]],TableWRTECalcPts[RK],0)),"")</f>
        <v>Josh Downs</v>
      </c>
      <c r="AX81" s="130" t="str">
        <f>IFERROR(INDEX(TableWRTECalcPts[POS RK],MATCH(TableWRTERank[[#This Row],[WR and TE COMBINED]],TableWRTECalcPts[PLAYER],0)),"")</f>
        <v>WR68</v>
      </c>
      <c r="AY81" s="130">
        <f>IFERROR(INDEX(TableWRTECalcPts[BYE],MATCH(TableWRTERank[[#This Row],[RK]],TableWRTECalcPts[RK],0)),"")</f>
        <v>11</v>
      </c>
      <c r="AZ81" s="131">
        <f>IFERROR(INDEX(TableWRTECalcPts[Custom],MATCH(TableWRTERank[[#This Row],[RK]],TableWRTECalcPts[RK],0)),"")</f>
        <v>113.73967041881546</v>
      </c>
      <c r="BA81" s="188">
        <f>IFERROR((TableWRTERank[[#This Row],[FPS]]-INDEX(TableWRTERank[FPS],MATCH(WRTEVORPCalc,TableWRTERank[RK],0)))/INDEX(TableWRTERank[FPS],MATCH(WRTEVORPCalc,TableWRTERank[RK],0)),"")</f>
        <v>-0.17812225185926778</v>
      </c>
      <c r="BC81" t="s">
        <v>257</v>
      </c>
      <c r="BD81">
        <v>80</v>
      </c>
      <c r="BE81" s="86">
        <f>RANK(TableWRTEMaster[[#This Row],[VORP]],TableWRTEMaster[VORP])+COUNTIF($BJ$2:BJ81,BJ81)-1</f>
        <v>110</v>
      </c>
      <c r="BF81" s="123" t="str">
        <f>IFERROR(INDEX(TableWRVORP[WIDE RECEIVER],MATCH(TableWRTEMaster[[#This Row],[RK]],TableWRVORP[RK],0)),"")</f>
        <v>Marvin Jones</v>
      </c>
      <c r="BG81" s="123" t="str">
        <f>_xlfn.CONCAT(TableWRTEMaster[[#This Row],[POS]],TableWRTEMaster[[#This Row],[RK]])</f>
        <v>WR80</v>
      </c>
      <c r="BH81" s="123">
        <f>IFERROR(INDEX(TableWRVORP[BYE],MATCH(TableWRTEMaster[[#This Row],[RK]],TableWRVORP[RK],0)),"")</f>
        <v>9</v>
      </c>
      <c r="BI81" s="124">
        <f>IFERROR(INDEX(TableWRVORP[FPS],MATCH(TableWRTEMaster[[#This Row],[RK]],TableWRVORP[RK],0)),"")</f>
        <v>91.94050662758977</v>
      </c>
      <c r="BJ81" s="125">
        <f>IFERROR(INDEX(TableWRVORP[VORP],MATCH(TableWRTEMaster[[#This Row],[RK]],TableWRVORP[RK],0)),"")</f>
        <v>-0.29435082384717237</v>
      </c>
    </row>
    <row r="82" spans="1:62" x14ac:dyDescent="0.2">
      <c r="A82">
        <v>81</v>
      </c>
      <c r="B82" s="120" t="str">
        <f>IFERROR(INDEX(TableQBCalcPts[PLAYER],MATCH(TableQBVORP[[#This Row],[RK]],TableQBCalcPts[RK],0)),"")</f>
        <v/>
      </c>
      <c r="C82" s="120" t="str">
        <f>IFERROR(INDEX(TableQBCalcPts[TM],MATCH(TableQBVORP[[#This Row],[RK]],TableQBCalcPts[RK],0)),"")</f>
        <v/>
      </c>
      <c r="D82" s="120" t="str">
        <f>IFERROR(INDEX(TableQBCalcPts[BYE],MATCH(TableQBVORP[[#This Row],[RK]],TableQBCalcPts[RK],0)),"")</f>
        <v/>
      </c>
      <c r="E82" s="121" t="str">
        <f>IFERROR(INDEX(TableQBCalcPts[Custom],MATCH(TableQBVORP[[#This Row],[RK]],TableQBCalcPts[RK],0)),"")</f>
        <v/>
      </c>
      <c r="F82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82">
        <v>81</v>
      </c>
      <c r="I82" s="120" t="str">
        <f>IFERROR(INDEX(TableRBCalcPts[PLAYER],MATCH(TableRBVORP[[#This Row],[RK]],TableRBCalcPts[RK],0)),"")</f>
        <v>Michael Carter</v>
      </c>
      <c r="J82" s="120" t="str">
        <f>IFERROR(INDEX(TableRBCalcPts[TM],MATCH(TableRBVORP[[#This Row],[RK]],TableRBCalcPts[RK],0)),"")</f>
        <v>NYJ</v>
      </c>
      <c r="K82" s="120">
        <f>IFERROR(INDEX(TableRBCalcPts[BYE],MATCH(TableRBVORP[[#This Row],[RK]],TableRBCalcPts[RK],0)),"")</f>
        <v>7</v>
      </c>
      <c r="L82" s="121">
        <f>IFERROR(INDEX(TableRBCalcPts[Custom],MATCH(TableRBVORP[[#This Row],[RK]],TableRBCalcPts[RK],0)),"")</f>
        <v>36.499274480778766</v>
      </c>
      <c r="M82" s="122">
        <f>IFERROR((TableRBVORP[[#This Row],[FPS]]-INDEX(TableRBVORP[FPS],MATCH(RBVORPCalc,TableRBVORP[RK],0)))/INDEX(TableRBVORP[FPS],MATCH(RBVORPCalc,TableRBVORP[RK],0)),"")</f>
        <v>-0.70195651213258803</v>
      </c>
      <c r="O82">
        <v>81</v>
      </c>
      <c r="P82" s="120" t="str">
        <f>IFERROR(INDEX(TableWRCalcPts[PLAYER],MATCH(TableWRVORP[[#This Row],[RK]],TableWRCalcPts[RK],0)),"")</f>
        <v>Noah Brown</v>
      </c>
      <c r="Q82" s="120" t="str">
        <f>IFERROR(INDEX(TableWRCalcPts[TM],MATCH(TableWRVORP[[#This Row],[RK]],TableWRCalcPts[RK],0)),"")</f>
        <v>HOU</v>
      </c>
      <c r="R82" s="120">
        <f>IFERROR(INDEX(TableWRCalcPts[BYE],MATCH(TableWRVORP[[#This Row],[RK]],TableWRCalcPts[RK],0)),"")</f>
        <v>7</v>
      </c>
      <c r="S82" s="121">
        <f>IFERROR(INDEX(TableWRCalcPts[Custom],MATCH(TableWRVORP[[#This Row],[RK]],TableWRCalcPts[RK],0)),"")</f>
        <v>90.783936841197601</v>
      </c>
      <c r="T82" s="122">
        <f>IFERROR((TableWRVORP[[#This Row],[FPS]]-INDEX(TableWRVORP[FPS],MATCH(WRVORPCalc,TableWRVORP[RK],0)))/INDEX(TableWRVORP[FPS],MATCH(WRVORPCalc,TableWRVORP[RK],0)),"")</f>
        <v>-0.30322756976545057</v>
      </c>
      <c r="V82">
        <v>81</v>
      </c>
      <c r="W82" s="120" t="str">
        <f>IFERROR(INDEX(TableTECalcPts[PLAYER],MATCH(TableTEVORP[[#This Row],[RK]],TableTECalcPts[RK],0)),"")</f>
        <v>Brycen Hopkins</v>
      </c>
      <c r="X82" s="120" t="str">
        <f>IFERROR(INDEX(TableTECalcPts[TM],MATCH(TableTEVORP[[#This Row],[RK]],TableTECalcPts[RK],0)),"")</f>
        <v>LAR</v>
      </c>
      <c r="Y82" s="120">
        <f>IFERROR(INDEX(TableTECalcPts[BYE],MATCH(TableTEVORP[[#This Row],[RK]],TableTECalcPts[RK],0)),"")</f>
        <v>10</v>
      </c>
      <c r="Z82" s="121">
        <f>IFERROR(INDEX(TableTECalcPts[Custom],MATCH(TableTEVORP[[#This Row],[RK]],TableTECalcPts[RK],0)),"")</f>
        <v>10.608457570116235</v>
      </c>
      <c r="AA82" s="122">
        <f>IFERROR((TableTEVORP[[#This Row],[FPS]]-INDEX(TableTEVORP[FPS],MATCH(TEVORPCalc,TableTEVORP[RK],0)))/INDEX(TableTEVORP[FPS],MATCH(TEVORPCalc,TableTEVORP[RK],0)),"")</f>
        <v>-0.91072590370958317</v>
      </c>
      <c r="AF82" t="s">
        <v>256</v>
      </c>
      <c r="AG82">
        <v>41</v>
      </c>
      <c r="AH82" s="86">
        <f>RANK(TableOverallMaster[[#This Row],[VORP]],TableOverallMaster[VORP])+COUNTIF($AM$2:AM82,AM82)-1</f>
        <v>118</v>
      </c>
      <c r="AI82" s="123" t="str">
        <f>IFERROR(INDEX(TableRBVORP[RUNNING BACK],MATCH(TableOverallMaster[[#This Row],[RK]],TableRBVORP[RK],0)),"")</f>
        <v>Jerick McKinnon</v>
      </c>
      <c r="AJ82" s="123" t="str">
        <f t="shared" si="1"/>
        <v>RB41</v>
      </c>
      <c r="AK82" s="123">
        <f>IFERROR(INDEX(TableRBVORP[BYE],MATCH(TableOverallMaster[[#This Row],[RK]],TableRBVORP[RK],0)),"")</f>
        <v>10</v>
      </c>
      <c r="AL82" s="124">
        <f>IFERROR(INDEX(TableRBVORP[FPS],MATCH(TableOverallMaster[[#This Row],[RK]],TableRBVORP[RK],0)),"")</f>
        <v>127.93849341402913</v>
      </c>
      <c r="AM82" s="125">
        <f>IFERROR(INDEX(TableRBVORP[VORP],MATCH(TableOverallMaster[[#This Row],[RK]],TableRBVORP[RK],0)),"")</f>
        <v>4.4712130639742283E-2</v>
      </c>
      <c r="AO82">
        <v>81</v>
      </c>
      <c r="AP82" s="126" t="str">
        <f>IFERROR(INDEX(TableOverallMaster[OVERALL PLAYER],MATCH(TableOverallRank[[#This Row],[RK]],TableOverallMaster[OVR RK],0)),"")</f>
        <v>Drake London</v>
      </c>
      <c r="AQ82" s="127" t="str">
        <f>IFERROR(INDEX(TableOverallMaster[POS RK],MATCH(TableOverallRank[[#This Row],[OVERALL PLAYER]],TableOverallMaster[OVERALL PLAYER],0)),"")</f>
        <v>WR35</v>
      </c>
      <c r="AR82" s="128">
        <f>IFERROR(INDEX(TableOverallMaster[BYE],MATCH(TableOverallRank[[#This Row],[OVERALL PLAYER]],TableOverallMaster[OVERALL PLAYER],0)),"")</f>
        <v>11</v>
      </c>
      <c r="AS82" s="127">
        <f>IFERROR(INDEX(TableOverallMaster[Custom],MATCH(TableOverallRank[[#This Row],[OVERALL PLAYER]],TableOverallMaster[OVERALL PLAYER],0)),"")</f>
        <v>164.56961695199593</v>
      </c>
      <c r="AT82" s="129">
        <f>IFERROR(INDEX(TableOverallMaster[VORP],MATCH(TableOverallRank[[#This Row],[OVERALL PLAYER]],TableOverallMaster[OVERALL PLAYER],0)),"")</f>
        <v>0.26308216999876954</v>
      </c>
      <c r="AV82">
        <v>81</v>
      </c>
      <c r="AW82" s="130" t="str">
        <f>IFERROR(INDEX(TableWRTECalcPts[PLAYER],MATCH(TableWRTERank[[#This Row],[RK]],TableWRTECalcPts[RK],0)),"")</f>
        <v>DJ Chark</v>
      </c>
      <c r="AX82" s="130" t="str">
        <f>IFERROR(INDEX(TableWRTECalcPts[POS RK],MATCH(TableWRTERank[[#This Row],[WR and TE COMBINED]],TableWRTECalcPts[PLAYER],0)),"")</f>
        <v>WR69</v>
      </c>
      <c r="AY82" s="130">
        <f>IFERROR(INDEX(TableWRTECalcPts[BYE],MATCH(TableWRTERank[[#This Row],[RK]],TableWRTECalcPts[RK],0)),"")</f>
        <v>7</v>
      </c>
      <c r="AZ82" s="131">
        <f>IFERROR(INDEX(TableWRTECalcPts[Custom],MATCH(TableWRTERank[[#This Row],[RK]],TableWRTECalcPts[RK],0)),"")</f>
        <v>113.20957392716396</v>
      </c>
      <c r="BA82" s="188">
        <f>IFERROR((TableWRTERank[[#This Row],[FPS]]-INDEX(TableWRTERank[FPS],MATCH(WRTEVORPCalc,TableWRTERank[RK],0)))/INDEX(TableWRTERank[FPS],MATCH(WRTEVORPCalc,TableWRTERank[RK],0)),"")</f>
        <v>-0.18195270529078897</v>
      </c>
      <c r="BC82" t="s">
        <v>257</v>
      </c>
      <c r="BD82">
        <v>81</v>
      </c>
      <c r="BE82" s="86">
        <f>RANK(TableWRTEMaster[[#This Row],[VORP]],TableWRTEMaster[VORP])+COUNTIF($BJ$2:BJ82,BJ82)-1</f>
        <v>111</v>
      </c>
      <c r="BF82" s="123" t="str">
        <f>IFERROR(INDEX(TableWRVORP[WIDE RECEIVER],MATCH(TableWRTEMaster[[#This Row],[RK]],TableWRVORP[RK],0)),"")</f>
        <v>Noah Brown</v>
      </c>
      <c r="BG82" s="123" t="str">
        <f>_xlfn.CONCAT(TableWRTEMaster[[#This Row],[POS]],TableWRTEMaster[[#This Row],[RK]])</f>
        <v>WR81</v>
      </c>
      <c r="BH82" s="123">
        <f>IFERROR(INDEX(TableWRVORP[BYE],MATCH(TableWRTEMaster[[#This Row],[RK]],TableWRVORP[RK],0)),"")</f>
        <v>7</v>
      </c>
      <c r="BI82" s="124">
        <f>IFERROR(INDEX(TableWRVORP[FPS],MATCH(TableWRTEMaster[[#This Row],[RK]],TableWRVORP[RK],0)),"")</f>
        <v>90.783936841197601</v>
      </c>
      <c r="BJ82" s="125">
        <f>IFERROR(INDEX(TableWRVORP[VORP],MATCH(TableWRTEMaster[[#This Row],[RK]],TableWRVORP[RK],0)),"")</f>
        <v>-0.30322756976545057</v>
      </c>
    </row>
    <row r="83" spans="1:62" x14ac:dyDescent="0.2">
      <c r="A83">
        <v>82</v>
      </c>
      <c r="B83" s="120" t="str">
        <f>IFERROR(INDEX(TableQBCalcPts[PLAYER],MATCH(TableQBVORP[[#This Row],[RK]],TableQBCalcPts[RK],0)),"")</f>
        <v/>
      </c>
      <c r="C83" s="120" t="str">
        <f>IFERROR(INDEX(TableQBCalcPts[TM],MATCH(TableQBVORP[[#This Row],[RK]],TableQBCalcPts[RK],0)),"")</f>
        <v/>
      </c>
      <c r="D83" s="120" t="str">
        <f>IFERROR(INDEX(TableQBCalcPts[BYE],MATCH(TableQBVORP[[#This Row],[RK]],TableQBCalcPts[RK],0)),"")</f>
        <v/>
      </c>
      <c r="E83" s="121" t="str">
        <f>IFERROR(INDEX(TableQBCalcPts[Custom],MATCH(TableQBVORP[[#This Row],[RK]],TableQBCalcPts[RK],0)),"")</f>
        <v/>
      </c>
      <c r="F83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83">
        <v>82</v>
      </c>
      <c r="I83" s="120" t="str">
        <f>IFERROR(INDEX(TableRBCalcPts[PLAYER],MATCH(TableRBVORP[[#This Row],[RK]],TableRBCalcPts[RK],0)),"")</f>
        <v>Eric Gray</v>
      </c>
      <c r="J83" s="120" t="str">
        <f>IFERROR(INDEX(TableRBCalcPts[TM],MATCH(TableRBVORP[[#This Row],[RK]],TableRBCalcPts[RK],0)),"")</f>
        <v>NYG</v>
      </c>
      <c r="K83" s="120">
        <f>IFERROR(INDEX(TableRBCalcPts[BYE],MATCH(TableRBVORP[[#This Row],[RK]],TableRBCalcPts[RK],0)),"")</f>
        <v>13</v>
      </c>
      <c r="L83" s="121">
        <f>IFERROR(INDEX(TableRBCalcPts[Custom],MATCH(TableRBVORP[[#This Row],[RK]],TableRBCalcPts[RK],0)),"")</f>
        <v>35.268464973798864</v>
      </c>
      <c r="M83" s="122">
        <f>IFERROR((TableRBVORP[[#This Row],[FPS]]-INDEX(TableRBVORP[FPS],MATCH(RBVORPCalc,TableRBVORP[RK],0)))/INDEX(TableRBVORP[FPS],MATCH(RBVORPCalc,TableRBVORP[RK],0)),"")</f>
        <v>-0.7120069792604713</v>
      </c>
      <c r="O83">
        <v>82</v>
      </c>
      <c r="P83" s="120" t="str">
        <f>IFERROR(INDEX(TableWRCalcPts[PLAYER],MATCH(TableWRVORP[[#This Row],[RK]],TableWRCalcPts[RK],0)),"")</f>
        <v>Mecole Hardman</v>
      </c>
      <c r="Q83" s="120" t="str">
        <f>IFERROR(INDEX(TableWRCalcPts[TM],MATCH(TableWRVORP[[#This Row],[RK]],TableWRCalcPts[RK],0)),"")</f>
        <v>NYJ</v>
      </c>
      <c r="R83" s="120">
        <f>IFERROR(INDEX(TableWRCalcPts[BYE],MATCH(TableWRVORP[[#This Row],[RK]],TableWRCalcPts[RK],0)),"")</f>
        <v>7</v>
      </c>
      <c r="S83" s="121">
        <f>IFERROR(INDEX(TableWRCalcPts[Custom],MATCH(TableWRVORP[[#This Row],[RK]],TableWRCalcPts[RK],0)),"")</f>
        <v>90.344374723291807</v>
      </c>
      <c r="T83" s="122">
        <f>IFERROR((TableWRVORP[[#This Row],[FPS]]-INDEX(TableWRVORP[FPS],MATCH(WRVORPCalc,TableWRVORP[RK],0)))/INDEX(TableWRVORP[FPS],MATCH(WRVORPCalc,TableWRVORP[RK],0)),"")</f>
        <v>-0.30660123669144002</v>
      </c>
      <c r="V83">
        <v>82</v>
      </c>
      <c r="W83" s="120" t="str">
        <f>IFERROR(INDEX(TableTECalcPts[PLAYER],MATCH(TableTEVORP[[#This Row],[RK]],TableTECalcPts[RK],0)),"")</f>
        <v>Brevin Jordan</v>
      </c>
      <c r="X83" s="120" t="str">
        <f>IFERROR(INDEX(TableTECalcPts[TM],MATCH(TableTEVORP[[#This Row],[RK]],TableTECalcPts[RK],0)),"")</f>
        <v>HOU</v>
      </c>
      <c r="Y83" s="120">
        <f>IFERROR(INDEX(TableTECalcPts[BYE],MATCH(TableTEVORP[[#This Row],[RK]],TableTECalcPts[RK],0)),"")</f>
        <v>7</v>
      </c>
      <c r="Z83" s="121">
        <f>IFERROR(INDEX(TableTECalcPts[Custom],MATCH(TableTEVORP[[#This Row],[RK]],TableTECalcPts[RK],0)),"")</f>
        <v>9.8063479724391271</v>
      </c>
      <c r="AA83" s="122">
        <f>IFERROR((TableTEVORP[[#This Row],[FPS]]-INDEX(TableTEVORP[FPS],MATCH(TEVORPCalc,TableTEVORP[RK],0)))/INDEX(TableTEVORP[FPS],MATCH(TEVORPCalc,TableTEVORP[RK],0)),"")</f>
        <v>-0.91747595280816374</v>
      </c>
      <c r="AF83" t="s">
        <v>256</v>
      </c>
      <c r="AG83">
        <v>42</v>
      </c>
      <c r="AH83" s="86">
        <f>RANK(TableOverallMaster[[#This Row],[VORP]],TableOverallMaster[VORP])+COUNTIF($AM$2:AM83,AM83)-1</f>
        <v>121</v>
      </c>
      <c r="AI83" s="123" t="str">
        <f>IFERROR(INDEX(TableRBVORP[RUNNING BACK],MATCH(TableOverallMaster[[#This Row],[RK]],TableRBVORP[RK],0)),"")</f>
        <v>Jaylen Warren</v>
      </c>
      <c r="AJ83" s="123" t="str">
        <f t="shared" si="1"/>
        <v>RB42</v>
      </c>
      <c r="AK83" s="123">
        <f>IFERROR(INDEX(TableRBVORP[BYE],MATCH(TableOverallMaster[[#This Row],[RK]],TableRBVORP[RK],0)),"")</f>
        <v>6</v>
      </c>
      <c r="AL83" s="124">
        <f>IFERROR(INDEX(TableRBVORP[FPS],MATCH(TableOverallMaster[[#This Row],[RK]],TableRBVORP[RK],0)),"")</f>
        <v>125.49705526529478</v>
      </c>
      <c r="AM83" s="125">
        <f>IFERROR(INDEX(TableRBVORP[VORP],MATCH(TableOverallMaster[[#This Row],[RK]],TableRBVORP[RK],0)),"")</f>
        <v>2.4775988028344898E-2</v>
      </c>
      <c r="AO83">
        <v>82</v>
      </c>
      <c r="AP83" s="126" t="str">
        <f>IFERROR(INDEX(TableOverallMaster[OVERALL PLAYER],MATCH(TableOverallRank[[#This Row],[RK]],TableOverallMaster[OVR RK],0)),"")</f>
        <v>Antonio Gibson</v>
      </c>
      <c r="AQ83" s="127" t="str">
        <f>IFERROR(INDEX(TableOverallMaster[POS RK],MATCH(TableOverallRank[[#This Row],[OVERALL PLAYER]],TableOverallMaster[OVERALL PLAYER],0)),"")</f>
        <v>RB35</v>
      </c>
      <c r="AR83" s="128">
        <f>IFERROR(INDEX(TableOverallMaster[BYE],MATCH(TableOverallRank[[#This Row],[OVERALL PLAYER]],TableOverallMaster[OVERALL PLAYER],0)),"")</f>
        <v>14</v>
      </c>
      <c r="AS83" s="127">
        <f>IFERROR(INDEX(TableOverallMaster[Custom],MATCH(TableOverallRank[[#This Row],[OVERALL PLAYER]],TableOverallMaster[OVERALL PLAYER],0)),"")</f>
        <v>154.52928913426035</v>
      </c>
      <c r="AT83" s="129">
        <f>IFERROR(INDEX(TableOverallMaster[VORP],MATCH(TableOverallRank[[#This Row],[OVERALL PLAYER]],TableOverallMaster[OVERALL PLAYER],0)),"")</f>
        <v>0.26184558368416211</v>
      </c>
      <c r="AV83">
        <v>82</v>
      </c>
      <c r="AW83" s="130" t="str">
        <f>IFERROR(INDEX(TableWRTECalcPts[PLAYER],MATCH(TableWRTERank[[#This Row],[RK]],TableWRTECalcPts[RK],0)),"")</f>
        <v>Hunter Henry</v>
      </c>
      <c r="AX83" s="130" t="str">
        <f>IFERROR(INDEX(TableWRTECalcPts[POS RK],MATCH(TableWRTERank[[#This Row],[WR and TE COMBINED]],TableWRTECalcPts[PLAYER],0)),"")</f>
        <v>TE13</v>
      </c>
      <c r="AY83" s="130">
        <f>IFERROR(INDEX(TableWRTECalcPts[BYE],MATCH(TableWRTERank[[#This Row],[RK]],TableWRTECalcPts[RK],0)),"")</f>
        <v>11</v>
      </c>
      <c r="AZ83" s="131">
        <f>IFERROR(INDEX(TableWRTECalcPts[Custom],MATCH(TableWRTERank[[#This Row],[RK]],TableWRTECalcPts[RK],0)),"")</f>
        <v>112.32468213400713</v>
      </c>
      <c r="BA83" s="188">
        <f>IFERROR((TableWRTERank[[#This Row],[FPS]]-INDEX(TableWRTERank[FPS],MATCH(WRTEVORPCalc,TableWRTERank[RK],0)))/INDEX(TableWRTERank[FPS],MATCH(WRTEVORPCalc,TableWRTERank[RK],0)),"")</f>
        <v>-0.18834689363009013</v>
      </c>
      <c r="BC83" t="s">
        <v>257</v>
      </c>
      <c r="BD83">
        <v>82</v>
      </c>
      <c r="BE83" s="86">
        <f>RANK(TableWRTEMaster[[#This Row],[VORP]],TableWRTEMaster[VORP])+COUNTIF($BJ$2:BJ83,BJ83)-1</f>
        <v>112</v>
      </c>
      <c r="BF83" s="123" t="str">
        <f>IFERROR(INDEX(TableWRVORP[WIDE RECEIVER],MATCH(TableWRTEMaster[[#This Row],[RK]],TableWRVORP[RK],0)),"")</f>
        <v>Mecole Hardman</v>
      </c>
      <c r="BG83" s="123" t="str">
        <f>_xlfn.CONCAT(TableWRTEMaster[[#This Row],[POS]],TableWRTEMaster[[#This Row],[RK]])</f>
        <v>WR82</v>
      </c>
      <c r="BH83" s="123">
        <f>IFERROR(INDEX(TableWRVORP[BYE],MATCH(TableWRTEMaster[[#This Row],[RK]],TableWRVORP[RK],0)),"")</f>
        <v>7</v>
      </c>
      <c r="BI83" s="124">
        <f>IFERROR(INDEX(TableWRVORP[FPS],MATCH(TableWRTEMaster[[#This Row],[RK]],TableWRVORP[RK],0)),"")</f>
        <v>90.344374723291807</v>
      </c>
      <c r="BJ83" s="125">
        <f>IFERROR(INDEX(TableWRVORP[VORP],MATCH(TableWRTEMaster[[#This Row],[RK]],TableWRVORP[RK],0)),"")</f>
        <v>-0.30660123669144002</v>
      </c>
    </row>
    <row r="84" spans="1:62" x14ac:dyDescent="0.2">
      <c r="A84">
        <v>83</v>
      </c>
      <c r="B84" s="120" t="str">
        <f>IFERROR(INDEX(TableQBCalcPts[PLAYER],MATCH(TableQBVORP[[#This Row],[RK]],TableQBCalcPts[RK],0)),"")</f>
        <v/>
      </c>
      <c r="C84" s="120" t="str">
        <f>IFERROR(INDEX(TableQBCalcPts[TM],MATCH(TableQBVORP[[#This Row],[RK]],TableQBCalcPts[RK],0)),"")</f>
        <v/>
      </c>
      <c r="D84" s="120" t="str">
        <f>IFERROR(INDEX(TableQBCalcPts[BYE],MATCH(TableQBVORP[[#This Row],[RK]],TableQBCalcPts[RK],0)),"")</f>
        <v/>
      </c>
      <c r="E84" s="121" t="str">
        <f>IFERROR(INDEX(TableQBCalcPts[Custom],MATCH(TableQBVORP[[#This Row],[RK]],TableQBCalcPts[RK],0)),"")</f>
        <v/>
      </c>
      <c r="F84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84">
        <v>83</v>
      </c>
      <c r="I84" s="120" t="str">
        <f>IFERROR(INDEX(TableRBCalcPts[PLAYER],MATCH(TableRBVORP[[#This Row],[RK]],TableRBCalcPts[RK],0)),"")</f>
        <v>Kenny McIntosh</v>
      </c>
      <c r="J84" s="120" t="str">
        <f>IFERROR(INDEX(TableRBCalcPts[TM],MATCH(TableRBVORP[[#This Row],[RK]],TableRBCalcPts[RK],0)),"")</f>
        <v>SEA</v>
      </c>
      <c r="K84" s="120">
        <f>IFERROR(INDEX(TableRBCalcPts[BYE],MATCH(TableRBVORP[[#This Row],[RK]],TableRBCalcPts[RK],0)),"")</f>
        <v>5</v>
      </c>
      <c r="L84" s="121">
        <f>IFERROR(INDEX(TableRBCalcPts[Custom],MATCH(TableRBVORP[[#This Row],[RK]],TableRBCalcPts[RK],0)),"")</f>
        <v>34.972280277096957</v>
      </c>
      <c r="M84" s="122">
        <f>IFERROR((TableRBVORP[[#This Row],[FPS]]-INDEX(TableRBVORP[FPS],MATCH(RBVORPCalc,TableRBVORP[RK],0)))/INDEX(TableRBVORP[FPS],MATCH(RBVORPCalc,TableRBVORP[RK],0)),"")</f>
        <v>-0.71442554569264738</v>
      </c>
      <c r="O84">
        <v>83</v>
      </c>
      <c r="P84" s="120" t="str">
        <f>IFERROR(INDEX(TableWRCalcPts[PLAYER],MATCH(TableWRVORP[[#This Row],[RK]],TableWRCalcPts[RK],0)),"")</f>
        <v>Laviska Shenault</v>
      </c>
      <c r="Q84" s="120" t="str">
        <f>IFERROR(INDEX(TableWRCalcPts[TM],MATCH(TableWRVORP[[#This Row],[RK]],TableWRCalcPts[RK],0)),"")</f>
        <v>CAR</v>
      </c>
      <c r="R84" s="120">
        <f>IFERROR(INDEX(TableWRCalcPts[BYE],MATCH(TableWRVORP[[#This Row],[RK]],TableWRCalcPts[RK],0)),"")</f>
        <v>7</v>
      </c>
      <c r="S84" s="121">
        <f>IFERROR(INDEX(TableWRCalcPts[Custom],MATCH(TableWRVORP[[#This Row],[RK]],TableWRCalcPts[RK],0)),"")</f>
        <v>90.290516206634649</v>
      </c>
      <c r="T84" s="122">
        <f>IFERROR((TableWRVORP[[#This Row],[FPS]]-INDEX(TableWRVORP[FPS],MATCH(WRVORPCalc,TableWRVORP[RK],0)))/INDEX(TableWRVORP[FPS],MATCH(WRVORPCalc,TableWRVORP[RK],0)),"")</f>
        <v>-0.30701460419725418</v>
      </c>
      <c r="V84">
        <v>83</v>
      </c>
      <c r="W84" s="120" t="str">
        <f>IFERROR(INDEX(TableTECalcPts[PLAYER],MATCH(TableTEVORP[[#This Row],[RK]],TableTECalcPts[RK],0)),"")</f>
        <v>Quintin Morris</v>
      </c>
      <c r="X84" s="120" t="str">
        <f>IFERROR(INDEX(TableTECalcPts[TM],MATCH(TableTEVORP[[#This Row],[RK]],TableTECalcPts[RK],0)),"")</f>
        <v>BUF</v>
      </c>
      <c r="Y84" s="120">
        <f>IFERROR(INDEX(TableTECalcPts[BYE],MATCH(TableTEVORP[[#This Row],[RK]],TableTECalcPts[RK],0)),"")</f>
        <v>13</v>
      </c>
      <c r="Z84" s="121">
        <f>IFERROR(INDEX(TableTECalcPts[Custom],MATCH(TableTEVORP[[#This Row],[RK]],TableTECalcPts[RK],0)),"")</f>
        <v>9.2599325460133226</v>
      </c>
      <c r="AA84" s="122">
        <f>IFERROR((TableTEVORP[[#This Row],[FPS]]-INDEX(TableTEVORP[FPS],MATCH(TEVORPCalc,TableTEVORP[RK],0)))/INDEX(TableTEVORP[FPS],MATCH(TEVORPCalc,TableTEVORP[RK],0)),"")</f>
        <v>-0.92207424083174239</v>
      </c>
      <c r="AF84" t="s">
        <v>256</v>
      </c>
      <c r="AG84">
        <v>43</v>
      </c>
      <c r="AH84" s="86">
        <f>RANK(TableOverallMaster[[#This Row],[VORP]],TableOverallMaster[VORP])+COUNTIF($AM$2:AM84,AM84)-1</f>
        <v>122</v>
      </c>
      <c r="AI84" s="123" t="str">
        <f>IFERROR(INDEX(TableRBVORP[RUNNING BACK],MATCH(TableOverallMaster[[#This Row],[RK]],TableRBVORP[RK],0)),"")</f>
        <v>De'Von Achane</v>
      </c>
      <c r="AJ84" s="123" t="str">
        <f t="shared" si="1"/>
        <v>RB43</v>
      </c>
      <c r="AK84" s="123">
        <f>IFERROR(INDEX(TableRBVORP[BYE],MATCH(TableOverallMaster[[#This Row],[RK]],TableRBVORP[RK],0)),"")</f>
        <v>10</v>
      </c>
      <c r="AL84" s="124">
        <f>IFERROR(INDEX(TableRBVORP[FPS],MATCH(TableOverallMaster[[#This Row],[RK]],TableRBVORP[RK],0)),"")</f>
        <v>125.17657453477499</v>
      </c>
      <c r="AM84" s="125">
        <f>IFERROR(INDEX(TableRBVORP[VORP],MATCH(TableOverallMaster[[#This Row],[RK]],TableRBVORP[RK],0)),"")</f>
        <v>2.2159026566036501E-2</v>
      </c>
      <c r="AO84">
        <v>83</v>
      </c>
      <c r="AP84" s="126" t="str">
        <f>IFERROR(INDEX(TableOverallMaster[OVERALL PLAYER],MATCH(TableOverallRank[[#This Row],[RK]],TableOverallMaster[OVR RK],0)),"")</f>
        <v>Zach Charbonnet</v>
      </c>
      <c r="AQ84" s="127" t="str">
        <f>IFERROR(INDEX(TableOverallMaster[POS RK],MATCH(TableOverallRank[[#This Row],[OVERALL PLAYER]],TableOverallMaster[OVERALL PLAYER],0)),"")</f>
        <v>RB36</v>
      </c>
      <c r="AR84" s="128">
        <f>IFERROR(INDEX(TableOverallMaster[BYE],MATCH(TableOverallRank[[#This Row],[OVERALL PLAYER]],TableOverallMaster[OVERALL PLAYER],0)),"")</f>
        <v>5</v>
      </c>
      <c r="AS84" s="127">
        <f>IFERROR(INDEX(TableOverallMaster[Custom],MATCH(TableOverallRank[[#This Row],[OVERALL PLAYER]],TableOverallMaster[OVERALL PLAYER],0)),"")</f>
        <v>154.45059742536267</v>
      </c>
      <c r="AT84" s="129">
        <f>IFERROR(INDEX(TableOverallMaster[VORP],MATCH(TableOverallRank[[#This Row],[OVERALL PLAYER]],TableOverallMaster[OVERALL PLAYER],0)),"")</f>
        <v>0.26120300785985462</v>
      </c>
      <c r="AV84">
        <v>83</v>
      </c>
      <c r="AW84" s="130" t="str">
        <f>IFERROR(INDEX(TableWRTECalcPts[PLAYER],MATCH(TableWRTERank[[#This Row],[RK]],TableWRTECalcPts[RK],0)),"")</f>
        <v>Cole Kmet</v>
      </c>
      <c r="AX84" s="130" t="str">
        <f>IFERROR(INDEX(TableWRTECalcPts[POS RK],MATCH(TableWRTERank[[#This Row],[WR and TE COMBINED]],TableWRTECalcPts[PLAYER],0)),"")</f>
        <v>TE14</v>
      </c>
      <c r="AY84" s="130">
        <f>IFERROR(INDEX(TableWRTECalcPts[BYE],MATCH(TableWRTERank[[#This Row],[RK]],TableWRTECalcPts[RK],0)),"")</f>
        <v>13</v>
      </c>
      <c r="AZ84" s="131">
        <f>IFERROR(INDEX(TableWRTECalcPts[Custom],MATCH(TableWRTERank[[#This Row],[RK]],TableWRTECalcPts[RK],0)),"")</f>
        <v>112.27012334528251</v>
      </c>
      <c r="BA84" s="188">
        <f>IFERROR((TableWRTERank[[#This Row],[FPS]]-INDEX(TableWRTERank[FPS],MATCH(WRTEVORPCalc,TableWRTERank[RK],0)))/INDEX(TableWRTERank[FPS],MATCH(WRTEVORPCalc,TableWRTERank[RK],0)),"")</f>
        <v>-0.18874113298609638</v>
      </c>
      <c r="BC84" t="s">
        <v>257</v>
      </c>
      <c r="BD84">
        <v>83</v>
      </c>
      <c r="BE84" s="86">
        <f>RANK(TableWRTEMaster[[#This Row],[VORP]],TableWRTEMaster[VORP])+COUNTIF($BJ$2:BJ84,BJ84)-1</f>
        <v>113</v>
      </c>
      <c r="BF84" s="123" t="str">
        <f>IFERROR(INDEX(TableWRVORP[WIDE RECEIVER],MATCH(TableWRTEMaster[[#This Row],[RK]],TableWRVORP[RK],0)),"")</f>
        <v>Laviska Shenault</v>
      </c>
      <c r="BG84" s="123" t="str">
        <f>_xlfn.CONCAT(TableWRTEMaster[[#This Row],[POS]],TableWRTEMaster[[#This Row],[RK]])</f>
        <v>WR83</v>
      </c>
      <c r="BH84" s="123">
        <f>IFERROR(INDEX(TableWRVORP[BYE],MATCH(TableWRTEMaster[[#This Row],[RK]],TableWRVORP[RK],0)),"")</f>
        <v>7</v>
      </c>
      <c r="BI84" s="124">
        <f>IFERROR(INDEX(TableWRVORP[FPS],MATCH(TableWRTEMaster[[#This Row],[RK]],TableWRVORP[RK],0)),"")</f>
        <v>90.290516206634649</v>
      </c>
      <c r="BJ84" s="125">
        <f>IFERROR(INDEX(TableWRVORP[VORP],MATCH(TableWRTEMaster[[#This Row],[RK]],TableWRVORP[RK],0)),"")</f>
        <v>-0.30701460419725418</v>
      </c>
    </row>
    <row r="85" spans="1:62" x14ac:dyDescent="0.2">
      <c r="A85">
        <v>84</v>
      </c>
      <c r="B85" s="120" t="str">
        <f>IFERROR(INDEX(TableQBCalcPts[PLAYER],MATCH(TableQBVORP[[#This Row],[RK]],TableQBCalcPts[RK],0)),"")</f>
        <v/>
      </c>
      <c r="C85" s="120" t="str">
        <f>IFERROR(INDEX(TableQBCalcPts[TM],MATCH(TableQBVORP[[#This Row],[RK]],TableQBCalcPts[RK],0)),"")</f>
        <v/>
      </c>
      <c r="D85" s="120" t="str">
        <f>IFERROR(INDEX(TableQBCalcPts[BYE],MATCH(TableQBVORP[[#This Row],[RK]],TableQBCalcPts[RK],0)),"")</f>
        <v/>
      </c>
      <c r="E85" s="121" t="str">
        <f>IFERROR(INDEX(TableQBCalcPts[Custom],MATCH(TableQBVORP[[#This Row],[RK]],TableQBCalcPts[RK],0)),"")</f>
        <v/>
      </c>
      <c r="F85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85">
        <v>84</v>
      </c>
      <c r="I85" s="120" t="str">
        <f>IFERROR(INDEX(TableRBCalcPts[PLAYER],MATCH(TableRBVORP[[#This Row],[RK]],TableRBCalcPts[RK],0)),"")</f>
        <v>Ronnie Rivers</v>
      </c>
      <c r="J85" s="120" t="str">
        <f>IFERROR(INDEX(TableRBCalcPts[TM],MATCH(TableRBVORP[[#This Row],[RK]],TableRBCalcPts[RK],0)),"")</f>
        <v>LAR</v>
      </c>
      <c r="K85" s="120">
        <f>IFERROR(INDEX(TableRBCalcPts[BYE],MATCH(TableRBVORP[[#This Row],[RK]],TableRBCalcPts[RK],0)),"")</f>
        <v>10</v>
      </c>
      <c r="L85" s="121">
        <f>IFERROR(INDEX(TableRBCalcPts[Custom],MATCH(TableRBVORP[[#This Row],[RK]],TableRBCalcPts[RK],0)),"")</f>
        <v>34.805722107144163</v>
      </c>
      <c r="M85" s="122">
        <f>IFERROR((TableRBVORP[[#This Row],[FPS]]-INDEX(TableRBVORP[FPS],MATCH(RBVORPCalc,TableRBVORP[RK],0)))/INDEX(TableRBVORP[FPS],MATCH(RBVORPCalc,TableRBVORP[RK],0)),"")</f>
        <v>-0.71578561595737789</v>
      </c>
      <c r="O85">
        <v>84</v>
      </c>
      <c r="P85" s="120" t="str">
        <f>IFERROR(INDEX(TableWRCalcPts[PLAYER],MATCH(TableWRVORP[[#This Row],[RK]],TableWRCalcPts[RK],0)),"")</f>
        <v>Isaiah Hodgins</v>
      </c>
      <c r="Q85" s="120" t="str">
        <f>IFERROR(INDEX(TableWRCalcPts[TM],MATCH(TableWRVORP[[#This Row],[RK]],TableWRCalcPts[RK],0)),"")</f>
        <v>NYG</v>
      </c>
      <c r="R85" s="120">
        <f>IFERROR(INDEX(TableWRCalcPts[BYE],MATCH(TableWRVORP[[#This Row],[RK]],TableWRCalcPts[RK],0)),"")</f>
        <v>13</v>
      </c>
      <c r="S85" s="121">
        <f>IFERROR(INDEX(TableWRCalcPts[Custom],MATCH(TableWRVORP[[#This Row],[RK]],TableWRCalcPts[RK],0)),"")</f>
        <v>88.794501254683098</v>
      </c>
      <c r="T85" s="122">
        <f>IFERROR((TableWRVORP[[#This Row],[FPS]]-INDEX(TableWRVORP[FPS],MATCH(WRVORPCalc,TableWRVORP[RK],0)))/INDEX(TableWRVORP[FPS],MATCH(WRVORPCalc,TableWRVORP[RK],0)),"")</f>
        <v>-0.31849661312975813</v>
      </c>
      <c r="V85">
        <v>84</v>
      </c>
      <c r="W85" s="120" t="str">
        <f>IFERROR(INDEX(TableTECalcPts[PLAYER],MATCH(TableTEVORP[[#This Row],[RK]],TableTECalcPts[RK],0)),"")</f>
        <v>O.J. Howard</v>
      </c>
      <c r="X85" s="120" t="str">
        <f>IFERROR(INDEX(TableTECalcPts[TM],MATCH(TableTEVORP[[#This Row],[RK]],TableTECalcPts[RK],0)),"")</f>
        <v>LV</v>
      </c>
      <c r="Y85" s="120">
        <f>IFERROR(INDEX(TableTECalcPts[BYE],MATCH(TableTEVORP[[#This Row],[RK]],TableTECalcPts[RK],0)),"")</f>
        <v>13</v>
      </c>
      <c r="Z85" s="121">
        <f>IFERROR(INDEX(TableTECalcPts[Custom],MATCH(TableTEVORP[[#This Row],[RK]],TableTECalcPts[RK],0)),"")</f>
        <v>8.9999943163385883</v>
      </c>
      <c r="AA85" s="122">
        <f>IFERROR((TableTEVORP[[#This Row],[FPS]]-INDEX(TableTEVORP[FPS],MATCH(TEVORPCalc,TableTEVORP[RK],0)))/INDEX(TableTEVORP[FPS],MATCH(TEVORPCalc,TableTEVORP[RK],0)),"")</f>
        <v>-0.92426171722896266</v>
      </c>
      <c r="AF85" t="s">
        <v>256</v>
      </c>
      <c r="AG85">
        <v>44</v>
      </c>
      <c r="AH85" s="86">
        <f>RANK(TableOverallMaster[[#This Row],[VORP]],TableOverallMaster[VORP])+COUNTIF($AM$2:AM85,AM85)-1</f>
        <v>127</v>
      </c>
      <c r="AI85" s="123" t="str">
        <f>IFERROR(INDEX(TableRBVORP[RUNNING BACK],MATCH(TableOverallMaster[[#This Row],[RK]],TableRBVORP[RK],0)),"")</f>
        <v>Deuce Vaughn</v>
      </c>
      <c r="AJ85" s="123" t="str">
        <f t="shared" si="1"/>
        <v>RB44</v>
      </c>
      <c r="AK85" s="123">
        <f>IFERROR(INDEX(TableRBVORP[BYE],MATCH(TableOverallMaster[[#This Row],[RK]],TableRBVORP[RK],0)),"")</f>
        <v>7</v>
      </c>
      <c r="AL85" s="124">
        <f>IFERROR(INDEX(TableRBVORP[FPS],MATCH(TableOverallMaster[[#This Row],[RK]],TableRBVORP[RK],0)),"")</f>
        <v>122.46291553605721</v>
      </c>
      <c r="AM85" s="125">
        <f>IFERROR(INDEX(TableRBVORP[VORP],MATCH(TableOverallMaster[[#This Row],[RK]],TableRBVORP[RK],0)),"")</f>
        <v>0</v>
      </c>
      <c r="AO85">
        <v>84</v>
      </c>
      <c r="AP85" s="126" t="str">
        <f>IFERROR(INDEX(TableOverallMaster[OVERALL PLAYER],MATCH(TableOverallRank[[#This Row],[RK]],TableOverallMaster[OVR RK],0)),"")</f>
        <v>Allen Lazard</v>
      </c>
      <c r="AQ85" s="127" t="str">
        <f>IFERROR(INDEX(TableOverallMaster[POS RK],MATCH(TableOverallRank[[#This Row],[OVERALL PLAYER]],TableOverallMaster[OVERALL PLAYER],0)),"")</f>
        <v>WR36</v>
      </c>
      <c r="AR85" s="128">
        <f>IFERROR(INDEX(TableOverallMaster[BYE],MATCH(TableOverallRank[[#This Row],[OVERALL PLAYER]],TableOverallMaster[OVERALL PLAYER],0)),"")</f>
        <v>7</v>
      </c>
      <c r="AS85" s="127">
        <f>IFERROR(INDEX(TableOverallMaster[Custom],MATCH(TableOverallRank[[#This Row],[OVERALL PLAYER]],TableOverallMaster[OVERALL PLAYER],0)),"")</f>
        <v>162.96652371193738</v>
      </c>
      <c r="AT85" s="129">
        <f>IFERROR(INDEX(TableOverallMaster[VORP],MATCH(TableOverallRank[[#This Row],[OVERALL PLAYER]],TableOverallMaster[OVERALL PLAYER],0)),"")</f>
        <v>0.25077832846431342</v>
      </c>
      <c r="AV85">
        <v>84</v>
      </c>
      <c r="AW85" s="130" t="str">
        <f>IFERROR(INDEX(TableWRTECalcPts[PLAYER],MATCH(TableWRTERank[[#This Row],[RK]],TableWRTECalcPts[RK],0)),"")</f>
        <v>DeVante Parker</v>
      </c>
      <c r="AX85" s="130" t="str">
        <f>IFERROR(INDEX(TableWRTECalcPts[POS RK],MATCH(TableWRTERank[[#This Row],[WR and TE COMBINED]],TableWRTECalcPts[PLAYER],0)),"")</f>
        <v>WR70</v>
      </c>
      <c r="AY85" s="130">
        <f>IFERROR(INDEX(TableWRTECalcPts[BYE],MATCH(TableWRTERank[[#This Row],[RK]],TableWRTECalcPts[RK],0)),"")</f>
        <v>11</v>
      </c>
      <c r="AZ85" s="131">
        <f>IFERROR(INDEX(TableWRTECalcPts[Custom],MATCH(TableWRTERank[[#This Row],[RK]],TableWRTECalcPts[RK],0)),"")</f>
        <v>111.97896938137993</v>
      </c>
      <c r="BA85" s="188">
        <f>IFERROR((TableWRTERank[[#This Row],[FPS]]-INDEX(TableWRTERank[FPS],MATCH(WRTEVORPCalc,TableWRTERank[RK],0)))/INDEX(TableWRTERank[FPS],MATCH(WRTEVORPCalc,TableWRTERank[RK],0)),"")</f>
        <v>-0.19084499844775435</v>
      </c>
      <c r="BC85" t="s">
        <v>257</v>
      </c>
      <c r="BD85">
        <v>84</v>
      </c>
      <c r="BE85" s="86">
        <f>RANK(TableWRTEMaster[[#This Row],[VORP]],TableWRTEMaster[VORP])+COUNTIF($BJ$2:BJ85,BJ85)-1</f>
        <v>115</v>
      </c>
      <c r="BF85" s="123" t="str">
        <f>IFERROR(INDEX(TableWRVORP[WIDE RECEIVER],MATCH(TableWRTEMaster[[#This Row],[RK]],TableWRVORP[RK],0)),"")</f>
        <v>Isaiah Hodgins</v>
      </c>
      <c r="BG85" s="123" t="str">
        <f>_xlfn.CONCAT(TableWRTEMaster[[#This Row],[POS]],TableWRTEMaster[[#This Row],[RK]])</f>
        <v>WR84</v>
      </c>
      <c r="BH85" s="123">
        <f>IFERROR(INDEX(TableWRVORP[BYE],MATCH(TableWRTEMaster[[#This Row],[RK]],TableWRVORP[RK],0)),"")</f>
        <v>13</v>
      </c>
      <c r="BI85" s="124">
        <f>IFERROR(INDEX(TableWRVORP[FPS],MATCH(TableWRTEMaster[[#This Row],[RK]],TableWRVORP[RK],0)),"")</f>
        <v>88.794501254683098</v>
      </c>
      <c r="BJ85" s="125">
        <f>IFERROR(INDEX(TableWRVORP[VORP],MATCH(TableWRTEMaster[[#This Row],[RK]],TableWRVORP[RK],0)),"")</f>
        <v>-0.31849661312975813</v>
      </c>
    </row>
    <row r="86" spans="1:62" x14ac:dyDescent="0.2">
      <c r="A86">
        <v>85</v>
      </c>
      <c r="B86" s="120" t="str">
        <f>IFERROR(INDEX(TableQBCalcPts[PLAYER],MATCH(TableQBVORP[[#This Row],[RK]],TableQBCalcPts[RK],0)),"")</f>
        <v/>
      </c>
      <c r="C86" s="120" t="str">
        <f>IFERROR(INDEX(TableQBCalcPts[TM],MATCH(TableQBVORP[[#This Row],[RK]],TableQBCalcPts[RK],0)),"")</f>
        <v/>
      </c>
      <c r="D86" s="120" t="str">
        <f>IFERROR(INDEX(TableQBCalcPts[BYE],MATCH(TableQBVORP[[#This Row],[RK]],TableQBCalcPts[RK],0)),"")</f>
        <v/>
      </c>
      <c r="E86" s="121" t="str">
        <f>IFERROR(INDEX(TableQBCalcPts[Custom],MATCH(TableQBVORP[[#This Row],[RK]],TableQBCalcPts[RK],0)),"")</f>
        <v/>
      </c>
      <c r="F86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86">
        <v>85</v>
      </c>
      <c r="I86" s="120" t="str">
        <f>IFERROR(INDEX(TableRBCalcPts[PLAYER],MATCH(TableRBVORP[[#This Row],[RK]],TableRBCalcPts[RK],0)),"")</f>
        <v>Chris Rodriguez</v>
      </c>
      <c r="J86" s="120" t="str">
        <f>IFERROR(INDEX(TableRBCalcPts[TM],MATCH(TableRBVORP[[#This Row],[RK]],TableRBCalcPts[RK],0)),"")</f>
        <v>WSH</v>
      </c>
      <c r="K86" s="120">
        <f>IFERROR(INDEX(TableRBCalcPts[BYE],MATCH(TableRBVORP[[#This Row],[RK]],TableRBCalcPts[RK],0)),"")</f>
        <v>14</v>
      </c>
      <c r="L86" s="121">
        <f>IFERROR(INDEX(TableRBCalcPts[Custom],MATCH(TableRBVORP[[#This Row],[RK]],TableRBCalcPts[RK],0)),"")</f>
        <v>34.323708694423821</v>
      </c>
      <c r="M86" s="122">
        <f>IFERROR((TableRBVORP[[#This Row],[FPS]]-INDEX(TableRBVORP[FPS],MATCH(RBVORPCalc,TableRBVORP[RK],0)))/INDEX(TableRBVORP[FPS],MATCH(RBVORPCalc,TableRBVORP[RK],0)),"")</f>
        <v>-0.71972161087151509</v>
      </c>
      <c r="O86">
        <v>85</v>
      </c>
      <c r="P86" s="120" t="str">
        <f>IFERROR(INDEX(TableWRCalcPts[PLAYER],MATCH(TableWRVORP[[#This Row],[RK]],TableWRCalcPts[RK],0)),"")</f>
        <v>Parris Campbell</v>
      </c>
      <c r="Q86" s="120" t="str">
        <f>IFERROR(INDEX(TableWRCalcPts[TM],MATCH(TableWRVORP[[#This Row],[RK]],TableWRCalcPts[RK],0)),"")</f>
        <v>NYG</v>
      </c>
      <c r="R86" s="120">
        <f>IFERROR(INDEX(TableWRCalcPts[BYE],MATCH(TableWRVORP[[#This Row],[RK]],TableWRCalcPts[RK],0)),"")</f>
        <v>13</v>
      </c>
      <c r="S86" s="121">
        <f>IFERROR(INDEX(TableWRCalcPts[Custom],MATCH(TableWRVORP[[#This Row],[RK]],TableWRCalcPts[RK],0)),"")</f>
        <v>87.537493843607933</v>
      </c>
      <c r="T86" s="122">
        <f>IFERROR((TableWRVORP[[#This Row],[FPS]]-INDEX(TableWRVORP[FPS],MATCH(WRVORPCalc,TableWRVORP[RK],0)))/INDEX(TableWRVORP[FPS],MATCH(WRVORPCalc,TableWRVORP[RK],0)),"")</f>
        <v>-0.32814422414017008</v>
      </c>
      <c r="V86">
        <v>85</v>
      </c>
      <c r="W86" s="120" t="str">
        <f>IFERROR(INDEX(TableTECalcPts[PLAYER],MATCH(TableTEVORP[[#This Row],[RK]],TableTECalcPts[RK],0)),"")</f>
        <v>John Bates</v>
      </c>
      <c r="X86" s="120" t="str">
        <f>IFERROR(INDEX(TableTECalcPts[TM],MATCH(TableTEVORP[[#This Row],[RK]],TableTECalcPts[RK],0)),"")</f>
        <v>WSH</v>
      </c>
      <c r="Y86" s="120">
        <f>IFERROR(INDEX(TableTECalcPts[BYE],MATCH(TableTEVORP[[#This Row],[RK]],TableTECalcPts[RK],0)),"")</f>
        <v>14</v>
      </c>
      <c r="Z86" s="121">
        <f>IFERROR(INDEX(TableTECalcPts[Custom],MATCH(TableTEVORP[[#This Row],[RK]],TableTECalcPts[RK],0)),"")</f>
        <v>8.9019390849842956</v>
      </c>
      <c r="AA86" s="122">
        <f>IFERROR((TableTEVORP[[#This Row],[FPS]]-INDEX(TableTEVORP[FPS],MATCH(TEVORPCalc,TableTEVORP[RK],0)))/INDEX(TableTEVORP[FPS],MATCH(TEVORPCalc,TableTEVORP[RK],0)),"")</f>
        <v>-0.92508688828779417</v>
      </c>
      <c r="AF86" t="s">
        <v>256</v>
      </c>
      <c r="AG86">
        <v>45</v>
      </c>
      <c r="AH86" s="86">
        <f>RANK(TableOverallMaster[[#This Row],[VORP]],TableOverallMaster[VORP])+COUNTIF($AM$2:AM86,AM86)-1</f>
        <v>136</v>
      </c>
      <c r="AI86" s="123" t="str">
        <f>IFERROR(INDEX(TableRBVORP[RUNNING BACK],MATCH(TableOverallMaster[[#This Row],[RK]],TableRBVORP[RK],0)),"")</f>
        <v>Rashaad Penny</v>
      </c>
      <c r="AJ86" s="123" t="str">
        <f t="shared" si="1"/>
        <v>RB45</v>
      </c>
      <c r="AK86" s="123">
        <f>IFERROR(INDEX(TableRBVORP[BYE],MATCH(TableOverallMaster[[#This Row],[RK]],TableRBVORP[RK],0)),"")</f>
        <v>10</v>
      </c>
      <c r="AL86" s="124">
        <f>IFERROR(INDEX(TableRBVORP[FPS],MATCH(TableOverallMaster[[#This Row],[RK]],TableRBVORP[RK],0)),"")</f>
        <v>116.11919779473679</v>
      </c>
      <c r="AM86" s="125">
        <f>IFERROR(INDEX(TableRBVORP[VORP],MATCH(TableOverallMaster[[#This Row],[RK]],TableRBVORP[RK],0)),"")</f>
        <v>-5.1801132722931242E-2</v>
      </c>
      <c r="AO86">
        <v>85</v>
      </c>
      <c r="AP86" s="126" t="str">
        <f>IFERROR(INDEX(TableOverallMaster[OVERALL PLAYER],MATCH(TableOverallRank[[#This Row],[RK]],TableOverallMaster[OVR RK],0)),"")</f>
        <v>Mike Evans</v>
      </c>
      <c r="AQ86" s="127" t="str">
        <f>IFERROR(INDEX(TableOverallMaster[POS RK],MATCH(TableOverallRank[[#This Row],[OVERALL PLAYER]],TableOverallMaster[OVERALL PLAYER],0)),"")</f>
        <v>WR37</v>
      </c>
      <c r="AR86" s="128">
        <f>IFERROR(INDEX(TableOverallMaster[BYE],MATCH(TableOverallRank[[#This Row],[OVERALL PLAYER]],TableOverallMaster[OVERALL PLAYER],0)),"")</f>
        <v>5</v>
      </c>
      <c r="AS86" s="127">
        <f>IFERROR(INDEX(TableOverallMaster[Custom],MATCH(TableOverallRank[[#This Row],[OVERALL PLAYER]],TableOverallMaster[OVERALL PLAYER],0)),"")</f>
        <v>162.31074654216576</v>
      </c>
      <c r="AT86" s="129">
        <f>IFERROR(INDEX(TableOverallMaster[VORP],MATCH(TableOverallRank[[#This Row],[OVERALL PLAYER]],TableOverallMaster[OVERALL PLAYER],0)),"")</f>
        <v>0.24574519740420769</v>
      </c>
      <c r="AV86">
        <v>85</v>
      </c>
      <c r="AW86" s="130" t="str">
        <f>IFERROR(INDEX(TableWRTECalcPts[PLAYER],MATCH(TableWRTERank[[#This Row],[RK]],TableWRTECalcPts[RK],0)),"")</f>
        <v>Dalton Kincaid</v>
      </c>
      <c r="AX86" s="130" t="str">
        <f>IFERROR(INDEX(TableWRTECalcPts[POS RK],MATCH(TableWRTERank[[#This Row],[WR and TE COMBINED]],TableWRTECalcPts[PLAYER],0)),"")</f>
        <v>TE15</v>
      </c>
      <c r="AY86" s="130">
        <f>IFERROR(INDEX(TableWRTECalcPts[BYE],MATCH(TableWRTERank[[#This Row],[RK]],TableWRTECalcPts[RK],0)),"")</f>
        <v>13</v>
      </c>
      <c r="AZ86" s="131">
        <f>IFERROR(INDEX(TableWRTECalcPts[Custom],MATCH(TableWRTERank[[#This Row],[RK]],TableWRTECalcPts[RK],0)),"")</f>
        <v>111.19421970139238</v>
      </c>
      <c r="BA86" s="188">
        <f>IFERROR((TableWRTERank[[#This Row],[FPS]]-INDEX(TableWRTERank[FPS],MATCH(WRTEVORPCalc,TableWRTERank[RK],0)))/INDEX(TableWRTERank[FPS],MATCH(WRTEVORPCalc,TableWRTERank[RK],0)),"")</f>
        <v>-0.19651556437666376</v>
      </c>
      <c r="BC86" t="s">
        <v>257</v>
      </c>
      <c r="BD86">
        <v>85</v>
      </c>
      <c r="BE86" s="86">
        <f>RANK(TableWRTEMaster[[#This Row],[VORP]],TableWRTEMaster[VORP])+COUNTIF($BJ$2:BJ86,BJ86)-1</f>
        <v>117</v>
      </c>
      <c r="BF86" s="123" t="str">
        <f>IFERROR(INDEX(TableWRVORP[WIDE RECEIVER],MATCH(TableWRTEMaster[[#This Row],[RK]],TableWRVORP[RK],0)),"")</f>
        <v>Parris Campbell</v>
      </c>
      <c r="BG86" s="123" t="str">
        <f>_xlfn.CONCAT(TableWRTEMaster[[#This Row],[POS]],TableWRTEMaster[[#This Row],[RK]])</f>
        <v>WR85</v>
      </c>
      <c r="BH86" s="123">
        <f>IFERROR(INDEX(TableWRVORP[BYE],MATCH(TableWRTEMaster[[#This Row],[RK]],TableWRVORP[RK],0)),"")</f>
        <v>13</v>
      </c>
      <c r="BI86" s="124">
        <f>IFERROR(INDEX(TableWRVORP[FPS],MATCH(TableWRTEMaster[[#This Row],[RK]],TableWRVORP[RK],0)),"")</f>
        <v>87.537493843607933</v>
      </c>
      <c r="BJ86" s="125">
        <f>IFERROR(INDEX(TableWRVORP[VORP],MATCH(TableWRTEMaster[[#This Row],[RK]],TableWRVORP[RK],0)),"")</f>
        <v>-0.32814422414017008</v>
      </c>
    </row>
    <row r="87" spans="1:62" x14ac:dyDescent="0.2">
      <c r="A87">
        <v>86</v>
      </c>
      <c r="B87" s="120" t="str">
        <f>IFERROR(INDEX(TableQBCalcPts[PLAYER],MATCH(TableQBVORP[[#This Row],[RK]],TableQBCalcPts[RK],0)),"")</f>
        <v/>
      </c>
      <c r="C87" s="120" t="str">
        <f>IFERROR(INDEX(TableQBCalcPts[TM],MATCH(TableQBVORP[[#This Row],[RK]],TableQBCalcPts[RK],0)),"")</f>
        <v/>
      </c>
      <c r="D87" s="120" t="str">
        <f>IFERROR(INDEX(TableQBCalcPts[BYE],MATCH(TableQBVORP[[#This Row],[RK]],TableQBCalcPts[RK],0)),"")</f>
        <v/>
      </c>
      <c r="E87" s="121" t="str">
        <f>IFERROR(INDEX(TableQBCalcPts[Custom],MATCH(TableQBVORP[[#This Row],[RK]],TableQBCalcPts[RK],0)),"")</f>
        <v/>
      </c>
      <c r="F87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87">
        <v>86</v>
      </c>
      <c r="I87" s="120" t="str">
        <f>IFERROR(INDEX(TableRBCalcPts[PLAYER],MATCH(TableRBVORP[[#This Row],[RK]],TableRBCalcPts[RK],0)),"")</f>
        <v>Isaiah Spiller</v>
      </c>
      <c r="J87" s="120" t="str">
        <f>IFERROR(INDEX(TableRBCalcPts[TM],MATCH(TableRBVORP[[#This Row],[RK]],TableRBCalcPts[RK],0)),"")</f>
        <v>LAC</v>
      </c>
      <c r="K87" s="120">
        <f>IFERROR(INDEX(TableRBCalcPts[BYE],MATCH(TableRBVORP[[#This Row],[RK]],TableRBCalcPts[RK],0)),"")</f>
        <v>5</v>
      </c>
      <c r="L87" s="121">
        <f>IFERROR(INDEX(TableRBCalcPts[Custom],MATCH(TableRBVORP[[#This Row],[RK]],TableRBCalcPts[RK],0)),"")</f>
        <v>34.067763694883844</v>
      </c>
      <c r="M87" s="122">
        <f>IFERROR((TableRBVORP[[#This Row],[FPS]]-INDEX(TableRBVORP[FPS],MATCH(RBVORPCalc,TableRBVORP[RK],0)))/INDEX(TableRBVORP[FPS],MATCH(RBVORPCalc,TableRBVORP[RK],0)),"")</f>
        <v>-0.72181159050673471</v>
      </c>
      <c r="O87">
        <v>86</v>
      </c>
      <c r="P87" s="120" t="str">
        <f>IFERROR(INDEX(TableWRCalcPts[PLAYER],MATCH(TableWRVORP[[#This Row],[RK]],TableWRCalcPts[RK],0)),"")</f>
        <v>Kendrick Bourne</v>
      </c>
      <c r="Q87" s="120" t="str">
        <f>IFERROR(INDEX(TableWRCalcPts[TM],MATCH(TableWRVORP[[#This Row],[RK]],TableWRCalcPts[RK],0)),"")</f>
        <v>NE</v>
      </c>
      <c r="R87" s="120">
        <f>IFERROR(INDEX(TableWRCalcPts[BYE],MATCH(TableWRVORP[[#This Row],[RK]],TableWRCalcPts[RK],0)),"")</f>
        <v>11</v>
      </c>
      <c r="S87" s="121">
        <f>IFERROR(INDEX(TableWRCalcPts[Custom],MATCH(TableWRVORP[[#This Row],[RK]],TableWRCalcPts[RK],0)),"")</f>
        <v>87.486076024099162</v>
      </c>
      <c r="T87" s="122">
        <f>IFERROR((TableWRVORP[[#This Row],[FPS]]-INDEX(TableWRVORP[FPS],MATCH(WRVORPCalc,TableWRVORP[RK],0)))/INDEX(TableWRVORP[FPS],MATCH(WRVORPCalc,TableWRVORP[RK],0)),"")</f>
        <v>-0.32853885914172504</v>
      </c>
      <c r="V87">
        <v>86</v>
      </c>
      <c r="W87" s="120" t="str">
        <f>IFERROR(INDEX(TableTECalcPts[PLAYER],MATCH(TableTEVORP[[#This Row],[RK]],TableTECalcPts[RK],0)),"")</f>
        <v>Colby Parkinson</v>
      </c>
      <c r="X87" s="120" t="str">
        <f>IFERROR(INDEX(TableTECalcPts[TM],MATCH(TableTEVORP[[#This Row],[RK]],TableTECalcPts[RK],0)),"")</f>
        <v>SEA</v>
      </c>
      <c r="Y87" s="120">
        <f>IFERROR(INDEX(TableTECalcPts[BYE],MATCH(TableTEVORP[[#This Row],[RK]],TableTECalcPts[RK],0)),"")</f>
        <v>5</v>
      </c>
      <c r="Z87" s="121">
        <f>IFERROR(INDEX(TableTECalcPts[Custom],MATCH(TableTEVORP[[#This Row],[RK]],TableTECalcPts[RK],0)),"")</f>
        <v>8.1406506414917494</v>
      </c>
      <c r="AA87" s="122">
        <f>IFERROR((TableTEVORP[[#This Row],[FPS]]-INDEX(TableTEVORP[FPS],MATCH(TEVORPCalc,TableTEVORP[RK],0)))/INDEX(TableTEVORP[FPS],MATCH(TEVORPCalc,TableTEVORP[RK],0)),"")</f>
        <v>-0.93149341226735805</v>
      </c>
      <c r="AF87" t="s">
        <v>256</v>
      </c>
      <c r="AG87">
        <v>46</v>
      </c>
      <c r="AH87" s="86">
        <f>RANK(TableOverallMaster[[#This Row],[VORP]],TableOverallMaster[VORP])+COUNTIF($AM$2:AM87,AM87)-1</f>
        <v>142</v>
      </c>
      <c r="AI87" s="123" t="str">
        <f>IFERROR(INDEX(TableRBVORP[RUNNING BACK],MATCH(TableOverallMaster[[#This Row],[RK]],TableRBVORP[RK],0)),"")</f>
        <v>Keaontay Ingram</v>
      </c>
      <c r="AJ87" s="123" t="str">
        <f t="shared" si="1"/>
        <v>RB46</v>
      </c>
      <c r="AK87" s="123">
        <f>IFERROR(INDEX(TableRBVORP[BYE],MATCH(TableOverallMaster[[#This Row],[RK]],TableRBVORP[RK],0)),"")</f>
        <v>14</v>
      </c>
      <c r="AL87" s="124">
        <f>IFERROR(INDEX(TableRBVORP[FPS],MATCH(TableOverallMaster[[#This Row],[RK]],TableRBVORP[RK],0)),"")</f>
        <v>114.34337921125001</v>
      </c>
      <c r="AM87" s="125">
        <f>IFERROR(INDEX(TableRBVORP[VORP],MATCH(TableOverallMaster[[#This Row],[RK]],TableRBVORP[RK],0)),"")</f>
        <v>-6.6302000807881595E-2</v>
      </c>
      <c r="AO87">
        <v>86</v>
      </c>
      <c r="AP87" s="126" t="str">
        <f>IFERROR(INDEX(TableOverallMaster[OVERALL PLAYER],MATCH(TableOverallRank[[#This Row],[RK]],TableOverallMaster[OVR RK],0)),"")</f>
        <v>Chris Godwin</v>
      </c>
      <c r="AQ87" s="127" t="str">
        <f>IFERROR(INDEX(TableOverallMaster[POS RK],MATCH(TableOverallRank[[#This Row],[OVERALL PLAYER]],TableOverallMaster[OVERALL PLAYER],0)),"")</f>
        <v>WR38</v>
      </c>
      <c r="AR87" s="128">
        <f>IFERROR(INDEX(TableOverallMaster[BYE],MATCH(TableOverallRank[[#This Row],[OVERALL PLAYER]],TableOverallMaster[OVERALL PLAYER],0)),"")</f>
        <v>5</v>
      </c>
      <c r="AS87" s="127">
        <f>IFERROR(INDEX(TableOverallMaster[Custom],MATCH(TableOverallRank[[#This Row],[OVERALL PLAYER]],TableOverallMaster[OVERALL PLAYER],0)),"")</f>
        <v>161.83878261451261</v>
      </c>
      <c r="AT87" s="129">
        <f>IFERROR(INDEX(TableOverallMaster[VORP],MATCH(TableOverallRank[[#This Row],[OVERALL PLAYER]],TableOverallMaster[OVERALL PLAYER],0)),"")</f>
        <v>0.24212284454866712</v>
      </c>
      <c r="AV87">
        <v>86</v>
      </c>
      <c r="AW87" s="130" t="str">
        <f>IFERROR(INDEX(TableWRTECalcPts[PLAYER],MATCH(TableWRTERank[[#This Row],[RK]],TableWRTECalcPts[RK],0)),"")</f>
        <v>Robert Woods</v>
      </c>
      <c r="AX87" s="130" t="str">
        <f>IFERROR(INDEX(TableWRTECalcPts[POS RK],MATCH(TableWRTERank[[#This Row],[WR and TE COMBINED]],TableWRTECalcPts[PLAYER],0)),"")</f>
        <v>WR71</v>
      </c>
      <c r="AY87" s="130">
        <f>IFERROR(INDEX(TableWRTECalcPts[BYE],MATCH(TableWRTERank[[#This Row],[RK]],TableWRTECalcPts[RK],0)),"")</f>
        <v>7</v>
      </c>
      <c r="AZ87" s="131">
        <f>IFERROR(INDEX(TableWRTECalcPts[Custom],MATCH(TableWRTERank[[#This Row],[RK]],TableWRTECalcPts[RK],0)),"")</f>
        <v>109.84140305335866</v>
      </c>
      <c r="BA87" s="188">
        <f>IFERROR((TableWRTERank[[#This Row],[FPS]]-INDEX(TableWRTERank[FPS],MATCH(WRTEVORPCalc,TableWRTERank[RK],0)))/INDEX(TableWRTERank[FPS],MATCH(WRTEVORPCalc,TableWRTERank[RK],0)),"")</f>
        <v>-0.20629095669351472</v>
      </c>
      <c r="BC87" t="s">
        <v>257</v>
      </c>
      <c r="BD87">
        <v>86</v>
      </c>
      <c r="BE87" s="86">
        <f>RANK(TableWRTEMaster[[#This Row],[VORP]],TableWRTEMaster[VORP])+COUNTIF($BJ$2:BJ87,BJ87)-1</f>
        <v>118</v>
      </c>
      <c r="BF87" s="123" t="str">
        <f>IFERROR(INDEX(TableWRVORP[WIDE RECEIVER],MATCH(TableWRTEMaster[[#This Row],[RK]],TableWRVORP[RK],0)),"")</f>
        <v>Kendrick Bourne</v>
      </c>
      <c r="BG87" s="123" t="str">
        <f>_xlfn.CONCAT(TableWRTEMaster[[#This Row],[POS]],TableWRTEMaster[[#This Row],[RK]])</f>
        <v>WR86</v>
      </c>
      <c r="BH87" s="123">
        <f>IFERROR(INDEX(TableWRVORP[BYE],MATCH(TableWRTEMaster[[#This Row],[RK]],TableWRVORP[RK],0)),"")</f>
        <v>11</v>
      </c>
      <c r="BI87" s="124">
        <f>IFERROR(INDEX(TableWRVORP[FPS],MATCH(TableWRTEMaster[[#This Row],[RK]],TableWRVORP[RK],0)),"")</f>
        <v>87.486076024099162</v>
      </c>
      <c r="BJ87" s="125">
        <f>IFERROR(INDEX(TableWRVORP[VORP],MATCH(TableWRTEMaster[[#This Row],[RK]],TableWRVORP[RK],0)),"")</f>
        <v>-0.32853885914172504</v>
      </c>
    </row>
    <row r="88" spans="1:62" x14ac:dyDescent="0.2">
      <c r="A88">
        <v>87</v>
      </c>
      <c r="B88" s="120" t="str">
        <f>IFERROR(INDEX(TableQBCalcPts[PLAYER],MATCH(TableQBVORP[[#This Row],[RK]],TableQBCalcPts[RK],0)),"")</f>
        <v/>
      </c>
      <c r="C88" s="120" t="str">
        <f>IFERROR(INDEX(TableQBCalcPts[TM],MATCH(TableQBVORP[[#This Row],[RK]],TableQBCalcPts[RK],0)),"")</f>
        <v/>
      </c>
      <c r="D88" s="120" t="str">
        <f>IFERROR(INDEX(TableQBCalcPts[BYE],MATCH(TableQBVORP[[#This Row],[RK]],TableQBCalcPts[RK],0)),"")</f>
        <v/>
      </c>
      <c r="E88" s="121" t="str">
        <f>IFERROR(INDEX(TableQBCalcPts[Custom],MATCH(TableQBVORP[[#This Row],[RK]],TableQBCalcPts[RK],0)),"")</f>
        <v/>
      </c>
      <c r="F88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88">
        <v>87</v>
      </c>
      <c r="I88" s="120" t="str">
        <f>IFERROR(INDEX(TableRBCalcPts[PLAYER],MATCH(TableRBVORP[[#This Row],[RK]],TableRBCalcPts[RK],0)),"")</f>
        <v>Kene Nwangwu</v>
      </c>
      <c r="J88" s="120" t="str">
        <f>IFERROR(INDEX(TableRBCalcPts[TM],MATCH(TableRBVORP[[#This Row],[RK]],TableRBCalcPts[RK],0)),"")</f>
        <v>MIN</v>
      </c>
      <c r="K88" s="120">
        <f>IFERROR(INDEX(TableRBCalcPts[BYE],MATCH(TableRBVORP[[#This Row],[RK]],TableRBCalcPts[RK],0)),"")</f>
        <v>13</v>
      </c>
      <c r="L88" s="121">
        <f>IFERROR(INDEX(TableRBCalcPts[Custom],MATCH(TableRBVORP[[#This Row],[RK]],TableRBCalcPts[RK],0)),"")</f>
        <v>32.950744019818238</v>
      </c>
      <c r="M88" s="122">
        <f>IFERROR((TableRBVORP[[#This Row],[FPS]]-INDEX(TableRBVORP[FPS],MATCH(RBVORPCalc,TableRBVORP[RK],0)))/INDEX(TableRBVORP[FPS],MATCH(RBVORPCalc,TableRBVORP[RK],0)),"")</f>
        <v>-0.7309328797572483</v>
      </c>
      <c r="O88">
        <v>87</v>
      </c>
      <c r="P88" s="120" t="str">
        <f>IFERROR(INDEX(TableWRCalcPts[PLAYER],MATCH(TableWRVORP[[#This Row],[RK]],TableWRCalcPts[RK],0)),"")</f>
        <v>Trey Palmer</v>
      </c>
      <c r="Q88" s="120" t="str">
        <f>IFERROR(INDEX(TableWRCalcPts[TM],MATCH(TableWRVORP[[#This Row],[RK]],TableWRCalcPts[RK],0)),"")</f>
        <v>TB</v>
      </c>
      <c r="R88" s="120">
        <f>IFERROR(INDEX(TableWRCalcPts[BYE],MATCH(TableWRVORP[[#This Row],[RK]],TableWRCalcPts[RK],0)),"")</f>
        <v>5</v>
      </c>
      <c r="S88" s="121">
        <f>IFERROR(INDEX(TableWRCalcPts[Custom],MATCH(TableWRVORP[[#This Row],[RK]],TableWRCalcPts[RK],0)),"")</f>
        <v>87.342060412734071</v>
      </c>
      <c r="T88" s="122">
        <f>IFERROR((TableWRVORP[[#This Row],[FPS]]-INDEX(TableWRVORP[FPS],MATCH(WRVORPCalc,TableWRVORP[RK],0)))/INDEX(TableWRVORP[FPS],MATCH(WRVORPCalc,TableWRVORP[RK],0)),"")</f>
        <v>-0.32964418802494033</v>
      </c>
      <c r="V88">
        <v>87</v>
      </c>
      <c r="W88" s="120" t="str">
        <f>IFERROR(INDEX(TableTECalcPts[PLAYER],MATCH(TableTEVORP[[#This Row],[RK]],TableTECalcPts[RK],0)),"")</f>
        <v>Josh Oliver</v>
      </c>
      <c r="X88" s="120" t="str">
        <f>IFERROR(INDEX(TableTECalcPts[TM],MATCH(TableTEVORP[[#This Row],[RK]],TableTECalcPts[RK],0)),"")</f>
        <v>MIN</v>
      </c>
      <c r="Y88" s="120">
        <f>IFERROR(INDEX(TableTECalcPts[BYE],MATCH(TableTEVORP[[#This Row],[RK]],TableTECalcPts[RK],0)),"")</f>
        <v>13</v>
      </c>
      <c r="Z88" s="121">
        <f>IFERROR(INDEX(TableTECalcPts[Custom],MATCH(TableTEVORP[[#This Row],[RK]],TableTECalcPts[RK],0)),"")</f>
        <v>7.947462224774859</v>
      </c>
      <c r="AA88" s="122">
        <f>IFERROR((TableTEVORP[[#This Row],[FPS]]-INDEX(TableTEVORP[FPS],MATCH(TEVORPCalc,TableTEVORP[RK],0)))/INDEX(TableTEVORP[FPS],MATCH(TEVORPCalc,TableTEVORP[RK],0)),"")</f>
        <v>-0.93311916428664876</v>
      </c>
      <c r="AF88" t="s">
        <v>256</v>
      </c>
      <c r="AG88">
        <v>47</v>
      </c>
      <c r="AH88" s="86">
        <f>RANK(TableOverallMaster[[#This Row],[VORP]],TableOverallMaster[VORP])+COUNTIF($AM$2:AM88,AM88)-1</f>
        <v>144</v>
      </c>
      <c r="AI88" s="123" t="str">
        <f>IFERROR(INDEX(TableRBVORP[RUNNING BACK],MATCH(TableOverallMaster[[#This Row],[RK]],TableRBVORP[RK],0)),"")</f>
        <v>Roschon Johnson</v>
      </c>
      <c r="AJ88" s="123" t="str">
        <f t="shared" si="1"/>
        <v>RB47</v>
      </c>
      <c r="AK88" s="123">
        <f>IFERROR(INDEX(TableRBVORP[BYE],MATCH(TableOverallMaster[[#This Row],[RK]],TableRBVORP[RK],0)),"")</f>
        <v>13</v>
      </c>
      <c r="AL88" s="124">
        <f>IFERROR(INDEX(TableRBVORP[FPS],MATCH(TableOverallMaster[[#This Row],[RK]],TableRBVORP[RK],0)),"")</f>
        <v>113.11824613203741</v>
      </c>
      <c r="AM88" s="125">
        <f>IFERROR(INDEX(TableRBVORP[VORP],MATCH(TableOverallMaster[[#This Row],[RK]],TableRBVORP[RK],0)),"")</f>
        <v>-7.6306115717687709E-2</v>
      </c>
      <c r="AO88">
        <v>87</v>
      </c>
      <c r="AP88" s="126" t="str">
        <f>IFERROR(INDEX(TableOverallMaster[OVERALL PLAYER],MATCH(TableOverallRank[[#This Row],[RK]],TableOverallMaster[OVR RK],0)),"")</f>
        <v>Michael Thomas</v>
      </c>
      <c r="AQ88" s="127" t="str">
        <f>IFERROR(INDEX(TableOverallMaster[POS RK],MATCH(TableOverallRank[[#This Row],[OVERALL PLAYER]],TableOverallMaster[OVERALL PLAYER],0)),"")</f>
        <v>WR39</v>
      </c>
      <c r="AR88" s="128">
        <f>IFERROR(INDEX(TableOverallMaster[BYE],MATCH(TableOverallRank[[#This Row],[OVERALL PLAYER]],TableOverallMaster[OVERALL PLAYER],0)),"")</f>
        <v>11</v>
      </c>
      <c r="AS88" s="127">
        <f>IFERROR(INDEX(TableOverallMaster[Custom],MATCH(TableOverallRank[[#This Row],[OVERALL PLAYER]],TableOverallMaster[OVERALL PLAYER],0)),"")</f>
        <v>161.64076617387752</v>
      </c>
      <c r="AT88" s="129">
        <f>IFERROR(INDEX(TableOverallMaster[VORP],MATCH(TableOverallRank[[#This Row],[OVERALL PLAYER]],TableOverallMaster[OVERALL PLAYER],0)),"")</f>
        <v>0.24060305590137535</v>
      </c>
      <c r="AV88">
        <v>87</v>
      </c>
      <c r="AW88" s="130" t="str">
        <f>IFERROR(INDEX(TableWRTECalcPts[PLAYER],MATCH(TableWRTERank[[#This Row],[RK]],TableWRTECalcPts[RK],0)),"")</f>
        <v>Dalton Schultz</v>
      </c>
      <c r="AX88" s="130" t="str">
        <f>IFERROR(INDEX(TableWRTECalcPts[POS RK],MATCH(TableWRTERank[[#This Row],[WR and TE COMBINED]],TableWRTECalcPts[PLAYER],0)),"")</f>
        <v>TE16</v>
      </c>
      <c r="AY88" s="130">
        <f>IFERROR(INDEX(TableWRTECalcPts[BYE],MATCH(TableWRTERank[[#This Row],[RK]],TableWRTECalcPts[RK],0)),"")</f>
        <v>7</v>
      </c>
      <c r="AZ88" s="131">
        <f>IFERROR(INDEX(TableWRTECalcPts[Custom],MATCH(TableWRTERank[[#This Row],[RK]],TableWRTECalcPts[RK],0)),"")</f>
        <v>107.78710020429105</v>
      </c>
      <c r="BA88" s="188">
        <f>IFERROR((TableWRTERank[[#This Row],[FPS]]-INDEX(TableWRTERank[FPS],MATCH(WRTEVORPCalc,TableWRTERank[RK],0)))/INDEX(TableWRTERank[FPS],MATCH(WRTEVORPCalc,TableWRTERank[RK],0)),"")</f>
        <v>-0.22113525678137111</v>
      </c>
      <c r="BC88" t="s">
        <v>257</v>
      </c>
      <c r="BD88">
        <v>87</v>
      </c>
      <c r="BE88" s="86">
        <f>RANK(TableWRTEMaster[[#This Row],[VORP]],TableWRTEMaster[VORP])+COUNTIF($BJ$2:BJ88,BJ88)-1</f>
        <v>119</v>
      </c>
      <c r="BF88" s="123" t="str">
        <f>IFERROR(INDEX(TableWRVORP[WIDE RECEIVER],MATCH(TableWRTEMaster[[#This Row],[RK]],TableWRVORP[RK],0)),"")</f>
        <v>Trey Palmer</v>
      </c>
      <c r="BG88" s="123" t="str">
        <f>_xlfn.CONCAT(TableWRTEMaster[[#This Row],[POS]],TableWRTEMaster[[#This Row],[RK]])</f>
        <v>WR87</v>
      </c>
      <c r="BH88" s="123">
        <f>IFERROR(INDEX(TableWRVORP[BYE],MATCH(TableWRTEMaster[[#This Row],[RK]],TableWRVORP[RK],0)),"")</f>
        <v>5</v>
      </c>
      <c r="BI88" s="124">
        <f>IFERROR(INDEX(TableWRVORP[FPS],MATCH(TableWRTEMaster[[#This Row],[RK]],TableWRVORP[RK],0)),"")</f>
        <v>87.342060412734071</v>
      </c>
      <c r="BJ88" s="125">
        <f>IFERROR(INDEX(TableWRVORP[VORP],MATCH(TableWRTEMaster[[#This Row],[RK]],TableWRVORP[RK],0)),"")</f>
        <v>-0.32964418802494033</v>
      </c>
    </row>
    <row r="89" spans="1:62" x14ac:dyDescent="0.2">
      <c r="A89">
        <v>88</v>
      </c>
      <c r="B89" s="120" t="str">
        <f>IFERROR(INDEX(TableQBCalcPts[PLAYER],MATCH(TableQBVORP[[#This Row],[RK]],TableQBCalcPts[RK],0)),"")</f>
        <v/>
      </c>
      <c r="C89" s="120" t="str">
        <f>IFERROR(INDEX(TableQBCalcPts[TM],MATCH(TableQBVORP[[#This Row],[RK]],TableQBCalcPts[RK],0)),"")</f>
        <v/>
      </c>
      <c r="D89" s="120" t="str">
        <f>IFERROR(INDEX(TableQBCalcPts[BYE],MATCH(TableQBVORP[[#This Row],[RK]],TableQBCalcPts[RK],0)),"")</f>
        <v/>
      </c>
      <c r="E89" s="121" t="str">
        <f>IFERROR(INDEX(TableQBCalcPts[Custom],MATCH(TableQBVORP[[#This Row],[RK]],TableQBCalcPts[RK],0)),"")</f>
        <v/>
      </c>
      <c r="F89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89">
        <v>88</v>
      </c>
      <c r="I89" s="120" t="str">
        <f>IFERROR(INDEX(TableRBCalcPts[PLAYER],MATCH(TableRBVORP[[#This Row],[RK]],TableRBCalcPts[RK],0)),"")</f>
        <v>Dare Ogunbowale</v>
      </c>
      <c r="J89" s="120" t="str">
        <f>IFERROR(INDEX(TableRBCalcPts[TM],MATCH(TableRBVORP[[#This Row],[RK]],TableRBCalcPts[RK],0)),"")</f>
        <v>HOU</v>
      </c>
      <c r="K89" s="120">
        <f>IFERROR(INDEX(TableRBCalcPts[BYE],MATCH(TableRBVORP[[#This Row],[RK]],TableRBCalcPts[RK],0)),"")</f>
        <v>7</v>
      </c>
      <c r="L89" s="121">
        <f>IFERROR(INDEX(TableRBCalcPts[Custom],MATCH(TableRBVORP[[#This Row],[RK]],TableRBCalcPts[RK],0)),"")</f>
        <v>29.810729591596797</v>
      </c>
      <c r="M89" s="122">
        <f>IFERROR((TableRBVORP[[#This Row],[FPS]]-INDEX(TableRBVORP[FPS],MATCH(RBVORPCalc,TableRBVORP[RK],0)))/INDEX(TableRBVORP[FPS],MATCH(RBVORPCalc,TableRBVORP[RK],0)),"")</f>
        <v>-0.75657341276658141</v>
      </c>
      <c r="O89">
        <v>88</v>
      </c>
      <c r="P89" s="120" t="str">
        <f>IFERROR(INDEX(TableWRCalcPts[PLAYER],MATCH(TableWRVORP[[#This Row],[RK]],TableWRCalcPts[RK],0)),"")</f>
        <v>Puka Nacua</v>
      </c>
      <c r="Q89" s="120" t="str">
        <f>IFERROR(INDEX(TableWRCalcPts[TM],MATCH(TableWRVORP[[#This Row],[RK]],TableWRCalcPts[RK],0)),"")</f>
        <v>LAR</v>
      </c>
      <c r="R89" s="120">
        <f>IFERROR(INDEX(TableWRCalcPts[BYE],MATCH(TableWRVORP[[#This Row],[RK]],TableWRCalcPts[RK],0)),"")</f>
        <v>10</v>
      </c>
      <c r="S89" s="121">
        <f>IFERROR(INDEX(TableWRCalcPts[Custom],MATCH(TableWRVORP[[#This Row],[RK]],TableWRCalcPts[RK],0)),"")</f>
        <v>85.054259195136012</v>
      </c>
      <c r="T89" s="122">
        <f>IFERROR((TableWRVORP[[#This Row],[FPS]]-INDEX(TableWRVORP[FPS],MATCH(WRVORPCalc,TableWRVORP[RK],0)))/INDEX(TableWRVORP[FPS],MATCH(WRVORPCalc,TableWRVORP[RK],0)),"")</f>
        <v>-0.3472032063903564</v>
      </c>
      <c r="V89">
        <v>88</v>
      </c>
      <c r="W89" s="120" t="str">
        <f>IFERROR(INDEX(TableTECalcPts[PLAYER],MATCH(TableTEVORP[[#This Row],[RK]],TableTECalcPts[RK],0)),"")</f>
        <v>Charlie Kolar</v>
      </c>
      <c r="X89" s="120" t="str">
        <f>IFERROR(INDEX(TableTECalcPts[TM],MATCH(TableTEVORP[[#This Row],[RK]],TableTECalcPts[RK],0)),"")</f>
        <v>BAL</v>
      </c>
      <c r="Y89" s="120">
        <f>IFERROR(INDEX(TableTECalcPts[BYE],MATCH(TableTEVORP[[#This Row],[RK]],TableTECalcPts[RK],0)),"")</f>
        <v>13</v>
      </c>
      <c r="Z89" s="121">
        <f>IFERROR(INDEX(TableTECalcPts[Custom],MATCH(TableTEVORP[[#This Row],[RK]],TableTECalcPts[RK],0)),"")</f>
        <v>7.7628243148098379</v>
      </c>
      <c r="AA89" s="122">
        <f>IFERROR((TableTEVORP[[#This Row],[FPS]]-INDEX(TableTEVORP[FPS],MATCH(TEVORPCalc,TableTEVORP[RK],0)))/INDEX(TableTEVORP[FPS],MATCH(TEVORPCalc,TableTEVORP[RK],0)),"")</f>
        <v>-0.93467296062736394</v>
      </c>
      <c r="AF89" t="s">
        <v>256</v>
      </c>
      <c r="AG89">
        <v>48</v>
      </c>
      <c r="AH89" s="86">
        <f>RANK(TableOverallMaster[[#This Row],[VORP]],TableOverallMaster[VORP])+COUNTIF($AM$2:AM89,AM89)-1</f>
        <v>150</v>
      </c>
      <c r="AI89" s="123" t="str">
        <f>IFERROR(INDEX(TableRBVORP[RUNNING BACK],MATCH(TableOverallMaster[[#This Row],[RK]],TableRBVORP[RK],0)),"")</f>
        <v>Tank Bigsby</v>
      </c>
      <c r="AJ89" s="123" t="str">
        <f t="shared" si="1"/>
        <v>RB48</v>
      </c>
      <c r="AK89" s="123">
        <f>IFERROR(INDEX(TableRBVORP[BYE],MATCH(TableOverallMaster[[#This Row],[RK]],TableRBVORP[RK],0)),"")</f>
        <v>9</v>
      </c>
      <c r="AL89" s="124">
        <f>IFERROR(INDEX(TableRBVORP[FPS],MATCH(TableOverallMaster[[#This Row],[RK]],TableRBVORP[RK],0)),"")</f>
        <v>110.05860429876311</v>
      </c>
      <c r="AM89" s="125">
        <f>IFERROR(INDEX(TableRBVORP[VORP],MATCH(TableOverallMaster[[#This Row],[RK]],TableRBVORP[RK],0)),"")</f>
        <v>-0.10129034722876451</v>
      </c>
      <c r="AO89">
        <v>88</v>
      </c>
      <c r="AP89" s="126" t="str">
        <f>IFERROR(INDEX(TableOverallMaster[OVERALL PLAYER],MATCH(TableOverallRank[[#This Row],[RK]],TableOverallMaster[OVR RK],0)),"")</f>
        <v>Raheem Mostert</v>
      </c>
      <c r="AQ89" s="127" t="str">
        <f>IFERROR(INDEX(TableOverallMaster[POS RK],MATCH(TableOverallRank[[#This Row],[OVERALL PLAYER]],TableOverallMaster[OVERALL PLAYER],0)),"")</f>
        <v>RB37</v>
      </c>
      <c r="AR89" s="128">
        <f>IFERROR(INDEX(TableOverallMaster[BYE],MATCH(TableOverallRank[[#This Row],[OVERALL PLAYER]],TableOverallMaster[OVERALL PLAYER],0)),"")</f>
        <v>10</v>
      </c>
      <c r="AS89" s="127">
        <f>IFERROR(INDEX(TableOverallMaster[Custom],MATCH(TableOverallRank[[#This Row],[OVERALL PLAYER]],TableOverallMaster[OVERALL PLAYER],0)),"")</f>
        <v>148.20650311068127</v>
      </c>
      <c r="AT89" s="129">
        <f>IFERROR(INDEX(TableOverallMaster[VORP],MATCH(TableOverallRank[[#This Row],[OVERALL PLAYER]],TableOverallMaster[OVERALL PLAYER],0)),"")</f>
        <v>0.21021537387001274</v>
      </c>
      <c r="AV89">
        <v>88</v>
      </c>
      <c r="AW89" s="130" t="str">
        <f>IFERROR(INDEX(TableWRTECalcPts[PLAYER],MATCH(TableWRTERank[[#This Row],[RK]],TableWRTECalcPts[RK],0)),"")</f>
        <v>Zach Ertz</v>
      </c>
      <c r="AX89" s="130" t="str">
        <f>IFERROR(INDEX(TableWRTECalcPts[POS RK],MATCH(TableWRTERank[[#This Row],[WR and TE COMBINED]],TableWRTECalcPts[PLAYER],0)),"")</f>
        <v>TE17</v>
      </c>
      <c r="AY89" s="130">
        <f>IFERROR(INDEX(TableWRTECalcPts[BYE],MATCH(TableWRTERank[[#This Row],[RK]],TableWRTECalcPts[RK],0)),"")</f>
        <v>14</v>
      </c>
      <c r="AZ89" s="131">
        <f>IFERROR(INDEX(TableWRTECalcPts[Custom],MATCH(TableWRTERank[[#This Row],[RK]],TableWRTECalcPts[RK],0)),"")</f>
        <v>102.28849844849999</v>
      </c>
      <c r="BA89" s="188">
        <f>IFERROR((TableWRTERank[[#This Row],[FPS]]-INDEX(TableWRTERank[FPS],MATCH(WRTEVORPCalc,TableWRTERank[RK],0)))/INDEX(TableWRTERank[FPS],MATCH(WRTEVORPCalc,TableWRTERank[RK],0)),"")</f>
        <v>-0.26086790601739918</v>
      </c>
      <c r="BC89" t="s">
        <v>257</v>
      </c>
      <c r="BD89">
        <v>88</v>
      </c>
      <c r="BE89" s="86">
        <f>RANK(TableWRTEMaster[[#This Row],[VORP]],TableWRTEMaster[VORP])+COUNTIF($BJ$2:BJ89,BJ89)-1</f>
        <v>120</v>
      </c>
      <c r="BF89" s="123" t="str">
        <f>IFERROR(INDEX(TableWRVORP[WIDE RECEIVER],MATCH(TableWRTEMaster[[#This Row],[RK]],TableWRVORP[RK],0)),"")</f>
        <v>Puka Nacua</v>
      </c>
      <c r="BG89" s="123" t="str">
        <f>_xlfn.CONCAT(TableWRTEMaster[[#This Row],[POS]],TableWRTEMaster[[#This Row],[RK]])</f>
        <v>WR88</v>
      </c>
      <c r="BH89" s="123">
        <f>IFERROR(INDEX(TableWRVORP[BYE],MATCH(TableWRTEMaster[[#This Row],[RK]],TableWRVORP[RK],0)),"")</f>
        <v>10</v>
      </c>
      <c r="BI89" s="124">
        <f>IFERROR(INDEX(TableWRVORP[FPS],MATCH(TableWRTEMaster[[#This Row],[RK]],TableWRVORP[RK],0)),"")</f>
        <v>85.054259195136012</v>
      </c>
      <c r="BJ89" s="125">
        <f>IFERROR(INDEX(TableWRVORP[VORP],MATCH(TableWRTEMaster[[#This Row],[RK]],TableWRVORP[RK],0)),"")</f>
        <v>-0.3472032063903564</v>
      </c>
    </row>
    <row r="90" spans="1:62" x14ac:dyDescent="0.2">
      <c r="A90">
        <v>89</v>
      </c>
      <c r="B90" s="120" t="str">
        <f>IFERROR(INDEX(TableQBCalcPts[PLAYER],MATCH(TableQBVORP[[#This Row],[RK]],TableQBCalcPts[RK],0)),"")</f>
        <v/>
      </c>
      <c r="C90" s="120" t="str">
        <f>IFERROR(INDEX(TableQBCalcPts[TM],MATCH(TableQBVORP[[#This Row],[RK]],TableQBCalcPts[RK],0)),"")</f>
        <v/>
      </c>
      <c r="D90" s="120" t="str">
        <f>IFERROR(INDEX(TableQBCalcPts[BYE],MATCH(TableQBVORP[[#This Row],[RK]],TableQBCalcPts[RK],0)),"")</f>
        <v/>
      </c>
      <c r="E90" s="121" t="str">
        <f>IFERROR(INDEX(TableQBCalcPts[Custom],MATCH(TableQBVORP[[#This Row],[RK]],TableQBCalcPts[RK],0)),"")</f>
        <v/>
      </c>
      <c r="F90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90">
        <v>89</v>
      </c>
      <c r="I90" s="120" t="str">
        <f>IFERROR(INDEX(TableRBCalcPts[PLAYER],MATCH(TableRBVORP[[#This Row],[RK]],TableRBCalcPts[RK],0)),"")</f>
        <v>Trayveon Williams</v>
      </c>
      <c r="J90" s="120" t="str">
        <f>IFERROR(INDEX(TableRBCalcPts[TM],MATCH(TableRBVORP[[#This Row],[RK]],TableRBCalcPts[RK],0)),"")</f>
        <v>CIN</v>
      </c>
      <c r="K90" s="120">
        <f>IFERROR(INDEX(TableRBCalcPts[BYE],MATCH(TableRBVORP[[#This Row],[RK]],TableRBCalcPts[RK],0)),"")</f>
        <v>7</v>
      </c>
      <c r="L90" s="121">
        <f>IFERROR(INDEX(TableRBCalcPts[Custom],MATCH(TableRBVORP[[#This Row],[RK]],TableRBCalcPts[RK],0)),"")</f>
        <v>29.795665618303204</v>
      </c>
      <c r="M90" s="122">
        <f>IFERROR((TableRBVORP[[#This Row],[FPS]]-INDEX(TableRBVORP[FPS],MATCH(RBVORPCalc,TableRBVORP[RK],0)))/INDEX(TableRBVORP[FPS],MATCH(RBVORPCalc,TableRBVORP[RK],0)),"")</f>
        <v>-0.75669642121552827</v>
      </c>
      <c r="O90">
        <v>89</v>
      </c>
      <c r="P90" s="120" t="str">
        <f>IFERROR(INDEX(TableWRCalcPts[PLAYER],MATCH(TableWRVORP[[#This Row],[RK]],TableWRCalcPts[RK],0)),"")</f>
        <v>Hunter Renfrow</v>
      </c>
      <c r="Q90" s="120" t="str">
        <f>IFERROR(INDEX(TableWRCalcPts[TM],MATCH(TableWRVORP[[#This Row],[RK]],TableWRCalcPts[RK],0)),"")</f>
        <v>LV</v>
      </c>
      <c r="R90" s="120">
        <f>IFERROR(INDEX(TableWRCalcPts[BYE],MATCH(TableWRVORP[[#This Row],[RK]],TableWRCalcPts[RK],0)),"")</f>
        <v>13</v>
      </c>
      <c r="S90" s="121">
        <f>IFERROR(INDEX(TableWRCalcPts[Custom],MATCH(TableWRVORP[[#This Row],[RK]],TableWRCalcPts[RK],0)),"")</f>
        <v>84.554260335667863</v>
      </c>
      <c r="T90" s="122">
        <f>IFERROR((TableWRVORP[[#This Row],[FPS]]-INDEX(TableWRVORP[FPS],MATCH(WRVORPCalc,TableWRVORP[RK],0)))/INDEX(TableWRVORP[FPS],MATCH(WRVORPCalc,TableWRVORP[RK],0)),"")</f>
        <v>-0.35104072911241602</v>
      </c>
      <c r="V90">
        <v>89</v>
      </c>
      <c r="W90" s="120" t="str">
        <f>IFERROR(INDEX(TableTECalcPts[PLAYER],MATCH(TableTEVORP[[#This Row],[RK]],TableTECalcPts[RK],0)),"")</f>
        <v>Payne Durham</v>
      </c>
      <c r="X90" s="120" t="str">
        <f>IFERROR(INDEX(TableTECalcPts[TM],MATCH(TableTEVORP[[#This Row],[RK]],TableTECalcPts[RK],0)),"")</f>
        <v>TB</v>
      </c>
      <c r="Y90" s="120">
        <f>IFERROR(INDEX(TableTECalcPts[BYE],MATCH(TableTEVORP[[#This Row],[RK]],TableTECalcPts[RK],0)),"")</f>
        <v>5</v>
      </c>
      <c r="Z90" s="121">
        <f>IFERROR(INDEX(TableTECalcPts[Custom],MATCH(TableTEVORP[[#This Row],[RK]],TableTECalcPts[RK],0)),"")</f>
        <v>7.5061367673600001</v>
      </c>
      <c r="AA90" s="122">
        <f>IFERROR((TableTEVORP[[#This Row],[FPS]]-INDEX(TableTEVORP[FPS],MATCH(TEVORPCalc,TableTEVORP[RK],0)))/INDEX(TableTEVORP[FPS],MATCH(TEVORPCalc,TableTEVORP[RK],0)),"")</f>
        <v>-0.93683308133069221</v>
      </c>
      <c r="AF90" t="s">
        <v>256</v>
      </c>
      <c r="AG90">
        <v>49</v>
      </c>
      <c r="AH90" s="86">
        <f>RANK(TableOverallMaster[[#This Row],[VORP]],TableOverallMaster[VORP])+COUNTIF($AM$2:AM90,AM90)-1</f>
        <v>154</v>
      </c>
      <c r="AI90" s="123" t="str">
        <f>IFERROR(INDEX(TableRBVORP[RUNNING BACK],MATCH(TableOverallMaster[[#This Row],[RK]],TableRBVORP[RK],0)),"")</f>
        <v>Ty Chandler</v>
      </c>
      <c r="AJ90" s="123" t="str">
        <f t="shared" si="1"/>
        <v>RB49</v>
      </c>
      <c r="AK90" s="123">
        <f>IFERROR(INDEX(TableRBVORP[BYE],MATCH(TableOverallMaster[[#This Row],[RK]],TableRBVORP[RK],0)),"")</f>
        <v>13</v>
      </c>
      <c r="AL90" s="124">
        <f>IFERROR(INDEX(TableRBVORP[FPS],MATCH(TableOverallMaster[[#This Row],[RK]],TableRBVORP[RK],0)),"")</f>
        <v>107.11994911405516</v>
      </c>
      <c r="AM90" s="125">
        <f>IFERROR(INDEX(TableRBVORP[VORP],MATCH(TableOverallMaster[[#This Row],[RK]],TableRBVORP[RK],0)),"")</f>
        <v>-0.12528663354813371</v>
      </c>
      <c r="AO90">
        <v>89</v>
      </c>
      <c r="AP90" s="126" t="str">
        <f>IFERROR(INDEX(TableOverallMaster[OVERALL PLAYER],MATCH(TableOverallRank[[#This Row],[RK]],TableOverallMaster[OVR RK],0)),"")</f>
        <v>Justin Herbert</v>
      </c>
      <c r="AQ90" s="127" t="str">
        <f>IFERROR(INDEX(TableOverallMaster[POS RK],MATCH(TableOverallRank[[#This Row],[OVERALL PLAYER]],TableOverallMaster[OVERALL PLAYER],0)),"")</f>
        <v>QB8</v>
      </c>
      <c r="AR90" s="128">
        <f>IFERROR(INDEX(TableOverallMaster[BYE],MATCH(TableOverallRank[[#This Row],[OVERALL PLAYER]],TableOverallMaster[OVERALL PLAYER],0)),"")</f>
        <v>5</v>
      </c>
      <c r="AS90" s="127">
        <f>IFERROR(INDEX(TableOverallMaster[Custom],MATCH(TableOverallRank[[#This Row],[OVERALL PLAYER]],TableOverallMaster[OVERALL PLAYER],0)),"")</f>
        <v>340.26559345336074</v>
      </c>
      <c r="AT90" s="129">
        <f>IFERROR(INDEX(TableOverallMaster[VORP],MATCH(TableOverallRank[[#This Row],[OVERALL PLAYER]],TableOverallMaster[OVERALL PLAYER],0)),"")</f>
        <v>0.20663908485422017</v>
      </c>
      <c r="AV90">
        <v>89</v>
      </c>
      <c r="AW90" s="130" t="str">
        <f>IFERROR(INDEX(TableWRTECalcPts[PLAYER],MATCH(TableWRTERank[[#This Row],[RK]],TableWRTECalcPts[RK],0)),"")</f>
        <v>Dawson Knox</v>
      </c>
      <c r="AX90" s="130" t="str">
        <f>IFERROR(INDEX(TableWRTECalcPts[POS RK],MATCH(TableWRTERank[[#This Row],[WR and TE COMBINED]],TableWRTECalcPts[PLAYER],0)),"")</f>
        <v>TE18</v>
      </c>
      <c r="AY90" s="130">
        <f>IFERROR(INDEX(TableWRTECalcPts[BYE],MATCH(TableWRTERank[[#This Row],[RK]],TableWRTECalcPts[RK],0)),"")</f>
        <v>13</v>
      </c>
      <c r="AZ90" s="131">
        <f>IFERROR(INDEX(TableWRTECalcPts[Custom],MATCH(TableWRTERank[[#This Row],[RK]],TableWRTECalcPts[RK],0)),"")</f>
        <v>101.98897439520259</v>
      </c>
      <c r="BA90" s="188">
        <f>IFERROR((TableWRTERank[[#This Row],[FPS]]-INDEX(TableWRTERank[FPS],MATCH(WRTEVORPCalc,TableWRTERank[RK],0)))/INDEX(TableWRTERank[FPS],MATCH(WRTEVORPCalc,TableWRTERank[RK],0)),"")</f>
        <v>-0.26303225336895725</v>
      </c>
      <c r="BC90" t="s">
        <v>257</v>
      </c>
      <c r="BD90">
        <v>89</v>
      </c>
      <c r="BE90" s="86">
        <f>RANK(TableWRTEMaster[[#This Row],[VORP]],TableWRTEMaster[VORP])+COUNTIF($BJ$2:BJ90,BJ90)-1</f>
        <v>121</v>
      </c>
      <c r="BF90" s="123" t="str">
        <f>IFERROR(INDEX(TableWRVORP[WIDE RECEIVER],MATCH(TableWRTEMaster[[#This Row],[RK]],TableWRVORP[RK],0)),"")</f>
        <v>Hunter Renfrow</v>
      </c>
      <c r="BG90" s="123" t="str">
        <f>_xlfn.CONCAT(TableWRTEMaster[[#This Row],[POS]],TableWRTEMaster[[#This Row],[RK]])</f>
        <v>WR89</v>
      </c>
      <c r="BH90" s="123">
        <f>IFERROR(INDEX(TableWRVORP[BYE],MATCH(TableWRTEMaster[[#This Row],[RK]],TableWRVORP[RK],0)),"")</f>
        <v>13</v>
      </c>
      <c r="BI90" s="124">
        <f>IFERROR(INDEX(TableWRVORP[FPS],MATCH(TableWRTEMaster[[#This Row],[RK]],TableWRVORP[RK],0)),"")</f>
        <v>84.554260335667863</v>
      </c>
      <c r="BJ90" s="125">
        <f>IFERROR(INDEX(TableWRVORP[VORP],MATCH(TableWRTEMaster[[#This Row],[RK]],TableWRVORP[RK],0)),"")</f>
        <v>-0.35104072911241602</v>
      </c>
    </row>
    <row r="91" spans="1:62" x14ac:dyDescent="0.2">
      <c r="A91">
        <v>90</v>
      </c>
      <c r="B91" s="120" t="str">
        <f>IFERROR(INDEX(TableQBCalcPts[PLAYER],MATCH(TableQBVORP[[#This Row],[RK]],TableQBCalcPts[RK],0)),"")</f>
        <v/>
      </c>
      <c r="C91" s="120" t="str">
        <f>IFERROR(INDEX(TableQBCalcPts[TM],MATCH(TableQBVORP[[#This Row],[RK]],TableQBCalcPts[RK],0)),"")</f>
        <v/>
      </c>
      <c r="D91" s="120" t="str">
        <f>IFERROR(INDEX(TableQBCalcPts[BYE],MATCH(TableQBVORP[[#This Row],[RK]],TableQBCalcPts[RK],0)),"")</f>
        <v/>
      </c>
      <c r="E91" s="121" t="str">
        <f>IFERROR(INDEX(TableQBCalcPts[Custom],MATCH(TableQBVORP[[#This Row],[RK]],TableQBCalcPts[RK],0)),"")</f>
        <v/>
      </c>
      <c r="F91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91">
        <v>90</v>
      </c>
      <c r="I91" s="120" t="str">
        <f>IFERROR(INDEX(TableRBCalcPts[PLAYER],MATCH(TableRBVORP[[#This Row],[RK]],TableRBCalcPts[RK],0)),"")</f>
        <v>D'Onta Foreman</v>
      </c>
      <c r="J91" s="120" t="str">
        <f>IFERROR(INDEX(TableRBCalcPts[TM],MATCH(TableRBVORP[[#This Row],[RK]],TableRBCalcPts[RK],0)),"")</f>
        <v>CHI</v>
      </c>
      <c r="K91" s="120">
        <f>IFERROR(INDEX(TableRBCalcPts[BYE],MATCH(TableRBVORP[[#This Row],[RK]],TableRBCalcPts[RK],0)),"")</f>
        <v>13</v>
      </c>
      <c r="L91" s="121">
        <f>IFERROR(INDEX(TableRBCalcPts[Custom],MATCH(TableRBVORP[[#This Row],[RK]],TableRBCalcPts[RK],0)),"")</f>
        <v>27.946418935653998</v>
      </c>
      <c r="M91" s="122">
        <f>IFERROR((TableRBVORP[[#This Row],[FPS]]-INDEX(TableRBVORP[FPS],MATCH(RBVORPCalc,TableRBVORP[RK],0)))/INDEX(TableRBVORP[FPS],MATCH(RBVORPCalc,TableRBVORP[RK],0)),"")</f>
        <v>-0.77179688387032053</v>
      </c>
      <c r="O91">
        <v>90</v>
      </c>
      <c r="P91" s="120" t="str">
        <f>IFERROR(INDEX(TableWRCalcPts[PLAYER],MATCH(TableWRVORP[[#This Row],[RK]],TableWRCalcPts[RK],0)),"")</f>
        <v>Terrace Marshall</v>
      </c>
      <c r="Q91" s="120" t="str">
        <f>IFERROR(INDEX(TableWRCalcPts[TM],MATCH(TableWRVORP[[#This Row],[RK]],TableWRCalcPts[RK],0)),"")</f>
        <v>CAR</v>
      </c>
      <c r="R91" s="120">
        <f>IFERROR(INDEX(TableWRCalcPts[BYE],MATCH(TableWRVORP[[#This Row],[RK]],TableWRCalcPts[RK],0)),"")</f>
        <v>7</v>
      </c>
      <c r="S91" s="121">
        <f>IFERROR(INDEX(TableWRCalcPts[Custom],MATCH(TableWRVORP[[#This Row],[RK]],TableWRCalcPts[RK],0)),"")</f>
        <v>79.745267232922856</v>
      </c>
      <c r="T91" s="122">
        <f>IFERROR((TableWRVORP[[#This Row],[FPS]]-INDEX(TableWRVORP[FPS],MATCH(WRVORPCalc,TableWRVORP[RK],0)))/INDEX(TableWRVORP[FPS],MATCH(WRVORPCalc,TableWRVORP[RK],0)),"")</f>
        <v>-0.38795005390896142</v>
      </c>
      <c r="V91">
        <v>90</v>
      </c>
      <c r="W91" s="120" t="str">
        <f>IFERROR(INDEX(TableTECalcPts[PLAYER],MATCH(TableTEVORP[[#This Row],[RK]],TableTECalcPts[RK],0)),"")</f>
        <v>Luke Farrell</v>
      </c>
      <c r="X91" s="120" t="str">
        <f>IFERROR(INDEX(TableTECalcPts[TM],MATCH(TableTEVORP[[#This Row],[RK]],TableTECalcPts[RK],0)),"")</f>
        <v>JAX</v>
      </c>
      <c r="Y91" s="120">
        <f>IFERROR(INDEX(TableTECalcPts[BYE],MATCH(TableTEVORP[[#This Row],[RK]],TableTECalcPts[RK],0)),"")</f>
        <v>9</v>
      </c>
      <c r="Z91" s="121">
        <f>IFERROR(INDEX(TableTECalcPts[Custom],MATCH(TableTEVORP[[#This Row],[RK]],TableTECalcPts[RK],0)),"")</f>
        <v>6.4640458763999984</v>
      </c>
      <c r="AA91" s="122">
        <f>IFERROR((TableTEVORP[[#This Row],[FPS]]-INDEX(TableTEVORP[FPS],MATCH(TEVORPCalc,TableTEVORP[RK],0)))/INDEX(TableTEVORP[FPS],MATCH(TEVORPCalc,TableTEVORP[RK],0)),"")</f>
        <v>-0.94560266182135633</v>
      </c>
      <c r="AF91" t="s">
        <v>256</v>
      </c>
      <c r="AG91">
        <v>50</v>
      </c>
      <c r="AH91" s="86">
        <f>RANK(TableOverallMaster[[#This Row],[VORP]],TableOverallMaster[VORP])+COUNTIF($AM$2:AM91,AM91)-1</f>
        <v>159</v>
      </c>
      <c r="AI91" s="123" t="str">
        <f>IFERROR(INDEX(TableRBVORP[RUNNING BACK],MATCH(TableOverallMaster[[#This Row],[RK]],TableRBVORP[RK],0)),"")</f>
        <v>Damien Harris</v>
      </c>
      <c r="AJ91" s="123" t="str">
        <f t="shared" si="1"/>
        <v>RB50</v>
      </c>
      <c r="AK91" s="123">
        <f>IFERROR(INDEX(TableRBVORP[BYE],MATCH(TableOverallMaster[[#This Row],[RK]],TableRBVORP[RK],0)),"")</f>
        <v>13</v>
      </c>
      <c r="AL91" s="124">
        <f>IFERROR(INDEX(TableRBVORP[FPS],MATCH(TableOverallMaster[[#This Row],[RK]],TableRBVORP[RK],0)),"")</f>
        <v>105.48261995841824</v>
      </c>
      <c r="AM91" s="125">
        <f>IFERROR(INDEX(TableRBVORP[VORP],MATCH(TableOverallMaster[[#This Row],[RK]],TableRBVORP[RK],0)),"")</f>
        <v>-0.13865663334333567</v>
      </c>
      <c r="AO91">
        <v>90</v>
      </c>
      <c r="AP91" s="126" t="str">
        <f>IFERROR(INDEX(TableOverallMaster[OVERALL PLAYER],MATCH(TableOverallRank[[#This Row],[RK]],TableOverallMaster[OVR RK],0)),"")</f>
        <v>Dallas Goedert</v>
      </c>
      <c r="AQ91" s="127" t="str">
        <f>IFERROR(INDEX(TableOverallMaster[POS RK],MATCH(TableOverallRank[[#This Row],[OVERALL PLAYER]],TableOverallMaster[OVERALL PLAYER],0)),"")</f>
        <v>TE6</v>
      </c>
      <c r="AR91" s="128">
        <f>IFERROR(INDEX(TableOverallMaster[BYE],MATCH(TableOverallRank[[#This Row],[OVERALL PLAYER]],TableOverallMaster[OVERALL PLAYER],0)),"")</f>
        <v>10</v>
      </c>
      <c r="AS91" s="127">
        <f>IFERROR(INDEX(TableOverallMaster[Custom],MATCH(TableOverallRank[[#This Row],[OVERALL PLAYER]],TableOverallMaster[OVERALL PLAYER],0)),"")</f>
        <v>140.56778839078723</v>
      </c>
      <c r="AT91" s="129">
        <f>IFERROR(INDEX(TableOverallMaster[VORP],MATCH(TableOverallRank[[#This Row],[OVERALL PLAYER]],TableOverallMaster[OVERALL PLAYER],0)),"")</f>
        <v>0.18292995877934967</v>
      </c>
      <c r="AV91">
        <v>90</v>
      </c>
      <c r="AW91" s="130" t="str">
        <f>IFERROR(INDEX(TableWRTECalcPts[PLAYER],MATCH(TableWRTERank[[#This Row],[RK]],TableWRTECalcPts[RK],0)),"")</f>
        <v>Jake Ferguson</v>
      </c>
      <c r="AX91" s="130" t="str">
        <f>IFERROR(INDEX(TableWRTECalcPts[POS RK],MATCH(TableWRTERank[[#This Row],[WR and TE COMBINED]],TableWRTECalcPts[PLAYER],0)),"")</f>
        <v>TE19</v>
      </c>
      <c r="AY91" s="130">
        <f>IFERROR(INDEX(TableWRTECalcPts[BYE],MATCH(TableWRTERank[[#This Row],[RK]],TableWRTECalcPts[RK],0)),"")</f>
        <v>7</v>
      </c>
      <c r="AZ91" s="131">
        <f>IFERROR(INDEX(TableWRTECalcPts[Custom],MATCH(TableWRTERank[[#This Row],[RK]],TableWRTECalcPts[RK],0)),"")</f>
        <v>100.82096199922665</v>
      </c>
      <c r="BA91" s="188">
        <f>IFERROR((TableWRTERank[[#This Row],[FPS]]-INDEX(TableWRTERank[FPS],MATCH(WRTEVORPCalc,TableWRTERank[RK],0)))/INDEX(TableWRTERank[FPS],MATCH(WRTEVORPCalc,TableWRTERank[RK],0)),"")</f>
        <v>-0.27147225846366485</v>
      </c>
      <c r="BC91" t="s">
        <v>257</v>
      </c>
      <c r="BD91">
        <v>90</v>
      </c>
      <c r="BE91" s="86">
        <f>RANK(TableWRTEMaster[[#This Row],[VORP]],TableWRTEMaster[VORP])+COUNTIF($BJ$2:BJ91,BJ91)-1</f>
        <v>123</v>
      </c>
      <c r="BF91" s="123" t="str">
        <f>IFERROR(INDEX(TableWRVORP[WIDE RECEIVER],MATCH(TableWRTEMaster[[#This Row],[RK]],TableWRVORP[RK],0)),"")</f>
        <v>Terrace Marshall</v>
      </c>
      <c r="BG91" s="123" t="str">
        <f>_xlfn.CONCAT(TableWRTEMaster[[#This Row],[POS]],TableWRTEMaster[[#This Row],[RK]])</f>
        <v>WR90</v>
      </c>
      <c r="BH91" s="123">
        <f>IFERROR(INDEX(TableWRVORP[BYE],MATCH(TableWRTEMaster[[#This Row],[RK]],TableWRVORP[RK],0)),"")</f>
        <v>7</v>
      </c>
      <c r="BI91" s="124">
        <f>IFERROR(INDEX(TableWRVORP[FPS],MATCH(TableWRTEMaster[[#This Row],[RK]],TableWRVORP[RK],0)),"")</f>
        <v>79.745267232922856</v>
      </c>
      <c r="BJ91" s="125">
        <f>IFERROR(INDEX(TableWRVORP[VORP],MATCH(TableWRTEMaster[[#This Row],[RK]],TableWRVORP[RK],0)),"")</f>
        <v>-0.38795005390896142</v>
      </c>
    </row>
    <row r="92" spans="1:62" x14ac:dyDescent="0.2">
      <c r="A92">
        <v>91</v>
      </c>
      <c r="B92" s="120" t="str">
        <f>IFERROR(INDEX(TableQBCalcPts[PLAYER],MATCH(TableQBVORP[[#This Row],[RK]],TableQBCalcPts[RK],0)),"")</f>
        <v/>
      </c>
      <c r="C92" s="120" t="str">
        <f>IFERROR(INDEX(TableQBCalcPts[TM],MATCH(TableQBVORP[[#This Row],[RK]],TableQBCalcPts[RK],0)),"")</f>
        <v/>
      </c>
      <c r="D92" s="120" t="str">
        <f>IFERROR(INDEX(TableQBCalcPts[BYE],MATCH(TableQBVORP[[#This Row],[RK]],TableQBCalcPts[RK],0)),"")</f>
        <v/>
      </c>
      <c r="E92" s="121" t="str">
        <f>IFERROR(INDEX(TableQBCalcPts[Custom],MATCH(TableQBVORP[[#This Row],[RK]],TableQBCalcPts[RK],0)),"")</f>
        <v/>
      </c>
      <c r="F92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92">
        <v>91</v>
      </c>
      <c r="I92" s="120" t="str">
        <f>IFERROR(INDEX(TableRBCalcPts[PLAYER],MATCH(TableRBVORP[[#This Row],[RK]],TableRBCalcPts[RK],0)),"")</f>
        <v>Ty Montgomery</v>
      </c>
      <c r="J92" s="120" t="str">
        <f>IFERROR(INDEX(TableRBCalcPts[TM],MATCH(TableRBVORP[[#This Row],[RK]],TableRBCalcPts[RK],0)),"")</f>
        <v>NE</v>
      </c>
      <c r="K92" s="120">
        <f>IFERROR(INDEX(TableRBCalcPts[BYE],MATCH(TableRBVORP[[#This Row],[RK]],TableRBCalcPts[RK],0)),"")</f>
        <v>11</v>
      </c>
      <c r="L92" s="121">
        <f>IFERROR(INDEX(TableRBCalcPts[Custom],MATCH(TableRBVORP[[#This Row],[RK]],TableRBCalcPts[RK],0)),"")</f>
        <v>25.966866593346559</v>
      </c>
      <c r="M92" s="122">
        <f>IFERROR((TableRBVORP[[#This Row],[FPS]]-INDEX(TableRBVORP[FPS],MATCH(RBVORPCalc,TableRBVORP[RK],0)))/INDEX(TableRBVORP[FPS],MATCH(RBVORPCalc,TableRBVORP[RK],0)),"")</f>
        <v>-0.78796138831350093</v>
      </c>
      <c r="O92">
        <v>91</v>
      </c>
      <c r="P92" s="120" t="str">
        <f>IFERROR(INDEX(TableWRCalcPts[PLAYER],MATCH(TableWRVORP[[#This Row],[RK]],TableWRCalcPts[RK],0)),"")</f>
        <v>Chase Claypool</v>
      </c>
      <c r="Q92" s="120" t="str">
        <f>IFERROR(INDEX(TableWRCalcPts[TM],MATCH(TableWRVORP[[#This Row],[RK]],TableWRCalcPts[RK],0)),"")</f>
        <v>CHI</v>
      </c>
      <c r="R92" s="120">
        <f>IFERROR(INDEX(TableWRCalcPts[BYE],MATCH(TableWRVORP[[#This Row],[RK]],TableWRCalcPts[RK],0)),"")</f>
        <v>13</v>
      </c>
      <c r="S92" s="121">
        <f>IFERROR(INDEX(TableWRCalcPts[Custom],MATCH(TableWRVORP[[#This Row],[RK]],TableWRCalcPts[RK],0)),"")</f>
        <v>78.131442847366372</v>
      </c>
      <c r="T92" s="122">
        <f>IFERROR((TableWRVORP[[#This Row],[FPS]]-INDEX(TableWRVORP[FPS],MATCH(WRVORPCalc,TableWRVORP[RK],0)))/INDEX(TableWRVORP[FPS],MATCH(WRVORPCalc,TableWRVORP[RK],0)),"")</f>
        <v>-0.40033625766065517</v>
      </c>
      <c r="V92">
        <v>91</v>
      </c>
      <c r="W92" s="120" t="str">
        <f>IFERROR(INDEX(TableTECalcPts[PLAYER],MATCH(TableTEVORP[[#This Row],[RK]],TableTECalcPts[RK],0)),"")</f>
        <v/>
      </c>
      <c r="X92" s="120" t="str">
        <f>IFERROR(INDEX(TableTECalcPts[TM],MATCH(TableTEVORP[[#This Row],[RK]],TableTECalcPts[RK],0)),"")</f>
        <v/>
      </c>
      <c r="Y92" s="120" t="str">
        <f>IFERROR(INDEX(TableTECalcPts[BYE],MATCH(TableTEVORP[[#This Row],[RK]],TableTECalcPts[RK],0)),"")</f>
        <v/>
      </c>
      <c r="Z92" s="121" t="str">
        <f>IFERROR(INDEX(TableTECalcPts[Custom],MATCH(TableTEVORP[[#This Row],[RK]],TableTECalcPts[RK],0)),"")</f>
        <v/>
      </c>
      <c r="AA92" s="122" t="str">
        <f>IFERROR((TableTEVORP[[#This Row],[FPS]]-INDEX(TableTEVORP[FPS],MATCH(TEVORPCalc,TableTEVORP[RK],0)))/INDEX(TableTEVORP[FPS],MATCH(TEVORPCalc,TableTEVORP[RK],0)),"")</f>
        <v/>
      </c>
      <c r="AF92" t="s">
        <v>256</v>
      </c>
      <c r="AG92">
        <v>51</v>
      </c>
      <c r="AH92" s="86">
        <f>RANK(TableOverallMaster[[#This Row],[VORP]],TableOverallMaster[VORP])+COUNTIF($AM$2:AM92,AM92)-1</f>
        <v>164</v>
      </c>
      <c r="AI92" s="123" t="str">
        <f>IFERROR(INDEX(TableRBVORP[RUNNING BACK],MATCH(TableOverallMaster[[#This Row],[RK]],TableRBVORP[RK],0)),"")</f>
        <v>Elijah Mitchell</v>
      </c>
      <c r="AJ92" s="123" t="str">
        <f t="shared" si="1"/>
        <v>RB51</v>
      </c>
      <c r="AK92" s="123">
        <f>IFERROR(INDEX(TableRBVORP[BYE],MATCH(TableOverallMaster[[#This Row],[RK]],TableRBVORP[RK],0)),"")</f>
        <v>9</v>
      </c>
      <c r="AL92" s="124">
        <f>IFERROR(INDEX(TableRBVORP[FPS],MATCH(TableOverallMaster[[#This Row],[RK]],TableRBVORP[RK],0)),"")</f>
        <v>104.6005533109488</v>
      </c>
      <c r="AM92" s="125">
        <f>IFERROR(INDEX(TableRBVORP[VORP],MATCH(TableOverallMaster[[#This Row],[RK]],TableRBVORP[RK],0)),"")</f>
        <v>-0.14585935788740167</v>
      </c>
      <c r="AO92">
        <v>91</v>
      </c>
      <c r="AP92" s="126" t="str">
        <f>IFERROR(INDEX(TableOverallMaster[OVERALL PLAYER],MATCH(TableOverallRank[[#This Row],[RK]],TableOverallMaster[OVR RK],0)),"")</f>
        <v>Courtland Sutton</v>
      </c>
      <c r="AQ92" s="127" t="str">
        <f>IFERROR(INDEX(TableOverallMaster[POS RK],MATCH(TableOverallRank[[#This Row],[OVERALL PLAYER]],TableOverallMaster[OVERALL PLAYER],0)),"")</f>
        <v>WR40</v>
      </c>
      <c r="AR92" s="128">
        <f>IFERROR(INDEX(TableOverallMaster[BYE],MATCH(TableOverallRank[[#This Row],[OVERALL PLAYER]],TableOverallMaster[OVERALL PLAYER],0)),"")</f>
        <v>9</v>
      </c>
      <c r="AS92" s="127">
        <f>IFERROR(INDEX(TableOverallMaster[Custom],MATCH(TableOverallRank[[#This Row],[OVERALL PLAYER]],TableOverallMaster[OVERALL PLAYER],0)),"")</f>
        <v>153.42312532599362</v>
      </c>
      <c r="AT92" s="129">
        <f>IFERROR(INDEX(TableOverallMaster[VORP],MATCH(TableOverallRank[[#This Row],[OVERALL PLAYER]],TableOverallMaster[OVERALL PLAYER],0)),"")</f>
        <v>0.17753214508164983</v>
      </c>
      <c r="AV92">
        <v>91</v>
      </c>
      <c r="AW92" s="130" t="str">
        <f>IFERROR(INDEX(TableWRTECalcPts[PLAYER],MATCH(TableWRTERank[[#This Row],[RK]],TableWRTECalcPts[RK],0)),"")</f>
        <v>Sam LaPorta</v>
      </c>
      <c r="AX92" s="130" t="str">
        <f>IFERROR(INDEX(TableWRTECalcPts[POS RK],MATCH(TableWRTERank[[#This Row],[WR and TE COMBINED]],TableWRTECalcPts[PLAYER],0)),"")</f>
        <v>TE20</v>
      </c>
      <c r="AY92" s="130">
        <f>IFERROR(INDEX(TableWRTECalcPts[BYE],MATCH(TableWRTERank[[#This Row],[RK]],TableWRTECalcPts[RK],0)),"")</f>
        <v>9</v>
      </c>
      <c r="AZ92" s="131">
        <f>IFERROR(INDEX(TableWRTECalcPts[Custom],MATCH(TableWRTERank[[#This Row],[RK]],TableWRTECalcPts[RK],0)),"")</f>
        <v>99.61112532514457</v>
      </c>
      <c r="BA92" s="188">
        <f>IFERROR((TableWRTERank[[#This Row],[FPS]]-INDEX(TableWRTERank[FPS],MATCH(WRTEVORPCalc,TableWRTERank[RK],0)))/INDEX(TableWRTERank[FPS],MATCH(WRTEVORPCalc,TableWRTERank[RK],0)),"")</f>
        <v>-0.28021448391280918</v>
      </c>
      <c r="BC92" t="s">
        <v>257</v>
      </c>
      <c r="BD92">
        <v>91</v>
      </c>
      <c r="BE92" s="86">
        <f>RANK(TableWRTEMaster[[#This Row],[VORP]],TableWRTEMaster[VORP])+COUNTIF($BJ$2:BJ92,BJ92)-1</f>
        <v>125</v>
      </c>
      <c r="BF92" s="123" t="str">
        <f>IFERROR(INDEX(TableWRVORP[WIDE RECEIVER],MATCH(TableWRTEMaster[[#This Row],[RK]],TableWRVORP[RK],0)),"")</f>
        <v>Chase Claypool</v>
      </c>
      <c r="BG92" s="123" t="str">
        <f>_xlfn.CONCAT(TableWRTEMaster[[#This Row],[POS]],TableWRTEMaster[[#This Row],[RK]])</f>
        <v>WR91</v>
      </c>
      <c r="BH92" s="123">
        <f>IFERROR(INDEX(TableWRVORP[BYE],MATCH(TableWRTEMaster[[#This Row],[RK]],TableWRVORP[RK],0)),"")</f>
        <v>13</v>
      </c>
      <c r="BI92" s="124">
        <f>IFERROR(INDEX(TableWRVORP[FPS],MATCH(TableWRTEMaster[[#This Row],[RK]],TableWRVORP[RK],0)),"")</f>
        <v>78.131442847366372</v>
      </c>
      <c r="BJ92" s="125">
        <f>IFERROR(INDEX(TableWRVORP[VORP],MATCH(TableWRTEMaster[[#This Row],[RK]],TableWRVORP[RK],0)),"")</f>
        <v>-0.40033625766065517</v>
      </c>
    </row>
    <row r="93" spans="1:62" x14ac:dyDescent="0.2">
      <c r="A93">
        <v>92</v>
      </c>
      <c r="B93" s="120" t="str">
        <f>IFERROR(INDEX(TableQBCalcPts[PLAYER],MATCH(TableQBVORP[[#This Row],[RK]],TableQBCalcPts[RK],0)),"")</f>
        <v/>
      </c>
      <c r="C93" s="120" t="str">
        <f>IFERROR(INDEX(TableQBCalcPts[TM],MATCH(TableQBVORP[[#This Row],[RK]],TableQBCalcPts[RK],0)),"")</f>
        <v/>
      </c>
      <c r="D93" s="120" t="str">
        <f>IFERROR(INDEX(TableQBCalcPts[BYE],MATCH(TableQBVORP[[#This Row],[RK]],TableQBCalcPts[RK],0)),"")</f>
        <v/>
      </c>
      <c r="E93" s="121" t="str">
        <f>IFERROR(INDEX(TableQBCalcPts[Custom],MATCH(TableQBVORP[[#This Row],[RK]],TableQBCalcPts[RK],0)),"")</f>
        <v/>
      </c>
      <c r="F93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93">
        <v>92</v>
      </c>
      <c r="I93" s="120" t="str">
        <f>IFERROR(INDEX(TableRBCalcPts[PLAYER],MATCH(TableRBVORP[[#This Row],[RK]],TableRBCalcPts[RK],0)),"")</f>
        <v>Jaleel McLaughlin</v>
      </c>
      <c r="J93" s="120" t="str">
        <f>IFERROR(INDEX(TableRBCalcPts[TM],MATCH(TableRBVORP[[#This Row],[RK]],TableRBCalcPts[RK],0)),"")</f>
        <v>DEN</v>
      </c>
      <c r="K93" s="120">
        <f>IFERROR(INDEX(TableRBCalcPts[BYE],MATCH(TableRBVORP[[#This Row],[RK]],TableRBCalcPts[RK],0)),"")</f>
        <v>9</v>
      </c>
      <c r="L93" s="121">
        <f>IFERROR(INDEX(TableRBCalcPts[Custom],MATCH(TableRBVORP[[#This Row],[RK]],TableRBCalcPts[RK],0)),"")</f>
        <v>24.102129513840001</v>
      </c>
      <c r="M93" s="122">
        <f>IFERROR((TableRBVORP[[#This Row],[FPS]]-INDEX(TableRBVORP[FPS],MATCH(RBVORPCalc,TableRBVORP[RK],0)))/INDEX(TableRBVORP[FPS],MATCH(RBVORPCalc,TableRBVORP[RK],0)),"")</f>
        <v>-0.80318834148004981</v>
      </c>
      <c r="O93">
        <v>92</v>
      </c>
      <c r="P93" s="120" t="str">
        <f>IFERROR(INDEX(TableWRCalcPts[PLAYER],MATCH(TableWRVORP[[#This Row],[RK]],TableWRCalcPts[RK],0)),"")</f>
        <v>Rashid Shaheed</v>
      </c>
      <c r="Q93" s="120" t="str">
        <f>IFERROR(INDEX(TableWRCalcPts[TM],MATCH(TableWRVORP[[#This Row],[RK]],TableWRCalcPts[RK],0)),"")</f>
        <v>NO</v>
      </c>
      <c r="R93" s="120">
        <f>IFERROR(INDEX(TableWRCalcPts[BYE],MATCH(TableWRVORP[[#This Row],[RK]],TableWRCalcPts[RK],0)),"")</f>
        <v>11</v>
      </c>
      <c r="S93" s="121">
        <f>IFERROR(INDEX(TableWRCalcPts[Custom],MATCH(TableWRVORP[[#This Row],[RK]],TableWRCalcPts[RK],0)),"")</f>
        <v>77.226919676598641</v>
      </c>
      <c r="T93" s="122">
        <f>IFERROR((TableWRVORP[[#This Row],[FPS]]-INDEX(TableWRVORP[FPS],MATCH(WRVORPCalc,TableWRVORP[RK],0)))/INDEX(TableWRVORP[FPS],MATCH(WRVORPCalc,TableWRVORP[RK],0)),"")</f>
        <v>-0.40727852993732172</v>
      </c>
      <c r="V93">
        <v>92</v>
      </c>
      <c r="W93" s="120" t="str">
        <f>IFERROR(INDEX(TableTECalcPts[PLAYER],MATCH(TableTEVORP[[#This Row],[RK]],TableTECalcPts[RK],0)),"")</f>
        <v/>
      </c>
      <c r="X93" s="120" t="str">
        <f>IFERROR(INDEX(TableTECalcPts[TM],MATCH(TableTEVORP[[#This Row],[RK]],TableTECalcPts[RK],0)),"")</f>
        <v/>
      </c>
      <c r="Y93" s="120" t="str">
        <f>IFERROR(INDEX(TableTECalcPts[BYE],MATCH(TableTEVORP[[#This Row],[RK]],TableTECalcPts[RK],0)),"")</f>
        <v/>
      </c>
      <c r="Z93" s="121" t="str">
        <f>IFERROR(INDEX(TableTECalcPts[Custom],MATCH(TableTEVORP[[#This Row],[RK]],TableTECalcPts[RK],0)),"")</f>
        <v/>
      </c>
      <c r="AA93" s="122" t="str">
        <f>IFERROR((TableTEVORP[[#This Row],[FPS]]-INDEX(TableTEVORP[FPS],MATCH(TEVORPCalc,TableTEVORP[RK],0)))/INDEX(TableTEVORP[FPS],MATCH(TEVORPCalc,TableTEVORP[RK],0)),"")</f>
        <v/>
      </c>
      <c r="AF93" t="s">
        <v>256</v>
      </c>
      <c r="AG93">
        <v>52</v>
      </c>
      <c r="AH93" s="86">
        <f>RANK(TableOverallMaster[[#This Row],[VORP]],TableOverallMaster[VORP])+COUNTIF($AM$2:AM93,AM93)-1</f>
        <v>170</v>
      </c>
      <c r="AI93" s="123" t="str">
        <f>IFERROR(INDEX(TableRBVORP[RUNNING BACK],MATCH(TableOverallMaster[[#This Row],[RK]],TableRBVORP[RK],0)),"")</f>
        <v>Kyren Williams</v>
      </c>
      <c r="AJ93" s="123" t="str">
        <f t="shared" si="1"/>
        <v>RB52</v>
      </c>
      <c r="AK93" s="123">
        <f>IFERROR(INDEX(TableRBVORP[BYE],MATCH(TableOverallMaster[[#This Row],[RK]],TableRBVORP[RK],0)),"")</f>
        <v>10</v>
      </c>
      <c r="AL93" s="124">
        <f>IFERROR(INDEX(TableRBVORP[FPS],MATCH(TableOverallMaster[[#This Row],[RK]],TableRBVORP[RK],0)),"")</f>
        <v>101.74554570819568</v>
      </c>
      <c r="AM93" s="125">
        <f>IFERROR(INDEX(TableRBVORP[VORP],MATCH(TableOverallMaster[[#This Row],[RK]],TableRBVORP[RK],0)),"")</f>
        <v>-0.16917260002487561</v>
      </c>
      <c r="AO93">
        <v>92</v>
      </c>
      <c r="AP93" s="126" t="str">
        <f>IFERROR(INDEX(TableOverallMaster[OVERALL PLAYER],MATCH(TableOverallRank[[#This Row],[RK]],TableOverallMaster[OVR RK],0)),"")</f>
        <v>Jaxon Smith-Njigba</v>
      </c>
      <c r="AQ93" s="127" t="str">
        <f>IFERROR(INDEX(TableOverallMaster[POS RK],MATCH(TableOverallRank[[#This Row],[OVERALL PLAYER]],TableOverallMaster[OVERALL PLAYER],0)),"")</f>
        <v>WR41</v>
      </c>
      <c r="AR93" s="128">
        <f>IFERROR(INDEX(TableOverallMaster[BYE],MATCH(TableOverallRank[[#This Row],[OVERALL PLAYER]],TableOverallMaster[OVERALL PLAYER],0)),"")</f>
        <v>5</v>
      </c>
      <c r="AS93" s="127">
        <f>IFERROR(INDEX(TableOverallMaster[Custom],MATCH(TableOverallRank[[#This Row],[OVERALL PLAYER]],TableOverallMaster[OVERALL PLAYER],0)),"")</f>
        <v>153.39600212962807</v>
      </c>
      <c r="AT93" s="129">
        <f>IFERROR(INDEX(TableOverallMaster[VORP],MATCH(TableOverallRank[[#This Row],[OVERALL PLAYER]],TableOverallMaster[OVERALL PLAYER],0)),"")</f>
        <v>0.1773239728421003</v>
      </c>
      <c r="AV93">
        <v>92</v>
      </c>
      <c r="AW93" s="130" t="str">
        <f>IFERROR(INDEX(TableWRTECalcPts[PLAYER],MATCH(TableWRTERank[[#This Row],[RK]],TableWRTECalcPts[RK],0)),"")</f>
        <v>Rondale Moore</v>
      </c>
      <c r="AX93" s="130" t="str">
        <f>IFERROR(INDEX(TableWRTECalcPts[POS RK],MATCH(TableWRTERank[[#This Row],[WR and TE COMBINED]],TableWRTECalcPts[PLAYER],0)),"")</f>
        <v>WR72</v>
      </c>
      <c r="AY93" s="130">
        <f>IFERROR(INDEX(TableWRTECalcPts[BYE],MATCH(TableWRTERank[[#This Row],[RK]],TableWRTECalcPts[RK],0)),"")</f>
        <v>14</v>
      </c>
      <c r="AZ93" s="131">
        <f>IFERROR(INDEX(TableWRTECalcPts[Custom],MATCH(TableWRTERank[[#This Row],[RK]],TableWRTECalcPts[RK],0)),"")</f>
        <v>98.677687369437947</v>
      </c>
      <c r="BA93" s="188">
        <f>IFERROR((TableWRTERank[[#This Row],[FPS]]-INDEX(TableWRTERank[FPS],MATCH(WRTEVORPCalc,TableWRTERank[RK],0)))/INDEX(TableWRTERank[FPS],MATCH(WRTEVORPCalc,TableWRTERank[RK],0)),"")</f>
        <v>-0.28695946464152366</v>
      </c>
      <c r="BC93" t="s">
        <v>257</v>
      </c>
      <c r="BD93">
        <v>92</v>
      </c>
      <c r="BE93" s="86">
        <f>RANK(TableWRTEMaster[[#This Row],[VORP]],TableWRTEMaster[VORP])+COUNTIF($BJ$2:BJ93,BJ93)-1</f>
        <v>126</v>
      </c>
      <c r="BF93" s="123" t="str">
        <f>IFERROR(INDEX(TableWRVORP[WIDE RECEIVER],MATCH(TableWRTEMaster[[#This Row],[RK]],TableWRVORP[RK],0)),"")</f>
        <v>Rashid Shaheed</v>
      </c>
      <c r="BG93" s="123" t="str">
        <f>_xlfn.CONCAT(TableWRTEMaster[[#This Row],[POS]],TableWRTEMaster[[#This Row],[RK]])</f>
        <v>WR92</v>
      </c>
      <c r="BH93" s="123">
        <f>IFERROR(INDEX(TableWRVORP[BYE],MATCH(TableWRTEMaster[[#This Row],[RK]],TableWRVORP[RK],0)),"")</f>
        <v>11</v>
      </c>
      <c r="BI93" s="124">
        <f>IFERROR(INDEX(TableWRVORP[FPS],MATCH(TableWRTEMaster[[#This Row],[RK]],TableWRVORP[RK],0)),"")</f>
        <v>77.226919676598641</v>
      </c>
      <c r="BJ93" s="125">
        <f>IFERROR(INDEX(TableWRVORP[VORP],MATCH(TableWRTEMaster[[#This Row],[RK]],TableWRVORP[RK],0)),"")</f>
        <v>-0.40727852993732172</v>
      </c>
    </row>
    <row r="94" spans="1:62" x14ac:dyDescent="0.2">
      <c r="A94">
        <v>93</v>
      </c>
      <c r="B94" s="120" t="str">
        <f>IFERROR(INDEX(TableQBCalcPts[PLAYER],MATCH(TableQBVORP[[#This Row],[RK]],TableQBCalcPts[RK],0)),"")</f>
        <v/>
      </c>
      <c r="C94" s="120" t="str">
        <f>IFERROR(INDEX(TableQBCalcPts[TM],MATCH(TableQBVORP[[#This Row],[RK]],TableQBCalcPts[RK],0)),"")</f>
        <v/>
      </c>
      <c r="D94" s="120" t="str">
        <f>IFERROR(INDEX(TableQBCalcPts[BYE],MATCH(TableQBVORP[[#This Row],[RK]],TableQBCalcPts[RK],0)),"")</f>
        <v/>
      </c>
      <c r="E94" s="121" t="str">
        <f>IFERROR(INDEX(TableQBCalcPts[Custom],MATCH(TableQBVORP[[#This Row],[RK]],TableQBCalcPts[RK],0)),"")</f>
        <v/>
      </c>
      <c r="F94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94">
        <v>93</v>
      </c>
      <c r="I94" s="120" t="str">
        <f>IFERROR(INDEX(TableRBCalcPts[PLAYER],MATCH(TableRBVORP[[#This Row],[RK]],TableRBCalcPts[RK],0)),"")</f>
        <v>J.J. Taylor</v>
      </c>
      <c r="J94" s="120" t="str">
        <f>IFERROR(INDEX(TableRBCalcPts[TM],MATCH(TableRBVORP[[#This Row],[RK]],TableRBCalcPts[RK],0)),"")</f>
        <v>NE</v>
      </c>
      <c r="K94" s="120">
        <f>IFERROR(INDEX(TableRBCalcPts[BYE],MATCH(TableRBVORP[[#This Row],[RK]],TableRBCalcPts[RK],0)),"")</f>
        <v>11</v>
      </c>
      <c r="L94" s="121">
        <f>IFERROR(INDEX(TableRBCalcPts[Custom],MATCH(TableRBVORP[[#This Row],[RK]],TableRBCalcPts[RK],0)),"")</f>
        <v>23.120132108572804</v>
      </c>
      <c r="M94" s="122">
        <f>IFERROR((TableRBVORP[[#This Row],[FPS]]-INDEX(TableRBVORP[FPS],MATCH(RBVORPCalc,TableRBVORP[RK],0)))/INDEX(TableRBVORP[FPS],MATCH(RBVORPCalc,TableRBVORP[RK],0)),"")</f>
        <v>-0.81120707434271844</v>
      </c>
      <c r="O94">
        <v>93</v>
      </c>
      <c r="P94" s="120" t="str">
        <f>IFERROR(INDEX(TableWRCalcPts[PLAYER],MATCH(TableWRVORP[[#This Row],[RK]],TableWRCalcPts[RK],0)),"")</f>
        <v>Mack Hollins</v>
      </c>
      <c r="Q94" s="120" t="str">
        <f>IFERROR(INDEX(TableWRCalcPts[TM],MATCH(TableWRVORP[[#This Row],[RK]],TableWRCalcPts[RK],0)),"")</f>
        <v>ATL</v>
      </c>
      <c r="R94" s="120">
        <f>IFERROR(INDEX(TableWRCalcPts[BYE],MATCH(TableWRVORP[[#This Row],[RK]],TableWRCalcPts[RK],0)),"")</f>
        <v>11</v>
      </c>
      <c r="S94" s="121">
        <f>IFERROR(INDEX(TableWRCalcPts[Custom],MATCH(TableWRVORP[[#This Row],[RK]],TableWRCalcPts[RK],0)),"")</f>
        <v>77.189576272085475</v>
      </c>
      <c r="T94" s="122">
        <f>IFERROR((TableWRVORP[[#This Row],[FPS]]-INDEX(TableWRVORP[FPS],MATCH(WRVORPCalc,TableWRVORP[RK],0)))/INDEX(TableWRVORP[FPS],MATCH(WRVORPCalc,TableWRVORP[RK],0)),"")</f>
        <v>-0.40756514291778084</v>
      </c>
      <c r="V94">
        <v>93</v>
      </c>
      <c r="W94" s="120" t="str">
        <f>IFERROR(INDEX(TableTECalcPts[PLAYER],MATCH(TableTEVORP[[#This Row],[RK]],TableTECalcPts[RK],0)),"")</f>
        <v/>
      </c>
      <c r="X94" s="120" t="str">
        <f>IFERROR(INDEX(TableTECalcPts[TM],MATCH(TableTEVORP[[#This Row],[RK]],TableTECalcPts[RK],0)),"")</f>
        <v/>
      </c>
      <c r="Y94" s="120" t="str">
        <f>IFERROR(INDEX(TableTECalcPts[BYE],MATCH(TableTEVORP[[#This Row],[RK]],TableTECalcPts[RK],0)),"")</f>
        <v/>
      </c>
      <c r="Z94" s="121" t="str">
        <f>IFERROR(INDEX(TableTECalcPts[Custom],MATCH(TableTEVORP[[#This Row],[RK]],TableTECalcPts[RK],0)),"")</f>
        <v/>
      </c>
      <c r="AA94" s="122" t="str">
        <f>IFERROR((TableTEVORP[[#This Row],[FPS]]-INDEX(TableTEVORP[FPS],MATCH(TEVORPCalc,TableTEVORP[RK],0)))/INDEX(TableTEVORP[FPS],MATCH(TEVORPCalc,TableTEVORP[RK],0)),"")</f>
        <v/>
      </c>
      <c r="AF94" t="s">
        <v>256</v>
      </c>
      <c r="AG94">
        <v>53</v>
      </c>
      <c r="AH94" s="86">
        <f>RANK(TableOverallMaster[[#This Row],[VORP]],TableOverallMaster[VORP])+COUNTIF($AM$2:AM94,AM94)-1</f>
        <v>171</v>
      </c>
      <c r="AI94" s="123" t="str">
        <f>IFERROR(INDEX(TableRBVORP[RUNNING BACK],MATCH(TableOverallMaster[[#This Row],[RK]],TableRBVORP[RK],0)),"")</f>
        <v>Kenneth Gainwell</v>
      </c>
      <c r="AJ94" s="123" t="str">
        <f t="shared" si="1"/>
        <v>RB53</v>
      </c>
      <c r="AK94" s="123">
        <f>IFERROR(INDEX(TableRBVORP[BYE],MATCH(TableOverallMaster[[#This Row],[RK]],TableRBVORP[RK],0)),"")</f>
        <v>10</v>
      </c>
      <c r="AL94" s="124">
        <f>IFERROR(INDEX(TableRBVORP[FPS],MATCH(TableOverallMaster[[#This Row],[RK]],TableRBVORP[RK],0)),"")</f>
        <v>101.2645883177376</v>
      </c>
      <c r="AM94" s="125">
        <f>IFERROR(INDEX(TableRBVORP[VORP],MATCH(TableOverallMaster[[#This Row],[RK]],TableRBVORP[RK],0)),"")</f>
        <v>-0.17309997173861261</v>
      </c>
      <c r="AO94">
        <v>93</v>
      </c>
      <c r="AP94" s="126" t="str">
        <f>IFERROR(INDEX(TableOverallMaster[OVERALL PLAYER],MATCH(TableOverallRank[[#This Row],[RK]],TableOverallMaster[OVR RK],0)),"")</f>
        <v>Kyle Pitts</v>
      </c>
      <c r="AQ94" s="127" t="str">
        <f>IFERROR(INDEX(TableOverallMaster[POS RK],MATCH(TableOverallRank[[#This Row],[OVERALL PLAYER]],TableOverallMaster[OVERALL PLAYER],0)),"")</f>
        <v>TE7</v>
      </c>
      <c r="AR94" s="128">
        <f>IFERROR(INDEX(TableOverallMaster[BYE],MATCH(TableOverallRank[[#This Row],[OVERALL PLAYER]],TableOverallMaster[OVERALL PLAYER],0)),"")</f>
        <v>11</v>
      </c>
      <c r="AS94" s="127">
        <f>IFERROR(INDEX(TableOverallMaster[Custom],MATCH(TableOverallRank[[#This Row],[OVERALL PLAYER]],TableOverallMaster[OVERALL PLAYER],0)),"")</f>
        <v>138.52950994352989</v>
      </c>
      <c r="AT94" s="129">
        <f>IFERROR(INDEX(TableOverallMaster[VORP],MATCH(TableOverallRank[[#This Row],[OVERALL PLAYER]],TableOverallMaster[OVERALL PLAYER],0)),"")</f>
        <v>0.16577709134650764</v>
      </c>
      <c r="AV94">
        <v>93</v>
      </c>
      <c r="AW94" s="130" t="str">
        <f>IFERROR(INDEX(TableWRTECalcPts[PLAYER],MATCH(TableWRTERank[[#This Row],[RK]],TableWRTECalcPts[RK],0)),"")</f>
        <v>Juwan Johnson</v>
      </c>
      <c r="AX94" s="130" t="str">
        <f>IFERROR(INDEX(TableWRTECalcPts[POS RK],MATCH(TableWRTERank[[#This Row],[WR and TE COMBINED]],TableWRTECalcPts[PLAYER],0)),"")</f>
        <v>TE21</v>
      </c>
      <c r="AY94" s="130">
        <f>IFERROR(INDEX(TableWRTECalcPts[BYE],MATCH(TableWRTERank[[#This Row],[RK]],TableWRTECalcPts[RK],0)),"")</f>
        <v>11</v>
      </c>
      <c r="AZ94" s="131">
        <f>IFERROR(INDEX(TableWRTECalcPts[Custom],MATCH(TableWRTERank[[#This Row],[RK]],TableWRTECalcPts[RK],0)),"")</f>
        <v>98.079881682801982</v>
      </c>
      <c r="BA94" s="188">
        <f>IFERROR((TableWRTERank[[#This Row],[FPS]]-INDEX(TableWRTERank[FPS],MATCH(WRTEVORPCalc,TableWRTERank[RK],0)))/INDEX(TableWRTERank[FPS],MATCH(WRTEVORPCalc,TableWRTERank[RK],0)),"")</f>
        <v>-0.29127918167383898</v>
      </c>
      <c r="BC94" t="s">
        <v>257</v>
      </c>
      <c r="BD94">
        <v>93</v>
      </c>
      <c r="BE94" s="86">
        <f>RANK(TableWRTEMaster[[#This Row],[VORP]],TableWRTEMaster[VORP])+COUNTIF($BJ$2:BJ94,BJ94)-1</f>
        <v>127</v>
      </c>
      <c r="BF94" s="123" t="str">
        <f>IFERROR(INDEX(TableWRVORP[WIDE RECEIVER],MATCH(TableWRTEMaster[[#This Row],[RK]],TableWRVORP[RK],0)),"")</f>
        <v>Mack Hollins</v>
      </c>
      <c r="BG94" s="123" t="str">
        <f>_xlfn.CONCAT(TableWRTEMaster[[#This Row],[POS]],TableWRTEMaster[[#This Row],[RK]])</f>
        <v>WR93</v>
      </c>
      <c r="BH94" s="123">
        <f>IFERROR(INDEX(TableWRVORP[BYE],MATCH(TableWRTEMaster[[#This Row],[RK]],TableWRVORP[RK],0)),"")</f>
        <v>11</v>
      </c>
      <c r="BI94" s="124">
        <f>IFERROR(INDEX(TableWRVORP[FPS],MATCH(TableWRTEMaster[[#This Row],[RK]],TableWRVORP[RK],0)),"")</f>
        <v>77.189576272085475</v>
      </c>
      <c r="BJ94" s="125">
        <f>IFERROR(INDEX(TableWRVORP[VORP],MATCH(TableWRTEMaster[[#This Row],[RK]],TableWRVORP[RK],0)),"")</f>
        <v>-0.40756514291778084</v>
      </c>
    </row>
    <row r="95" spans="1:62" x14ac:dyDescent="0.2">
      <c r="A95">
        <v>94</v>
      </c>
      <c r="B95" s="120" t="str">
        <f>IFERROR(INDEX(TableQBCalcPts[PLAYER],MATCH(TableQBVORP[[#This Row],[RK]],TableQBCalcPts[RK],0)),"")</f>
        <v/>
      </c>
      <c r="C95" s="120" t="str">
        <f>IFERROR(INDEX(TableQBCalcPts[TM],MATCH(TableQBVORP[[#This Row],[RK]],TableQBCalcPts[RK],0)),"")</f>
        <v/>
      </c>
      <c r="D95" s="120" t="str">
        <f>IFERROR(INDEX(TableQBCalcPts[BYE],MATCH(TableQBVORP[[#This Row],[RK]],TableQBCalcPts[RK],0)),"")</f>
        <v/>
      </c>
      <c r="E95" s="121" t="str">
        <f>IFERROR(INDEX(TableQBCalcPts[Custom],MATCH(TableQBVORP[[#This Row],[RK]],TableQBCalcPts[RK],0)),"")</f>
        <v/>
      </c>
      <c r="F95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95">
        <v>94</v>
      </c>
      <c r="I95" s="120" t="str">
        <f>IFERROR(INDEX(TableRBCalcPts[PLAYER],MATCH(TableRBVORP[[#This Row],[RK]],TableRBCalcPts[RK],0)),"")</f>
        <v>Julius Chestnut</v>
      </c>
      <c r="J95" s="120" t="str">
        <f>IFERROR(INDEX(TableRBCalcPts[TM],MATCH(TableRBVORP[[#This Row],[RK]],TableRBCalcPts[RK],0)),"")</f>
        <v>TEN</v>
      </c>
      <c r="K95" s="120">
        <f>IFERROR(INDEX(TableRBCalcPts[BYE],MATCH(TableRBVORP[[#This Row],[RK]],TableRBCalcPts[RK],0)),"")</f>
        <v>7</v>
      </c>
      <c r="L95" s="121">
        <f>IFERROR(INDEX(TableRBCalcPts[Custom],MATCH(TableRBVORP[[#This Row],[RK]],TableRBCalcPts[RK],0)),"")</f>
        <v>22.584872523415996</v>
      </c>
      <c r="M95" s="122">
        <f>IFERROR((TableRBVORP[[#This Row],[FPS]]-INDEX(TableRBVORP[FPS],MATCH(RBVORPCalc,TableRBVORP[RK],0)))/INDEX(TableRBVORP[FPS],MATCH(RBVORPCalc,TableRBVORP[RK],0)),"")</f>
        <v>-0.81557786351439387</v>
      </c>
      <c r="O95">
        <v>94</v>
      </c>
      <c r="P95" s="120" t="str">
        <f>IFERROR(INDEX(TableWRCalcPts[PLAYER],MATCH(TableWRVORP[[#This Row],[RK]],TableWRCalcPts[RK],0)),"")</f>
        <v>John Metchie</v>
      </c>
      <c r="Q95" s="120" t="str">
        <f>IFERROR(INDEX(TableWRCalcPts[TM],MATCH(TableWRVORP[[#This Row],[RK]],TableWRCalcPts[RK],0)),"")</f>
        <v>HOU</v>
      </c>
      <c r="R95" s="120">
        <f>IFERROR(INDEX(TableWRCalcPts[BYE],MATCH(TableWRVORP[[#This Row],[RK]],TableWRCalcPts[RK],0)),"")</f>
        <v>7</v>
      </c>
      <c r="S95" s="121">
        <f>IFERROR(INDEX(TableWRCalcPts[Custom],MATCH(TableWRVORP[[#This Row],[RK]],TableWRCalcPts[RK],0)),"")</f>
        <v>73.182013035648367</v>
      </c>
      <c r="T95" s="122">
        <f>IFERROR((TableWRVORP[[#This Row],[FPS]]-INDEX(TableWRVORP[FPS],MATCH(WRVORPCalc,TableWRVORP[RK],0)))/INDEX(TableWRVORP[FPS],MATCH(WRVORPCalc,TableWRVORP[RK],0)),"")</f>
        <v>-0.43832344303925952</v>
      </c>
      <c r="V95">
        <v>94</v>
      </c>
      <c r="W95" s="120" t="str">
        <f>IFERROR(INDEX(TableTECalcPts[PLAYER],MATCH(TableTEVORP[[#This Row],[RK]],TableTECalcPts[RK],0)),"")</f>
        <v/>
      </c>
      <c r="X95" s="120" t="str">
        <f>IFERROR(INDEX(TableTECalcPts[TM],MATCH(TableTEVORP[[#This Row],[RK]],TableTECalcPts[RK],0)),"")</f>
        <v/>
      </c>
      <c r="Y95" s="120" t="str">
        <f>IFERROR(INDEX(TableTECalcPts[BYE],MATCH(TableTEVORP[[#This Row],[RK]],TableTECalcPts[RK],0)),"")</f>
        <v/>
      </c>
      <c r="Z95" s="121" t="str">
        <f>IFERROR(INDEX(TableTECalcPts[Custom],MATCH(TableTEVORP[[#This Row],[RK]],TableTECalcPts[RK],0)),"")</f>
        <v/>
      </c>
      <c r="AA95" s="122" t="str">
        <f>IFERROR((TableTEVORP[[#This Row],[FPS]]-INDEX(TableTEVORP[FPS],MATCH(TEVORPCalc,TableTEVORP[RK],0)))/INDEX(TableTEVORP[FPS],MATCH(TEVORPCalc,TableTEVORP[RK],0)),"")</f>
        <v/>
      </c>
      <c r="AF95" t="s">
        <v>256</v>
      </c>
      <c r="AG95">
        <v>54</v>
      </c>
      <c r="AH95" s="86">
        <f>RANK(TableOverallMaster[[#This Row],[VORP]],TableOverallMaster[VORP])+COUNTIF($AM$2:AM95,AM95)-1</f>
        <v>177</v>
      </c>
      <c r="AI95" s="123" t="str">
        <f>IFERROR(INDEX(TableRBVORP[RUNNING BACK],MATCH(TableOverallMaster[[#This Row],[RK]],TableRBVORP[RK],0)),"")</f>
        <v>Jeff Wilson</v>
      </c>
      <c r="AJ95" s="123" t="str">
        <f t="shared" si="1"/>
        <v>RB54</v>
      </c>
      <c r="AK95" s="123">
        <f>IFERROR(INDEX(TableRBVORP[BYE],MATCH(TableOverallMaster[[#This Row],[RK]],TableRBVORP[RK],0)),"")</f>
        <v>10</v>
      </c>
      <c r="AL95" s="124">
        <f>IFERROR(INDEX(TableRBVORP[FPS],MATCH(TableOverallMaster[[#This Row],[RK]],TableRBVORP[RK],0)),"")</f>
        <v>99.044586269217561</v>
      </c>
      <c r="AM95" s="125">
        <f>IFERROR(INDEX(TableRBVORP[VORP],MATCH(TableOverallMaster[[#This Row],[RK]],TableRBVORP[RK],0)),"")</f>
        <v>-0.19122792532196822</v>
      </c>
      <c r="AO95">
        <v>94</v>
      </c>
      <c r="AP95" s="126" t="str">
        <f>IFERROR(INDEX(TableOverallMaster[OVERALL PLAYER],MATCH(TableOverallRank[[#This Row],[RK]],TableOverallMaster[OVR RK],0)),"")</f>
        <v>Deshaun Watson</v>
      </c>
      <c r="AQ95" s="127" t="str">
        <f>IFERROR(INDEX(TableOverallMaster[POS RK],MATCH(TableOverallRank[[#This Row],[OVERALL PLAYER]],TableOverallMaster[OVERALL PLAYER],0)),"")</f>
        <v>QB9</v>
      </c>
      <c r="AR95" s="128">
        <f>IFERROR(INDEX(TableOverallMaster[BYE],MATCH(TableOverallRank[[#This Row],[OVERALL PLAYER]],TableOverallMaster[OVERALL PLAYER],0)),"")</f>
        <v>5</v>
      </c>
      <c r="AS95" s="127">
        <f>IFERROR(INDEX(TableOverallMaster[Custom],MATCH(TableOverallRank[[#This Row],[OVERALL PLAYER]],TableOverallMaster[OVERALL PLAYER],0)),"")</f>
        <v>335.72963468077643</v>
      </c>
      <c r="AT95" s="129">
        <f>IFERROR(INDEX(TableOverallMaster[VORP],MATCH(TableOverallRank[[#This Row],[OVERALL PLAYER]],TableOverallMaster[OVERALL PLAYER],0)),"")</f>
        <v>0.16493528888401612</v>
      </c>
      <c r="AV95">
        <v>94</v>
      </c>
      <c r="AW95" s="130" t="str">
        <f>IFERROR(INDEX(TableWRTECalcPts[PLAYER],MATCH(TableWRTERank[[#This Row],[RK]],TableWRTECalcPts[RK],0)),"")</f>
        <v>Irv Smith</v>
      </c>
      <c r="AX95" s="130" t="str">
        <f>IFERROR(INDEX(TableWRTECalcPts[POS RK],MATCH(TableWRTERank[[#This Row],[WR and TE COMBINED]],TableWRTECalcPts[PLAYER],0)),"")</f>
        <v>TE22</v>
      </c>
      <c r="AY95" s="130">
        <f>IFERROR(INDEX(TableWRTECalcPts[BYE],MATCH(TableWRTERank[[#This Row],[RK]],TableWRTECalcPts[RK],0)),"")</f>
        <v>7</v>
      </c>
      <c r="AZ95" s="131">
        <f>IFERROR(INDEX(TableWRTECalcPts[Custom],MATCH(TableWRTERank[[#This Row],[RK]],TableWRTECalcPts[RK],0)),"")</f>
        <v>98.061359137818485</v>
      </c>
      <c r="BA95" s="188">
        <f>IFERROR((TableWRTERank[[#This Row],[FPS]]-INDEX(TableWRTERank[FPS],MATCH(WRTEVORPCalc,TableWRTERank[RK],0)))/INDEX(TableWRTERank[FPS],MATCH(WRTEVORPCalc,TableWRTERank[RK],0)),"")</f>
        <v>-0.29141302475167469</v>
      </c>
      <c r="BC95" t="s">
        <v>257</v>
      </c>
      <c r="BD95">
        <v>94</v>
      </c>
      <c r="BE95" s="86">
        <f>RANK(TableWRTEMaster[[#This Row],[VORP]],TableWRTEMaster[VORP])+COUNTIF($BJ$2:BJ95,BJ95)-1</f>
        <v>129</v>
      </c>
      <c r="BF95" s="123" t="str">
        <f>IFERROR(INDEX(TableWRVORP[WIDE RECEIVER],MATCH(TableWRTEMaster[[#This Row],[RK]],TableWRVORP[RK],0)),"")</f>
        <v>John Metchie</v>
      </c>
      <c r="BG95" s="123" t="str">
        <f>_xlfn.CONCAT(TableWRTEMaster[[#This Row],[POS]],TableWRTEMaster[[#This Row],[RK]])</f>
        <v>WR94</v>
      </c>
      <c r="BH95" s="123">
        <f>IFERROR(INDEX(TableWRVORP[BYE],MATCH(TableWRTEMaster[[#This Row],[RK]],TableWRVORP[RK],0)),"")</f>
        <v>7</v>
      </c>
      <c r="BI95" s="124">
        <f>IFERROR(INDEX(TableWRVORP[FPS],MATCH(TableWRTEMaster[[#This Row],[RK]],TableWRVORP[RK],0)),"")</f>
        <v>73.182013035648367</v>
      </c>
      <c r="BJ95" s="125">
        <f>IFERROR(INDEX(TableWRVORP[VORP],MATCH(TableWRTEMaster[[#This Row],[RK]],TableWRVORP[RK],0)),"")</f>
        <v>-0.43832344303925952</v>
      </c>
    </row>
    <row r="96" spans="1:62" x14ac:dyDescent="0.2">
      <c r="A96">
        <v>95</v>
      </c>
      <c r="B96" s="120" t="str">
        <f>IFERROR(INDEX(TableQBCalcPts[PLAYER],MATCH(TableQBVORP[[#This Row],[RK]],TableQBCalcPts[RK],0)),"")</f>
        <v/>
      </c>
      <c r="C96" s="120" t="str">
        <f>IFERROR(INDEX(TableQBCalcPts[TM],MATCH(TableQBVORP[[#This Row],[RK]],TableQBCalcPts[RK],0)),"")</f>
        <v/>
      </c>
      <c r="D96" s="120" t="str">
        <f>IFERROR(INDEX(TableQBCalcPts[BYE],MATCH(TableQBVORP[[#This Row],[RK]],TableQBCalcPts[RK],0)),"")</f>
        <v/>
      </c>
      <c r="E96" s="121" t="str">
        <f>IFERROR(INDEX(TableQBCalcPts[Custom],MATCH(TableQBVORP[[#This Row],[RK]],TableQBCalcPts[RK],0)),"")</f>
        <v/>
      </c>
      <c r="F96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96">
        <v>95</v>
      </c>
      <c r="I96" s="120" t="str">
        <f>IFERROR(INDEX(TableRBCalcPts[PLAYER],MATCH(TableRBVORP[[#This Row],[RK]],TableRBCalcPts[RK],0)),"")</f>
        <v>Travis Homer</v>
      </c>
      <c r="J96" s="120" t="str">
        <f>IFERROR(INDEX(TableRBCalcPts[TM],MATCH(TableRBVORP[[#This Row],[RK]],TableRBCalcPts[RK],0)),"")</f>
        <v>CHI</v>
      </c>
      <c r="K96" s="120">
        <f>IFERROR(INDEX(TableRBCalcPts[BYE],MATCH(TableRBVORP[[#This Row],[RK]],TableRBCalcPts[RK],0)),"")</f>
        <v>13</v>
      </c>
      <c r="L96" s="121">
        <f>IFERROR(INDEX(TableRBCalcPts[Custom],MATCH(TableRBVORP[[#This Row],[RK]],TableRBCalcPts[RK],0)),"")</f>
        <v>22.560629640663144</v>
      </c>
      <c r="M96" s="122">
        <f>IFERROR((TableRBVORP[[#This Row],[FPS]]-INDEX(TableRBVORP[FPS],MATCH(RBVORPCalc,TableRBVORP[RK],0)))/INDEX(TableRBVORP[FPS],MATCH(RBVORPCalc,TableRBVORP[RK],0)),"")</f>
        <v>-0.8157758245268909</v>
      </c>
      <c r="O96">
        <v>95</v>
      </c>
      <c r="P96" s="120" t="str">
        <f>IFERROR(INDEX(TableWRCalcPts[PLAYER],MATCH(TableWRVORP[[#This Row],[RK]],TableWRCalcPts[RK],0)),"")</f>
        <v>Randall Cobb</v>
      </c>
      <c r="Q96" s="120" t="str">
        <f>IFERROR(INDEX(TableWRCalcPts[TM],MATCH(TableWRVORP[[#This Row],[RK]],TableWRCalcPts[RK],0)),"")</f>
        <v>NYJ</v>
      </c>
      <c r="R96" s="120">
        <f>IFERROR(INDEX(TableWRCalcPts[BYE],MATCH(TableWRVORP[[#This Row],[RK]],TableWRCalcPts[RK],0)),"")</f>
        <v>7</v>
      </c>
      <c r="S96" s="121">
        <f>IFERROR(INDEX(TableWRCalcPts[Custom],MATCH(TableWRVORP[[#This Row],[RK]],TableWRCalcPts[RK],0)),"")</f>
        <v>71.627058184838234</v>
      </c>
      <c r="T96" s="122">
        <f>IFERROR((TableWRVORP[[#This Row],[FPS]]-INDEX(TableWRVORP[FPS],MATCH(WRVORPCalc,TableWRVORP[RK],0)))/INDEX(TableWRVORP[FPS],MATCH(WRVORPCalc,TableWRVORP[RK],0)),"")</f>
        <v>-0.4502578194058538</v>
      </c>
      <c r="V96">
        <v>95</v>
      </c>
      <c r="W96" s="120" t="str">
        <f>IFERROR(INDEX(TableTECalcPts[PLAYER],MATCH(TableTEVORP[[#This Row],[RK]],TableTECalcPts[RK],0)),"")</f>
        <v/>
      </c>
      <c r="X96" s="120" t="str">
        <f>IFERROR(INDEX(TableTECalcPts[TM],MATCH(TableTEVORP[[#This Row],[RK]],TableTECalcPts[RK],0)),"")</f>
        <v/>
      </c>
      <c r="Y96" s="120" t="str">
        <f>IFERROR(INDEX(TableTECalcPts[BYE],MATCH(TableTEVORP[[#This Row],[RK]],TableTECalcPts[RK],0)),"")</f>
        <v/>
      </c>
      <c r="Z96" s="121" t="str">
        <f>IFERROR(INDEX(TableTECalcPts[Custom],MATCH(TableTEVORP[[#This Row],[RK]],TableTECalcPts[RK],0)),"")</f>
        <v/>
      </c>
      <c r="AA96" s="122" t="str">
        <f>IFERROR((TableTEVORP[[#This Row],[FPS]]-INDEX(TableTEVORP[FPS],MATCH(TEVORPCalc,TableTEVORP[RK],0)))/INDEX(TableTEVORP[FPS],MATCH(TEVORPCalc,TableTEVORP[RK],0)),"")</f>
        <v/>
      </c>
      <c r="AF96" t="s">
        <v>256</v>
      </c>
      <c r="AG96">
        <v>55</v>
      </c>
      <c r="AH96" s="86">
        <f>RANK(TableOverallMaster[[#This Row],[VORP]],TableOverallMaster[VORP])+COUNTIF($AM$2:AM96,AM96)-1</f>
        <v>178</v>
      </c>
      <c r="AI96" s="123" t="str">
        <f>IFERROR(INDEX(TableRBVORP[RUNNING BACK],MATCH(TableOverallMaster[[#This Row],[RK]],TableRBVORP[RK],0)),"")</f>
        <v>Joshua Kelley</v>
      </c>
      <c r="AJ96" s="123" t="str">
        <f t="shared" si="1"/>
        <v>RB55</v>
      </c>
      <c r="AK96" s="123">
        <f>IFERROR(INDEX(TableRBVORP[BYE],MATCH(TableOverallMaster[[#This Row],[RK]],TableRBVORP[RK],0)),"")</f>
        <v>5</v>
      </c>
      <c r="AL96" s="124">
        <f>IFERROR(INDEX(TableRBVORP[FPS],MATCH(TableOverallMaster[[#This Row],[RK]],TableRBVORP[RK],0)),"")</f>
        <v>97.654269176520614</v>
      </c>
      <c r="AM96" s="125">
        <f>IFERROR(INDEX(TableRBVORP[VORP],MATCH(TableOverallMaster[[#This Row],[RK]],TableRBVORP[RK],0)),"")</f>
        <v>-0.20258088949574365</v>
      </c>
      <c r="AO96">
        <v>95</v>
      </c>
      <c r="AP96" s="126" t="str">
        <f>IFERROR(INDEX(TableOverallMaster[OVERALL PLAYER],MATCH(TableOverallRank[[#This Row],[RK]],TableOverallMaster[OVR RK],0)),"")</f>
        <v>Tyler Higbee</v>
      </c>
      <c r="AQ96" s="127" t="str">
        <f>IFERROR(INDEX(TableOverallMaster[POS RK],MATCH(TableOverallRank[[#This Row],[OVERALL PLAYER]],TableOverallMaster[OVERALL PLAYER],0)),"")</f>
        <v>TE8</v>
      </c>
      <c r="AR96" s="128">
        <f>IFERROR(INDEX(TableOverallMaster[BYE],MATCH(TableOverallRank[[#This Row],[OVERALL PLAYER]],TableOverallMaster[OVERALL PLAYER],0)),"")</f>
        <v>10</v>
      </c>
      <c r="AS96" s="127">
        <f>IFERROR(INDEX(TableOverallMaster[Custom],MATCH(TableOverallRank[[#This Row],[OVERALL PLAYER]],TableOverallMaster[OVERALL PLAYER],0)),"")</f>
        <v>138.39001077242881</v>
      </c>
      <c r="AT96" s="129">
        <f>IFERROR(INDEX(TableOverallMaster[VORP],MATCH(TableOverallRank[[#This Row],[OVERALL PLAYER]],TableOverallMaster[OVERALL PLAYER],0)),"")</f>
        <v>0.16460315419768096</v>
      </c>
      <c r="AV96">
        <v>95</v>
      </c>
      <c r="AW96" s="130" t="str">
        <f>IFERROR(INDEX(TableWRTECalcPts[PLAYER],MATCH(TableWRTERank[[#This Row],[RK]],TableWRTECalcPts[RK],0)),"")</f>
        <v>Luke Musgrave</v>
      </c>
      <c r="AX96" s="130" t="str">
        <f>IFERROR(INDEX(TableWRTECalcPts[POS RK],MATCH(TableWRTERank[[#This Row],[WR and TE COMBINED]],TableWRTECalcPts[PLAYER],0)),"")</f>
        <v>TE23</v>
      </c>
      <c r="AY96" s="130">
        <f>IFERROR(INDEX(TableWRTECalcPts[BYE],MATCH(TableWRTERank[[#This Row],[RK]],TableWRTECalcPts[RK],0)),"")</f>
        <v>6</v>
      </c>
      <c r="AZ96" s="131">
        <f>IFERROR(INDEX(TableWRTECalcPts[Custom],MATCH(TableWRTERank[[#This Row],[RK]],TableWRTECalcPts[RK],0)),"")</f>
        <v>97.802786851182233</v>
      </c>
      <c r="BA96" s="188">
        <f>IFERROR((TableWRTERank[[#This Row],[FPS]]-INDEX(TableWRTERank[FPS],MATCH(WRTEVORPCalc,TableWRTERank[RK],0)))/INDEX(TableWRTERank[FPS],MATCH(WRTEVORPCalc,TableWRTERank[RK],0)),"")</f>
        <v>-0.29328145647729581</v>
      </c>
      <c r="BC96" t="s">
        <v>257</v>
      </c>
      <c r="BD96">
        <v>95</v>
      </c>
      <c r="BE96" s="86">
        <f>RANK(TableWRTEMaster[[#This Row],[VORP]],TableWRTEMaster[VORP])+COUNTIF($BJ$2:BJ96,BJ96)-1</f>
        <v>131</v>
      </c>
      <c r="BF96" s="123" t="str">
        <f>IFERROR(INDEX(TableWRVORP[WIDE RECEIVER],MATCH(TableWRTEMaster[[#This Row],[RK]],TableWRVORP[RK],0)),"")</f>
        <v>Randall Cobb</v>
      </c>
      <c r="BG96" s="123" t="str">
        <f>_xlfn.CONCAT(TableWRTEMaster[[#This Row],[POS]],TableWRTEMaster[[#This Row],[RK]])</f>
        <v>WR95</v>
      </c>
      <c r="BH96" s="123">
        <f>IFERROR(INDEX(TableWRVORP[BYE],MATCH(TableWRTEMaster[[#This Row],[RK]],TableWRVORP[RK],0)),"")</f>
        <v>7</v>
      </c>
      <c r="BI96" s="124">
        <f>IFERROR(INDEX(TableWRVORP[FPS],MATCH(TableWRTEMaster[[#This Row],[RK]],TableWRVORP[RK],0)),"")</f>
        <v>71.627058184838234</v>
      </c>
      <c r="BJ96" s="125">
        <f>IFERROR(INDEX(TableWRVORP[VORP],MATCH(TableWRTEMaster[[#This Row],[RK]],TableWRVORP[RK],0)),"")</f>
        <v>-0.4502578194058538</v>
      </c>
    </row>
    <row r="97" spans="1:62" x14ac:dyDescent="0.2">
      <c r="A97">
        <v>96</v>
      </c>
      <c r="B97" s="120" t="str">
        <f>IFERROR(INDEX(TableQBCalcPts[PLAYER],MATCH(TableQBVORP[[#This Row],[RK]],TableQBCalcPts[RK],0)),"")</f>
        <v/>
      </c>
      <c r="C97" s="120" t="str">
        <f>IFERROR(INDEX(TableQBCalcPts[TM],MATCH(TableQBVORP[[#This Row],[RK]],TableQBCalcPts[RK],0)),"")</f>
        <v/>
      </c>
      <c r="D97" s="120" t="str">
        <f>IFERROR(INDEX(TableQBCalcPts[BYE],MATCH(TableQBVORP[[#This Row],[RK]],TableQBCalcPts[RK],0)),"")</f>
        <v/>
      </c>
      <c r="E97" s="121" t="str">
        <f>IFERROR(INDEX(TableQBCalcPts[Custom],MATCH(TableQBVORP[[#This Row],[RK]],TableQBCalcPts[RK],0)),"")</f>
        <v/>
      </c>
      <c r="F97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97">
        <v>96</v>
      </c>
      <c r="I97" s="120" t="str">
        <f>IFERROR(INDEX(TableRBCalcPts[PLAYER],MATCH(TableRBVORP[[#This Row],[RK]],TableRBCalcPts[RK],0)),"")</f>
        <v>Salvon Ahmed</v>
      </c>
      <c r="J97" s="120" t="str">
        <f>IFERROR(INDEX(TableRBCalcPts[TM],MATCH(TableRBVORP[[#This Row],[RK]],TableRBCalcPts[RK],0)),"")</f>
        <v>MIA</v>
      </c>
      <c r="K97" s="120">
        <f>IFERROR(INDEX(TableRBCalcPts[BYE],MATCH(TableRBVORP[[#This Row],[RK]],TableRBCalcPts[RK],0)),"")</f>
        <v>10</v>
      </c>
      <c r="L97" s="121">
        <f>IFERROR(INDEX(TableRBCalcPts[Custom],MATCH(TableRBVORP[[#This Row],[RK]],TableRBCalcPts[RK],0)),"")</f>
        <v>22.424756662526406</v>
      </c>
      <c r="M97" s="122">
        <f>IFERROR((TableRBVORP[[#This Row],[FPS]]-INDEX(TableRBVORP[FPS],MATCH(RBVORPCalc,TableRBVORP[RK],0)))/INDEX(TableRBVORP[FPS],MATCH(RBVORPCalc,TableRBVORP[RK],0)),"")</f>
        <v>-0.81688532757556465</v>
      </c>
      <c r="O97">
        <v>96</v>
      </c>
      <c r="P97" s="120" t="str">
        <f>IFERROR(INDEX(TableWRCalcPts[PLAYER],MATCH(TableWRVORP[[#This Row],[RK]],TableWRCalcPts[RK],0)),"")</f>
        <v>Nick Westbrook-Ikhine</v>
      </c>
      <c r="Q97" s="120" t="str">
        <f>IFERROR(INDEX(TableWRCalcPts[TM],MATCH(TableWRVORP[[#This Row],[RK]],TableWRCalcPts[RK],0)),"")</f>
        <v>TEN</v>
      </c>
      <c r="R97" s="120">
        <f>IFERROR(INDEX(TableWRCalcPts[BYE],MATCH(TableWRVORP[[#This Row],[RK]],TableWRCalcPts[RK],0)),"")</f>
        <v>7</v>
      </c>
      <c r="S97" s="121">
        <f>IFERROR(INDEX(TableWRCalcPts[Custom],MATCH(TableWRVORP[[#This Row],[RK]],TableWRCalcPts[RK],0)),"")</f>
        <v>69.20477178254302</v>
      </c>
      <c r="T97" s="122">
        <f>IFERROR((TableWRVORP[[#This Row],[FPS]]-INDEX(TableWRVORP[FPS],MATCH(WRVORPCalc,TableWRVORP[RK],0)))/INDEX(TableWRVORP[FPS],MATCH(WRVORPCalc,TableWRVORP[RK],0)),"")</f>
        <v>-0.46884902002985485</v>
      </c>
      <c r="V97">
        <v>96</v>
      </c>
      <c r="W97" s="120" t="str">
        <f>IFERROR(INDEX(TableTECalcPts[PLAYER],MATCH(TableTEVORP[[#This Row],[RK]],TableTECalcPts[RK],0)),"")</f>
        <v/>
      </c>
      <c r="X97" s="120" t="str">
        <f>IFERROR(INDEX(TableTECalcPts[TM],MATCH(TableTEVORP[[#This Row],[RK]],TableTECalcPts[RK],0)),"")</f>
        <v/>
      </c>
      <c r="Y97" s="120" t="str">
        <f>IFERROR(INDEX(TableTECalcPts[BYE],MATCH(TableTEVORP[[#This Row],[RK]],TableTECalcPts[RK],0)),"")</f>
        <v/>
      </c>
      <c r="Z97" s="121" t="str">
        <f>IFERROR(INDEX(TableTECalcPts[Custom],MATCH(TableTEVORP[[#This Row],[RK]],TableTECalcPts[RK],0)),"")</f>
        <v/>
      </c>
      <c r="AA97" s="122" t="str">
        <f>IFERROR((TableTEVORP[[#This Row],[FPS]]-INDEX(TableTEVORP[FPS],MATCH(TEVORPCalc,TableTEVORP[RK],0)))/INDEX(TableTEVORP[FPS],MATCH(TEVORPCalc,TableTEVORP[RK],0)),"")</f>
        <v/>
      </c>
      <c r="AF97" t="s">
        <v>256</v>
      </c>
      <c r="AG97">
        <v>56</v>
      </c>
      <c r="AH97" s="86">
        <f>RANK(TableOverallMaster[[#This Row],[VORP]],TableOverallMaster[VORP])+COUNTIF($AM$2:AM97,AM97)-1</f>
        <v>182</v>
      </c>
      <c r="AI97" s="123" t="str">
        <f>IFERROR(INDEX(TableRBVORP[RUNNING BACK],MATCH(TableOverallMaster[[#This Row],[RK]],TableRBVORP[RK],0)),"")</f>
        <v>Tyjae Spears</v>
      </c>
      <c r="AJ97" s="123" t="str">
        <f t="shared" si="1"/>
        <v>RB56</v>
      </c>
      <c r="AK97" s="123">
        <f>IFERROR(INDEX(TableRBVORP[BYE],MATCH(TableOverallMaster[[#This Row],[RK]],TableRBVORP[RK],0)),"")</f>
        <v>7</v>
      </c>
      <c r="AL97" s="124">
        <f>IFERROR(INDEX(TableRBVORP[FPS],MATCH(TableOverallMaster[[#This Row],[RK]],TableRBVORP[RK],0)),"")</f>
        <v>93.969165711551824</v>
      </c>
      <c r="AM97" s="125">
        <f>IFERROR(INDEX(TableRBVORP[VORP],MATCH(TableOverallMaster[[#This Row],[RK]],TableRBVORP[RK],0)),"")</f>
        <v>-0.2326724763964636</v>
      </c>
      <c r="AO97">
        <v>96</v>
      </c>
      <c r="AP97" s="126" t="str">
        <f>IFERROR(INDEX(TableOverallMaster[OVERALL PLAYER],MATCH(TableOverallRank[[#This Row],[RK]],TableOverallMaster[OVR RK],0)),"")</f>
        <v>Brandin Cooks</v>
      </c>
      <c r="AQ97" s="127" t="str">
        <f>IFERROR(INDEX(TableOverallMaster[POS RK],MATCH(TableOverallRank[[#This Row],[OVERALL PLAYER]],TableOverallMaster[OVERALL PLAYER],0)),"")</f>
        <v>WR42</v>
      </c>
      <c r="AR97" s="128">
        <f>IFERROR(INDEX(TableOverallMaster[BYE],MATCH(TableOverallRank[[#This Row],[OVERALL PLAYER]],TableOverallMaster[OVERALL PLAYER],0)),"")</f>
        <v>7</v>
      </c>
      <c r="AS97" s="127">
        <f>IFERROR(INDEX(TableOverallMaster[Custom],MATCH(TableOverallRank[[#This Row],[OVERALL PLAYER]],TableOverallMaster[OVERALL PLAYER],0)),"")</f>
        <v>151.57421394837161</v>
      </c>
      <c r="AT97" s="129">
        <f>IFERROR(INDEX(TableOverallMaster[VORP],MATCH(TableOverallRank[[#This Row],[OVERALL PLAYER]],TableOverallMaster[OVERALL PLAYER],0)),"")</f>
        <v>0.16334163386679154</v>
      </c>
      <c r="AV97">
        <v>96</v>
      </c>
      <c r="AW97" s="130" t="str">
        <f>IFERROR(INDEX(TableWRTECalcPts[PLAYER],MATCH(TableWRTERank[[#This Row],[RK]],TableWRTECalcPts[RK],0)),"")</f>
        <v>Jameson Williams</v>
      </c>
      <c r="AX97" s="130" t="str">
        <f>IFERROR(INDEX(TableWRTECalcPts[POS RK],MATCH(TableWRTERank[[#This Row],[WR and TE COMBINED]],TableWRTECalcPts[PLAYER],0)),"")</f>
        <v>WR73</v>
      </c>
      <c r="AY97" s="130">
        <f>IFERROR(INDEX(TableWRTECalcPts[BYE],MATCH(TableWRTERank[[#This Row],[RK]],TableWRTECalcPts[RK],0)),"")</f>
        <v>9</v>
      </c>
      <c r="AZ97" s="131">
        <f>IFERROR(INDEX(TableWRTECalcPts[Custom],MATCH(TableWRTERank[[#This Row],[RK]],TableWRTECalcPts[RK],0)),"")</f>
        <v>96.934568288463439</v>
      </c>
      <c r="BA97" s="188">
        <f>IFERROR((TableWRTERank[[#This Row],[FPS]]-INDEX(TableWRTERank[FPS],MATCH(WRTEVORPCalc,TableWRTERank[RK],0)))/INDEX(TableWRTERank[FPS],MATCH(WRTEVORPCalc,TableWRTERank[RK],0)),"")</f>
        <v>-0.29955516480257738</v>
      </c>
      <c r="BC97" t="s">
        <v>257</v>
      </c>
      <c r="BD97">
        <v>96</v>
      </c>
      <c r="BE97" s="86">
        <f>RANK(TableWRTEMaster[[#This Row],[VORP]],TableWRTEMaster[VORP])+COUNTIF($BJ$2:BJ97,BJ97)-1</f>
        <v>133</v>
      </c>
      <c r="BF97" s="123" t="str">
        <f>IFERROR(INDEX(TableWRVORP[WIDE RECEIVER],MATCH(TableWRTEMaster[[#This Row],[RK]],TableWRVORP[RK],0)),"")</f>
        <v>Nick Westbrook-Ikhine</v>
      </c>
      <c r="BG97" s="123" t="str">
        <f>_xlfn.CONCAT(TableWRTEMaster[[#This Row],[POS]],TableWRTEMaster[[#This Row],[RK]])</f>
        <v>WR96</v>
      </c>
      <c r="BH97" s="123">
        <f>IFERROR(INDEX(TableWRVORP[BYE],MATCH(TableWRTEMaster[[#This Row],[RK]],TableWRVORP[RK],0)),"")</f>
        <v>7</v>
      </c>
      <c r="BI97" s="124">
        <f>IFERROR(INDEX(TableWRVORP[FPS],MATCH(TableWRTEMaster[[#This Row],[RK]],TableWRVORP[RK],0)),"")</f>
        <v>69.20477178254302</v>
      </c>
      <c r="BJ97" s="125">
        <f>IFERROR(INDEX(TableWRVORP[VORP],MATCH(TableWRTEMaster[[#This Row],[RK]],TableWRVORP[RK],0)),"")</f>
        <v>-0.46884902002985485</v>
      </c>
    </row>
    <row r="98" spans="1:62" x14ac:dyDescent="0.2">
      <c r="A98">
        <v>97</v>
      </c>
      <c r="B98" s="120" t="str">
        <f>IFERROR(INDEX(TableQBCalcPts[PLAYER],MATCH(TableQBVORP[[#This Row],[RK]],TableQBCalcPts[RK],0)),"")</f>
        <v/>
      </c>
      <c r="C98" s="120" t="str">
        <f>IFERROR(INDEX(TableQBCalcPts[TM],MATCH(TableQBVORP[[#This Row],[RK]],TableQBCalcPts[RK],0)),"")</f>
        <v/>
      </c>
      <c r="D98" s="120" t="str">
        <f>IFERROR(INDEX(TableQBCalcPts[BYE],MATCH(TableQBVORP[[#This Row],[RK]],TableQBCalcPts[RK],0)),"")</f>
        <v/>
      </c>
      <c r="E98" s="121" t="str">
        <f>IFERROR(INDEX(TableQBCalcPts[Custom],MATCH(TableQBVORP[[#This Row],[RK]],TableQBCalcPts[RK],0)),"")</f>
        <v/>
      </c>
      <c r="F98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98">
        <v>97</v>
      </c>
      <c r="I98" s="120" t="str">
        <f>IFERROR(INDEX(TableRBCalcPts[PLAYER],MATCH(TableRBVORP[[#This Row],[RK]],TableRBCalcPts[RK],0)),"")</f>
        <v>Brandon Bolden</v>
      </c>
      <c r="J98" s="120" t="str">
        <f>IFERROR(INDEX(TableRBCalcPts[TM],MATCH(TableRBVORP[[#This Row],[RK]],TableRBCalcPts[RK],0)),"")</f>
        <v>LV</v>
      </c>
      <c r="K98" s="120">
        <f>IFERROR(INDEX(TableRBCalcPts[BYE],MATCH(TableRBVORP[[#This Row],[RK]],TableRBCalcPts[RK],0)),"")</f>
        <v>13</v>
      </c>
      <c r="L98" s="121">
        <f>IFERROR(INDEX(TableRBCalcPts[Custom],MATCH(TableRBVORP[[#This Row],[RK]],TableRBCalcPts[RK],0)),"")</f>
        <v>22.341095421120002</v>
      </c>
      <c r="M98" s="122">
        <f>IFERROR((TableRBVORP[[#This Row],[FPS]]-INDEX(TableRBVORP[FPS],MATCH(RBVORPCalc,TableRBVORP[RK],0)))/INDEX(TableRBVORP[FPS],MATCH(RBVORPCalc,TableRBVORP[RK],0)),"")</f>
        <v>-0.81756848329695342</v>
      </c>
      <c r="O98">
        <v>97</v>
      </c>
      <c r="P98" s="120" t="str">
        <f>IFERROR(INDEX(TableWRCalcPts[PLAYER],MATCH(TableWRVORP[[#This Row],[RK]],TableWRCalcPts[RK],0)),"")</f>
        <v>Josh Reynolds</v>
      </c>
      <c r="Q98" s="120" t="str">
        <f>IFERROR(INDEX(TableWRCalcPts[TM],MATCH(TableWRVORP[[#This Row],[RK]],TableWRCalcPts[RK],0)),"")</f>
        <v>DET</v>
      </c>
      <c r="R98" s="120">
        <f>IFERROR(INDEX(TableWRCalcPts[BYE],MATCH(TableWRVORP[[#This Row],[RK]],TableWRCalcPts[RK],0)),"")</f>
        <v>9</v>
      </c>
      <c r="S98" s="121">
        <f>IFERROR(INDEX(TableWRCalcPts[Custom],MATCH(TableWRVORP[[#This Row],[RK]],TableWRCalcPts[RK],0)),"")</f>
        <v>68.671312284847986</v>
      </c>
      <c r="T98" s="122">
        <f>IFERROR((TableWRVORP[[#This Row],[FPS]]-INDEX(TableWRVORP[FPS],MATCH(WRVORPCalc,TableWRVORP[RK],0)))/INDEX(TableWRVORP[FPS],MATCH(WRVORPCalc,TableWRVORP[RK],0)),"")</f>
        <v>-0.47294335525670073</v>
      </c>
      <c r="V98">
        <v>97</v>
      </c>
      <c r="W98" s="120" t="str">
        <f>IFERROR(INDEX(TableTECalcPts[PLAYER],MATCH(TableTEVORP[[#This Row],[RK]],TableTECalcPts[RK],0)),"")</f>
        <v/>
      </c>
      <c r="X98" s="120" t="str">
        <f>IFERROR(INDEX(TableTECalcPts[TM],MATCH(TableTEVORP[[#This Row],[RK]],TableTECalcPts[RK],0)),"")</f>
        <v/>
      </c>
      <c r="Y98" s="120" t="str">
        <f>IFERROR(INDEX(TableTECalcPts[BYE],MATCH(TableTEVORP[[#This Row],[RK]],TableTECalcPts[RK],0)),"")</f>
        <v/>
      </c>
      <c r="Z98" s="121" t="str">
        <f>IFERROR(INDEX(TableTECalcPts[Custom],MATCH(TableTEVORP[[#This Row],[RK]],TableTECalcPts[RK],0)),"")</f>
        <v/>
      </c>
      <c r="AA98" s="122" t="str">
        <f>IFERROR((TableTEVORP[[#This Row],[FPS]]-INDEX(TableTEVORP[FPS],MATCH(TEVORPCalc,TableTEVORP[RK],0)))/INDEX(TableTEVORP[FPS],MATCH(TEVORPCalc,TableTEVORP[RK],0)),"")</f>
        <v/>
      </c>
      <c r="AF98" t="s">
        <v>256</v>
      </c>
      <c r="AG98">
        <v>57</v>
      </c>
      <c r="AH98" s="86">
        <f>RANK(TableOverallMaster[[#This Row],[VORP]],TableOverallMaster[VORP])+COUNTIF($AM$2:AM98,AM98)-1</f>
        <v>191</v>
      </c>
      <c r="AI98" s="123" t="str">
        <f>IFERROR(INDEX(TableRBVORP[RUNNING BACK],MATCH(TableOverallMaster[[#This Row],[RK]],TableRBVORP[RK],0)),"")</f>
        <v>Gus Edwards</v>
      </c>
      <c r="AJ98" s="123" t="str">
        <f t="shared" si="1"/>
        <v>RB57</v>
      </c>
      <c r="AK98" s="123">
        <f>IFERROR(INDEX(TableRBVORP[BYE],MATCH(TableOverallMaster[[#This Row],[RK]],TableRBVORP[RK],0)),"")</f>
        <v>13</v>
      </c>
      <c r="AL98" s="124">
        <f>IFERROR(INDEX(TableRBVORP[FPS],MATCH(TableOverallMaster[[#This Row],[RK]],TableRBVORP[RK],0)),"")</f>
        <v>87.245089713516052</v>
      </c>
      <c r="AM98" s="125">
        <f>IFERROR(INDEX(TableRBVORP[VORP],MATCH(TableOverallMaster[[#This Row],[RK]],TableRBVORP[RK],0)),"")</f>
        <v>-0.28757951473213</v>
      </c>
      <c r="AO98">
        <v>97</v>
      </c>
      <c r="AP98" s="126" t="str">
        <f>IFERROR(INDEX(TableOverallMaster[OVERALL PLAYER],MATCH(TableOverallRank[[#This Row],[RK]],TableOverallMaster[OVR RK],0)),"")</f>
        <v>Zay Jones</v>
      </c>
      <c r="AQ98" s="127" t="str">
        <f>IFERROR(INDEX(TableOverallMaster[POS RK],MATCH(TableOverallRank[[#This Row],[OVERALL PLAYER]],TableOverallMaster[OVERALL PLAYER],0)),"")</f>
        <v>WR43</v>
      </c>
      <c r="AR98" s="128">
        <f>IFERROR(INDEX(TableOverallMaster[BYE],MATCH(TableOverallRank[[#This Row],[OVERALL PLAYER]],TableOverallMaster[OVERALL PLAYER],0)),"")</f>
        <v>9</v>
      </c>
      <c r="AS98" s="127">
        <f>IFERROR(INDEX(TableOverallMaster[Custom],MATCH(TableOverallRank[[#This Row],[OVERALL PLAYER]],TableOverallMaster[OVERALL PLAYER],0)),"")</f>
        <v>150.18755470457839</v>
      </c>
      <c r="AT98" s="129">
        <f>IFERROR(INDEX(TableOverallMaster[VORP],MATCH(TableOverallRank[[#This Row],[OVERALL PLAYER]],TableOverallMaster[OVERALL PLAYER],0)),"")</f>
        <v>0.15269893687850064</v>
      </c>
      <c r="AV98">
        <v>97</v>
      </c>
      <c r="AW98" s="130" t="str">
        <f>IFERROR(INDEX(TableWRTECalcPts[PLAYER],MATCH(TableWRTERank[[#This Row],[RK]],TableWRTECalcPts[RK],0)),"")</f>
        <v>Noah Fant</v>
      </c>
      <c r="AX98" s="130" t="str">
        <f>IFERROR(INDEX(TableWRTECalcPts[POS RK],MATCH(TableWRTERank[[#This Row],[WR and TE COMBINED]],TableWRTECalcPts[PLAYER],0)),"")</f>
        <v>TE24</v>
      </c>
      <c r="AY98" s="130">
        <f>IFERROR(INDEX(TableWRTECalcPts[BYE],MATCH(TableWRTERank[[#This Row],[RK]],TableWRTECalcPts[RK],0)),"")</f>
        <v>5</v>
      </c>
      <c r="AZ98" s="131">
        <f>IFERROR(INDEX(TableWRTECalcPts[Custom],MATCH(TableWRTERank[[#This Row],[RK]],TableWRTECalcPts[RK],0)),"")</f>
        <v>96.734479211257991</v>
      </c>
      <c r="BA98" s="188">
        <f>IFERROR((TableWRTERank[[#This Row],[FPS]]-INDEX(TableWRTERank[FPS],MATCH(WRTEVORPCalc,TableWRTERank[RK],0)))/INDEX(TableWRTERank[FPS],MATCH(WRTEVORPCalc,TableWRTERank[RK],0)),"")</f>
        <v>-0.30100099948449294</v>
      </c>
      <c r="BC98" t="s">
        <v>257</v>
      </c>
      <c r="BD98">
        <v>97</v>
      </c>
      <c r="BE98" s="86">
        <f>RANK(TableWRTEMaster[[#This Row],[VORP]],TableWRTEMaster[VORP])+COUNTIF($BJ$2:BJ98,BJ98)-1</f>
        <v>134</v>
      </c>
      <c r="BF98" s="123" t="str">
        <f>IFERROR(INDEX(TableWRVORP[WIDE RECEIVER],MATCH(TableWRTEMaster[[#This Row],[RK]],TableWRVORP[RK],0)),"")</f>
        <v>Josh Reynolds</v>
      </c>
      <c r="BG98" s="123" t="str">
        <f>_xlfn.CONCAT(TableWRTEMaster[[#This Row],[POS]],TableWRTEMaster[[#This Row],[RK]])</f>
        <v>WR97</v>
      </c>
      <c r="BH98" s="123">
        <f>IFERROR(INDEX(TableWRVORP[BYE],MATCH(TableWRTEMaster[[#This Row],[RK]],TableWRVORP[RK],0)),"")</f>
        <v>9</v>
      </c>
      <c r="BI98" s="124">
        <f>IFERROR(INDEX(TableWRVORP[FPS],MATCH(TableWRTEMaster[[#This Row],[RK]],TableWRVORP[RK],0)),"")</f>
        <v>68.671312284847986</v>
      </c>
      <c r="BJ98" s="125">
        <f>IFERROR(INDEX(TableWRVORP[VORP],MATCH(TableWRTEMaster[[#This Row],[RK]],TableWRVORP[RK],0)),"")</f>
        <v>-0.47294335525670073</v>
      </c>
    </row>
    <row r="99" spans="1:62" x14ac:dyDescent="0.2">
      <c r="A99">
        <v>98</v>
      </c>
      <c r="B99" s="120" t="str">
        <f>IFERROR(INDEX(TableQBCalcPts[PLAYER],MATCH(TableQBVORP[[#This Row],[RK]],TableQBCalcPts[RK],0)),"")</f>
        <v/>
      </c>
      <c r="C99" s="120" t="str">
        <f>IFERROR(INDEX(TableQBCalcPts[TM],MATCH(TableQBVORP[[#This Row],[RK]],TableQBCalcPts[RK],0)),"")</f>
        <v/>
      </c>
      <c r="D99" s="120" t="str">
        <f>IFERROR(INDEX(TableQBCalcPts[BYE],MATCH(TableQBVORP[[#This Row],[RK]],TableQBCalcPts[RK],0)),"")</f>
        <v/>
      </c>
      <c r="E99" s="121" t="str">
        <f>IFERROR(INDEX(TableQBCalcPts[Custom],MATCH(TableQBVORP[[#This Row],[RK]],TableQBCalcPts[RK],0)),"")</f>
        <v/>
      </c>
      <c r="F99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99">
        <v>98</v>
      </c>
      <c r="I99" s="120" t="str">
        <f>IFERROR(INDEX(TableRBCalcPts[PLAYER],MATCH(TableRBVORP[[#This Row],[RK]],TableRBCalcPts[RK],0)),"")</f>
        <v>Justice Hill</v>
      </c>
      <c r="J99" s="120" t="str">
        <f>IFERROR(INDEX(TableRBCalcPts[TM],MATCH(TableRBVORP[[#This Row],[RK]],TableRBCalcPts[RK],0)),"")</f>
        <v>BAL</v>
      </c>
      <c r="K99" s="120">
        <f>IFERROR(INDEX(TableRBCalcPts[BYE],MATCH(TableRBVORP[[#This Row],[RK]],TableRBCalcPts[RK],0)),"")</f>
        <v>13</v>
      </c>
      <c r="L99" s="121">
        <f>IFERROR(INDEX(TableRBCalcPts[Custom],MATCH(TableRBVORP[[#This Row],[RK]],TableRBCalcPts[RK],0)),"")</f>
        <v>21.261982117647044</v>
      </c>
      <c r="M99" s="122">
        <f>IFERROR((TableRBVORP[[#This Row],[FPS]]-INDEX(TableRBVORP[FPS],MATCH(RBVORPCalc,TableRBVORP[RK],0)))/INDEX(TableRBVORP[FPS],MATCH(RBVORPCalc,TableRBVORP[RK],0)),"")</f>
        <v>-0.82638023907419711</v>
      </c>
      <c r="O99">
        <v>98</v>
      </c>
      <c r="P99" s="120" t="str">
        <f>IFERROR(INDEX(TableWRCalcPts[PLAYER],MATCH(TableWRVORP[[#This Row],[RK]],TableWRCalcPts[RK],0)),"")</f>
        <v>Joshua Palmer</v>
      </c>
      <c r="Q99" s="120" t="str">
        <f>IFERROR(INDEX(TableWRCalcPts[TM],MATCH(TableWRVORP[[#This Row],[RK]],TableWRCalcPts[RK],0)),"")</f>
        <v>LAC</v>
      </c>
      <c r="R99" s="120">
        <f>IFERROR(INDEX(TableWRCalcPts[BYE],MATCH(TableWRVORP[[#This Row],[RK]],TableWRCalcPts[RK],0)),"")</f>
        <v>5</v>
      </c>
      <c r="S99" s="121">
        <f>IFERROR(INDEX(TableWRCalcPts[Custom],MATCH(TableWRVORP[[#This Row],[RK]],TableWRCalcPts[RK],0)),"")</f>
        <v>65.559330244799995</v>
      </c>
      <c r="T99" s="122">
        <f>IFERROR((TableWRVORP[[#This Row],[FPS]]-INDEX(TableWRVORP[FPS],MATCH(WRVORPCalc,TableWRVORP[RK],0)))/INDEX(TableWRVORP[FPS],MATCH(WRVORPCalc,TableWRVORP[RK],0)),"")</f>
        <v>-0.49682801331777876</v>
      </c>
      <c r="V99">
        <v>98</v>
      </c>
      <c r="W99" s="120" t="str">
        <f>IFERROR(INDEX(TableTECalcPts[PLAYER],MATCH(TableTEVORP[[#This Row],[RK]],TableTECalcPts[RK],0)),"")</f>
        <v/>
      </c>
      <c r="X99" s="120" t="str">
        <f>IFERROR(INDEX(TableTECalcPts[TM],MATCH(TableTEVORP[[#This Row],[RK]],TableTECalcPts[RK],0)),"")</f>
        <v/>
      </c>
      <c r="Y99" s="120" t="str">
        <f>IFERROR(INDEX(TableTECalcPts[BYE],MATCH(TableTEVORP[[#This Row],[RK]],TableTECalcPts[RK],0)),"")</f>
        <v/>
      </c>
      <c r="Z99" s="121" t="str">
        <f>IFERROR(INDEX(TableTECalcPts[Custom],MATCH(TableTEVORP[[#This Row],[RK]],TableTECalcPts[RK],0)),"")</f>
        <v/>
      </c>
      <c r="AA99" s="122" t="str">
        <f>IFERROR((TableTEVORP[[#This Row],[FPS]]-INDEX(TableTEVORP[FPS],MATCH(TEVORPCalc,TableTEVORP[RK],0)))/INDEX(TableTEVORP[FPS],MATCH(TEVORPCalc,TableTEVORP[RK],0)),"")</f>
        <v/>
      </c>
      <c r="AF99" t="s">
        <v>256</v>
      </c>
      <c r="AG99">
        <v>58</v>
      </c>
      <c r="AH99" s="86">
        <f>RANK(TableOverallMaster[[#This Row],[VORP]],TableOverallMaster[VORP])+COUNTIF($AM$2:AM99,AM99)-1</f>
        <v>201</v>
      </c>
      <c r="AI99" s="123" t="str">
        <f>IFERROR(INDEX(TableRBVORP[RUNNING BACK],MATCH(TableOverallMaster[[#This Row],[RK]],TableRBVORP[RK],0)),"")</f>
        <v>Devin Singletary</v>
      </c>
      <c r="AJ99" s="123" t="str">
        <f t="shared" si="1"/>
        <v>RB58</v>
      </c>
      <c r="AK99" s="123">
        <f>IFERROR(INDEX(TableRBVORP[BYE],MATCH(TableOverallMaster[[#This Row],[RK]],TableRBVORP[RK],0)),"")</f>
        <v>7</v>
      </c>
      <c r="AL99" s="124">
        <f>IFERROR(INDEX(TableRBVORP[FPS],MATCH(TableOverallMaster[[#This Row],[RK]],TableRBVORP[RK],0)),"")</f>
        <v>83.837635517984992</v>
      </c>
      <c r="AM99" s="125">
        <f>IFERROR(INDEX(TableRBVORP[VORP],MATCH(TableOverallMaster[[#This Row],[RK]],TableRBVORP[RK],0)),"")</f>
        <v>-0.31540389063087132</v>
      </c>
      <c r="AO99">
        <v>98</v>
      </c>
      <c r="AP99" s="126" t="str">
        <f>IFERROR(INDEX(TableOverallMaster[OVERALL PLAYER],MATCH(TableOverallRank[[#This Row],[RK]],TableOverallMaster[OVR RK],0)),"")</f>
        <v>Marquez Valdes-Scantling</v>
      </c>
      <c r="AQ99" s="127" t="str">
        <f>IFERROR(INDEX(TableOverallMaster[POS RK],MATCH(TableOverallRank[[#This Row],[OVERALL PLAYER]],TableOverallMaster[OVERALL PLAYER],0)),"")</f>
        <v>WR44</v>
      </c>
      <c r="AR99" s="128">
        <f>IFERROR(INDEX(TableOverallMaster[BYE],MATCH(TableOverallRank[[#This Row],[OVERALL PLAYER]],TableOverallMaster[OVERALL PLAYER],0)),"")</f>
        <v>10</v>
      </c>
      <c r="AS99" s="127">
        <f>IFERROR(INDEX(TableOverallMaster[Custom],MATCH(TableOverallRank[[#This Row],[OVERALL PLAYER]],TableOverallMaster[OVERALL PLAYER],0)),"")</f>
        <v>149.61004613929302</v>
      </c>
      <c r="AT99" s="129">
        <f>IFERROR(INDEX(TableOverallMaster[VORP],MATCH(TableOverallRank[[#This Row],[OVERALL PLAYER]],TableOverallMaster[OVERALL PLAYER],0)),"")</f>
        <v>0.14826652228494724</v>
      </c>
      <c r="AV99">
        <v>98</v>
      </c>
      <c r="AW99" s="130" t="str">
        <f>IFERROR(INDEX(TableWRTECalcPts[PLAYER],MATCH(TableWRTERank[[#This Row],[RK]],TableWRTECalcPts[RK],0)),"")</f>
        <v>Darnell Mooney</v>
      </c>
      <c r="AX99" s="130" t="str">
        <f>IFERROR(INDEX(TableWRTECalcPts[POS RK],MATCH(TableWRTERank[[#This Row],[WR and TE COMBINED]],TableWRTECalcPts[PLAYER],0)),"")</f>
        <v>WR74</v>
      </c>
      <c r="AY99" s="130">
        <f>IFERROR(INDEX(TableWRTECalcPts[BYE],MATCH(TableWRTERank[[#This Row],[RK]],TableWRTECalcPts[RK],0)),"")</f>
        <v>13</v>
      </c>
      <c r="AZ99" s="131">
        <f>IFERROR(INDEX(TableWRTECalcPts[Custom],MATCH(TableWRTERank[[#This Row],[RK]],TableWRTECalcPts[RK],0)),"")</f>
        <v>96.007529586463335</v>
      </c>
      <c r="BA99" s="188">
        <f>IFERROR((TableWRTERank[[#This Row],[FPS]]-INDEX(TableWRTERank[FPS],MATCH(WRTEVORPCalc,TableWRTERank[RK],0)))/INDEX(TableWRTERank[FPS],MATCH(WRTEVORPCalc,TableWRTERank[RK],0)),"")</f>
        <v>-0.30625390481152603</v>
      </c>
      <c r="BC99" t="s">
        <v>257</v>
      </c>
      <c r="BD99">
        <v>98</v>
      </c>
      <c r="BE99" s="86">
        <f>RANK(TableWRTEMaster[[#This Row],[VORP]],TableWRTEMaster[VORP])+COUNTIF($BJ$2:BJ99,BJ99)-1</f>
        <v>135</v>
      </c>
      <c r="BF99" s="123" t="str">
        <f>IFERROR(INDEX(TableWRVORP[WIDE RECEIVER],MATCH(TableWRTEMaster[[#This Row],[RK]],TableWRVORP[RK],0)),"")</f>
        <v>Joshua Palmer</v>
      </c>
      <c r="BG99" s="123" t="str">
        <f>_xlfn.CONCAT(TableWRTEMaster[[#This Row],[POS]],TableWRTEMaster[[#This Row],[RK]])</f>
        <v>WR98</v>
      </c>
      <c r="BH99" s="123">
        <f>IFERROR(INDEX(TableWRVORP[BYE],MATCH(TableWRTEMaster[[#This Row],[RK]],TableWRVORP[RK],0)),"")</f>
        <v>5</v>
      </c>
      <c r="BI99" s="124">
        <f>IFERROR(INDEX(TableWRVORP[FPS],MATCH(TableWRTEMaster[[#This Row],[RK]],TableWRVORP[RK],0)),"")</f>
        <v>65.559330244799995</v>
      </c>
      <c r="BJ99" s="125">
        <f>IFERROR(INDEX(TableWRVORP[VORP],MATCH(TableWRTEMaster[[#This Row],[RK]],TableWRVORP[RK],0)),"")</f>
        <v>-0.49682801331777876</v>
      </c>
    </row>
    <row r="100" spans="1:62" x14ac:dyDescent="0.2">
      <c r="A100">
        <v>99</v>
      </c>
      <c r="B100" s="120" t="str">
        <f>IFERROR(INDEX(TableQBCalcPts[PLAYER],MATCH(TableQBVORP[[#This Row],[RK]],TableQBCalcPts[RK],0)),"")</f>
        <v/>
      </c>
      <c r="C100" s="120" t="str">
        <f>IFERROR(INDEX(TableQBCalcPts[TM],MATCH(TableQBVORP[[#This Row],[RK]],TableQBCalcPts[RK],0)),"")</f>
        <v/>
      </c>
      <c r="D100" s="120" t="str">
        <f>IFERROR(INDEX(TableQBCalcPts[BYE],MATCH(TableQBVORP[[#This Row],[RK]],TableQBCalcPts[RK],0)),"")</f>
        <v/>
      </c>
      <c r="E100" s="121" t="str">
        <f>IFERROR(INDEX(TableQBCalcPts[Custom],MATCH(TableQBVORP[[#This Row],[RK]],TableQBCalcPts[RK],0)),"")</f>
        <v/>
      </c>
      <c r="F100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100">
        <v>99</v>
      </c>
      <c r="I100" s="120" t="str">
        <f>IFERROR(INDEX(TableRBCalcPts[PLAYER],MATCH(TableRBVORP[[#This Row],[RK]],TableRBCalcPts[RK],0)),"")</f>
        <v>Ke'Shawn Vaughn</v>
      </c>
      <c r="J100" s="120" t="str">
        <f>IFERROR(INDEX(TableRBCalcPts[TM],MATCH(TableRBVORP[[#This Row],[RK]],TableRBCalcPts[RK],0)),"")</f>
        <v>TB</v>
      </c>
      <c r="K100" s="120">
        <f>IFERROR(INDEX(TableRBCalcPts[BYE],MATCH(TableRBVORP[[#This Row],[RK]],TableRBCalcPts[RK],0)),"")</f>
        <v>5</v>
      </c>
      <c r="L100" s="121">
        <f>IFERROR(INDEX(TableRBCalcPts[Custom],MATCH(TableRBVORP[[#This Row],[RK]],TableRBCalcPts[RK],0)),"")</f>
        <v>20.166868055698529</v>
      </c>
      <c r="M100" s="122">
        <f>IFERROR((TableRBVORP[[#This Row],[FPS]]-INDEX(TableRBVORP[FPS],MATCH(RBVORPCalc,TableRBVORP[RK],0)))/INDEX(TableRBVORP[FPS],MATCH(RBVORPCalc,TableRBVORP[RK],0)),"")</f>
        <v>-0.83532265284211105</v>
      </c>
      <c r="O100">
        <v>99</v>
      </c>
      <c r="P100" s="120" t="str">
        <f>IFERROR(INDEX(TableWRCalcPts[PLAYER],MATCH(TableWRVORP[[#This Row],[RK]],TableWRCalcPts[RK],0)),"")</f>
        <v>Tutu Atwell</v>
      </c>
      <c r="Q100" s="120" t="str">
        <f>IFERROR(INDEX(TableWRCalcPts[TM],MATCH(TableWRVORP[[#This Row],[RK]],TableWRCalcPts[RK],0)),"")</f>
        <v>LAR</v>
      </c>
      <c r="R100" s="120">
        <f>IFERROR(INDEX(TableWRCalcPts[BYE],MATCH(TableWRVORP[[#This Row],[RK]],TableWRCalcPts[RK],0)),"")</f>
        <v>10</v>
      </c>
      <c r="S100" s="121">
        <f>IFERROR(INDEX(TableWRCalcPts[Custom],MATCH(TableWRVORP[[#This Row],[RK]],TableWRCalcPts[RK],0)),"")</f>
        <v>64.322349932332799</v>
      </c>
      <c r="T100" s="122">
        <f>IFERROR((TableWRVORP[[#This Row],[FPS]]-INDEX(TableWRVORP[FPS],MATCH(WRVORPCalc,TableWRVORP[RK],0)))/INDEX(TableWRVORP[FPS],MATCH(WRVORPCalc,TableWRVORP[RK],0)),"")</f>
        <v>-0.50632191508564017</v>
      </c>
      <c r="V100">
        <v>99</v>
      </c>
      <c r="W100" s="120" t="str">
        <f>IFERROR(INDEX(TableTECalcPts[PLAYER],MATCH(TableTEVORP[[#This Row],[RK]],TableTECalcPts[RK],0)),"")</f>
        <v/>
      </c>
      <c r="X100" s="120" t="str">
        <f>IFERROR(INDEX(TableTECalcPts[TM],MATCH(TableTEVORP[[#This Row],[RK]],TableTECalcPts[RK],0)),"")</f>
        <v/>
      </c>
      <c r="Y100" s="120" t="str">
        <f>IFERROR(INDEX(TableTECalcPts[BYE],MATCH(TableTEVORP[[#This Row],[RK]],TableTECalcPts[RK],0)),"")</f>
        <v/>
      </c>
      <c r="Z100" s="121" t="str">
        <f>IFERROR(INDEX(TableTECalcPts[Custom],MATCH(TableTEVORP[[#This Row],[RK]],TableTECalcPts[RK],0)),"")</f>
        <v/>
      </c>
      <c r="AA100" s="122" t="str">
        <f>IFERROR((TableTEVORP[[#This Row],[FPS]]-INDEX(TableTEVORP[FPS],MATCH(TEVORPCalc,TableTEVORP[RK],0)))/INDEX(TableTEVORP[FPS],MATCH(TEVORPCalc,TableTEVORP[RK],0)),"")</f>
        <v/>
      </c>
      <c r="AF100" t="s">
        <v>256</v>
      </c>
      <c r="AG100">
        <v>59</v>
      </c>
      <c r="AH100" s="86">
        <f>RANK(TableOverallMaster[[#This Row],[VORP]],TableOverallMaster[VORP])+COUNTIF($AM$2:AM100,AM100)-1</f>
        <v>208</v>
      </c>
      <c r="AI100" s="123" t="str">
        <f>IFERROR(INDEX(TableRBVORP[RUNNING BACK],MATCH(TableOverallMaster[[#This Row],[RK]],TableRBVORP[RK],0)),"")</f>
        <v>Zamir White</v>
      </c>
      <c r="AJ100" s="123" t="str">
        <f t="shared" si="1"/>
        <v>RB59</v>
      </c>
      <c r="AK100" s="123">
        <f>IFERROR(INDEX(TableRBVORP[BYE],MATCH(TableOverallMaster[[#This Row],[RK]],TableRBVORP[RK],0)),"")</f>
        <v>13</v>
      </c>
      <c r="AL100" s="124">
        <f>IFERROR(INDEX(TableRBVORP[FPS],MATCH(TableOverallMaster[[#This Row],[RK]],TableRBVORP[RK],0)),"")</f>
        <v>81.180405652583815</v>
      </c>
      <c r="AM100" s="125">
        <f>IFERROR(INDEX(TableRBVORP[VORP],MATCH(TableOverallMaster[[#This Row],[RK]],TableRBVORP[RK],0)),"")</f>
        <v>-0.337102131716915</v>
      </c>
      <c r="AO100">
        <v>99</v>
      </c>
      <c r="AP100" s="126" t="str">
        <f>IFERROR(INDEX(TableOverallMaster[OVERALL PLAYER],MATCH(TableOverallRank[[#This Row],[RK]],TableOverallMaster[OVR RK],0)),"")</f>
        <v>Michael Pittman</v>
      </c>
      <c r="AQ100" s="127" t="str">
        <f>IFERROR(INDEX(TableOverallMaster[POS RK],MATCH(TableOverallRank[[#This Row],[OVERALL PLAYER]],TableOverallMaster[OVERALL PLAYER],0)),"")</f>
        <v>WR45</v>
      </c>
      <c r="AR100" s="128">
        <f>IFERROR(INDEX(TableOverallMaster[BYE],MATCH(TableOverallRank[[#This Row],[OVERALL PLAYER]],TableOverallMaster[OVERALL PLAYER],0)),"")</f>
        <v>11</v>
      </c>
      <c r="AS100" s="127">
        <f>IFERROR(INDEX(TableOverallMaster[Custom],MATCH(TableOverallRank[[#This Row],[OVERALL PLAYER]],TableOverallMaster[OVERALL PLAYER],0)),"")</f>
        <v>147.32864579569036</v>
      </c>
      <c r="AT100" s="129">
        <f>IFERROR(INDEX(TableOverallMaster[VORP],MATCH(TableOverallRank[[#This Row],[OVERALL PLAYER]],TableOverallMaster[OVERALL PLAYER],0)),"")</f>
        <v>0.13075663103039006</v>
      </c>
      <c r="AV100">
        <v>99</v>
      </c>
      <c r="AW100" s="130" t="str">
        <f>IFERROR(INDEX(TableWRTECalcPts[PLAYER],MATCH(TableWRTERank[[#This Row],[RK]],TableWRTECalcPts[RK],0)),"")</f>
        <v>Rashod Bateman</v>
      </c>
      <c r="AX100" s="130" t="str">
        <f>IFERROR(INDEX(TableWRTECalcPts[POS RK],MATCH(TableWRTERank[[#This Row],[WR and TE COMBINED]],TableWRTECalcPts[PLAYER],0)),"")</f>
        <v>WR75</v>
      </c>
      <c r="AY100" s="130">
        <f>IFERROR(INDEX(TableWRTECalcPts[BYE],MATCH(TableWRTERank[[#This Row],[RK]],TableWRTECalcPts[RK],0)),"")</f>
        <v>13</v>
      </c>
      <c r="AZ100" s="131">
        <f>IFERROR(INDEX(TableWRTECalcPts[Custom],MATCH(TableWRTERank[[#This Row],[RK]],TableWRTECalcPts[RK],0)),"")</f>
        <v>95.75240316946082</v>
      </c>
      <c r="BA100" s="188">
        <f>IFERROR((TableWRTERank[[#This Row],[FPS]]-INDEX(TableWRTERank[FPS],MATCH(WRTEVORPCalc,TableWRTERank[RK],0)))/INDEX(TableWRTERank[FPS],MATCH(WRTEVORPCalc,TableWRTERank[RK],0)),"")</f>
        <v>-0.30809743683799612</v>
      </c>
      <c r="BC100" t="s">
        <v>257</v>
      </c>
      <c r="BD100">
        <v>99</v>
      </c>
      <c r="BE100" s="86">
        <f>RANK(TableWRTEMaster[[#This Row],[VORP]],TableWRTEMaster[VORP])+COUNTIF($BJ$2:BJ100,BJ100)-1</f>
        <v>136</v>
      </c>
      <c r="BF100" s="123" t="str">
        <f>IFERROR(INDEX(TableWRVORP[WIDE RECEIVER],MATCH(TableWRTEMaster[[#This Row],[RK]],TableWRVORP[RK],0)),"")</f>
        <v>Tutu Atwell</v>
      </c>
      <c r="BG100" s="123" t="str">
        <f>_xlfn.CONCAT(TableWRTEMaster[[#This Row],[POS]],TableWRTEMaster[[#This Row],[RK]])</f>
        <v>WR99</v>
      </c>
      <c r="BH100" s="123">
        <f>IFERROR(INDEX(TableWRVORP[BYE],MATCH(TableWRTEMaster[[#This Row],[RK]],TableWRVORP[RK],0)),"")</f>
        <v>10</v>
      </c>
      <c r="BI100" s="124">
        <f>IFERROR(INDEX(TableWRVORP[FPS],MATCH(TableWRTEMaster[[#This Row],[RK]],TableWRVORP[RK],0)),"")</f>
        <v>64.322349932332799</v>
      </c>
      <c r="BJ100" s="125">
        <f>IFERROR(INDEX(TableWRVORP[VORP],MATCH(TableWRTEMaster[[#This Row],[RK]],TableWRVORP[RK],0)),"")</f>
        <v>-0.50632191508564017</v>
      </c>
    </row>
    <row r="101" spans="1:62" x14ac:dyDescent="0.2">
      <c r="A101">
        <v>100</v>
      </c>
      <c r="B101" s="120" t="str">
        <f>IFERROR(INDEX(TableQBCalcPts[PLAYER],MATCH(TableQBVORP[[#This Row],[RK]],TableQBCalcPts[RK],0)),"")</f>
        <v/>
      </c>
      <c r="C101" s="120" t="str">
        <f>IFERROR(INDEX(TableQBCalcPts[TM],MATCH(TableQBVORP[[#This Row],[RK]],TableQBCalcPts[RK],0)),"")</f>
        <v/>
      </c>
      <c r="D101" s="120" t="str">
        <f>IFERROR(INDEX(TableQBCalcPts[BYE],MATCH(TableQBVORP[[#This Row],[RK]],TableQBCalcPts[RK],0)),"")</f>
        <v/>
      </c>
      <c r="E101" s="121" t="str">
        <f>IFERROR(INDEX(TableQBCalcPts[Custom],MATCH(TableQBVORP[[#This Row],[RK]],TableQBCalcPts[RK],0)),"")</f>
        <v/>
      </c>
      <c r="F101" s="122" t="e">
        <f>(IFERROR((TableQBVORP[[#This Row],[FPS]]-INDEX(TableQBVORP[FPS],MATCH(QBVORPCalc,TableQBVORP[RK],0)))/INDEX(TableQBVORP[FPS],MATCH(QBVORPCalc,TableQBVORP[RK],0)),""))+(TableRBVORP[[#This Row],[VORP]]*0.45)</f>
        <v>#VALUE!</v>
      </c>
      <c r="H101">
        <v>100</v>
      </c>
      <c r="I101" s="120" t="str">
        <f>IFERROR(INDEX(TableRBCalcPts[PLAYER],MATCH(TableRBVORP[[#This Row],[RK]],TableRBCalcPts[RK],0)),"")</f>
        <v>Tyrion Davis-Price</v>
      </c>
      <c r="J101" s="120" t="str">
        <f>IFERROR(INDEX(TableRBCalcPts[TM],MATCH(TableRBVORP[[#This Row],[RK]],TableRBCalcPts[RK],0)),"")</f>
        <v>SF</v>
      </c>
      <c r="K101" s="120">
        <f>IFERROR(INDEX(TableRBCalcPts[BYE],MATCH(TableRBVORP[[#This Row],[RK]],TableRBCalcPts[RK],0)),"")</f>
        <v>9</v>
      </c>
      <c r="L101" s="121">
        <f>IFERROR(INDEX(TableRBCalcPts[Custom],MATCH(TableRBVORP[[#This Row],[RK]],TableRBCalcPts[RK],0)),"")</f>
        <v>18.938193866605488</v>
      </c>
      <c r="M101" s="122">
        <f>IFERROR((TableRBVORP[[#This Row],[FPS]]-INDEX(TableRBVORP[FPS],MATCH(RBVORPCalc,TableRBVORP[RK],0)))/INDEX(TableRBVORP[FPS],MATCH(RBVORPCalc,TableRBVORP[RK],0)),"")</f>
        <v>-0.84535568352503054</v>
      </c>
      <c r="O101">
        <v>100</v>
      </c>
      <c r="P101" s="120" t="str">
        <f>IFERROR(INDEX(TableWRCalcPts[PLAYER],MATCH(TableWRVORP[[#This Row],[RK]],TableWRCalcPts[RK],0)),"")</f>
        <v>Trent Sherfield</v>
      </c>
      <c r="Q101" s="120" t="str">
        <f>IFERROR(INDEX(TableWRCalcPts[TM],MATCH(TableWRVORP[[#This Row],[RK]],TableWRCalcPts[RK],0)),"")</f>
        <v>BUF</v>
      </c>
      <c r="R101" s="120">
        <f>IFERROR(INDEX(TableWRCalcPts[BYE],MATCH(TableWRVORP[[#This Row],[RK]],TableWRCalcPts[RK],0)),"")</f>
        <v>13</v>
      </c>
      <c r="S101" s="121">
        <f>IFERROR(INDEX(TableWRCalcPts[Custom],MATCH(TableWRVORP[[#This Row],[RK]],TableWRCalcPts[RK],0)),"")</f>
        <v>59.836018948557339</v>
      </c>
      <c r="T101" s="122">
        <f>IFERROR((TableWRVORP[[#This Row],[FPS]]-INDEX(TableWRVORP[FPS],MATCH(WRVORPCalc,TableWRVORP[RK],0)))/INDEX(TableWRVORP[FPS],MATCH(WRVORPCalc,TableWRVORP[RK],0)),"")</f>
        <v>-0.54075478780705344</v>
      </c>
      <c r="V101">
        <v>100</v>
      </c>
      <c r="W101" s="120" t="str">
        <f>IFERROR(INDEX(TableTECalcPts[PLAYER],MATCH(TableTEVORP[[#This Row],[RK]],TableTECalcPts[RK],0)),"")</f>
        <v/>
      </c>
      <c r="X101" s="120" t="str">
        <f>IFERROR(INDEX(TableTECalcPts[TM],MATCH(TableTEVORP[[#This Row],[RK]],TableTECalcPts[RK],0)),"")</f>
        <v/>
      </c>
      <c r="Y101" s="120" t="str">
        <f>IFERROR(INDEX(TableTECalcPts[BYE],MATCH(TableTEVORP[[#This Row],[RK]],TableTECalcPts[RK],0)),"")</f>
        <v/>
      </c>
      <c r="Z101" s="121" t="str">
        <f>IFERROR(INDEX(TableTECalcPts[Custom],MATCH(TableTEVORP[[#This Row],[RK]],TableTECalcPts[RK],0)),"")</f>
        <v/>
      </c>
      <c r="AA101" s="122" t="str">
        <f>IFERROR((TableTEVORP[[#This Row],[FPS]]-INDEX(TableTEVORP[FPS],MATCH(TEVORPCalc,TableTEVORP[RK],0)))/INDEX(TableTEVORP[FPS],MATCH(TEVORPCalc,TableTEVORP[RK],0)),"")</f>
        <v/>
      </c>
      <c r="AF101" t="s">
        <v>256</v>
      </c>
      <c r="AG101">
        <v>60</v>
      </c>
      <c r="AH101" s="86">
        <f>RANK(TableOverallMaster[[#This Row],[VORP]],TableOverallMaster[VORP])+COUNTIF($AM$2:AM101,AM101)-1</f>
        <v>210</v>
      </c>
      <c r="AI101" s="123" t="str">
        <f>IFERROR(INDEX(TableRBVORP[RUNNING BACK],MATCH(TableOverallMaster[[#This Row],[RK]],TableRBVORP[RK],0)),"")</f>
        <v>Chuba Hubbard</v>
      </c>
      <c r="AJ101" s="123" t="str">
        <f t="shared" si="1"/>
        <v>RB60</v>
      </c>
      <c r="AK101" s="123">
        <f>IFERROR(INDEX(TableRBVORP[BYE],MATCH(TableOverallMaster[[#This Row],[RK]],TableRBVORP[RK],0)),"")</f>
        <v>7</v>
      </c>
      <c r="AL101" s="124">
        <f>IFERROR(INDEX(TableRBVORP[FPS],MATCH(TableOverallMaster[[#This Row],[RK]],TableRBVORP[RK],0)),"")</f>
        <v>79.540807738711649</v>
      </c>
      <c r="AM101" s="125">
        <f>IFERROR(INDEX(TableRBVORP[VORP],MATCH(TableOverallMaster[[#This Row],[RK]],TableRBVORP[RK],0)),"")</f>
        <v>-0.35049065759591397</v>
      </c>
      <c r="AO101">
        <v>100</v>
      </c>
      <c r="AP101" s="126" t="str">
        <f>IFERROR(INDEX(TableOverallMaster[OVERALL PLAYER],MATCH(TableOverallRank[[#This Row],[RK]],TableOverallMaster[OVR RK],0)),"")</f>
        <v>Jonathan Mingo</v>
      </c>
      <c r="AQ101" s="127" t="str">
        <f>IFERROR(INDEX(TableOverallMaster[POS RK],MATCH(TableOverallRank[[#This Row],[OVERALL PLAYER]],TableOverallMaster[OVERALL PLAYER],0)),"")</f>
        <v>WR46</v>
      </c>
      <c r="AR101" s="128">
        <f>IFERROR(INDEX(TableOverallMaster[BYE],MATCH(TableOverallRank[[#This Row],[OVERALL PLAYER]],TableOverallMaster[OVERALL PLAYER],0)),"")</f>
        <v>7</v>
      </c>
      <c r="AS101" s="127">
        <f>IFERROR(INDEX(TableOverallMaster[Custom],MATCH(TableOverallRank[[#This Row],[OVERALL PLAYER]],TableOverallMaster[OVERALL PLAYER],0)),"")</f>
        <v>147.26314162241712</v>
      </c>
      <c r="AT101" s="129">
        <f>IFERROR(INDEX(TableOverallMaster[VORP],MATCH(TableOverallRank[[#This Row],[OVERALL PLAYER]],TableOverallMaster[OVERALL PLAYER],0)),"")</f>
        <v>0.13025388237693677</v>
      </c>
      <c r="AV101">
        <v>100</v>
      </c>
      <c r="AW101" s="130" t="str">
        <f>IFERROR(INDEX(TableWRTECalcPts[PLAYER],MATCH(TableWRTERank[[#This Row],[RK]],TableWRTECalcPts[RK],0)),"")</f>
        <v>Alec Pierce</v>
      </c>
      <c r="AX101" s="130" t="str">
        <f>IFERROR(INDEX(TableWRTECalcPts[POS RK],MATCH(TableWRTERank[[#This Row],[WR and TE COMBINED]],TableWRTECalcPts[PLAYER],0)),"")</f>
        <v>WR76</v>
      </c>
      <c r="AY101" s="130">
        <f>IFERROR(INDEX(TableWRTECalcPts[BYE],MATCH(TableWRTERank[[#This Row],[RK]],TableWRTECalcPts[RK],0)),"")</f>
        <v>11</v>
      </c>
      <c r="AZ101" s="131">
        <f>IFERROR(INDEX(TableWRTECalcPts[Custom],MATCH(TableWRTERank[[#This Row],[RK]],TableWRTECalcPts[RK],0)),"")</f>
        <v>94.292158056808148</v>
      </c>
      <c r="BA101" s="188">
        <f>IFERROR((TableWRTERank[[#This Row],[FPS]]-INDEX(TableWRTERank[FPS],MATCH(WRTEVORPCalc,TableWRTERank[RK],0)))/INDEX(TableWRTERank[FPS],MATCH(WRTEVORPCalc,TableWRTERank[RK],0)),"")</f>
        <v>-0.31864910241343947</v>
      </c>
      <c r="BC101" t="s">
        <v>257</v>
      </c>
      <c r="BD101">
        <v>100</v>
      </c>
      <c r="BE101" s="86">
        <f>RANK(TableWRTEMaster[[#This Row],[VORP]],TableWRTEMaster[VORP])+COUNTIF($BJ$2:BJ101,BJ101)-1</f>
        <v>140</v>
      </c>
      <c r="BF101" s="123" t="str">
        <f>IFERROR(INDEX(TableWRVORP[WIDE RECEIVER],MATCH(TableWRTEMaster[[#This Row],[RK]],TableWRVORP[RK],0)),"")</f>
        <v>Trent Sherfield</v>
      </c>
      <c r="BG101" s="123" t="str">
        <f>_xlfn.CONCAT(TableWRTEMaster[[#This Row],[POS]],TableWRTEMaster[[#This Row],[RK]])</f>
        <v>WR100</v>
      </c>
      <c r="BH101" s="123">
        <f>IFERROR(INDEX(TableWRVORP[BYE],MATCH(TableWRTEMaster[[#This Row],[RK]],TableWRVORP[RK],0)),"")</f>
        <v>13</v>
      </c>
      <c r="BI101" s="124">
        <f>IFERROR(INDEX(TableWRVORP[FPS],MATCH(TableWRTEMaster[[#This Row],[RK]],TableWRVORP[RK],0)),"")</f>
        <v>59.836018948557339</v>
      </c>
      <c r="BJ101" s="125">
        <f>IFERROR(INDEX(TableWRVORP[VORP],MATCH(TableWRTEMaster[[#This Row],[RK]],TableWRVORP[RK],0)),"")</f>
        <v>-0.54075478780705344</v>
      </c>
    </row>
    <row r="102" spans="1:62" x14ac:dyDescent="0.2">
      <c r="H102">
        <v>101</v>
      </c>
      <c r="I102" s="120" t="str">
        <f>IFERROR(INDEX(TableRBCalcPts[PLAYER],MATCH(TableRBVORP[[#This Row],[RK]],TableRBCalcPts[RK],0)),"")</f>
        <v>D'Ernest Johnson</v>
      </c>
      <c r="J102" s="120" t="str">
        <f>IFERROR(INDEX(TableRBCalcPts[TM],MATCH(TableRBVORP[[#This Row],[RK]],TableRBCalcPts[RK],0)),"")</f>
        <v>JAX</v>
      </c>
      <c r="K102" s="120">
        <f>IFERROR(INDEX(TableRBCalcPts[BYE],MATCH(TableRBVORP[[#This Row],[RK]],TableRBCalcPts[RK],0)),"")</f>
        <v>9</v>
      </c>
      <c r="L102" s="121">
        <f>IFERROR(INDEX(TableRBCalcPts[Custom],MATCH(TableRBVORP[[#This Row],[RK]],TableRBCalcPts[RK],0)),"")</f>
        <v>18.497819995829275</v>
      </c>
      <c r="M102" s="122">
        <f>IFERROR((TableRBVORP[[#This Row],[FPS]]-INDEX(TableRBVORP[FPS],MATCH(RBVORPCalc,TableRBVORP[RK],0)))/INDEX(TableRBVORP[FPS],MATCH(RBVORPCalc,TableRBVORP[RK],0)),"")</f>
        <v>-0.8489516608774279</v>
      </c>
      <c r="O102">
        <v>101</v>
      </c>
      <c r="P102" s="120" t="str">
        <f>IFERROR(INDEX(TableWRCalcPts[PLAYER],MATCH(TableWRVORP[[#This Row],[RK]],TableWRCalcPts[RK],0)),"")</f>
        <v>Tank Dell</v>
      </c>
      <c r="Q102" s="120" t="str">
        <f>IFERROR(INDEX(TableWRCalcPts[TM],MATCH(TableWRVORP[[#This Row],[RK]],TableWRCalcPts[RK],0)),"")</f>
        <v>HOU</v>
      </c>
      <c r="R102" s="120">
        <f>IFERROR(INDEX(TableWRCalcPts[BYE],MATCH(TableWRVORP[[#This Row],[RK]],TableWRCalcPts[RK],0)),"")</f>
        <v>7</v>
      </c>
      <c r="S102" s="121">
        <f>IFERROR(INDEX(TableWRCalcPts[Custom],MATCH(TableWRVORP[[#This Row],[RK]],TableWRCalcPts[RK],0)),"")</f>
        <v>59.210008222847328</v>
      </c>
      <c r="T102" s="122">
        <f>IFERROR((TableWRVORP[[#This Row],[FPS]]-INDEX(TableWRVORP[FPS],MATCH(WRVORPCalc,TableWRVORP[RK],0)))/INDEX(TableWRVORP[FPS],MATCH(WRVORPCalc,TableWRVORP[RK],0)),"")</f>
        <v>-0.54555945953514617</v>
      </c>
      <c r="AF102" t="s">
        <v>256</v>
      </c>
      <c r="AG102">
        <v>61</v>
      </c>
      <c r="AH102" s="86">
        <f>RANK(TableOverallMaster[[#This Row],[VORP]],TableOverallMaster[VORP])+COUNTIF($AM$2:AM102,AM102)-1</f>
        <v>214</v>
      </c>
      <c r="AI102" s="123" t="str">
        <f>IFERROR(INDEX(TableRBVORP[RUNNING BACK],MATCH(TableOverallMaster[[#This Row],[RK]],TableRBVORP[RK],0)),"")</f>
        <v>Cordarrelle Patterson</v>
      </c>
      <c r="AJ102" s="123" t="str">
        <f t="shared" si="1"/>
        <v>RB61</v>
      </c>
      <c r="AK102" s="123">
        <f>IFERROR(INDEX(TableRBVORP[BYE],MATCH(TableOverallMaster[[#This Row],[RK]],TableRBVORP[RK],0)),"")</f>
        <v>11</v>
      </c>
      <c r="AL102" s="124">
        <f>IFERROR(INDEX(TableRBVORP[FPS],MATCH(TableOverallMaster[[#This Row],[RK]],TableRBVORP[RK],0)),"")</f>
        <v>75.105777315267275</v>
      </c>
      <c r="AM102" s="125">
        <f>IFERROR(INDEX(TableRBVORP[VORP],MATCH(TableOverallMaster[[#This Row],[RK]],TableRBVORP[RK],0)),"")</f>
        <v>-0.38670595105051536</v>
      </c>
      <c r="AO102">
        <v>101</v>
      </c>
      <c r="AP102" s="126" t="str">
        <f>IFERROR(INDEX(TableOverallMaster[OVERALL PLAYER],MATCH(TableOverallRank[[#This Row],[RK]],TableOverallMaster[OVR RK],0)),"")</f>
        <v>Adam Thielen</v>
      </c>
      <c r="AQ102" s="127" t="str">
        <f>IFERROR(INDEX(TableOverallMaster[POS RK],MATCH(TableOverallRank[[#This Row],[OVERALL PLAYER]],TableOverallMaster[OVERALL PLAYER],0)),"")</f>
        <v>WR47</v>
      </c>
      <c r="AR102" s="128">
        <f>IFERROR(INDEX(TableOverallMaster[BYE],MATCH(TableOverallRank[[#This Row],[OVERALL PLAYER]],TableOverallMaster[OVERALL PLAYER],0)),"")</f>
        <v>7</v>
      </c>
      <c r="AS102" s="127">
        <f>IFERROR(INDEX(TableOverallMaster[Custom],MATCH(TableOverallRank[[#This Row],[OVERALL PLAYER]],TableOverallMaster[OVERALL PLAYER],0)),"")</f>
        <v>146.5873035192601</v>
      </c>
      <c r="AT102" s="129">
        <f>IFERROR(INDEX(TableOverallMaster[VORP],MATCH(TableOverallRank[[#This Row],[OVERALL PLAYER]],TableOverallMaster[OVERALL PLAYER],0)),"")</f>
        <v>0.12506678239023372</v>
      </c>
      <c r="AV102">
        <v>101</v>
      </c>
      <c r="AW102" s="130" t="str">
        <f>IFERROR(INDEX(TableWRTECalcPts[PLAYER],MATCH(TableWRTERank[[#This Row],[RK]],TableWRTECalcPts[RK],0)),"")</f>
        <v>Michael Gallup</v>
      </c>
      <c r="AX102" s="130" t="str">
        <f>IFERROR(INDEX(TableWRTECalcPts[POS RK],MATCH(TableWRTERank[[#This Row],[WR and TE COMBINED]],TableWRTECalcPts[PLAYER],0)),"")</f>
        <v>WR77</v>
      </c>
      <c r="AY102" s="130">
        <f>IFERROR(INDEX(TableWRTECalcPts[BYE],MATCH(TableWRTERank[[#This Row],[RK]],TableWRTECalcPts[RK],0)),"")</f>
        <v>7</v>
      </c>
      <c r="AZ102" s="131">
        <f>IFERROR(INDEX(TableWRTECalcPts[Custom],MATCH(TableWRTERank[[#This Row],[RK]],TableWRTECalcPts[RK],0)),"")</f>
        <v>93.431094692524141</v>
      </c>
      <c r="BA102" s="188">
        <f>IFERROR((TableWRTERank[[#This Row],[FPS]]-INDEX(TableWRTERank[FPS],MATCH(WRTEVORPCalc,TableWRTERank[RK],0)))/INDEX(TableWRTERank[FPS],MATCH(WRTEVORPCalc,TableWRTERank[RK],0)),"")</f>
        <v>-0.32487110759631321</v>
      </c>
      <c r="BC102" t="s">
        <v>257</v>
      </c>
      <c r="BD102">
        <v>101</v>
      </c>
      <c r="BE102" s="86">
        <f>RANK(TableWRTEMaster[[#This Row],[VORP]],TableWRTEMaster[VORP])+COUNTIF($BJ$2:BJ102,BJ102)-1</f>
        <v>141</v>
      </c>
      <c r="BF102" s="123" t="str">
        <f>IFERROR(INDEX(TableWRVORP[WIDE RECEIVER],MATCH(TableWRTEMaster[[#This Row],[RK]],TableWRVORP[RK],0)),"")</f>
        <v>Tank Dell</v>
      </c>
      <c r="BG102" s="123" t="str">
        <f>_xlfn.CONCAT(TableWRTEMaster[[#This Row],[POS]],TableWRTEMaster[[#This Row],[RK]])</f>
        <v>WR101</v>
      </c>
      <c r="BH102" s="123">
        <f>IFERROR(INDEX(TableWRVORP[BYE],MATCH(TableWRTEMaster[[#This Row],[RK]],TableWRVORP[RK],0)),"")</f>
        <v>7</v>
      </c>
      <c r="BI102" s="124">
        <f>IFERROR(INDEX(TableWRVORP[FPS],MATCH(TableWRTEMaster[[#This Row],[RK]],TableWRVORP[RK],0)),"")</f>
        <v>59.210008222847328</v>
      </c>
      <c r="BJ102" s="125">
        <f>IFERROR(INDEX(TableWRVORP[VORP],MATCH(TableWRTEMaster[[#This Row],[RK]],TableWRVORP[RK],0)),"")</f>
        <v>-0.54555945953514617</v>
      </c>
    </row>
    <row r="103" spans="1:62" x14ac:dyDescent="0.2">
      <c r="H103">
        <v>102</v>
      </c>
      <c r="I103" s="120" t="str">
        <f>IFERROR(INDEX(TableRBCalcPts[PLAYER],MATCH(TableRBVORP[[#This Row],[RK]],TableRBCalcPts[RK],0)),"")</f>
        <v>Boston Scott</v>
      </c>
      <c r="J103" s="120" t="str">
        <f>IFERROR(INDEX(TableRBCalcPts[TM],MATCH(TableRBVORP[[#This Row],[RK]],TableRBCalcPts[RK],0)),"")</f>
        <v>PHI</v>
      </c>
      <c r="K103" s="120">
        <f>IFERROR(INDEX(TableRBCalcPts[BYE],MATCH(TableRBVORP[[#This Row],[RK]],TableRBCalcPts[RK],0)),"")</f>
        <v>10</v>
      </c>
      <c r="L103" s="121">
        <f>IFERROR(INDEX(TableRBCalcPts[Custom],MATCH(TableRBVORP[[#This Row],[RK]],TableRBCalcPts[RK],0)),"")</f>
        <v>17.987356251254003</v>
      </c>
      <c r="M103" s="122">
        <f>IFERROR((TableRBVORP[[#This Row],[FPS]]-INDEX(TableRBVORP[FPS],MATCH(RBVORPCalc,TableRBVORP[RK],0)))/INDEX(TableRBVORP[FPS],MATCH(RBVORPCalc,TableRBVORP[RK],0)),"")</f>
        <v>-0.85311997372822701</v>
      </c>
      <c r="O103">
        <v>102</v>
      </c>
      <c r="P103" s="120" t="str">
        <f>IFERROR(INDEX(TableWRCalcPts[PLAYER],MATCH(TableWRVORP[[#This Row],[RK]],TableWRCalcPts[RK],0)),"")</f>
        <v>Cedrick Wilson</v>
      </c>
      <c r="Q103" s="120" t="str">
        <f>IFERROR(INDEX(TableWRCalcPts[TM],MATCH(TableWRVORP[[#This Row],[RK]],TableWRCalcPts[RK],0)),"")</f>
        <v>MIA</v>
      </c>
      <c r="R103" s="120">
        <f>IFERROR(INDEX(TableWRCalcPts[BYE],MATCH(TableWRVORP[[#This Row],[RK]],TableWRCalcPts[RK],0)),"")</f>
        <v>10</v>
      </c>
      <c r="S103" s="121">
        <f>IFERROR(INDEX(TableWRCalcPts[Custom],MATCH(TableWRVORP[[#This Row],[RK]],TableWRCalcPts[RK],0)),"")</f>
        <v>59.155899982718687</v>
      </c>
      <c r="T103" s="122">
        <f>IFERROR((TableWRVORP[[#This Row],[FPS]]-INDEX(TableWRVORP[FPS],MATCH(WRVORPCalc,TableWRVORP[RK],0)))/INDEX(TableWRVORP[FPS],MATCH(WRVORPCalc,TableWRVORP[RK],0)),"")</f>
        <v>-0.54597474368432442</v>
      </c>
      <c r="AF103" t="s">
        <v>256</v>
      </c>
      <c r="AG103">
        <v>62</v>
      </c>
      <c r="AH103" s="86">
        <f>RANK(TableOverallMaster[[#This Row],[VORP]],TableOverallMaster[VORP])+COUNTIF($AM$2:AM103,AM103)-1</f>
        <v>217</v>
      </c>
      <c r="AI103" s="123" t="str">
        <f>IFERROR(INDEX(TableRBVORP[RUNNING BACK],MATCH(TableOverallMaster[[#This Row],[RK]],TableRBVORP[RK],0)),"")</f>
        <v>Tyler Allgeier</v>
      </c>
      <c r="AJ103" s="123" t="str">
        <f t="shared" si="1"/>
        <v>RB62</v>
      </c>
      <c r="AK103" s="123">
        <f>IFERROR(INDEX(TableRBVORP[BYE],MATCH(TableOverallMaster[[#This Row],[RK]],TableRBVORP[RK],0)),"")</f>
        <v>11</v>
      </c>
      <c r="AL103" s="124">
        <f>IFERROR(INDEX(TableRBVORP[FPS],MATCH(TableOverallMaster[[#This Row],[RK]],TableRBVORP[RK],0)),"")</f>
        <v>74.172152182090741</v>
      </c>
      <c r="AM103" s="125">
        <f>IFERROR(INDEX(TableRBVORP[VORP],MATCH(TableOverallMaster[[#This Row],[RK]],TableRBVORP[RK],0)),"")</f>
        <v>-0.39432968864560503</v>
      </c>
      <c r="AO103">
        <v>102</v>
      </c>
      <c r="AP103" s="126" t="str">
        <f>IFERROR(INDEX(TableOverallMaster[OVERALL PLAYER],MATCH(TableOverallRank[[#This Row],[RK]],TableOverallMaster[OVR RK],0)),"")</f>
        <v>Treylon Burks</v>
      </c>
      <c r="AQ103" s="127" t="str">
        <f>IFERROR(INDEX(TableOverallMaster[POS RK],MATCH(TableOverallRank[[#This Row],[OVERALL PLAYER]],TableOverallMaster[OVERALL PLAYER],0)),"")</f>
        <v>WR48</v>
      </c>
      <c r="AR103" s="128">
        <f>IFERROR(INDEX(TableOverallMaster[BYE],MATCH(TableOverallRank[[#This Row],[OVERALL PLAYER]],TableOverallMaster[OVERALL PLAYER],0)),"")</f>
        <v>7</v>
      </c>
      <c r="AS103" s="127">
        <f>IFERROR(INDEX(TableOverallMaster[Custom],MATCH(TableOverallRank[[#This Row],[OVERALL PLAYER]],TableOverallMaster[OVERALL PLAYER],0)),"")</f>
        <v>146.50792170981475</v>
      </c>
      <c r="AT103" s="129">
        <f>IFERROR(INDEX(TableOverallMaster[VORP],MATCH(TableOverallRank[[#This Row],[OVERALL PLAYER]],TableOverallMaster[OVERALL PLAYER],0)),"")</f>
        <v>0.1244575220055425</v>
      </c>
      <c r="AV103">
        <v>102</v>
      </c>
      <c r="AW103" s="130" t="str">
        <f>IFERROR(INDEX(TableWRTECalcPts[PLAYER],MATCH(TableWRTERank[[#This Row],[RK]],TableWRTECalcPts[RK],0)),"")</f>
        <v>Trey McBride</v>
      </c>
      <c r="AX103" s="130" t="str">
        <f>IFERROR(INDEX(TableWRTECalcPts[POS RK],MATCH(TableWRTERank[[#This Row],[WR and TE COMBINED]],TableWRTECalcPts[PLAYER],0)),"")</f>
        <v>TE25</v>
      </c>
      <c r="AY103" s="130">
        <f>IFERROR(INDEX(TableWRTECalcPts[BYE],MATCH(TableWRTERank[[#This Row],[RK]],TableWRTECalcPts[RK],0)),"")</f>
        <v>14</v>
      </c>
      <c r="AZ103" s="131">
        <f>IFERROR(INDEX(TableWRTECalcPts[Custom],MATCH(TableWRTERank[[#This Row],[RK]],TableWRTECalcPts[RK],0)),"")</f>
        <v>93.404355072000016</v>
      </c>
      <c r="BA103" s="188">
        <f>IFERROR((TableWRTERank[[#This Row],[FPS]]-INDEX(TableWRTERank[FPS],MATCH(WRTEVORPCalc,TableWRTERank[RK],0)))/INDEX(TableWRTERank[FPS],MATCH(WRTEVORPCalc,TableWRTERank[RK],0)),"")</f>
        <v>-0.32506432689281362</v>
      </c>
      <c r="BC103" t="s">
        <v>257</v>
      </c>
      <c r="BD103">
        <v>102</v>
      </c>
      <c r="BE103" s="86">
        <f>RANK(TableWRTEMaster[[#This Row],[VORP]],TableWRTEMaster[VORP])+COUNTIF($BJ$2:BJ103,BJ103)-1</f>
        <v>142</v>
      </c>
      <c r="BF103" s="123" t="str">
        <f>IFERROR(INDEX(TableWRVORP[WIDE RECEIVER],MATCH(TableWRTEMaster[[#This Row],[RK]],TableWRVORP[RK],0)),"")</f>
        <v>Cedrick Wilson</v>
      </c>
      <c r="BG103" s="123" t="str">
        <f>_xlfn.CONCAT(TableWRTEMaster[[#This Row],[POS]],TableWRTEMaster[[#This Row],[RK]])</f>
        <v>WR102</v>
      </c>
      <c r="BH103" s="123">
        <f>IFERROR(INDEX(TableWRVORP[BYE],MATCH(TableWRTEMaster[[#This Row],[RK]],TableWRVORP[RK],0)),"")</f>
        <v>10</v>
      </c>
      <c r="BI103" s="124">
        <f>IFERROR(INDEX(TableWRVORP[FPS],MATCH(TableWRTEMaster[[#This Row],[RK]],TableWRVORP[RK],0)),"")</f>
        <v>59.155899982718687</v>
      </c>
      <c r="BJ103" s="125">
        <f>IFERROR(INDEX(TableWRVORP[VORP],MATCH(TableWRTEMaster[[#This Row],[RK]],TableWRVORP[RK],0)),"")</f>
        <v>-0.54597474368432442</v>
      </c>
    </row>
    <row r="104" spans="1:62" x14ac:dyDescent="0.2">
      <c r="H104">
        <v>103</v>
      </c>
      <c r="I104" s="120" t="str">
        <f>IFERROR(INDEX(TableRBCalcPts[PLAYER],MATCH(TableRBVORP[[#This Row],[RK]],TableRBCalcPts[RK],0)),"")</f>
        <v>Mike Boone</v>
      </c>
      <c r="J104" s="120" t="str">
        <f>IFERROR(INDEX(TableRBCalcPts[TM],MATCH(TableRBVORP[[#This Row],[RK]],TableRBCalcPts[RK],0)),"")</f>
        <v>HOU</v>
      </c>
      <c r="K104" s="120">
        <f>IFERROR(INDEX(TableRBCalcPts[BYE],MATCH(TableRBVORP[[#This Row],[RK]],TableRBCalcPts[RK],0)),"")</f>
        <v>7</v>
      </c>
      <c r="L104" s="121">
        <f>IFERROR(INDEX(TableRBCalcPts[Custom],MATCH(TableRBVORP[[#This Row],[RK]],TableRBCalcPts[RK],0)),"")</f>
        <v>17.144728206274554</v>
      </c>
      <c r="M104" s="122">
        <f>IFERROR((TableRBVORP[[#This Row],[FPS]]-INDEX(TableRBVORP[FPS],MATCH(RBVORPCalc,TableRBVORP[RK],0)))/INDEX(TableRBVORP[FPS],MATCH(RBVORPCalc,TableRBVORP[RK],0)),"")</f>
        <v>-0.86000065300399808</v>
      </c>
      <c r="O104">
        <v>103</v>
      </c>
      <c r="P104" s="120" t="str">
        <f>IFERROR(INDEX(TableWRCalcPts[PLAYER],MATCH(TableWRVORP[[#This Row],[RK]],TableWRCalcPts[RK],0)),"")</f>
        <v>Wan'Dale Robinson</v>
      </c>
      <c r="Q104" s="120" t="str">
        <f>IFERROR(INDEX(TableWRCalcPts[TM],MATCH(TableWRVORP[[#This Row],[RK]],TableWRCalcPts[RK],0)),"")</f>
        <v>NYG</v>
      </c>
      <c r="R104" s="120">
        <f>IFERROR(INDEX(TableWRCalcPts[BYE],MATCH(TableWRVORP[[#This Row],[RK]],TableWRCalcPts[RK],0)),"")</f>
        <v>13</v>
      </c>
      <c r="S104" s="121">
        <f>IFERROR(INDEX(TableWRCalcPts[Custom],MATCH(TableWRVORP[[#This Row],[RK]],TableWRCalcPts[RK],0)),"")</f>
        <v>57.776482817212141</v>
      </c>
      <c r="T104" s="122">
        <f>IFERROR((TableWRVORP[[#This Row],[FPS]]-INDEX(TableWRVORP[FPS],MATCH(WRVORPCalc,TableWRVORP[RK],0)))/INDEX(TableWRVORP[FPS],MATCH(WRVORPCalc,TableWRVORP[RK],0)),"")</f>
        <v>-0.55656185726586593</v>
      </c>
      <c r="AF104" t="s">
        <v>256</v>
      </c>
      <c r="AG104">
        <v>63</v>
      </c>
      <c r="AH104" s="86">
        <f>RANK(TableOverallMaster[[#This Row],[VORP]],TableOverallMaster[VORP])+COUNTIF($AM$2:AM104,AM104)-1</f>
        <v>221</v>
      </c>
      <c r="AI104" s="123" t="str">
        <f>IFERROR(INDEX(TableRBVORP[RUNNING BACK],MATCH(TableOverallMaster[[#This Row],[RK]],TableRBVORP[RK],0)),"")</f>
        <v>Rico Dowdle</v>
      </c>
      <c r="AJ104" s="123" t="str">
        <f t="shared" si="1"/>
        <v>RB63</v>
      </c>
      <c r="AK104" s="123">
        <f>IFERROR(INDEX(TableRBVORP[BYE],MATCH(TableOverallMaster[[#This Row],[RK]],TableRBVORP[RK],0)),"")</f>
        <v>7</v>
      </c>
      <c r="AL104" s="124">
        <f>IFERROR(INDEX(TableRBVORP[FPS],MATCH(TableOverallMaster[[#This Row],[RK]],TableRBVORP[RK],0)),"")</f>
        <v>72.49002424290903</v>
      </c>
      <c r="AM104" s="125">
        <f>IFERROR(INDEX(TableRBVORP[VORP],MATCH(TableOverallMaster[[#This Row],[RK]],TableRBVORP[RK],0)),"")</f>
        <v>-0.40806550353959586</v>
      </c>
      <c r="AO104">
        <v>103</v>
      </c>
      <c r="AP104" s="126" t="str">
        <f>IFERROR(INDEX(TableOverallMaster[OVERALL PLAYER],MATCH(TableOverallRank[[#This Row],[RK]],TableOverallMaster[OVR RK],0)),"")</f>
        <v>Quentin Johnston</v>
      </c>
      <c r="AQ104" s="127" t="str">
        <f>IFERROR(INDEX(TableOverallMaster[POS RK],MATCH(TableOverallRank[[#This Row],[OVERALL PLAYER]],TableOverallMaster[OVERALL PLAYER],0)),"")</f>
        <v>WR49</v>
      </c>
      <c r="AR104" s="128">
        <f>IFERROR(INDEX(TableOverallMaster[BYE],MATCH(TableOverallRank[[#This Row],[OVERALL PLAYER]],TableOverallMaster[OVERALL PLAYER],0)),"")</f>
        <v>5</v>
      </c>
      <c r="AS104" s="127">
        <f>IFERROR(INDEX(TableOverallMaster[Custom],MATCH(TableOverallRank[[#This Row],[OVERALL PLAYER]],TableOverallMaster[OVERALL PLAYER],0)),"")</f>
        <v>146.30157488677921</v>
      </c>
      <c r="AT104" s="129">
        <f>IFERROR(INDEX(TableOverallMaster[VORP],MATCH(TableOverallRank[[#This Row],[OVERALL PLAYER]],TableOverallMaster[OVERALL PLAYER],0)),"")</f>
        <v>0.12287379714891775</v>
      </c>
      <c r="AV104">
        <v>103</v>
      </c>
      <c r="AW104" s="130" t="str">
        <f>IFERROR(INDEX(TableWRTECalcPts[PLAYER],MATCH(TableWRTERank[[#This Row],[RK]],TableWRTECalcPts[RK],0)),"")</f>
        <v>Michael Mayer</v>
      </c>
      <c r="AX104" s="130" t="str">
        <f>IFERROR(INDEX(TableWRTECalcPts[POS RK],MATCH(TableWRTERank[[#This Row],[WR and TE COMBINED]],TableWRTECalcPts[PLAYER],0)),"")</f>
        <v>TE26</v>
      </c>
      <c r="AY104" s="130">
        <f>IFERROR(INDEX(TableWRTECalcPts[BYE],MATCH(TableWRTERank[[#This Row],[RK]],TableWRTECalcPts[RK],0)),"")</f>
        <v>13</v>
      </c>
      <c r="AZ104" s="131">
        <f>IFERROR(INDEX(TableWRTECalcPts[Custom],MATCH(TableWRTERank[[#This Row],[RK]],TableWRTECalcPts[RK],0)),"")</f>
        <v>92.765919307287874</v>
      </c>
      <c r="BA104" s="188">
        <f>IFERROR((TableWRTERank[[#This Row],[FPS]]-INDEX(TableWRTERank[FPS],MATCH(WRTEVORPCalc,TableWRTERank[RK],0)))/INDEX(TableWRTERank[FPS],MATCH(WRTEVORPCalc,TableWRTERank[RK],0)),"")</f>
        <v>-0.32967763504380432</v>
      </c>
      <c r="BC104" t="s">
        <v>257</v>
      </c>
      <c r="BD104">
        <v>103</v>
      </c>
      <c r="BE104" s="86">
        <f>RANK(TableWRTEMaster[[#This Row],[VORP]],TableWRTEMaster[VORP])+COUNTIF($BJ$2:BJ104,BJ104)-1</f>
        <v>144</v>
      </c>
      <c r="BF104" s="123" t="str">
        <f>IFERROR(INDEX(TableWRVORP[WIDE RECEIVER],MATCH(TableWRTEMaster[[#This Row],[RK]],TableWRVORP[RK],0)),"")</f>
        <v>Wan'Dale Robinson</v>
      </c>
      <c r="BG104" s="123" t="str">
        <f>_xlfn.CONCAT(TableWRTEMaster[[#This Row],[POS]],TableWRTEMaster[[#This Row],[RK]])</f>
        <v>WR103</v>
      </c>
      <c r="BH104" s="123">
        <f>IFERROR(INDEX(TableWRVORP[BYE],MATCH(TableWRTEMaster[[#This Row],[RK]],TableWRVORP[RK],0)),"")</f>
        <v>13</v>
      </c>
      <c r="BI104" s="124">
        <f>IFERROR(INDEX(TableWRVORP[FPS],MATCH(TableWRTEMaster[[#This Row],[RK]],TableWRVORP[RK],0)),"")</f>
        <v>57.776482817212141</v>
      </c>
      <c r="BJ104" s="125">
        <f>IFERROR(INDEX(TableWRVORP[VORP],MATCH(TableWRTEMaster[[#This Row],[RK]],TableWRVORP[RK],0)),"")</f>
        <v>-0.55656185726586593</v>
      </c>
    </row>
    <row r="105" spans="1:62" x14ac:dyDescent="0.2">
      <c r="H105">
        <v>104</v>
      </c>
      <c r="I105" s="120" t="str">
        <f>IFERROR(INDEX(TableRBCalcPts[PLAYER],MATCH(TableRBVORP[[#This Row],[RK]],TableRBCalcPts[RK],0)),"")</f>
        <v>DeeJay Dallas</v>
      </c>
      <c r="J105" s="120" t="str">
        <f>IFERROR(INDEX(TableRBCalcPts[TM],MATCH(TableRBVORP[[#This Row],[RK]],TableRBCalcPts[RK],0)),"")</f>
        <v>SEA</v>
      </c>
      <c r="K105" s="120">
        <f>IFERROR(INDEX(TableRBCalcPts[BYE],MATCH(TableRBVORP[[#This Row],[RK]],TableRBCalcPts[RK],0)),"")</f>
        <v>5</v>
      </c>
      <c r="L105" s="121">
        <f>IFERROR(INDEX(TableRBCalcPts[Custom],MATCH(TableRBVORP[[#This Row],[RK]],TableRBCalcPts[RK],0)),"")</f>
        <v>16.264619323451843</v>
      </c>
      <c r="M105" s="122">
        <f>IFERROR((TableRBVORP[[#This Row],[FPS]]-INDEX(TableRBVORP[FPS],MATCH(RBVORPCalc,TableRBVORP[RK],0)))/INDEX(TableRBVORP[FPS],MATCH(RBVORPCalc,TableRBVORP[RK],0)),"")</f>
        <v>-0.86718739095621977</v>
      </c>
      <c r="O105">
        <v>104</v>
      </c>
      <c r="P105" s="120" t="str">
        <f>IFERROR(INDEX(TableWRCalcPts[PLAYER],MATCH(TableWRVORP[[#This Row],[RK]],TableWRCalcPts[RK],0)),"")</f>
        <v>Rashee Rice</v>
      </c>
      <c r="Q105" s="120" t="str">
        <f>IFERROR(INDEX(TableWRCalcPts[TM],MATCH(TableWRVORP[[#This Row],[RK]],TableWRCalcPts[RK],0)),"")</f>
        <v>KC</v>
      </c>
      <c r="R105" s="120">
        <f>IFERROR(INDEX(TableWRCalcPts[BYE],MATCH(TableWRVORP[[#This Row],[RK]],TableWRCalcPts[RK],0)),"")</f>
        <v>10</v>
      </c>
      <c r="S105" s="121">
        <f>IFERROR(INDEX(TableWRCalcPts[Custom],MATCH(TableWRVORP[[#This Row],[RK]],TableWRCalcPts[RK],0)),"")</f>
        <v>56.831704490872688</v>
      </c>
      <c r="T105" s="122">
        <f>IFERROR((TableWRVORP[[#This Row],[FPS]]-INDEX(TableWRVORP[FPS],MATCH(WRVORPCalc,TableWRVORP[RK],0)))/INDEX(TableWRVORP[FPS],MATCH(WRVORPCalc,TableWRVORP[RK],0)),"")</f>
        <v>-0.56381309039566496</v>
      </c>
      <c r="AF105" t="s">
        <v>256</v>
      </c>
      <c r="AG105">
        <v>64</v>
      </c>
      <c r="AH105" s="86">
        <f>RANK(TableOverallMaster[[#This Row],[VORP]],TableOverallMaster[VORP])+COUNTIF($AM$2:AM105,AM105)-1</f>
        <v>222</v>
      </c>
      <c r="AI105" s="123" t="str">
        <f>IFERROR(INDEX(TableRBVORP[RUNNING BACK],MATCH(TableOverallMaster[[#This Row],[RK]],TableRBVORP[RK],0)),"")</f>
        <v>Sean Tucker</v>
      </c>
      <c r="AJ105" s="123" t="str">
        <f t="shared" si="1"/>
        <v>RB64</v>
      </c>
      <c r="AK105" s="123">
        <f>IFERROR(INDEX(TableRBVORP[BYE],MATCH(TableOverallMaster[[#This Row],[RK]],TableRBVORP[RK],0)),"")</f>
        <v>5</v>
      </c>
      <c r="AL105" s="124">
        <f>IFERROR(INDEX(TableRBVORP[FPS],MATCH(TableOverallMaster[[#This Row],[RK]],TableRBVORP[RK],0)),"")</f>
        <v>71.283273128167366</v>
      </c>
      <c r="AM105" s="125">
        <f>IFERROR(INDEX(TableRBVORP[VORP],MATCH(TableOverallMaster[[#This Row],[RK]],TableRBVORP[RK],0)),"")</f>
        <v>-0.41791951615606304</v>
      </c>
      <c r="AO105">
        <v>104</v>
      </c>
      <c r="AP105" s="126" t="str">
        <f>IFERROR(INDEX(TableOverallMaster[OVERALL PLAYER],MATCH(TableOverallRank[[#This Row],[RK]],TableOverallMaster[OVR RK],0)),"")</f>
        <v>David Njoku</v>
      </c>
      <c r="AQ105" s="127" t="str">
        <f>IFERROR(INDEX(TableOverallMaster[POS RK],MATCH(TableOverallRank[[#This Row],[OVERALL PLAYER]],TableOverallMaster[OVERALL PLAYER],0)),"")</f>
        <v>TE9</v>
      </c>
      <c r="AR105" s="128">
        <f>IFERROR(INDEX(TableOverallMaster[BYE],MATCH(TableOverallRank[[#This Row],[OVERALL PLAYER]],TableOverallMaster[OVERALL PLAYER],0)),"")</f>
        <v>5</v>
      </c>
      <c r="AS105" s="127">
        <f>IFERROR(INDEX(TableOverallMaster[Custom],MATCH(TableOverallRank[[#This Row],[OVERALL PLAYER]],TableOverallMaster[OVERALL PLAYER],0)),"")</f>
        <v>132.8430292226715</v>
      </c>
      <c r="AT105" s="129">
        <f>IFERROR(INDEX(TableOverallMaster[VORP],MATCH(TableOverallRank[[#This Row],[OVERALL PLAYER]],TableOverallMaster[OVERALL PLAYER],0)),"")</f>
        <v>0.11792325170279136</v>
      </c>
      <c r="AV105">
        <v>104</v>
      </c>
      <c r="AW105" s="130" t="str">
        <f>IFERROR(INDEX(TableWRTECalcPts[PLAYER],MATCH(TableWRTERank[[#This Row],[RK]],TableWRTECalcPts[RK],0)),"")</f>
        <v>Justyn Ross</v>
      </c>
      <c r="AX105" s="130" t="str">
        <f>IFERROR(INDEX(TableWRTECalcPts[POS RK],MATCH(TableWRTERank[[#This Row],[WR and TE COMBINED]],TableWRTECalcPts[PLAYER],0)),"")</f>
        <v>WR78</v>
      </c>
      <c r="AY105" s="130">
        <f>IFERROR(INDEX(TableWRTECalcPts[BYE],MATCH(TableWRTERank[[#This Row],[RK]],TableWRTECalcPts[RK],0)),"")</f>
        <v>10</v>
      </c>
      <c r="AZ105" s="131">
        <f>IFERROR(INDEX(TableWRTECalcPts[Custom],MATCH(TableWRTERank[[#This Row],[RK]],TableWRTECalcPts[RK],0)),"")</f>
        <v>92.112339109190401</v>
      </c>
      <c r="BA105" s="188">
        <f>IFERROR((TableWRTERank[[#This Row],[FPS]]-INDEX(TableWRTERank[FPS],MATCH(WRTEVORPCalc,TableWRTERank[RK],0)))/INDEX(TableWRTERank[FPS],MATCH(WRTEVORPCalc,TableWRTERank[RK],0)),"")</f>
        <v>-0.33440037619000046</v>
      </c>
      <c r="BC105" t="s">
        <v>257</v>
      </c>
      <c r="BD105">
        <v>104</v>
      </c>
      <c r="BE105" s="86">
        <f>RANK(TableWRTEMaster[[#This Row],[VORP]],TableWRTEMaster[VORP])+COUNTIF($BJ$2:BJ105,BJ105)-1</f>
        <v>145</v>
      </c>
      <c r="BF105" s="123" t="str">
        <f>IFERROR(INDEX(TableWRVORP[WIDE RECEIVER],MATCH(TableWRTEMaster[[#This Row],[RK]],TableWRVORP[RK],0)),"")</f>
        <v>Rashee Rice</v>
      </c>
      <c r="BG105" s="123" t="str">
        <f>_xlfn.CONCAT(TableWRTEMaster[[#This Row],[POS]],TableWRTEMaster[[#This Row],[RK]])</f>
        <v>WR104</v>
      </c>
      <c r="BH105" s="123">
        <f>IFERROR(INDEX(TableWRVORP[BYE],MATCH(TableWRTEMaster[[#This Row],[RK]],TableWRVORP[RK],0)),"")</f>
        <v>10</v>
      </c>
      <c r="BI105" s="124">
        <f>IFERROR(INDEX(TableWRVORP[FPS],MATCH(TableWRTEMaster[[#This Row],[RK]],TableWRVORP[RK],0)),"")</f>
        <v>56.831704490872688</v>
      </c>
      <c r="BJ105" s="125">
        <f>IFERROR(INDEX(TableWRVORP[VORP],MATCH(TableWRTEMaster[[#This Row],[RK]],TableWRVORP[RK],0)),"")</f>
        <v>-0.56381309039566496</v>
      </c>
    </row>
    <row r="106" spans="1:62" x14ac:dyDescent="0.2">
      <c r="H106">
        <v>105</v>
      </c>
      <c r="I106" s="120" t="str">
        <f>IFERROR(INDEX(TableRBCalcPts[PLAYER],MATCH(TableRBVORP[[#This Row],[RK]],TableRBCalcPts[RK],0)),"")</f>
        <v>Emanuel Wilson</v>
      </c>
      <c r="J106" s="120" t="str">
        <f>IFERROR(INDEX(TableRBCalcPts[TM],MATCH(TableRBVORP[[#This Row],[RK]],TableRBCalcPts[RK],0)),"")</f>
        <v>GB</v>
      </c>
      <c r="K106" s="120">
        <f>IFERROR(INDEX(TableRBCalcPts[BYE],MATCH(TableRBVORP[[#This Row],[RK]],TableRBCalcPts[RK],0)),"")</f>
        <v>6</v>
      </c>
      <c r="L106" s="121">
        <f>IFERROR(INDEX(TableRBCalcPts[Custom],MATCH(TableRBVORP[[#This Row],[RK]],TableRBCalcPts[RK],0)),"")</f>
        <v>15.557680466451197</v>
      </c>
      <c r="M106" s="122">
        <f>IFERROR((TableRBVORP[[#This Row],[FPS]]-INDEX(TableRBVORP[FPS],MATCH(RBVORPCalc,TableRBVORP[RK],0)))/INDEX(TableRBVORP[FPS],MATCH(RBVORPCalc,TableRBVORP[RK],0)),"")</f>
        <v>-0.8729600679654691</v>
      </c>
      <c r="O106">
        <v>105</v>
      </c>
      <c r="P106" s="120" t="str">
        <f>IFERROR(INDEX(TableWRCalcPts[PLAYER],MATCH(TableWRVORP[[#This Row],[RK]],TableWRCalcPts[RK],0)),"")</f>
        <v>Deonte Harty</v>
      </c>
      <c r="Q106" s="120" t="str">
        <f>IFERROR(INDEX(TableWRCalcPts[TM],MATCH(TableWRVORP[[#This Row],[RK]],TableWRCalcPts[RK],0)),"")</f>
        <v>BUF</v>
      </c>
      <c r="R106" s="120">
        <f>IFERROR(INDEX(TableWRCalcPts[BYE],MATCH(TableWRVORP[[#This Row],[RK]],TableWRCalcPts[RK],0)),"")</f>
        <v>13</v>
      </c>
      <c r="S106" s="121">
        <f>IFERROR(INDEX(TableWRCalcPts[Custom],MATCH(TableWRVORP[[#This Row],[RK]],TableWRCalcPts[RK],0)),"")</f>
        <v>56.822667667156409</v>
      </c>
      <c r="T106" s="122">
        <f>IFERROR((TableWRVORP[[#This Row],[FPS]]-INDEX(TableWRVORP[FPS],MATCH(WRVORPCalc,TableWRVORP[RK],0)))/INDEX(TableWRVORP[FPS],MATCH(WRVORPCalc,TableWRVORP[RK],0)),"")</f>
        <v>-0.56388244858656833</v>
      </c>
      <c r="AF106" t="s">
        <v>256</v>
      </c>
      <c r="AG106">
        <v>65</v>
      </c>
      <c r="AH106" s="86">
        <f>RANK(TableOverallMaster[[#This Row],[VORP]],TableOverallMaster[VORP])+COUNTIF($AM$2:AM106,AM106)-1</f>
        <v>223</v>
      </c>
      <c r="AI106" s="123" t="str">
        <f>IFERROR(INDEX(TableRBVORP[RUNNING BACK],MATCH(TableOverallMaster[[#This Row],[RK]],TableRBVORP[RK],0)),"")</f>
        <v>Chris Evans</v>
      </c>
      <c r="AJ106" s="123" t="str">
        <f t="shared" si="1"/>
        <v>RB65</v>
      </c>
      <c r="AK106" s="123">
        <f>IFERROR(INDEX(TableRBVORP[BYE],MATCH(TableOverallMaster[[#This Row],[RK]],TableRBVORP[RK],0)),"")</f>
        <v>7</v>
      </c>
      <c r="AL106" s="124">
        <f>IFERROR(INDEX(TableRBVORP[FPS],MATCH(TableOverallMaster[[#This Row],[RK]],TableRBVORP[RK],0)),"")</f>
        <v>71.100773257316817</v>
      </c>
      <c r="AM106" s="125">
        <f>IFERROR(INDEX(TableRBVORP[VORP],MATCH(TableOverallMaster[[#This Row],[RK]],TableRBVORP[RK],0)),"")</f>
        <v>-0.41940976216279652</v>
      </c>
      <c r="AO106">
        <v>105</v>
      </c>
      <c r="AP106" s="126" t="str">
        <f>IFERROR(INDEX(TableOverallMaster[OVERALL PLAYER],MATCH(TableOverallRank[[#This Row],[RK]],TableOverallMaster[OVR RK],0)),"")</f>
        <v>Anthony Richardson</v>
      </c>
      <c r="AQ106" s="127" t="str">
        <f>IFERROR(INDEX(TableOverallMaster[POS RK],MATCH(TableOverallRank[[#This Row],[OVERALL PLAYER]],TableOverallMaster[OVERALL PLAYER],0)),"")</f>
        <v>QB10</v>
      </c>
      <c r="AR106" s="128">
        <f>IFERROR(INDEX(TableOverallMaster[BYE],MATCH(TableOverallRank[[#This Row],[OVERALL PLAYER]],TableOverallMaster[OVERALL PLAYER],0)),"")</f>
        <v>11</v>
      </c>
      <c r="AS106" s="127">
        <f>IFERROR(INDEX(TableOverallMaster[Custom],MATCH(TableOverallRank[[#This Row],[OVERALL PLAYER]],TableOverallMaster[OVERALL PLAYER],0)),"")</f>
        <v>317.19789503289041</v>
      </c>
      <c r="AT106" s="129">
        <f>IFERROR(INDEX(TableOverallMaster[VORP],MATCH(TableOverallRank[[#This Row],[OVERALL PLAYER]],TableOverallMaster[OVERALL PLAYER],0)),"")</f>
        <v>0.11715373834302692</v>
      </c>
      <c r="AV106">
        <v>105</v>
      </c>
      <c r="AW106" s="130" t="str">
        <f>IFERROR(INDEX(TableWRTECalcPts[PLAYER],MATCH(TableWRTERank[[#This Row],[RK]],TableWRTECalcPts[RK],0)),"")</f>
        <v>Allen Robinson</v>
      </c>
      <c r="AX106" s="130" t="str">
        <f>IFERROR(INDEX(TableWRTECalcPts[POS RK],MATCH(TableWRTERank[[#This Row],[WR and TE COMBINED]],TableWRTECalcPts[PLAYER],0)),"")</f>
        <v>WR79</v>
      </c>
      <c r="AY106" s="130">
        <f>IFERROR(INDEX(TableWRTECalcPts[BYE],MATCH(TableWRTERank[[#This Row],[RK]],TableWRTECalcPts[RK],0)),"")</f>
        <v>6</v>
      </c>
      <c r="AZ106" s="131">
        <f>IFERROR(INDEX(TableWRTECalcPts[Custom],MATCH(TableWRTERank[[#This Row],[RK]],TableWRTECalcPts[RK],0)),"")</f>
        <v>92.066985387508694</v>
      </c>
      <c r="BA106" s="188">
        <f>IFERROR((TableWRTERank[[#This Row],[FPS]]-INDEX(TableWRTERank[FPS],MATCH(WRTEVORPCalc,TableWRTERank[RK],0)))/INDEX(TableWRTERank[FPS],MATCH(WRTEVORPCalc,TableWRTERank[RK],0)),"")</f>
        <v>-0.33472810014513682</v>
      </c>
      <c r="BC106" t="s">
        <v>257</v>
      </c>
      <c r="BD106">
        <v>105</v>
      </c>
      <c r="BE106" s="86">
        <f>RANK(TableWRTEMaster[[#This Row],[VORP]],TableWRTEMaster[VORP])+COUNTIF($BJ$2:BJ106,BJ106)-1</f>
        <v>146</v>
      </c>
      <c r="BF106" s="123" t="str">
        <f>IFERROR(INDEX(TableWRVORP[WIDE RECEIVER],MATCH(TableWRTEMaster[[#This Row],[RK]],TableWRVORP[RK],0)),"")</f>
        <v>Deonte Harty</v>
      </c>
      <c r="BG106" s="123" t="str">
        <f>_xlfn.CONCAT(TableWRTEMaster[[#This Row],[POS]],TableWRTEMaster[[#This Row],[RK]])</f>
        <v>WR105</v>
      </c>
      <c r="BH106" s="123">
        <f>IFERROR(INDEX(TableWRVORP[BYE],MATCH(TableWRTEMaster[[#This Row],[RK]],TableWRVORP[RK],0)),"")</f>
        <v>13</v>
      </c>
      <c r="BI106" s="124">
        <f>IFERROR(INDEX(TableWRVORP[FPS],MATCH(TableWRTEMaster[[#This Row],[RK]],TableWRVORP[RK],0)),"")</f>
        <v>56.822667667156409</v>
      </c>
      <c r="BJ106" s="125">
        <f>IFERROR(INDEX(TableWRVORP[VORP],MATCH(TableWRTEMaster[[#This Row],[RK]],TableWRVORP[RK],0)),"")</f>
        <v>-0.56388244858656833</v>
      </c>
    </row>
    <row r="107" spans="1:62" x14ac:dyDescent="0.2">
      <c r="H107">
        <v>106</v>
      </c>
      <c r="I107" s="120" t="str">
        <f>IFERROR(INDEX(TableRBCalcPts[PLAYER],MATCH(TableRBVORP[[#This Row],[RK]],TableRBCalcPts[RK],0)),"")</f>
        <v>Anthony McFarland</v>
      </c>
      <c r="J107" s="120" t="str">
        <f>IFERROR(INDEX(TableRBCalcPts[TM],MATCH(TableRBVORP[[#This Row],[RK]],TableRBCalcPts[RK],0)),"")</f>
        <v>PIT</v>
      </c>
      <c r="K107" s="120">
        <f>IFERROR(INDEX(TableRBCalcPts[BYE],MATCH(TableRBVORP[[#This Row],[RK]],TableRBCalcPts[RK],0)),"")</f>
        <v>6</v>
      </c>
      <c r="L107" s="121">
        <f>IFERROR(INDEX(TableRBCalcPts[Custom],MATCH(TableRBVORP[[#This Row],[RK]],TableRBCalcPts[RK],0)),"")</f>
        <v>13.276669736399999</v>
      </c>
      <c r="M107" s="122">
        <f>IFERROR((TableRBVORP[[#This Row],[FPS]]-INDEX(TableRBVORP[FPS],MATCH(RBVORPCalc,TableRBVORP[RK],0)))/INDEX(TableRBVORP[FPS],MATCH(RBVORPCalc,TableRBVORP[RK],0)),"")</f>
        <v>-0.89158620241659281</v>
      </c>
      <c r="O107">
        <v>106</v>
      </c>
      <c r="P107" s="120" t="str">
        <f>IFERROR(INDEX(TableWRCalcPts[PLAYER],MATCH(TableWRVORP[[#This Row],[RK]],TableWRCalcPts[RK],0)),"")</f>
        <v>Braxton Berrios</v>
      </c>
      <c r="Q107" s="120" t="str">
        <f>IFERROR(INDEX(TableWRCalcPts[TM],MATCH(TableWRVORP[[#This Row],[RK]],TableWRCalcPts[RK],0)),"")</f>
        <v>MIA</v>
      </c>
      <c r="R107" s="120">
        <f>IFERROR(INDEX(TableWRCalcPts[BYE],MATCH(TableWRVORP[[#This Row],[RK]],TableWRCalcPts[RK],0)),"")</f>
        <v>10</v>
      </c>
      <c r="S107" s="121">
        <f>IFERROR(INDEX(TableWRCalcPts[Custom],MATCH(TableWRVORP[[#This Row],[RK]],TableWRCalcPts[RK],0)),"")</f>
        <v>56.686699079863281</v>
      </c>
      <c r="T107" s="122">
        <f>IFERROR((TableWRVORP[[#This Row],[FPS]]-INDEX(TableWRVORP[FPS],MATCH(WRVORPCalc,TableWRVORP[RK],0)))/INDEX(TableWRVORP[FPS],MATCH(WRVORPCalc,TableWRVORP[RK],0)),"")</f>
        <v>-0.56492601605345971</v>
      </c>
      <c r="AF107" t="s">
        <v>256</v>
      </c>
      <c r="AG107">
        <v>66</v>
      </c>
      <c r="AH107" s="86">
        <f>RANK(TableOverallMaster[[#This Row],[VORP]],TableOverallMaster[VORP])+COUNTIF($AM$2:AM107,AM107)-1</f>
        <v>224</v>
      </c>
      <c r="AI107" s="123" t="str">
        <f>IFERROR(INDEX(TableRBVORP[RUNNING BACK],MATCH(TableOverallMaster[[#This Row],[RK]],TableRBVORP[RK],0)),"")</f>
        <v>Deon Jackson</v>
      </c>
      <c r="AJ107" s="123" t="str">
        <f t="shared" si="1"/>
        <v>RB66</v>
      </c>
      <c r="AK107" s="123">
        <f>IFERROR(INDEX(TableRBVORP[BYE],MATCH(TableOverallMaster[[#This Row],[RK]],TableRBVORP[RK],0)),"")</f>
        <v>11</v>
      </c>
      <c r="AL107" s="124">
        <f>IFERROR(INDEX(TableRBVORP[FPS],MATCH(TableOverallMaster[[#This Row],[RK]],TableRBVORP[RK],0)),"")</f>
        <v>71.005509132096009</v>
      </c>
      <c r="AM107" s="125">
        <f>IFERROR(INDEX(TableRBVORP[VORP],MATCH(TableOverallMaster[[#This Row],[RK]],TableRBVORP[RK],0)),"")</f>
        <v>-0.42018766398559576</v>
      </c>
      <c r="AO107">
        <v>106</v>
      </c>
      <c r="AP107" s="126" t="str">
        <f>IFERROR(INDEX(TableOverallMaster[OVERALL PLAYER],MATCH(TableOverallRank[[#This Row],[RK]],TableOverallMaster[OVR RK],0)),"")</f>
        <v>Diontae Johnson</v>
      </c>
      <c r="AQ107" s="127" t="str">
        <f>IFERROR(INDEX(TableOverallMaster[POS RK],MATCH(TableOverallRank[[#This Row],[OVERALL PLAYER]],TableOverallMaster[OVERALL PLAYER],0)),"")</f>
        <v>WR50</v>
      </c>
      <c r="AR107" s="128">
        <f>IFERROR(INDEX(TableOverallMaster[BYE],MATCH(TableOverallRank[[#This Row],[OVERALL PLAYER]],TableOverallMaster[OVERALL PLAYER],0)),"")</f>
        <v>6</v>
      </c>
      <c r="AS107" s="127">
        <f>IFERROR(INDEX(TableOverallMaster[Custom],MATCH(TableOverallRank[[#This Row],[OVERALL PLAYER]],TableOverallMaster[OVERALL PLAYER],0)),"")</f>
        <v>144.91414323693797</v>
      </c>
      <c r="AT107" s="129">
        <f>IFERROR(INDEX(TableOverallMaster[VORP],MATCH(TableOverallRank[[#This Row],[OVERALL PLAYER]],TableOverallMaster[OVERALL PLAYER],0)),"")</f>
        <v>0.1122251718955843</v>
      </c>
      <c r="AV107">
        <v>106</v>
      </c>
      <c r="AW107" s="130" t="str">
        <f>IFERROR(INDEX(TableWRTECalcPts[PLAYER],MATCH(TableWRTERank[[#This Row],[RK]],TableWRTECalcPts[RK],0)),"")</f>
        <v>Marvin Jones</v>
      </c>
      <c r="AX107" s="130" t="str">
        <f>IFERROR(INDEX(TableWRTECalcPts[POS RK],MATCH(TableWRTERank[[#This Row],[WR and TE COMBINED]],TableWRTECalcPts[PLAYER],0)),"")</f>
        <v>WR80</v>
      </c>
      <c r="AY107" s="130">
        <f>IFERROR(INDEX(TableWRTECalcPts[BYE],MATCH(TableWRTERank[[#This Row],[RK]],TableWRTECalcPts[RK],0)),"")</f>
        <v>9</v>
      </c>
      <c r="AZ107" s="131">
        <f>IFERROR(INDEX(TableWRTECalcPts[Custom],MATCH(TableWRTERank[[#This Row],[RK]],TableWRTECalcPts[RK],0)),"")</f>
        <v>91.94050662758977</v>
      </c>
      <c r="BA107" s="188">
        <f>IFERROR((TableWRTERank[[#This Row],[FPS]]-INDEX(TableWRTERank[FPS],MATCH(WRTEVORPCalc,TableWRTERank[RK],0)))/INDEX(TableWRTERank[FPS],MATCH(WRTEVORPCalc,TableWRTERank[RK],0)),"")</f>
        <v>-0.33564202998164006</v>
      </c>
      <c r="BC107" t="s">
        <v>257</v>
      </c>
      <c r="BD107">
        <v>106</v>
      </c>
      <c r="BE107" s="86">
        <f>RANK(TableWRTEMaster[[#This Row],[VORP]],TableWRTEMaster[VORP])+COUNTIF($BJ$2:BJ107,BJ107)-1</f>
        <v>147</v>
      </c>
      <c r="BF107" s="123" t="str">
        <f>IFERROR(INDEX(TableWRVORP[WIDE RECEIVER],MATCH(TableWRTEMaster[[#This Row],[RK]],TableWRVORP[RK],0)),"")</f>
        <v>Braxton Berrios</v>
      </c>
      <c r="BG107" s="123" t="str">
        <f>_xlfn.CONCAT(TableWRTEMaster[[#This Row],[POS]],TableWRTEMaster[[#This Row],[RK]])</f>
        <v>WR106</v>
      </c>
      <c r="BH107" s="123">
        <f>IFERROR(INDEX(TableWRVORP[BYE],MATCH(TableWRTEMaster[[#This Row],[RK]],TableWRVORP[RK],0)),"")</f>
        <v>10</v>
      </c>
      <c r="BI107" s="124">
        <f>IFERROR(INDEX(TableWRVORP[FPS],MATCH(TableWRTEMaster[[#This Row],[RK]],TableWRVORP[RK],0)),"")</f>
        <v>56.686699079863281</v>
      </c>
      <c r="BJ107" s="125">
        <f>IFERROR(INDEX(TableWRVORP[VORP],MATCH(TableWRTEMaster[[#This Row],[RK]],TableWRVORP[RK],0)),"")</f>
        <v>-0.56492601605345971</v>
      </c>
    </row>
    <row r="108" spans="1:62" x14ac:dyDescent="0.2">
      <c r="H108">
        <v>107</v>
      </c>
      <c r="I108" s="120" t="str">
        <f>IFERROR(INDEX(TableRBCalcPts[PLAYER],MATCH(TableRBVORP[[#This Row],[RK]],TableRBCalcPts[RK],0)),"")</f>
        <v>Emari Demercado</v>
      </c>
      <c r="J108" s="120" t="str">
        <f>IFERROR(INDEX(TableRBCalcPts[TM],MATCH(TableRBVORP[[#This Row],[RK]],TableRBCalcPts[RK],0)),"")</f>
        <v>ARI</v>
      </c>
      <c r="K108" s="120">
        <f>IFERROR(INDEX(TableRBCalcPts[BYE],MATCH(TableRBVORP[[#This Row],[RK]],TableRBCalcPts[RK],0)),"")</f>
        <v>14</v>
      </c>
      <c r="L108" s="121">
        <f>IFERROR(INDEX(TableRBCalcPts[Custom],MATCH(TableRBVORP[[#This Row],[RK]],TableRBCalcPts[RK],0)),"")</f>
        <v>12.285711469569369</v>
      </c>
      <c r="M108" s="122">
        <f>IFERROR((TableRBVORP[[#This Row],[FPS]]-INDEX(TableRBVORP[FPS],MATCH(RBVORPCalc,TableRBVORP[RK],0)))/INDEX(TableRBVORP[FPS],MATCH(RBVORPCalc,TableRBVORP[RK],0)),"")</f>
        <v>-0.89967810732097064</v>
      </c>
      <c r="O108">
        <v>107</v>
      </c>
      <c r="P108" s="120" t="str">
        <f>IFERROR(INDEX(TableWRCalcPts[PLAYER],MATCH(TableWRVORP[[#This Row],[RK]],TableWRCalcPts[RK],0)),"")</f>
        <v>Ben Skowronek</v>
      </c>
      <c r="Q108" s="120" t="str">
        <f>IFERROR(INDEX(TableWRCalcPts[TM],MATCH(TableWRVORP[[#This Row],[RK]],TableWRCalcPts[RK],0)),"")</f>
        <v>LAR</v>
      </c>
      <c r="R108" s="120">
        <f>IFERROR(INDEX(TableWRCalcPts[BYE],MATCH(TableWRVORP[[#This Row],[RK]],TableWRCalcPts[RK],0)),"")</f>
        <v>10</v>
      </c>
      <c r="S108" s="121">
        <f>IFERROR(INDEX(TableWRCalcPts[Custom],MATCH(TableWRVORP[[#This Row],[RK]],TableWRCalcPts[RK],0)),"")</f>
        <v>55.2630857895698</v>
      </c>
      <c r="T108" s="122">
        <f>IFERROR((TableWRVORP[[#This Row],[FPS]]-INDEX(TableWRVORP[FPS],MATCH(WRVORPCalc,TableWRVORP[RK],0)))/INDEX(TableWRVORP[FPS],MATCH(WRVORPCalc,TableWRVORP[RK],0)),"")</f>
        <v>-0.57585233767495003</v>
      </c>
      <c r="AF108" t="s">
        <v>256</v>
      </c>
      <c r="AG108">
        <v>67</v>
      </c>
      <c r="AH108" s="86">
        <f>RANK(TableOverallMaster[[#This Row],[VORP]],TableOverallMaster[VORP])+COUNTIF($AM$2:AM108,AM108)-1</f>
        <v>230</v>
      </c>
      <c r="AI108" s="123" t="str">
        <f>IFERROR(INDEX(TableRBVORP[RUNNING BACK],MATCH(TableOverallMaster[[#This Row],[RK]],TableRBVORP[RK],0)),"")</f>
        <v>Zack Moss</v>
      </c>
      <c r="AJ108" s="123" t="str">
        <f t="shared" si="1"/>
        <v>RB67</v>
      </c>
      <c r="AK108" s="123">
        <f>IFERROR(INDEX(TableRBVORP[BYE],MATCH(TableOverallMaster[[#This Row],[RK]],TableRBVORP[RK],0)),"")</f>
        <v>11</v>
      </c>
      <c r="AL108" s="124">
        <f>IFERROR(INDEX(TableRBVORP[FPS],MATCH(TableOverallMaster[[#This Row],[RK]],TableRBVORP[RK],0)),"")</f>
        <v>66.203085416160008</v>
      </c>
      <c r="AM108" s="125">
        <f>IFERROR(INDEX(TableRBVORP[VORP],MATCH(TableOverallMaster[[#This Row],[RK]],TableRBVORP[RK],0)),"")</f>
        <v>-0.45940299456068734</v>
      </c>
      <c r="AO108">
        <v>107</v>
      </c>
      <c r="AP108" s="126" t="str">
        <f>IFERROR(INDEX(TableOverallMaster[OVERALL PLAYER],MATCH(TableOverallRank[[#This Row],[RK]],TableOverallMaster[OVR RK],0)),"")</f>
        <v>Evan Engram</v>
      </c>
      <c r="AQ108" s="127" t="str">
        <f>IFERROR(INDEX(TableOverallMaster[POS RK],MATCH(TableOverallRank[[#This Row],[OVERALL PLAYER]],TableOverallMaster[OVERALL PLAYER],0)),"")</f>
        <v>TE10</v>
      </c>
      <c r="AR108" s="128">
        <f>IFERROR(INDEX(TableOverallMaster[BYE],MATCH(TableOverallRank[[#This Row],[OVERALL PLAYER]],TableOverallMaster[OVERALL PLAYER],0)),"")</f>
        <v>9</v>
      </c>
      <c r="AS108" s="127">
        <f>IFERROR(INDEX(TableOverallMaster[Custom],MATCH(TableOverallRank[[#This Row],[OVERALL PLAYER]],TableOverallMaster[OVERALL PLAYER],0)),"")</f>
        <v>132.11341947692489</v>
      </c>
      <c r="AT108" s="129">
        <f>IFERROR(INDEX(TableOverallMaster[VORP],MATCH(TableOverallRank[[#This Row],[OVERALL PLAYER]],TableOverallMaster[OVERALL PLAYER],0)),"")</f>
        <v>0.11178331568799367</v>
      </c>
      <c r="AV108">
        <v>107</v>
      </c>
      <c r="AW108" s="130" t="str">
        <f>IFERROR(INDEX(TableWRTECalcPts[PLAYER],MATCH(TableWRTERank[[#This Row],[RK]],TableWRTECalcPts[RK],0)),"")</f>
        <v>Noah Brown</v>
      </c>
      <c r="AX108" s="130" t="str">
        <f>IFERROR(INDEX(TableWRTECalcPts[POS RK],MATCH(TableWRTERank[[#This Row],[WR and TE COMBINED]],TableWRTECalcPts[PLAYER],0)),"")</f>
        <v>WR81</v>
      </c>
      <c r="AY108" s="130">
        <f>IFERROR(INDEX(TableWRTECalcPts[BYE],MATCH(TableWRTERank[[#This Row],[RK]],TableWRTECalcPts[RK],0)),"")</f>
        <v>7</v>
      </c>
      <c r="AZ108" s="131">
        <f>IFERROR(INDEX(TableWRTECalcPts[Custom],MATCH(TableWRTERank[[#This Row],[RK]],TableWRTECalcPts[RK],0)),"")</f>
        <v>90.783936841197601</v>
      </c>
      <c r="BA108" s="188">
        <f>IFERROR((TableWRTERank[[#This Row],[FPS]]-INDEX(TableWRTERank[FPS],MATCH(WRTEVORPCalc,TableWRTERank[RK],0)))/INDEX(TableWRTERank[FPS],MATCH(WRTEVORPCalc,TableWRTERank[RK],0)),"")</f>
        <v>-0.34399935129360998</v>
      </c>
      <c r="BC108" t="s">
        <v>257</v>
      </c>
      <c r="BD108">
        <v>107</v>
      </c>
      <c r="BE108" s="86">
        <f>RANK(TableWRTEMaster[[#This Row],[VORP]],TableWRTEMaster[VORP])+COUNTIF($BJ$2:BJ108,BJ108)-1</f>
        <v>148</v>
      </c>
      <c r="BF108" s="123" t="str">
        <f>IFERROR(INDEX(TableWRVORP[WIDE RECEIVER],MATCH(TableWRTEMaster[[#This Row],[RK]],TableWRVORP[RK],0)),"")</f>
        <v>Ben Skowronek</v>
      </c>
      <c r="BG108" s="123" t="str">
        <f>_xlfn.CONCAT(TableWRTEMaster[[#This Row],[POS]],TableWRTEMaster[[#This Row],[RK]])</f>
        <v>WR107</v>
      </c>
      <c r="BH108" s="123">
        <f>IFERROR(INDEX(TableWRVORP[BYE],MATCH(TableWRTEMaster[[#This Row],[RK]],TableWRVORP[RK],0)),"")</f>
        <v>10</v>
      </c>
      <c r="BI108" s="124">
        <f>IFERROR(INDEX(TableWRVORP[FPS],MATCH(TableWRTEMaster[[#This Row],[RK]],TableWRVORP[RK],0)),"")</f>
        <v>55.2630857895698</v>
      </c>
      <c r="BJ108" s="125">
        <f>IFERROR(INDEX(TableWRVORP[VORP],MATCH(TableWRTEMaster[[#This Row],[RK]],TableWRVORP[RK],0)),"")</f>
        <v>-0.57585233767495003</v>
      </c>
    </row>
    <row r="109" spans="1:62" x14ac:dyDescent="0.2">
      <c r="H109">
        <v>108</v>
      </c>
      <c r="I109" s="120" t="str">
        <f>IFERROR(INDEX(TableRBCalcPts[PLAYER],MATCH(TableRBVORP[[#This Row],[RK]],TableRBCalcPts[RK],0)),"")</f>
        <v>Israel Abanikanda</v>
      </c>
      <c r="J109" s="120" t="str">
        <f>IFERROR(INDEX(TableRBCalcPts[TM],MATCH(TableRBVORP[[#This Row],[RK]],TableRBCalcPts[RK],0)),"")</f>
        <v>NYJ</v>
      </c>
      <c r="K109" s="120">
        <f>IFERROR(INDEX(TableRBCalcPts[BYE],MATCH(TableRBVORP[[#This Row],[RK]],TableRBCalcPts[RK],0)),"")</f>
        <v>7</v>
      </c>
      <c r="L109" s="121">
        <f>IFERROR(INDEX(TableRBCalcPts[Custom],MATCH(TableRBVORP[[#This Row],[RK]],TableRBCalcPts[RK],0)),"")</f>
        <v>11.350663613972769</v>
      </c>
      <c r="M109" s="122">
        <f>IFERROR((TableRBVORP[[#This Row],[FPS]]-INDEX(TableRBVORP[FPS],MATCH(RBVORPCalc,TableRBVORP[RK],0)))/INDEX(TableRBVORP[FPS],MATCH(RBVORPCalc,TableRBVORP[RK],0)),"")</f>
        <v>-0.90731346249362521</v>
      </c>
      <c r="O109">
        <v>108</v>
      </c>
      <c r="P109" s="120" t="str">
        <f>IFERROR(INDEX(TableWRCalcPts[PLAYER],MATCH(TableWRVORP[[#This Row],[RK]],TableWRCalcPts[RK],0)),"")</f>
        <v>Richie James</v>
      </c>
      <c r="Q109" s="120" t="str">
        <f>IFERROR(INDEX(TableWRCalcPts[TM],MATCH(TableWRVORP[[#This Row],[RK]],TableWRCalcPts[RK],0)),"")</f>
        <v>KC</v>
      </c>
      <c r="R109" s="120">
        <f>IFERROR(INDEX(TableWRCalcPts[BYE],MATCH(TableWRVORP[[#This Row],[RK]],TableWRCalcPts[RK],0)),"")</f>
        <v>10</v>
      </c>
      <c r="S109" s="121">
        <f>IFERROR(INDEX(TableWRCalcPts[Custom],MATCH(TableWRVORP[[#This Row],[RK]],TableWRCalcPts[RK],0)),"")</f>
        <v>54.595342488959986</v>
      </c>
      <c r="T109" s="122">
        <f>IFERROR((TableWRVORP[[#This Row],[FPS]]-INDEX(TableWRVORP[FPS],MATCH(WRVORPCalc,TableWRVORP[RK],0)))/INDEX(TableWRVORP[FPS],MATCH(WRVORPCalc,TableWRVORP[RK],0)),"")</f>
        <v>-0.58097730954252391</v>
      </c>
      <c r="AF109" t="s">
        <v>256</v>
      </c>
      <c r="AG109">
        <v>68</v>
      </c>
      <c r="AH109" s="86">
        <f>RANK(TableOverallMaster[[#This Row],[VORP]],TableOverallMaster[VORP])+COUNTIF($AM$2:AM109,AM109)-1</f>
        <v>233</v>
      </c>
      <c r="AI109" s="123" t="str">
        <f>IFERROR(INDEX(TableRBVORP[RUNNING BACK],MATCH(TableOverallMaster[[#This Row],[RK]],TableRBVORP[RK],0)),"")</f>
        <v>Pierre Strong</v>
      </c>
      <c r="AJ109" s="123" t="str">
        <f t="shared" si="1"/>
        <v>RB68</v>
      </c>
      <c r="AK109" s="123">
        <f>IFERROR(INDEX(TableRBVORP[BYE],MATCH(TableOverallMaster[[#This Row],[RK]],TableRBVORP[RK],0)),"")</f>
        <v>5</v>
      </c>
      <c r="AL109" s="124">
        <f>IFERROR(INDEX(TableRBVORP[FPS],MATCH(TableOverallMaster[[#This Row],[RK]],TableRBVORP[RK],0)),"")</f>
        <v>63.675737980142394</v>
      </c>
      <c r="AM109" s="125">
        <f>IFERROR(INDEX(TableRBVORP[VORP],MATCH(TableOverallMaster[[#This Row],[RK]],TableRBVORP[RK],0)),"")</f>
        <v>-0.48004064984559258</v>
      </c>
      <c r="AO109">
        <v>108</v>
      </c>
      <c r="AP109" s="126" t="str">
        <f>IFERROR(INDEX(TableOverallMaster[OVERALL PLAYER],MATCH(TableOverallRank[[#This Row],[RK]],TableOverallMaster[OVR RK],0)),"")</f>
        <v>Jakobi Meyers</v>
      </c>
      <c r="AQ109" s="127" t="str">
        <f>IFERROR(INDEX(TableOverallMaster[POS RK],MATCH(TableOverallRank[[#This Row],[OVERALL PLAYER]],TableOverallMaster[OVERALL PLAYER],0)),"")</f>
        <v>WR51</v>
      </c>
      <c r="AR109" s="128">
        <f>IFERROR(INDEX(TableOverallMaster[BYE],MATCH(TableOverallRank[[#This Row],[OVERALL PLAYER]],TableOverallMaster[OVERALL PLAYER],0)),"")</f>
        <v>13</v>
      </c>
      <c r="AS109" s="127">
        <f>IFERROR(INDEX(TableOverallMaster[Custom],MATCH(TableOverallRank[[#This Row],[OVERALL PLAYER]],TableOverallMaster[OVERALL PLAYER],0)),"")</f>
        <v>144.71799711264924</v>
      </c>
      <c r="AT109" s="129">
        <f>IFERROR(INDEX(TableOverallMaster[VORP],MATCH(TableOverallRank[[#This Row],[OVERALL PLAYER]],TableOverallMaster[OVERALL PLAYER],0)),"")</f>
        <v>0.11071973804398989</v>
      </c>
      <c r="AV109">
        <v>108</v>
      </c>
      <c r="AW109" s="130" t="str">
        <f>IFERROR(INDEX(TableWRTECalcPts[PLAYER],MATCH(TableWRTERank[[#This Row],[RK]],TableWRTECalcPts[RK],0)),"")</f>
        <v>Mecole Hardman</v>
      </c>
      <c r="AX109" s="130" t="str">
        <f>IFERROR(INDEX(TableWRTECalcPts[POS RK],MATCH(TableWRTERank[[#This Row],[WR and TE COMBINED]],TableWRTECalcPts[PLAYER],0)),"")</f>
        <v>WR82</v>
      </c>
      <c r="AY109" s="130">
        <f>IFERROR(INDEX(TableWRTECalcPts[BYE],MATCH(TableWRTERank[[#This Row],[RK]],TableWRTECalcPts[RK],0)),"")</f>
        <v>7</v>
      </c>
      <c r="AZ109" s="131">
        <f>IFERROR(INDEX(TableWRTECalcPts[Custom],MATCH(TableWRTERank[[#This Row],[RK]],TableWRTECalcPts[RK],0)),"")</f>
        <v>90.344374723291807</v>
      </c>
      <c r="BA109" s="188">
        <f>IFERROR((TableWRTERank[[#This Row],[FPS]]-INDEX(TableWRTERank[FPS],MATCH(WRTEVORPCalc,TableWRTERank[RK],0)))/INDEX(TableWRTERank[FPS],MATCH(WRTEVORPCalc,TableWRTERank[RK],0)),"")</f>
        <v>-0.34717560740813996</v>
      </c>
      <c r="BC109" t="s">
        <v>257</v>
      </c>
      <c r="BD109">
        <v>108</v>
      </c>
      <c r="BE109" s="86">
        <f>RANK(TableWRTEMaster[[#This Row],[VORP]],TableWRTEMaster[VORP])+COUNTIF($BJ$2:BJ109,BJ109)-1</f>
        <v>149</v>
      </c>
      <c r="BF109" s="123" t="str">
        <f>IFERROR(INDEX(TableWRVORP[WIDE RECEIVER],MATCH(TableWRTEMaster[[#This Row],[RK]],TableWRVORP[RK],0)),"")</f>
        <v>Richie James</v>
      </c>
      <c r="BG109" s="123" t="str">
        <f>_xlfn.CONCAT(TableWRTEMaster[[#This Row],[POS]],TableWRTEMaster[[#This Row],[RK]])</f>
        <v>WR108</v>
      </c>
      <c r="BH109" s="123">
        <f>IFERROR(INDEX(TableWRVORP[BYE],MATCH(TableWRTEMaster[[#This Row],[RK]],TableWRVORP[RK],0)),"")</f>
        <v>10</v>
      </c>
      <c r="BI109" s="124">
        <f>IFERROR(INDEX(TableWRVORP[FPS],MATCH(TableWRTEMaster[[#This Row],[RK]],TableWRVORP[RK],0)),"")</f>
        <v>54.595342488959986</v>
      </c>
      <c r="BJ109" s="125">
        <f>IFERROR(INDEX(TableWRVORP[VORP],MATCH(TableWRTEMaster[[#This Row],[RK]],TableWRVORP[RK],0)),"")</f>
        <v>-0.58097730954252391</v>
      </c>
    </row>
    <row r="110" spans="1:62" x14ac:dyDescent="0.2">
      <c r="H110">
        <v>109</v>
      </c>
      <c r="I110" s="120" t="str">
        <f>IFERROR(INDEX(TableRBCalcPts[PLAYER],MATCH(TableRBVORP[[#This Row],[RK]],TableRBCalcPts[RK],0)),"")</f>
        <v>Craig Reynolds</v>
      </c>
      <c r="J110" s="120" t="str">
        <f>IFERROR(INDEX(TableRBCalcPts[TM],MATCH(TableRBVORP[[#This Row],[RK]],TableRBCalcPts[RK],0)),"")</f>
        <v>DET</v>
      </c>
      <c r="K110" s="120">
        <f>IFERROR(INDEX(TableRBCalcPts[BYE],MATCH(TableRBVORP[[#This Row],[RK]],TableRBCalcPts[RK],0)),"")</f>
        <v>9</v>
      </c>
      <c r="L110" s="121">
        <f>IFERROR(INDEX(TableRBCalcPts[Custom],MATCH(TableRBVORP[[#This Row],[RK]],TableRBCalcPts[RK],0)),"")</f>
        <v>5.6978088279839989</v>
      </c>
      <c r="M110" s="122">
        <f>IFERROR((TableRBVORP[[#This Row],[FPS]]-INDEX(TableRBVORP[FPS],MATCH(RBVORPCalc,TableRBVORP[RK],0)))/INDEX(TableRBVORP[FPS],MATCH(RBVORPCalc,TableRBVORP[RK],0)),"")</f>
        <v>-0.95347318979755646</v>
      </c>
      <c r="O110">
        <v>109</v>
      </c>
      <c r="P110" s="120" t="str">
        <f>IFERROR(INDEX(TableWRCalcPts[PLAYER],MATCH(TableWRVORP[[#This Row],[RK]],TableWRCalcPts[RK],0)),"")</f>
        <v>Kayshon Boutte</v>
      </c>
      <c r="Q110" s="120" t="str">
        <f>IFERROR(INDEX(TableWRCalcPts[TM],MATCH(TableWRVORP[[#This Row],[RK]],TableWRCalcPts[RK],0)),"")</f>
        <v>NE</v>
      </c>
      <c r="R110" s="120">
        <f>IFERROR(INDEX(TableWRCalcPts[BYE],MATCH(TableWRVORP[[#This Row],[RK]],TableWRCalcPts[RK],0)),"")</f>
        <v>11</v>
      </c>
      <c r="S110" s="121">
        <f>IFERROR(INDEX(TableWRCalcPts[Custom],MATCH(TableWRVORP[[#This Row],[RK]],TableWRCalcPts[RK],0)),"")</f>
        <v>47.181509120148462</v>
      </c>
      <c r="T110" s="122">
        <f>IFERROR((TableWRVORP[[#This Row],[FPS]]-INDEX(TableWRVORP[FPS],MATCH(WRVORPCalc,TableWRVORP[RK],0)))/INDEX(TableWRVORP[FPS],MATCH(WRVORPCalc,TableWRVORP[RK],0)),"")</f>
        <v>-0.6378789473595412</v>
      </c>
      <c r="AF110" t="s">
        <v>256</v>
      </c>
      <c r="AG110">
        <v>69</v>
      </c>
      <c r="AH110" s="86">
        <f>RANK(TableOverallMaster[[#This Row],[VORP]],TableOverallMaster[VORP])+COUNTIF($AM$2:AM110,AM110)-1</f>
        <v>235</v>
      </c>
      <c r="AI110" s="123" t="str">
        <f>IFERROR(INDEX(TableRBVORP[RUNNING BACK],MATCH(TableOverallMaster[[#This Row],[RK]],TableRBVORP[RK],0)),"")</f>
        <v>Clyde Edwards-Helaire</v>
      </c>
      <c r="AJ110" s="123" t="str">
        <f t="shared" si="1"/>
        <v>RB69</v>
      </c>
      <c r="AK110" s="123">
        <f>IFERROR(INDEX(TableRBVORP[BYE],MATCH(TableOverallMaster[[#This Row],[RK]],TableRBVORP[RK],0)),"")</f>
        <v>10</v>
      </c>
      <c r="AL110" s="124">
        <f>IFERROR(INDEX(TableRBVORP[FPS],MATCH(TableOverallMaster[[#This Row],[RK]],TableRBVORP[RK],0)),"")</f>
        <v>61.455917554297137</v>
      </c>
      <c r="AM110" s="125">
        <f>IFERROR(INDEX(TableRBVORP[VORP],MATCH(TableOverallMaster[[#This Row],[RK]],TableRBVORP[RK],0)),"")</f>
        <v>-0.49816712034589405</v>
      </c>
      <c r="AO110">
        <v>109</v>
      </c>
      <c r="AP110" s="126" t="str">
        <f>IFERROR(INDEX(TableOverallMaster[OVERALL PLAYER],MATCH(TableOverallRank[[#This Row],[RK]],TableOverallMaster[OVR RK],0)),"")</f>
        <v>Tua Tagovailoa</v>
      </c>
      <c r="AQ110" s="127" t="str">
        <f>IFERROR(INDEX(TableOverallMaster[POS RK],MATCH(TableOverallRank[[#This Row],[OVERALL PLAYER]],TableOverallMaster[OVERALL PLAYER],0)),"")</f>
        <v>QB11</v>
      </c>
      <c r="AR110" s="128">
        <f>IFERROR(INDEX(TableOverallMaster[BYE],MATCH(TableOverallRank[[#This Row],[OVERALL PLAYER]],TableOverallMaster[OVERALL PLAYER],0)),"")</f>
        <v>10</v>
      </c>
      <c r="AS110" s="127">
        <f>IFERROR(INDEX(TableOverallMaster[Custom],MATCH(TableOverallRank[[#This Row],[OVERALL PLAYER]],TableOverallMaster[OVERALL PLAYER],0)),"")</f>
        <v>314.106028120644</v>
      </c>
      <c r="AT110" s="129">
        <f>IFERROR(INDEX(TableOverallMaster[VORP],MATCH(TableOverallRank[[#This Row],[OVERALL PLAYER]],TableOverallMaster[OVERALL PLAYER],0)),"")</f>
        <v>0.10840758363293973</v>
      </c>
      <c r="AV110">
        <v>109</v>
      </c>
      <c r="AW110" s="130" t="str">
        <f>IFERROR(INDEX(TableWRTECalcPts[PLAYER],MATCH(TableWRTERank[[#This Row],[RK]],TableWRTECalcPts[RK],0)),"")</f>
        <v>Laviska Shenault</v>
      </c>
      <c r="AX110" s="130" t="str">
        <f>IFERROR(INDEX(TableWRTECalcPts[POS RK],MATCH(TableWRTERank[[#This Row],[WR and TE COMBINED]],TableWRTECalcPts[PLAYER],0)),"")</f>
        <v>WR83</v>
      </c>
      <c r="AY110" s="130">
        <f>IFERROR(INDEX(TableWRTECalcPts[BYE],MATCH(TableWRTERank[[#This Row],[RK]],TableWRTECalcPts[RK],0)),"")</f>
        <v>7</v>
      </c>
      <c r="AZ110" s="131">
        <f>IFERROR(INDEX(TableWRTECalcPts[Custom],MATCH(TableWRTERank[[#This Row],[RK]],TableWRTECalcPts[RK],0)),"")</f>
        <v>90.290516206634649</v>
      </c>
      <c r="BA110" s="188">
        <f>IFERROR((TableWRTERank[[#This Row],[FPS]]-INDEX(TableWRTERank[FPS],MATCH(WRTEVORPCalc,TableWRTERank[RK],0)))/INDEX(TableWRTERank[FPS],MATCH(WRTEVORPCalc,TableWRTERank[RK],0)),"")</f>
        <v>-0.34756478662964985</v>
      </c>
      <c r="BC110" t="s">
        <v>257</v>
      </c>
      <c r="BD110">
        <v>109</v>
      </c>
      <c r="BE110" s="86">
        <f>RANK(TableWRTEMaster[[#This Row],[VORP]],TableWRTEMaster[VORP])+COUNTIF($BJ$2:BJ110,BJ110)-1</f>
        <v>151</v>
      </c>
      <c r="BF110" s="123" t="str">
        <f>IFERROR(INDEX(TableWRVORP[WIDE RECEIVER],MATCH(TableWRTEMaster[[#This Row],[RK]],TableWRVORP[RK],0)),"")</f>
        <v>Kayshon Boutte</v>
      </c>
      <c r="BG110" s="123" t="str">
        <f>_xlfn.CONCAT(TableWRTEMaster[[#This Row],[POS]],TableWRTEMaster[[#This Row],[RK]])</f>
        <v>WR109</v>
      </c>
      <c r="BH110" s="123">
        <f>IFERROR(INDEX(TableWRVORP[BYE],MATCH(TableWRTEMaster[[#This Row],[RK]],TableWRVORP[RK],0)),"")</f>
        <v>11</v>
      </c>
      <c r="BI110" s="124">
        <f>IFERROR(INDEX(TableWRVORP[FPS],MATCH(TableWRTEMaster[[#This Row],[RK]],TableWRVORP[RK],0)),"")</f>
        <v>47.181509120148462</v>
      </c>
      <c r="BJ110" s="125">
        <f>IFERROR(INDEX(TableWRVORP[VORP],MATCH(TableWRTEMaster[[#This Row],[RK]],TableWRVORP[RK],0)),"")</f>
        <v>-0.6378789473595412</v>
      </c>
    </row>
    <row r="111" spans="1:62" x14ac:dyDescent="0.2">
      <c r="H111">
        <v>110</v>
      </c>
      <c r="I111" s="120" t="str">
        <f>IFERROR(INDEX(TableRBCalcPts[PLAYER],MATCH(TableRBVORP[[#This Row],[RK]],TableRBCalcPts[RK],0)),"")</f>
        <v>Myles Gaskin</v>
      </c>
      <c r="J111" s="120" t="str">
        <f>IFERROR(INDEX(TableRBCalcPts[TM],MATCH(TableRBVORP[[#This Row],[RK]],TableRBCalcPts[RK],0)),"")</f>
        <v>MIN</v>
      </c>
      <c r="K111" s="120">
        <f>IFERROR(INDEX(TableRBCalcPts[BYE],MATCH(TableRBVORP[[#This Row],[RK]],TableRBCalcPts[RK],0)),"")</f>
        <v>13</v>
      </c>
      <c r="L111" s="121">
        <f>IFERROR(INDEX(TableRBCalcPts[Custom],MATCH(TableRBVORP[[#This Row],[RK]],TableRBCalcPts[RK],0)),"")</f>
        <v>0</v>
      </c>
      <c r="M111" s="122">
        <f>IFERROR((TableRBVORP[[#This Row],[FPS]]-INDEX(TableRBVORP[FPS],MATCH(RBVORPCalc,TableRBVORP[RK],0)))/INDEX(TableRBVORP[FPS],MATCH(RBVORPCalc,TableRBVORP[RK],0)),"")</f>
        <v>-1</v>
      </c>
      <c r="O111">
        <v>110</v>
      </c>
      <c r="P111" s="120" t="str">
        <f>IFERROR(INDEX(TableWRCalcPts[PLAYER],MATCH(TableWRVORP[[#This Row],[RK]],TableWRCalcPts[RK],0)),"")</f>
        <v>KhaDarel Hodge</v>
      </c>
      <c r="Q111" s="120" t="str">
        <f>IFERROR(INDEX(TableWRCalcPts[TM],MATCH(TableWRVORP[[#This Row],[RK]],TableWRCalcPts[RK],0)),"")</f>
        <v>ATL</v>
      </c>
      <c r="R111" s="120">
        <f>IFERROR(INDEX(TableWRCalcPts[BYE],MATCH(TableWRVORP[[#This Row],[RK]],TableWRCalcPts[RK],0)),"")</f>
        <v>11</v>
      </c>
      <c r="S111" s="121">
        <f>IFERROR(INDEX(TableWRCalcPts[Custom],MATCH(TableWRVORP[[#This Row],[RK]],TableWRCalcPts[RK],0)),"")</f>
        <v>46.12868847008707</v>
      </c>
      <c r="T111" s="122">
        <f>IFERROR((TableWRVORP[[#This Row],[FPS]]-INDEX(TableWRVORP[FPS],MATCH(WRVORPCalc,TableWRVORP[RK],0)))/INDEX(TableWRVORP[FPS],MATCH(WRVORPCalc,TableWRVORP[RK],0)),"")</f>
        <v>-0.64595941212532448</v>
      </c>
      <c r="AF111" t="s">
        <v>256</v>
      </c>
      <c r="AG111">
        <v>70</v>
      </c>
      <c r="AH111" s="86">
        <f>RANK(TableOverallMaster[[#This Row],[VORP]],TableOverallMaster[VORP])+COUNTIF($AM$2:AM111,AM111)-1</f>
        <v>237</v>
      </c>
      <c r="AI111" s="123" t="str">
        <f>IFERROR(INDEX(TableRBVORP[RUNNING BACK],MATCH(TableOverallMaster[[#This Row],[RK]],TableRBVORP[RK],0)),"")</f>
        <v>Jordan Mason</v>
      </c>
      <c r="AJ111" s="123" t="str">
        <f t="shared" si="1"/>
        <v>RB70</v>
      </c>
      <c r="AK111" s="123">
        <f>IFERROR(INDEX(TableRBVORP[BYE],MATCH(TableOverallMaster[[#This Row],[RK]],TableRBVORP[RK],0)),"")</f>
        <v>9</v>
      </c>
      <c r="AL111" s="124">
        <f>IFERROR(INDEX(TableRBVORP[FPS],MATCH(TableOverallMaster[[#This Row],[RK]],TableRBVORP[RK],0)),"")</f>
        <v>60.282796608378746</v>
      </c>
      <c r="AM111" s="125">
        <f>IFERROR(INDEX(TableRBVORP[VORP],MATCH(TableOverallMaster[[#This Row],[RK]],TableRBVORP[RK],0)),"")</f>
        <v>-0.50774651783764324</v>
      </c>
      <c r="AO111">
        <v>110</v>
      </c>
      <c r="AP111" s="126" t="str">
        <f>IFERROR(INDEX(TableOverallMaster[OVERALL PLAYER],MATCH(TableOverallRank[[#This Row],[RK]],TableOverallMaster[OVR RK],0)),"")</f>
        <v>Daniel Jones</v>
      </c>
      <c r="AQ111" s="127" t="str">
        <f>IFERROR(INDEX(TableOverallMaster[POS RK],MATCH(TableOverallRank[[#This Row],[OVERALL PLAYER]],TableOverallMaster[OVERALL PLAYER],0)),"")</f>
        <v>QB12</v>
      </c>
      <c r="AR111" s="128">
        <f>IFERROR(INDEX(TableOverallMaster[BYE],MATCH(TableOverallRank[[#This Row],[OVERALL PLAYER]],TableOverallMaster[OVERALL PLAYER],0)),"")</f>
        <v>13</v>
      </c>
      <c r="AS111" s="127">
        <f>IFERROR(INDEX(TableOverallMaster[Custom],MATCH(TableOverallRank[[#This Row],[OVERALL PLAYER]],TableOverallMaster[OVERALL PLAYER],0)),"")</f>
        <v>313.74877869477359</v>
      </c>
      <c r="AT111" s="129">
        <f>IFERROR(INDEX(TableOverallMaster[VORP],MATCH(TableOverallRank[[#This Row],[OVERALL PLAYER]],TableOverallMaster[OVERALL PLAYER],0)),"")</f>
        <v>0.10618870468696001</v>
      </c>
      <c r="AV111">
        <v>110</v>
      </c>
      <c r="AW111" s="130" t="str">
        <f>IFERROR(INDEX(TableWRTECalcPts[PLAYER],MATCH(TableWRTERank[[#This Row],[RK]],TableWRTECalcPts[RK],0)),"")</f>
        <v>Gerald Everett</v>
      </c>
      <c r="AX111" s="130" t="str">
        <f>IFERROR(INDEX(TableWRTECalcPts[POS RK],MATCH(TableWRTERank[[#This Row],[WR and TE COMBINED]],TableWRTECalcPts[PLAYER],0)),"")</f>
        <v>TE27</v>
      </c>
      <c r="AY111" s="130">
        <f>IFERROR(INDEX(TableWRTECalcPts[BYE],MATCH(TableWRTERank[[#This Row],[RK]],TableWRTECalcPts[RK],0)),"")</f>
        <v>5</v>
      </c>
      <c r="AZ111" s="131">
        <f>IFERROR(INDEX(TableWRTECalcPts[Custom],MATCH(TableWRTERank[[#This Row],[RK]],TableWRTECalcPts[RK],0)),"")</f>
        <v>88.829688450900846</v>
      </c>
      <c r="BA111" s="188">
        <f>IFERROR((TableWRTERank[[#This Row],[FPS]]-INDEX(TableWRTERank[FPS],MATCH(WRTEVORPCalc,TableWRTERank[RK],0)))/INDEX(TableWRTERank[FPS],MATCH(WRTEVORPCalc,TableWRTERank[RK],0)),"")</f>
        <v>-0.35812066235781936</v>
      </c>
      <c r="BC111" t="s">
        <v>257</v>
      </c>
      <c r="BD111">
        <v>110</v>
      </c>
      <c r="BE111" s="86">
        <f>RANK(TableWRTEMaster[[#This Row],[VORP]],TableWRTEMaster[VORP])+COUNTIF($BJ$2:BJ111,BJ111)-1</f>
        <v>153</v>
      </c>
      <c r="BF111" s="123" t="str">
        <f>IFERROR(INDEX(TableWRVORP[WIDE RECEIVER],MATCH(TableWRTEMaster[[#This Row],[RK]],TableWRVORP[RK],0)),"")</f>
        <v>KhaDarel Hodge</v>
      </c>
      <c r="BG111" s="123" t="str">
        <f>_xlfn.CONCAT(TableWRTEMaster[[#This Row],[POS]],TableWRTEMaster[[#This Row],[RK]])</f>
        <v>WR110</v>
      </c>
      <c r="BH111" s="123">
        <f>IFERROR(INDEX(TableWRVORP[BYE],MATCH(TableWRTEMaster[[#This Row],[RK]],TableWRVORP[RK],0)),"")</f>
        <v>11</v>
      </c>
      <c r="BI111" s="124">
        <f>IFERROR(INDEX(TableWRVORP[FPS],MATCH(TableWRTEMaster[[#This Row],[RK]],TableWRVORP[RK],0)),"")</f>
        <v>46.12868847008707</v>
      </c>
      <c r="BJ111" s="125">
        <f>IFERROR(INDEX(TableWRVORP[VORP],MATCH(TableWRTEMaster[[#This Row],[RK]],TableWRVORP[RK],0)),"")</f>
        <v>-0.64595941212532448</v>
      </c>
    </row>
    <row r="112" spans="1:62" x14ac:dyDescent="0.2">
      <c r="H112">
        <v>111</v>
      </c>
      <c r="I112" s="120" t="str">
        <f>IFERROR(INDEX(TableRBCalcPts[PLAYER],MATCH(TableRBVORP[[#This Row],[RK]],TableRBCalcPts[RK],0)),"")</f>
        <v/>
      </c>
      <c r="J112" s="120" t="str">
        <f>IFERROR(INDEX(TableRBCalcPts[TM],MATCH(TableRBVORP[[#This Row],[RK]],TableRBCalcPts[RK],0)),"")</f>
        <v/>
      </c>
      <c r="K112" s="120" t="str">
        <f>IFERROR(INDEX(TableRBCalcPts[BYE],MATCH(TableRBVORP[[#This Row],[RK]],TableRBCalcPts[RK],0)),"")</f>
        <v/>
      </c>
      <c r="L112" s="121" t="str">
        <f>IFERROR(INDEX(TableRBCalcPts[Custom],MATCH(TableRBVORP[[#This Row],[RK]],TableRBCalcPts[RK],0)),"")</f>
        <v/>
      </c>
      <c r="M112" s="122" t="str">
        <f>IFERROR((TableRBVORP[[#This Row],[FPS]]-INDEX(TableRBVORP[FPS],MATCH(RBVORPCalc,TableRBVORP[RK],0)))/INDEX(TableRBVORP[FPS],MATCH(RBVORPCalc,TableRBVORP[RK],0)),"")</f>
        <v/>
      </c>
      <c r="O112">
        <v>111</v>
      </c>
      <c r="P112" s="120" t="str">
        <f>IFERROR(INDEX(TableWRCalcPts[PLAYER],MATCH(TableWRVORP[[#This Row],[RK]],TableWRCalcPts[RK],0)),"")</f>
        <v>Quez Watkins</v>
      </c>
      <c r="Q112" s="120" t="str">
        <f>IFERROR(INDEX(TableWRCalcPts[TM],MATCH(TableWRVORP[[#This Row],[RK]],TableWRCalcPts[RK],0)),"")</f>
        <v>PHI</v>
      </c>
      <c r="R112" s="120">
        <f>IFERROR(INDEX(TableWRCalcPts[BYE],MATCH(TableWRVORP[[#This Row],[RK]],TableWRCalcPts[RK],0)),"")</f>
        <v>10</v>
      </c>
      <c r="S112" s="121">
        <f>IFERROR(INDEX(TableWRCalcPts[Custom],MATCH(TableWRVORP[[#This Row],[RK]],TableWRCalcPts[RK],0)),"")</f>
        <v>45.688608346058807</v>
      </c>
      <c r="T112" s="122">
        <f>IFERROR((TableWRVORP[[#This Row],[FPS]]-INDEX(TableWRVORP[FPS],MATCH(WRVORPCalc,TableWRVORP[RK],0)))/INDEX(TableWRVORP[FPS],MATCH(WRVORPCalc,TableWRVORP[RK],0)),"")</f>
        <v>-0.64933705478091319</v>
      </c>
      <c r="AF112" t="s">
        <v>256</v>
      </c>
      <c r="AG112">
        <v>71</v>
      </c>
      <c r="AH112" s="86">
        <f>RANK(TableOverallMaster[[#This Row],[VORP]],TableOverallMaster[VORP])+COUNTIF($AM$2:AM112,AM112)-1</f>
        <v>240</v>
      </c>
      <c r="AI112" s="123" t="str">
        <f>IFERROR(INDEX(TableRBVORP[RUNNING BACK],MATCH(TableOverallMaster[[#This Row],[RK]],TableRBVORP[RK],0)),"")</f>
        <v>Matt Breida</v>
      </c>
      <c r="AJ112" s="123" t="str">
        <f t="shared" si="1"/>
        <v>RB71</v>
      </c>
      <c r="AK112" s="123">
        <f>IFERROR(INDEX(TableRBVORP[BYE],MATCH(TableOverallMaster[[#This Row],[RK]],TableRBVORP[RK],0)),"")</f>
        <v>13</v>
      </c>
      <c r="AL112" s="124">
        <f>IFERROR(INDEX(TableRBVORP[FPS],MATCH(TableOverallMaster[[#This Row],[RK]],TableRBVORP[RK],0)),"")</f>
        <v>56.452478120573126</v>
      </c>
      <c r="AM112" s="125">
        <f>IFERROR(INDEX(TableRBVORP[VORP],MATCH(TableOverallMaster[[#This Row],[RK]],TableRBVORP[RK],0)),"")</f>
        <v>-0.53902389247011184</v>
      </c>
      <c r="AO112">
        <v>111</v>
      </c>
      <c r="AP112" s="126" t="str">
        <f>IFERROR(INDEX(TableOverallMaster[OVERALL PLAYER],MATCH(TableOverallRank[[#This Row],[RK]],TableOverallMaster[OVR RK],0)),"")</f>
        <v>Kirk Cousins</v>
      </c>
      <c r="AQ112" s="127" t="str">
        <f>IFERROR(INDEX(TableOverallMaster[POS RK],MATCH(TableOverallRank[[#This Row],[OVERALL PLAYER]],TableOverallMaster[OVERALL PLAYER],0)),"")</f>
        <v>QB13</v>
      </c>
      <c r="AR112" s="128">
        <f>IFERROR(INDEX(TableOverallMaster[BYE],MATCH(TableOverallRank[[#This Row],[OVERALL PLAYER]],TableOverallMaster[OVERALL PLAYER],0)),"")</f>
        <v>13</v>
      </c>
      <c r="AS112" s="127">
        <f>IFERROR(INDEX(TableOverallMaster[Custom],MATCH(TableOverallRank[[#This Row],[OVERALL PLAYER]],TableOverallMaster[OVERALL PLAYER],0)),"")</f>
        <v>313.66400847738322</v>
      </c>
      <c r="AT112" s="129">
        <f>IFERROR(INDEX(TableOverallMaster[VORP],MATCH(TableOverallRank[[#This Row],[OVERALL PLAYER]],TableOverallMaster[OVERALL PLAYER],0)),"")</f>
        <v>9.9247874528514718E-2</v>
      </c>
      <c r="AV112">
        <v>111</v>
      </c>
      <c r="AW112" s="130" t="str">
        <f>IFERROR(INDEX(TableWRTECalcPts[PLAYER],MATCH(TableWRTERank[[#This Row],[RK]],TableWRTECalcPts[RK],0)),"")</f>
        <v>Isaiah Hodgins</v>
      </c>
      <c r="AX112" s="130" t="str">
        <f>IFERROR(INDEX(TableWRTECalcPts[POS RK],MATCH(TableWRTERank[[#This Row],[WR and TE COMBINED]],TableWRTECalcPts[PLAYER],0)),"")</f>
        <v>WR84</v>
      </c>
      <c r="AY112" s="130">
        <f>IFERROR(INDEX(TableWRTECalcPts[BYE],MATCH(TableWRTERank[[#This Row],[RK]],TableWRTECalcPts[RK],0)),"")</f>
        <v>13</v>
      </c>
      <c r="AZ112" s="131">
        <f>IFERROR(INDEX(TableWRTECalcPts[Custom],MATCH(TableWRTERank[[#This Row],[RK]],TableWRTECalcPts[RK],0)),"")</f>
        <v>88.794501254683098</v>
      </c>
      <c r="BA112" s="188">
        <f>IFERROR((TableWRTERank[[#This Row],[FPS]]-INDEX(TableWRTERank[FPS],MATCH(WRTEVORPCalc,TableWRTERank[RK],0)))/INDEX(TableWRTERank[FPS],MATCH(WRTEVORPCalc,TableWRTERank[RK],0)),"")</f>
        <v>-0.35837492345673361</v>
      </c>
      <c r="BC112" t="s">
        <v>257</v>
      </c>
      <c r="BD112">
        <v>111</v>
      </c>
      <c r="BE112" s="86">
        <f>RANK(TableWRTEMaster[[#This Row],[VORP]],TableWRTEMaster[VORP])+COUNTIF($BJ$2:BJ112,BJ112)-1</f>
        <v>154</v>
      </c>
      <c r="BF112" s="123" t="str">
        <f>IFERROR(INDEX(TableWRVORP[WIDE RECEIVER],MATCH(TableWRTEMaster[[#This Row],[RK]],TableWRVORP[RK],0)),"")</f>
        <v>Quez Watkins</v>
      </c>
      <c r="BG112" s="123" t="str">
        <f>_xlfn.CONCAT(TableWRTEMaster[[#This Row],[POS]],TableWRTEMaster[[#This Row],[RK]])</f>
        <v>WR111</v>
      </c>
      <c r="BH112" s="123">
        <f>IFERROR(INDEX(TableWRVORP[BYE],MATCH(TableWRTEMaster[[#This Row],[RK]],TableWRVORP[RK],0)),"")</f>
        <v>10</v>
      </c>
      <c r="BI112" s="124">
        <f>IFERROR(INDEX(TableWRVORP[FPS],MATCH(TableWRTEMaster[[#This Row],[RK]],TableWRVORP[RK],0)),"")</f>
        <v>45.688608346058807</v>
      </c>
      <c r="BJ112" s="125">
        <f>IFERROR(INDEX(TableWRVORP[VORP],MATCH(TableWRTEMaster[[#This Row],[RK]],TableWRVORP[RK],0)),"")</f>
        <v>-0.64933705478091319</v>
      </c>
    </row>
    <row r="113" spans="8:62" x14ac:dyDescent="0.2">
      <c r="H113">
        <v>112</v>
      </c>
      <c r="I113" s="120" t="str">
        <f>IFERROR(INDEX(TableRBCalcPts[PLAYER],MATCH(TableRBVORP[[#This Row],[RK]],TableRBCalcPts[RK],0)),"")</f>
        <v/>
      </c>
      <c r="J113" s="120" t="str">
        <f>IFERROR(INDEX(TableRBCalcPts[TM],MATCH(TableRBVORP[[#This Row],[RK]],TableRBCalcPts[RK],0)),"")</f>
        <v/>
      </c>
      <c r="K113" s="120" t="str">
        <f>IFERROR(INDEX(TableRBCalcPts[BYE],MATCH(TableRBVORP[[#This Row],[RK]],TableRBCalcPts[RK],0)),"")</f>
        <v/>
      </c>
      <c r="L113" s="121" t="str">
        <f>IFERROR(INDEX(TableRBCalcPts[Custom],MATCH(TableRBVORP[[#This Row],[RK]],TableRBCalcPts[RK],0)),"")</f>
        <v/>
      </c>
      <c r="M113" s="122" t="str">
        <f>IFERROR((TableRBVORP[[#This Row],[FPS]]-INDEX(TableRBVORP[FPS],MATCH(RBVORPCalc,TableRBVORP[RK],0)))/INDEX(TableRBVORP[FPS],MATCH(RBVORPCalc,TableRBVORP[RK],0)),"")</f>
        <v/>
      </c>
      <c r="O113">
        <v>112</v>
      </c>
      <c r="P113" s="120" t="str">
        <f>IFERROR(INDEX(TableWRCalcPts[PLAYER],MATCH(TableWRVORP[[#This Row],[RK]],TableWRCalcPts[RK],0)),"")</f>
        <v>Jauan Jennings</v>
      </c>
      <c r="Q113" s="120" t="str">
        <f>IFERROR(INDEX(TableWRCalcPts[TM],MATCH(TableWRVORP[[#This Row],[RK]],TableWRCalcPts[RK],0)),"")</f>
        <v>SF</v>
      </c>
      <c r="R113" s="120">
        <f>IFERROR(INDEX(TableWRCalcPts[BYE],MATCH(TableWRVORP[[#This Row],[RK]],TableWRCalcPts[RK],0)),"")</f>
        <v>9</v>
      </c>
      <c r="S113" s="121">
        <f>IFERROR(INDEX(TableWRCalcPts[Custom],MATCH(TableWRVORP[[#This Row],[RK]],TableWRCalcPts[RK],0)),"")</f>
        <v>40.313265190549011</v>
      </c>
      <c r="T113" s="122">
        <f>IFERROR((TableWRVORP[[#This Row],[FPS]]-INDEX(TableWRVORP[FPS],MATCH(WRVORPCalc,TableWRVORP[RK],0)))/INDEX(TableWRVORP[FPS],MATCH(WRVORPCalc,TableWRVORP[RK],0)),"")</f>
        <v>-0.69059315188497228</v>
      </c>
      <c r="AF113" t="s">
        <v>256</v>
      </c>
      <c r="AG113">
        <v>72</v>
      </c>
      <c r="AH113" s="86">
        <f>RANK(TableOverallMaster[[#This Row],[VORP]],TableOverallMaster[VORP])+COUNTIF($AM$2:AM113,AM113)-1</f>
        <v>244</v>
      </c>
      <c r="AI113" s="123" t="str">
        <f>IFERROR(INDEX(TableRBVORP[RUNNING BACK],MATCH(TableOverallMaster[[#This Row],[RK]],TableRBVORP[RK],0)),"")</f>
        <v>Jerome Ford</v>
      </c>
      <c r="AJ113" s="123" t="str">
        <f t="shared" si="1"/>
        <v>RB72</v>
      </c>
      <c r="AK113" s="123">
        <f>IFERROR(INDEX(TableRBVORP[BYE],MATCH(TableOverallMaster[[#This Row],[RK]],TableRBVORP[RK],0)),"")</f>
        <v>5</v>
      </c>
      <c r="AL113" s="124">
        <f>IFERROR(INDEX(TableRBVORP[FPS],MATCH(TableOverallMaster[[#This Row],[RK]],TableRBVORP[RK],0)),"")</f>
        <v>55.672108526486717</v>
      </c>
      <c r="AM113" s="125">
        <f>IFERROR(INDEX(TableRBVORP[VORP],MATCH(TableOverallMaster[[#This Row],[RK]],TableRBVORP[RK],0)),"")</f>
        <v>-0.54539618558979219</v>
      </c>
      <c r="AO113">
        <v>112</v>
      </c>
      <c r="AP113" s="126" t="str">
        <f>IFERROR(INDEX(TableOverallMaster[OVERALL PLAYER],MATCH(TableOverallRank[[#This Row],[RK]],TableOverallMaster[OVR RK],0)),"")</f>
        <v>Jonathan Taylor</v>
      </c>
      <c r="AQ113" s="127" t="str">
        <f>IFERROR(INDEX(TableOverallMaster[POS RK],MATCH(TableOverallRank[[#This Row],[OVERALL PLAYER]],TableOverallMaster[OVERALL PLAYER],0)),"")</f>
        <v>RB38</v>
      </c>
      <c r="AR113" s="128">
        <f>IFERROR(INDEX(TableOverallMaster[BYE],MATCH(TableOverallRank[[#This Row],[OVERALL PLAYER]],TableOverallMaster[OVERALL PLAYER],0)),"")</f>
        <v>11</v>
      </c>
      <c r="AS113" s="127">
        <f>IFERROR(INDEX(TableOverallMaster[Custom],MATCH(TableOverallRank[[#This Row],[OVERALL PLAYER]],TableOverallMaster[OVERALL PLAYER],0)),"")</f>
        <v>133.35083061101241</v>
      </c>
      <c r="AT113" s="129">
        <f>IFERROR(INDEX(TableOverallMaster[VORP],MATCH(TableOverallRank[[#This Row],[OVERALL PLAYER]],TableOverallMaster[OVERALL PLAYER],0)),"")</f>
        <v>8.8907854490443139E-2</v>
      </c>
      <c r="AV113">
        <v>112</v>
      </c>
      <c r="AW113" s="130" t="str">
        <f>IFERROR(INDEX(TableWRTECalcPts[PLAYER],MATCH(TableWRTERank[[#This Row],[RK]],TableWRTECalcPts[RK],0)),"")</f>
        <v>Parris Campbell</v>
      </c>
      <c r="AX113" s="130" t="str">
        <f>IFERROR(INDEX(TableWRTECalcPts[POS RK],MATCH(TableWRTERank[[#This Row],[WR and TE COMBINED]],TableWRTECalcPts[PLAYER],0)),"")</f>
        <v>WR85</v>
      </c>
      <c r="AY113" s="130">
        <f>IFERROR(INDEX(TableWRTECalcPts[BYE],MATCH(TableWRTERank[[#This Row],[RK]],TableWRTECalcPts[RK],0)),"")</f>
        <v>13</v>
      </c>
      <c r="AZ113" s="131">
        <f>IFERROR(INDEX(TableWRTECalcPts[Custom],MATCH(TableWRTERank[[#This Row],[RK]],TableWRTECalcPts[RK],0)),"")</f>
        <v>87.537493843607933</v>
      </c>
      <c r="BA113" s="188">
        <f>IFERROR((TableWRTERank[[#This Row],[FPS]]-INDEX(TableWRTERank[FPS],MATCH(WRTEVORPCalc,TableWRTERank[RK],0)))/INDEX(TableWRTERank[FPS],MATCH(WRTEVORPCalc,TableWRTERank[RK],0)),"")</f>
        <v>-0.36745800253201605</v>
      </c>
      <c r="BC113" t="s">
        <v>257</v>
      </c>
      <c r="BD113">
        <v>112</v>
      </c>
      <c r="BE113" s="86">
        <f>RANK(TableWRTEMaster[[#This Row],[VORP]],TableWRTEMaster[VORP])+COUNTIF($BJ$2:BJ113,BJ113)-1</f>
        <v>157</v>
      </c>
      <c r="BF113" s="123" t="str">
        <f>IFERROR(INDEX(TableWRVORP[WIDE RECEIVER],MATCH(TableWRTEMaster[[#This Row],[RK]],TableWRVORP[RK],0)),"")</f>
        <v>Jauan Jennings</v>
      </c>
      <c r="BG113" s="123" t="str">
        <f>_xlfn.CONCAT(TableWRTEMaster[[#This Row],[POS]],TableWRTEMaster[[#This Row],[RK]])</f>
        <v>WR112</v>
      </c>
      <c r="BH113" s="123">
        <f>IFERROR(INDEX(TableWRVORP[BYE],MATCH(TableWRTEMaster[[#This Row],[RK]],TableWRVORP[RK],0)),"")</f>
        <v>9</v>
      </c>
      <c r="BI113" s="124">
        <f>IFERROR(INDEX(TableWRVORP[FPS],MATCH(TableWRTEMaster[[#This Row],[RK]],TableWRVORP[RK],0)),"")</f>
        <v>40.313265190549011</v>
      </c>
      <c r="BJ113" s="125">
        <f>IFERROR(INDEX(TableWRVORP[VORP],MATCH(TableWRTEMaster[[#This Row],[RK]],TableWRVORP[RK],0)),"")</f>
        <v>-0.69059315188497228</v>
      </c>
    </row>
    <row r="114" spans="8:62" x14ac:dyDescent="0.2">
      <c r="H114">
        <v>113</v>
      </c>
      <c r="I114" s="120" t="str">
        <f>IFERROR(INDEX(TableRBCalcPts[PLAYER],MATCH(TableRBVORP[[#This Row],[RK]],TableRBCalcPts[RK],0)),"")</f>
        <v/>
      </c>
      <c r="J114" s="120" t="str">
        <f>IFERROR(INDEX(TableRBCalcPts[TM],MATCH(TableRBVORP[[#This Row],[RK]],TableRBCalcPts[RK],0)),"")</f>
        <v/>
      </c>
      <c r="K114" s="120" t="str">
        <f>IFERROR(INDEX(TableRBCalcPts[BYE],MATCH(TableRBVORP[[#This Row],[RK]],TableRBCalcPts[RK],0)),"")</f>
        <v/>
      </c>
      <c r="L114" s="121" t="str">
        <f>IFERROR(INDEX(TableRBCalcPts[Custom],MATCH(TableRBVORP[[#This Row],[RK]],TableRBCalcPts[RK],0)),"")</f>
        <v/>
      </c>
      <c r="M114" s="122" t="str">
        <f>IFERROR((TableRBVORP[[#This Row],[FPS]]-INDEX(TableRBVORP[FPS],MATCH(RBVORPCalc,TableRBVORP[RK],0)))/INDEX(TableRBVORP[FPS],MATCH(RBVORPCalc,TableRBVORP[RK],0)),"")</f>
        <v/>
      </c>
      <c r="O114">
        <v>113</v>
      </c>
      <c r="P114" s="120" t="str">
        <f>IFERROR(INDEX(TableWRCalcPts[PLAYER],MATCH(TableWRVORP[[#This Row],[RK]],TableWRCalcPts[RK],0)),"")</f>
        <v>Isaiah McKenzie</v>
      </c>
      <c r="Q114" s="120" t="str">
        <f>IFERROR(INDEX(TableWRCalcPts[TM],MATCH(TableWRVORP[[#This Row],[RK]],TableWRCalcPts[RK],0)),"")</f>
        <v>IND</v>
      </c>
      <c r="R114" s="120">
        <f>IFERROR(INDEX(TableWRCalcPts[BYE],MATCH(TableWRVORP[[#This Row],[RK]],TableWRCalcPts[RK],0)),"")</f>
        <v>11</v>
      </c>
      <c r="S114" s="121">
        <f>IFERROR(INDEX(TableWRCalcPts[Custom],MATCH(TableWRVORP[[#This Row],[RK]],TableWRCalcPts[RK],0)),"")</f>
        <v>39.328571361895207</v>
      </c>
      <c r="T114" s="122">
        <f>IFERROR((TableWRVORP[[#This Row],[FPS]]-INDEX(TableWRVORP[FPS],MATCH(WRVORPCalc,TableWRVORP[RK],0)))/INDEX(TableWRVORP[FPS],MATCH(WRVORPCalc,TableWRVORP[RK],0)),"")</f>
        <v>-0.69815073900777169</v>
      </c>
      <c r="AF114" t="s">
        <v>256</v>
      </c>
      <c r="AG114">
        <v>73</v>
      </c>
      <c r="AH114" s="86">
        <f>RANK(TableOverallMaster[[#This Row],[VORP]],TableOverallMaster[VORP])+COUNTIF($AM$2:AM114,AM114)-1</f>
        <v>252</v>
      </c>
      <c r="AI114" s="123" t="str">
        <f>IFERROR(INDEX(TableRBVORP[RUNNING BACK],MATCH(TableOverallMaster[[#This Row],[RK]],TableRBVORP[RK],0)),"")</f>
        <v>Chase Edmonds</v>
      </c>
      <c r="AJ114" s="123" t="str">
        <f t="shared" si="1"/>
        <v>RB73</v>
      </c>
      <c r="AK114" s="123">
        <f>IFERROR(INDEX(TableRBVORP[BYE],MATCH(TableOverallMaster[[#This Row],[RK]],TableRBVORP[RK],0)),"")</f>
        <v>5</v>
      </c>
      <c r="AL114" s="124">
        <f>IFERROR(INDEX(TableRBVORP[FPS],MATCH(TableOverallMaster[[#This Row],[RK]],TableRBVORP[RK],0)),"")</f>
        <v>52.093323083656742</v>
      </c>
      <c r="AM114" s="125">
        <f>IFERROR(INDEX(TableRBVORP[VORP],MATCH(TableOverallMaster[[#This Row],[RK]],TableRBVORP[RK],0)),"")</f>
        <v>-0.57461960744909168</v>
      </c>
      <c r="AO114">
        <v>113</v>
      </c>
      <c r="AP114" s="126" t="str">
        <f>IFERROR(INDEX(TableOverallMaster[OVERALL PLAYER],MATCH(TableOverallRank[[#This Row],[RK]],TableOverallMaster[OVR RK],0)),"")</f>
        <v>Jamaal Williams</v>
      </c>
      <c r="AQ114" s="127" t="str">
        <f>IFERROR(INDEX(TableOverallMaster[POS RK],MATCH(TableOverallRank[[#This Row],[OVERALL PLAYER]],TableOverallMaster[OVERALL PLAYER],0)),"")</f>
        <v>RB39</v>
      </c>
      <c r="AR114" s="128">
        <f>IFERROR(INDEX(TableOverallMaster[BYE],MATCH(TableOverallRank[[#This Row],[OVERALL PLAYER]],TableOverallMaster[OVERALL PLAYER],0)),"")</f>
        <v>11</v>
      </c>
      <c r="AS114" s="127">
        <f>IFERROR(INDEX(TableOverallMaster[Custom],MATCH(TableOverallRank[[#This Row],[OVERALL PLAYER]],TableOverallMaster[OVERALL PLAYER],0)),"")</f>
        <v>131.74018152559984</v>
      </c>
      <c r="AT114" s="129">
        <f>IFERROR(INDEX(TableOverallMaster[VORP],MATCH(TableOverallRank[[#This Row],[OVERALL PLAYER]],TableOverallMaster[OVERALL PLAYER],0)),"")</f>
        <v>7.5755717140435774E-2</v>
      </c>
      <c r="AV114">
        <v>113</v>
      </c>
      <c r="AW114" s="130" t="str">
        <f>IFERROR(INDEX(TableWRTECalcPts[PLAYER],MATCH(TableWRTERank[[#This Row],[RK]],TableWRTECalcPts[RK],0)),"")</f>
        <v>Kendrick Bourne</v>
      </c>
      <c r="AX114" s="130" t="str">
        <f>IFERROR(INDEX(TableWRTECalcPts[POS RK],MATCH(TableWRTERank[[#This Row],[WR and TE COMBINED]],TableWRTECalcPts[PLAYER],0)),"")</f>
        <v>WR86</v>
      </c>
      <c r="AY114" s="130">
        <f>IFERROR(INDEX(TableWRTECalcPts[BYE],MATCH(TableWRTERank[[#This Row],[RK]],TableWRTECalcPts[RK],0)),"")</f>
        <v>11</v>
      </c>
      <c r="AZ114" s="131">
        <f>IFERROR(INDEX(TableWRTECalcPts[Custom],MATCH(TableWRTERank[[#This Row],[RK]],TableWRTECalcPts[RK],0)),"")</f>
        <v>87.486076024099162</v>
      </c>
      <c r="BA114" s="188">
        <f>IFERROR((TableWRTERank[[#This Row],[FPS]]-INDEX(TableWRTERank[FPS],MATCH(WRTEVORPCalc,TableWRTERank[RK],0)))/INDEX(TableWRTERank[FPS],MATCH(WRTEVORPCalc,TableWRTERank[RK],0)),"")</f>
        <v>-0.36782954538559182</v>
      </c>
      <c r="BC114" t="s">
        <v>257</v>
      </c>
      <c r="BD114">
        <v>113</v>
      </c>
      <c r="BE114" s="86">
        <f>RANK(TableWRTEMaster[[#This Row],[VORP]],TableWRTEMaster[VORP])+COUNTIF($BJ$2:BJ114,BJ114)-1</f>
        <v>159</v>
      </c>
      <c r="BF114" s="123" t="str">
        <f>IFERROR(INDEX(TableWRVORP[WIDE RECEIVER],MATCH(TableWRTEMaster[[#This Row],[RK]],TableWRVORP[RK],0)),"")</f>
        <v>Isaiah McKenzie</v>
      </c>
      <c r="BG114" s="123" t="str">
        <f>_xlfn.CONCAT(TableWRTEMaster[[#This Row],[POS]],TableWRTEMaster[[#This Row],[RK]])</f>
        <v>WR113</v>
      </c>
      <c r="BH114" s="123">
        <f>IFERROR(INDEX(TableWRVORP[BYE],MATCH(TableWRTEMaster[[#This Row],[RK]],TableWRVORP[RK],0)),"")</f>
        <v>11</v>
      </c>
      <c r="BI114" s="124">
        <f>IFERROR(INDEX(TableWRVORP[FPS],MATCH(TableWRTEMaster[[#This Row],[RK]],TableWRVORP[RK],0)),"")</f>
        <v>39.328571361895207</v>
      </c>
      <c r="BJ114" s="125">
        <f>IFERROR(INDEX(TableWRVORP[VORP],MATCH(TableWRTEMaster[[#This Row],[RK]],TableWRVORP[RK],0)),"")</f>
        <v>-0.69815073900777169</v>
      </c>
    </row>
    <row r="115" spans="8:62" x14ac:dyDescent="0.2">
      <c r="H115">
        <v>114</v>
      </c>
      <c r="I115" s="120" t="str">
        <f>IFERROR(INDEX(TableRBCalcPts[PLAYER],MATCH(TableRBVORP[[#This Row],[RK]],TableRBCalcPts[RK],0)),"")</f>
        <v/>
      </c>
      <c r="J115" s="120" t="str">
        <f>IFERROR(INDEX(TableRBCalcPts[TM],MATCH(TableRBVORP[[#This Row],[RK]],TableRBCalcPts[RK],0)),"")</f>
        <v/>
      </c>
      <c r="K115" s="120" t="str">
        <f>IFERROR(INDEX(TableRBCalcPts[BYE],MATCH(TableRBVORP[[#This Row],[RK]],TableRBCalcPts[RK],0)),"")</f>
        <v/>
      </c>
      <c r="L115" s="121" t="str">
        <f>IFERROR(INDEX(TableRBCalcPts[Custom],MATCH(TableRBVORP[[#This Row],[RK]],TableRBCalcPts[RK],0)),"")</f>
        <v/>
      </c>
      <c r="M115" s="122" t="str">
        <f>IFERROR((TableRBVORP[[#This Row],[FPS]]-INDEX(TableRBVORP[FPS],MATCH(RBVORPCalc,TableRBVORP[RK],0)))/INDEX(TableRBVORP[FPS],MATCH(RBVORPCalc,TableRBVORP[RK],0)),"")</f>
        <v/>
      </c>
      <c r="O115">
        <v>114</v>
      </c>
      <c r="P115" s="120" t="str">
        <f>IFERROR(INDEX(TableWRCalcPts[PLAYER],MATCH(TableWRVORP[[#This Row],[RK]],TableWRCalcPts[RK],0)),"")</f>
        <v>Jalin Hyatt</v>
      </c>
      <c r="Q115" s="120" t="str">
        <f>IFERROR(INDEX(TableWRCalcPts[TM],MATCH(TableWRVORP[[#This Row],[RK]],TableWRCalcPts[RK],0)),"")</f>
        <v>NYG</v>
      </c>
      <c r="R115" s="120">
        <f>IFERROR(INDEX(TableWRCalcPts[BYE],MATCH(TableWRVORP[[#This Row],[RK]],TableWRCalcPts[RK],0)),"")</f>
        <v>13</v>
      </c>
      <c r="S115" s="121">
        <f>IFERROR(INDEX(TableWRCalcPts[Custom],MATCH(TableWRVORP[[#This Row],[RK]],TableWRCalcPts[RK],0)),"")</f>
        <v>39.016453413547382</v>
      </c>
      <c r="T115" s="122">
        <f>IFERROR((TableWRVORP[[#This Row],[FPS]]-INDEX(TableWRVORP[FPS],MATCH(WRVORPCalc,TableWRVORP[RK],0)))/INDEX(TableWRVORP[FPS],MATCH(WRVORPCalc,TableWRVORP[RK],0)),"")</f>
        <v>-0.70054626390961139</v>
      </c>
      <c r="AF115" t="s">
        <v>256</v>
      </c>
      <c r="AG115">
        <v>74</v>
      </c>
      <c r="AH115" s="86">
        <f>RANK(TableOverallMaster[[#This Row],[VORP]],TableOverallMaster[VORP])+COUNTIF($AM$2:AM115,AM115)-1</f>
        <v>255</v>
      </c>
      <c r="AI115" s="123" t="str">
        <f>IFERROR(INDEX(TableRBVORP[RUNNING BACK],MATCH(TableOverallMaster[[#This Row],[RK]],TableRBVORP[RK],0)),"")</f>
        <v>Kendre Miller</v>
      </c>
      <c r="AJ115" s="123" t="str">
        <f t="shared" si="1"/>
        <v>RB74</v>
      </c>
      <c r="AK115" s="123">
        <f>IFERROR(INDEX(TableRBVORP[BYE],MATCH(TableOverallMaster[[#This Row],[RK]],TableRBVORP[RK],0)),"")</f>
        <v>11</v>
      </c>
      <c r="AL115" s="124">
        <f>IFERROR(INDEX(TableRBVORP[FPS],MATCH(TableOverallMaster[[#This Row],[RK]],TableRBVORP[RK],0)),"")</f>
        <v>48.784507484923481</v>
      </c>
      <c r="AM115" s="125">
        <f>IFERROR(INDEX(TableRBVORP[VORP],MATCH(TableOverallMaster[[#This Row],[RK]],TableRBVORP[RK],0)),"")</f>
        <v>-0.60163852647653426</v>
      </c>
      <c r="AO115">
        <v>114</v>
      </c>
      <c r="AP115" s="126" t="str">
        <f>IFERROR(INDEX(TableOverallMaster[OVERALL PLAYER],MATCH(TableOverallRank[[#This Row],[RK]],TableOverallMaster[OVR RK],0)),"")</f>
        <v>Tyler Boyd</v>
      </c>
      <c r="AQ115" s="127" t="str">
        <f>IFERROR(INDEX(TableOverallMaster[POS RK],MATCH(TableOverallRank[[#This Row],[OVERALL PLAYER]],TableOverallMaster[OVERALL PLAYER],0)),"")</f>
        <v>WR52</v>
      </c>
      <c r="AR115" s="128">
        <f>IFERROR(INDEX(TableOverallMaster[BYE],MATCH(TableOverallRank[[#This Row],[OVERALL PLAYER]],TableOverallMaster[OVERALL PLAYER],0)),"")</f>
        <v>7</v>
      </c>
      <c r="AS115" s="127">
        <f>IFERROR(INDEX(TableOverallMaster[Custom],MATCH(TableOverallRank[[#This Row],[OVERALL PLAYER]],TableOverallMaster[OVERALL PLAYER],0)),"")</f>
        <v>139.21511967372822</v>
      </c>
      <c r="AT115" s="129">
        <f>IFERROR(INDEX(TableOverallMaster[VORP],MATCH(TableOverallRank[[#This Row],[OVERALL PLAYER]],TableOverallMaster[OVERALL PLAYER],0)),"")</f>
        <v>6.8484807286284602E-2</v>
      </c>
      <c r="AV115">
        <v>114</v>
      </c>
      <c r="AW115" s="130" t="str">
        <f>IFERROR(INDEX(TableWRTECalcPts[PLAYER],MATCH(TableWRTERank[[#This Row],[RK]],TableWRTECalcPts[RK],0)),"")</f>
        <v>Trey Palmer</v>
      </c>
      <c r="AX115" s="130" t="str">
        <f>IFERROR(INDEX(TableWRTECalcPts[POS RK],MATCH(TableWRTERank[[#This Row],[WR and TE COMBINED]],TableWRTECalcPts[PLAYER],0)),"")</f>
        <v>WR87</v>
      </c>
      <c r="AY115" s="130">
        <f>IFERROR(INDEX(TableWRTECalcPts[BYE],MATCH(TableWRTERank[[#This Row],[RK]],TableWRTECalcPts[RK],0)),"")</f>
        <v>5</v>
      </c>
      <c r="AZ115" s="131">
        <f>IFERROR(INDEX(TableWRTECalcPts[Custom],MATCH(TableWRTERank[[#This Row],[RK]],TableWRTECalcPts[RK],0)),"")</f>
        <v>87.342060412734071</v>
      </c>
      <c r="BA115" s="188">
        <f>IFERROR((TableWRTERank[[#This Row],[FPS]]-INDEX(TableWRTERank[FPS],MATCH(WRTEVORPCalc,TableWRTERank[RK],0)))/INDEX(TableWRTERank[FPS],MATCH(WRTEVORPCalc,TableWRTERank[RK],0)),"")</f>
        <v>-0.36887019572271706</v>
      </c>
      <c r="BC115" t="s">
        <v>257</v>
      </c>
      <c r="BD115">
        <v>114</v>
      </c>
      <c r="BE115" s="86">
        <f>RANK(TableWRTEMaster[[#This Row],[VORP]],TableWRTEMaster[VORP])+COUNTIF($BJ$2:BJ115,BJ115)-1</f>
        <v>161</v>
      </c>
      <c r="BF115" s="123" t="str">
        <f>IFERROR(INDEX(TableWRVORP[WIDE RECEIVER],MATCH(TableWRTEMaster[[#This Row],[RK]],TableWRVORP[RK],0)),"")</f>
        <v>Jalin Hyatt</v>
      </c>
      <c r="BG115" s="123" t="str">
        <f>_xlfn.CONCAT(TableWRTEMaster[[#This Row],[POS]],TableWRTEMaster[[#This Row],[RK]])</f>
        <v>WR114</v>
      </c>
      <c r="BH115" s="123">
        <f>IFERROR(INDEX(TableWRVORP[BYE],MATCH(TableWRTEMaster[[#This Row],[RK]],TableWRVORP[RK],0)),"")</f>
        <v>13</v>
      </c>
      <c r="BI115" s="124">
        <f>IFERROR(INDEX(TableWRVORP[FPS],MATCH(TableWRTEMaster[[#This Row],[RK]],TableWRVORP[RK],0)),"")</f>
        <v>39.016453413547382</v>
      </c>
      <c r="BJ115" s="125">
        <f>IFERROR(INDEX(TableWRVORP[VORP],MATCH(TableWRTEMaster[[#This Row],[RK]],TableWRVORP[RK],0)),"")</f>
        <v>-0.70054626390961139</v>
      </c>
    </row>
    <row r="116" spans="8:62" x14ac:dyDescent="0.2">
      <c r="H116">
        <v>115</v>
      </c>
      <c r="I116" s="120" t="str">
        <f>IFERROR(INDEX(TableRBCalcPts[PLAYER],MATCH(TableRBVORP[[#This Row],[RK]],TableRBCalcPts[RK],0)),"")</f>
        <v/>
      </c>
      <c r="J116" s="120" t="str">
        <f>IFERROR(INDEX(TableRBCalcPts[TM],MATCH(TableRBVORP[[#This Row],[RK]],TableRBCalcPts[RK],0)),"")</f>
        <v/>
      </c>
      <c r="K116" s="120" t="str">
        <f>IFERROR(INDEX(TableRBCalcPts[BYE],MATCH(TableRBVORP[[#This Row],[RK]],TableRBCalcPts[RK],0)),"")</f>
        <v/>
      </c>
      <c r="L116" s="121" t="str">
        <f>IFERROR(INDEX(TableRBCalcPts[Custom],MATCH(TableRBVORP[[#This Row],[RK]],TableRBCalcPts[RK],0)),"")</f>
        <v/>
      </c>
      <c r="M116" s="122" t="str">
        <f>IFERROR((TableRBVORP[[#This Row],[FPS]]-INDEX(TableRBVORP[FPS],MATCH(RBVORPCalc,TableRBVORP[RK],0)))/INDEX(TableRBVORP[FPS],MATCH(RBVORPCalc,TableRBVORP[RK],0)),"")</f>
        <v/>
      </c>
      <c r="O116">
        <v>115</v>
      </c>
      <c r="P116" s="120" t="str">
        <f>IFERROR(INDEX(TableWRCalcPts[PLAYER],MATCH(TableWRVORP[[#This Row],[RK]],TableWRCalcPts[RK],0)),"")</f>
        <v>Khalil Shakir</v>
      </c>
      <c r="Q116" s="120" t="str">
        <f>IFERROR(INDEX(TableWRCalcPts[TM],MATCH(TableWRVORP[[#This Row],[RK]],TableWRCalcPts[RK],0)),"")</f>
        <v>BUF</v>
      </c>
      <c r="R116" s="120">
        <f>IFERROR(INDEX(TableWRCalcPts[BYE],MATCH(TableWRVORP[[#This Row],[RK]],TableWRCalcPts[RK],0)),"")</f>
        <v>13</v>
      </c>
      <c r="S116" s="121">
        <f>IFERROR(INDEX(TableWRCalcPts[Custom],MATCH(TableWRVORP[[#This Row],[RK]],TableWRCalcPts[RK],0)),"")</f>
        <v>38.389008385575202</v>
      </c>
      <c r="T116" s="122">
        <f>IFERROR((TableWRVORP[[#This Row],[FPS]]-INDEX(TableWRVORP[FPS],MATCH(WRVORPCalc,TableWRVORP[RK],0)))/INDEX(TableWRVORP[FPS],MATCH(WRVORPCalc,TableWRVORP[RK],0)),"")</f>
        <v>-0.70536194399785757</v>
      </c>
      <c r="AF116" t="s">
        <v>256</v>
      </c>
      <c r="AG116">
        <v>75</v>
      </c>
      <c r="AH116" s="86">
        <f>RANK(TableOverallMaster[[#This Row],[VORP]],TableOverallMaster[VORP])+COUNTIF($AM$2:AM116,AM116)-1</f>
        <v>260</v>
      </c>
      <c r="AI116" s="123" t="str">
        <f>IFERROR(INDEX(TableRBVORP[RUNNING BACK],MATCH(TableOverallMaster[[#This Row],[RK]],TableRBVORP[RK],0)),"")</f>
        <v>Keaton Mitchell</v>
      </c>
      <c r="AJ116" s="123" t="str">
        <f t="shared" si="1"/>
        <v>RB75</v>
      </c>
      <c r="AK116" s="123">
        <f>IFERROR(INDEX(TableRBVORP[BYE],MATCH(TableOverallMaster[[#This Row],[RK]],TableRBVORP[RK],0)),"")</f>
        <v>13</v>
      </c>
      <c r="AL116" s="124">
        <f>IFERROR(INDEX(TableRBVORP[FPS],MATCH(TableOverallMaster[[#This Row],[RK]],TableRBVORP[RK],0)),"")</f>
        <v>44.161659475282342</v>
      </c>
      <c r="AM116" s="125">
        <f>IFERROR(INDEX(TableRBVORP[VORP],MATCH(TableOverallMaster[[#This Row],[RK]],TableRBVORP[RK],0)),"")</f>
        <v>-0.63938748900454156</v>
      </c>
      <c r="AO116">
        <v>115</v>
      </c>
      <c r="AP116" s="126" t="str">
        <f>IFERROR(INDEX(TableOverallMaster[OVERALL PLAYER],MATCH(TableOverallRank[[#This Row],[RK]],TableOverallMaster[OVR RK],0)),"")</f>
        <v>Ezekiel Elliott</v>
      </c>
      <c r="AQ116" s="127" t="str">
        <f>IFERROR(INDEX(TableOverallMaster[POS RK],MATCH(TableOverallRank[[#This Row],[OVERALL PLAYER]],TableOverallMaster[OVERALL PLAYER],0)),"")</f>
        <v>RB40</v>
      </c>
      <c r="AR116" s="128">
        <f>IFERROR(INDEX(TableOverallMaster[BYE],MATCH(TableOverallRank[[#This Row],[OVERALL PLAYER]],TableOverallMaster[OVERALL PLAYER],0)),"")</f>
        <v>11</v>
      </c>
      <c r="AS116" s="127">
        <f>IFERROR(INDEX(TableOverallMaster[Custom],MATCH(TableOverallRank[[#This Row],[OVERALL PLAYER]],TableOverallMaster[OVERALL PLAYER],0)),"")</f>
        <v>129.219760046272</v>
      </c>
      <c r="AT116" s="129">
        <f>IFERROR(INDEX(TableOverallMaster[VORP],MATCH(TableOverallRank[[#This Row],[OVERALL PLAYER]],TableOverallMaster[OVERALL PLAYER],0)),"")</f>
        <v>5.5174617398565426E-2</v>
      </c>
      <c r="AV116">
        <v>115</v>
      </c>
      <c r="AW116" s="130" t="str">
        <f>IFERROR(INDEX(TableWRTECalcPts[PLAYER],MATCH(TableWRTERank[[#This Row],[RK]],TableWRTECalcPts[RK],0)),"")</f>
        <v>Greg Dulcich</v>
      </c>
      <c r="AX116" s="130" t="str">
        <f>IFERROR(INDEX(TableWRTECalcPts[POS RK],MATCH(TableWRTERank[[#This Row],[WR and TE COMBINED]],TableWRTECalcPts[PLAYER],0)),"")</f>
        <v>TE28</v>
      </c>
      <c r="AY116" s="130">
        <f>IFERROR(INDEX(TableWRTECalcPts[BYE],MATCH(TableWRTERank[[#This Row],[RK]],TableWRTECalcPts[RK],0)),"")</f>
        <v>9</v>
      </c>
      <c r="AZ116" s="131">
        <f>IFERROR(INDEX(TableWRTECalcPts[Custom],MATCH(TableWRTERank[[#This Row],[RK]],TableWRTECalcPts[RK],0)),"")</f>
        <v>86.581473187303459</v>
      </c>
      <c r="BA116" s="188">
        <f>IFERROR((TableWRTERank[[#This Row],[FPS]]-INDEX(TableWRTERank[FPS],MATCH(WRTEVORPCalc,TableWRTERank[RK],0)))/INDEX(TableWRTERank[FPS],MATCH(WRTEVORPCalc,TableWRTERank[RK],0)),"")</f>
        <v>-0.37436616484061341</v>
      </c>
      <c r="BC116" t="s">
        <v>257</v>
      </c>
      <c r="BD116">
        <v>115</v>
      </c>
      <c r="BE116" s="86">
        <f>RANK(TableWRTEMaster[[#This Row],[VORP]],TableWRTEMaster[VORP])+COUNTIF($BJ$2:BJ116,BJ116)-1</f>
        <v>162</v>
      </c>
      <c r="BF116" s="123" t="str">
        <f>IFERROR(INDEX(TableWRVORP[WIDE RECEIVER],MATCH(TableWRTEMaster[[#This Row],[RK]],TableWRVORP[RK],0)),"")</f>
        <v>Khalil Shakir</v>
      </c>
      <c r="BG116" s="123" t="str">
        <f>_xlfn.CONCAT(TableWRTEMaster[[#This Row],[POS]],TableWRTEMaster[[#This Row],[RK]])</f>
        <v>WR115</v>
      </c>
      <c r="BH116" s="123">
        <f>IFERROR(INDEX(TableWRVORP[BYE],MATCH(TableWRTEMaster[[#This Row],[RK]],TableWRVORP[RK],0)),"")</f>
        <v>13</v>
      </c>
      <c r="BI116" s="124">
        <f>IFERROR(INDEX(TableWRVORP[FPS],MATCH(TableWRTEMaster[[#This Row],[RK]],TableWRVORP[RK],0)),"")</f>
        <v>38.389008385575202</v>
      </c>
      <c r="BJ116" s="125">
        <f>IFERROR(INDEX(TableWRVORP[VORP],MATCH(TableWRTEMaster[[#This Row],[RK]],TableWRVORP[RK],0)),"")</f>
        <v>-0.70536194399785757</v>
      </c>
    </row>
    <row r="117" spans="8:62" x14ac:dyDescent="0.2">
      <c r="H117">
        <v>116</v>
      </c>
      <c r="I117" s="120" t="str">
        <f>IFERROR(INDEX(TableRBCalcPts[PLAYER],MATCH(TableRBVORP[[#This Row],[RK]],TableRBCalcPts[RK],0)),"")</f>
        <v/>
      </c>
      <c r="J117" s="120" t="str">
        <f>IFERROR(INDEX(TableRBCalcPts[TM],MATCH(TableRBVORP[[#This Row],[RK]],TableRBCalcPts[RK],0)),"")</f>
        <v/>
      </c>
      <c r="K117" s="120" t="str">
        <f>IFERROR(INDEX(TableRBCalcPts[BYE],MATCH(TableRBVORP[[#This Row],[RK]],TableRBCalcPts[RK],0)),"")</f>
        <v/>
      </c>
      <c r="L117" s="121" t="str">
        <f>IFERROR(INDEX(TableRBCalcPts[Custom],MATCH(TableRBVORP[[#This Row],[RK]],TableRBCalcPts[RK],0)),"")</f>
        <v/>
      </c>
      <c r="M117" s="122" t="str">
        <f>IFERROR((TableRBVORP[[#This Row],[FPS]]-INDEX(TableRBVORP[FPS],MATCH(RBVORPCalc,TableRBVORP[RK],0)))/INDEX(TableRBVORP[FPS],MATCH(RBVORPCalc,TableRBVORP[RK],0)),"")</f>
        <v/>
      </c>
      <c r="O117">
        <v>116</v>
      </c>
      <c r="P117" s="120" t="str">
        <f>IFERROR(INDEX(TableWRCalcPts[PLAYER],MATCH(TableWRVORP[[#This Row],[RK]],TableWRCalcPts[RK],0)),"")</f>
        <v>Demario Douglas</v>
      </c>
      <c r="Q117" s="120" t="str">
        <f>IFERROR(INDEX(TableWRCalcPts[TM],MATCH(TableWRVORP[[#This Row],[RK]],TableWRCalcPts[RK],0)),"")</f>
        <v>NE</v>
      </c>
      <c r="R117" s="120">
        <f>IFERROR(INDEX(TableWRCalcPts[BYE],MATCH(TableWRVORP[[#This Row],[RK]],TableWRCalcPts[RK],0)),"")</f>
        <v>11</v>
      </c>
      <c r="S117" s="121">
        <f>IFERROR(INDEX(TableWRCalcPts[Custom],MATCH(TableWRVORP[[#This Row],[RK]],TableWRCalcPts[RK],0)),"")</f>
        <v>37.195711972182387</v>
      </c>
      <c r="T117" s="122">
        <f>IFERROR((TableWRVORP[[#This Row],[FPS]]-INDEX(TableWRVORP[FPS],MATCH(WRVORPCalc,TableWRVORP[RK],0)))/INDEX(TableWRVORP[FPS],MATCH(WRVORPCalc,TableWRVORP[RK],0)),"")</f>
        <v>-0.71452056909035944</v>
      </c>
      <c r="AF117" t="s">
        <v>256</v>
      </c>
      <c r="AG117">
        <v>76</v>
      </c>
      <c r="AH117" s="86">
        <f>RANK(TableOverallMaster[[#This Row],[VORP]],TableOverallMaster[VORP])+COUNTIF($AM$2:AM117,AM117)-1</f>
        <v>262</v>
      </c>
      <c r="AI117" s="123" t="str">
        <f>IFERROR(INDEX(TableRBVORP[RUNNING BACK],MATCH(TableOverallMaster[[#This Row],[RK]],TableRBVORP[RK],0)),"")</f>
        <v>Ameer Abdullah</v>
      </c>
      <c r="AJ117" s="123" t="str">
        <f t="shared" si="1"/>
        <v>RB76</v>
      </c>
      <c r="AK117" s="123">
        <f>IFERROR(INDEX(TableRBVORP[BYE],MATCH(TableOverallMaster[[#This Row],[RK]],TableRBVORP[RK],0)),"")</f>
        <v>13</v>
      </c>
      <c r="AL117" s="124">
        <f>IFERROR(INDEX(TableRBVORP[FPS],MATCH(TableOverallMaster[[#This Row],[RK]],TableRBVORP[RK],0)),"")</f>
        <v>42.351924386554309</v>
      </c>
      <c r="AM117" s="125">
        <f>IFERROR(INDEX(TableRBVORP[VORP],MATCH(TableOverallMaster[[#This Row],[RK]],TableRBVORP[RK],0)),"")</f>
        <v>-0.65416531036218484</v>
      </c>
      <c r="AO117">
        <v>116</v>
      </c>
      <c r="AP117" s="126" t="str">
        <f>IFERROR(INDEX(TableOverallMaster[OVERALL PLAYER],MATCH(TableOverallRank[[#This Row],[RK]],TableOverallMaster[OVR RK],0)),"")</f>
        <v>Geno Smith</v>
      </c>
      <c r="AQ117" s="127" t="str">
        <f>IFERROR(INDEX(TableOverallMaster[POS RK],MATCH(TableOverallRank[[#This Row],[OVERALL PLAYER]],TableOverallMaster[OVERALL PLAYER],0)),"")</f>
        <v>QB14</v>
      </c>
      <c r="AR117" s="128">
        <f>IFERROR(INDEX(TableOverallMaster[BYE],MATCH(TableOverallRank[[#This Row],[OVERALL PLAYER]],TableOverallMaster[OVERALL PLAYER],0)),"")</f>
        <v>5</v>
      </c>
      <c r="AS117" s="127">
        <f>IFERROR(INDEX(TableOverallMaster[Custom],MATCH(TableOverallRank[[#This Row],[OVERALL PLAYER]],TableOverallMaster[OVERALL PLAYER],0)),"")</f>
        <v>308.46388356938525</v>
      </c>
      <c r="AT117" s="129">
        <f>IFERROR(INDEX(TableOverallMaster[VORP],MATCH(TableOverallRank[[#This Row],[OVERALL PLAYER]],TableOverallMaster[OVERALL PLAYER],0)),"")</f>
        <v>5.1070699266711317E-2</v>
      </c>
      <c r="AV117">
        <v>116</v>
      </c>
      <c r="AW117" s="130" t="str">
        <f>IFERROR(INDEX(TableWRTECalcPts[PLAYER],MATCH(TableWRTERank[[#This Row],[RK]],TableWRTECalcPts[RK],0)),"")</f>
        <v>Puka Nacua</v>
      </c>
      <c r="AX117" s="130" t="str">
        <f>IFERROR(INDEX(TableWRTECalcPts[POS RK],MATCH(TableWRTERank[[#This Row],[WR and TE COMBINED]],TableWRTECalcPts[PLAYER],0)),"")</f>
        <v>WR88</v>
      </c>
      <c r="AY117" s="130">
        <f>IFERROR(INDEX(TableWRTECalcPts[BYE],MATCH(TableWRTERank[[#This Row],[RK]],TableWRTECalcPts[RK],0)),"")</f>
        <v>10</v>
      </c>
      <c r="AZ117" s="131">
        <f>IFERROR(INDEX(TableWRTECalcPts[Custom],MATCH(TableWRTERank[[#This Row],[RK]],TableWRTECalcPts[RK],0)),"")</f>
        <v>85.054259195136012</v>
      </c>
      <c r="BA117" s="188">
        <f>IFERROR((TableWRTERank[[#This Row],[FPS]]-INDEX(TableWRTERank[FPS],MATCH(WRTEVORPCalc,TableWRTERank[RK],0)))/INDEX(TableWRTERank[FPS],MATCH(WRTEVORPCalc,TableWRTERank[RK],0)),"")</f>
        <v>-0.38540174453052922</v>
      </c>
      <c r="BC117" t="s">
        <v>257</v>
      </c>
      <c r="BD117">
        <v>116</v>
      </c>
      <c r="BE117" s="86">
        <f>RANK(TableWRTEMaster[[#This Row],[VORP]],TableWRTEMaster[VORP])+COUNTIF($BJ$2:BJ117,BJ117)-1</f>
        <v>163</v>
      </c>
      <c r="BF117" s="123" t="str">
        <f>IFERROR(INDEX(TableWRVORP[WIDE RECEIVER],MATCH(TableWRTEMaster[[#This Row],[RK]],TableWRVORP[RK],0)),"")</f>
        <v>Demario Douglas</v>
      </c>
      <c r="BG117" s="123" t="str">
        <f>_xlfn.CONCAT(TableWRTEMaster[[#This Row],[POS]],TableWRTEMaster[[#This Row],[RK]])</f>
        <v>WR116</v>
      </c>
      <c r="BH117" s="123">
        <f>IFERROR(INDEX(TableWRVORP[BYE],MATCH(TableWRTEMaster[[#This Row],[RK]],TableWRVORP[RK],0)),"")</f>
        <v>11</v>
      </c>
      <c r="BI117" s="124">
        <f>IFERROR(INDEX(TableWRVORP[FPS],MATCH(TableWRTEMaster[[#This Row],[RK]],TableWRVORP[RK],0)),"")</f>
        <v>37.195711972182387</v>
      </c>
      <c r="BJ117" s="125">
        <f>IFERROR(INDEX(TableWRVORP[VORP],MATCH(TableWRTEMaster[[#This Row],[RK]],TableWRVORP[RK],0)),"")</f>
        <v>-0.71452056909035944</v>
      </c>
    </row>
    <row r="118" spans="8:62" x14ac:dyDescent="0.2">
      <c r="H118">
        <v>117</v>
      </c>
      <c r="I118" s="120" t="str">
        <f>IFERROR(INDEX(TableRBCalcPts[PLAYER],MATCH(TableRBVORP[[#This Row],[RK]],TableRBCalcPts[RK],0)),"")</f>
        <v/>
      </c>
      <c r="J118" s="120" t="str">
        <f>IFERROR(INDEX(TableRBCalcPts[TM],MATCH(TableRBVORP[[#This Row],[RK]],TableRBCalcPts[RK],0)),"")</f>
        <v/>
      </c>
      <c r="K118" s="120" t="str">
        <f>IFERROR(INDEX(TableRBCalcPts[BYE],MATCH(TableRBVORP[[#This Row],[RK]],TableRBCalcPts[RK],0)),"")</f>
        <v/>
      </c>
      <c r="L118" s="121" t="str">
        <f>IFERROR(INDEX(TableRBCalcPts[Custom],MATCH(TableRBVORP[[#This Row],[RK]],TableRBCalcPts[RK],0)),"")</f>
        <v/>
      </c>
      <c r="M118" s="122" t="str">
        <f>IFERROR((TableRBVORP[[#This Row],[FPS]]-INDEX(TableRBVORP[FPS],MATCH(RBVORPCalc,TableRBVORP[RK],0)))/INDEX(TableRBVORP[FPS],MATCH(RBVORPCalc,TableRBVORP[RK],0)),"")</f>
        <v/>
      </c>
      <c r="O118">
        <v>117</v>
      </c>
      <c r="P118" s="120" t="str">
        <f>IFERROR(INDEX(TableWRCalcPts[PLAYER],MATCH(TableWRVORP[[#This Row],[RK]],TableWRCalcPts[RK],0)),"")</f>
        <v>Kyle Philips</v>
      </c>
      <c r="Q118" s="120" t="str">
        <f>IFERROR(INDEX(TableWRCalcPts[TM],MATCH(TableWRVORP[[#This Row],[RK]],TableWRCalcPts[RK],0)),"")</f>
        <v>TEN</v>
      </c>
      <c r="R118" s="120">
        <f>IFERROR(INDEX(TableWRCalcPts[BYE],MATCH(TableWRVORP[[#This Row],[RK]],TableWRCalcPts[RK],0)),"")</f>
        <v>7</v>
      </c>
      <c r="S118" s="121">
        <f>IFERROR(INDEX(TableWRCalcPts[Custom],MATCH(TableWRVORP[[#This Row],[RK]],TableWRCalcPts[RK],0)),"")</f>
        <v>36.780466404519956</v>
      </c>
      <c r="T118" s="122">
        <f>IFERROR((TableWRVORP[[#This Row],[FPS]]-INDEX(TableWRVORP[FPS],MATCH(WRVORPCalc,TableWRVORP[RK],0)))/INDEX(TableWRVORP[FPS],MATCH(WRVORPCalc,TableWRVORP[RK],0)),"")</f>
        <v>-0.71770760496246955</v>
      </c>
      <c r="AF118" t="s">
        <v>256</v>
      </c>
      <c r="AG118">
        <v>77</v>
      </c>
      <c r="AH118" s="86">
        <f>RANK(TableOverallMaster[[#This Row],[VORP]],TableOverallMaster[VORP])+COUNTIF($AM$2:AM118,AM118)-1</f>
        <v>263</v>
      </c>
      <c r="AI118" s="123" t="str">
        <f>IFERROR(INDEX(TableRBVORP[RUNNING BACK],MATCH(TableOverallMaster[[#This Row],[RK]],TableRBVORP[RK],0)),"")</f>
        <v>Raheem Blackshear</v>
      </c>
      <c r="AJ118" s="123" t="str">
        <f t="shared" si="1"/>
        <v>RB77</v>
      </c>
      <c r="AK118" s="123">
        <f>IFERROR(INDEX(TableRBVORP[BYE],MATCH(TableOverallMaster[[#This Row],[RK]],TableRBVORP[RK],0)),"")</f>
        <v>7</v>
      </c>
      <c r="AL118" s="124">
        <f>IFERROR(INDEX(TableRBVORP[FPS],MATCH(TableOverallMaster[[#This Row],[RK]],TableRBVORP[RK],0)),"")</f>
        <v>41.245026651799179</v>
      </c>
      <c r="AM118" s="125">
        <f>IFERROR(INDEX(TableRBVORP[VORP],MATCH(TableOverallMaster[[#This Row],[RK]],TableRBVORP[RK],0)),"")</f>
        <v>-0.66320394650693049</v>
      </c>
      <c r="AO118">
        <v>117</v>
      </c>
      <c r="AP118" s="126" t="str">
        <f>IFERROR(INDEX(TableOverallMaster[OVERALL PLAYER],MATCH(TableOverallRank[[#This Row],[RK]],TableOverallMaster[OVR RK],0)),"")</f>
        <v>Odell Beckham</v>
      </c>
      <c r="AQ118" s="127" t="str">
        <f>IFERROR(INDEX(TableOverallMaster[POS RK],MATCH(TableOverallRank[[#This Row],[OVERALL PLAYER]],TableOverallMaster[OVERALL PLAYER],0)),"")</f>
        <v>WR53</v>
      </c>
      <c r="AR118" s="128">
        <f>IFERROR(INDEX(TableOverallMaster[BYE],MATCH(TableOverallRank[[#This Row],[OVERALL PLAYER]],TableOverallMaster[OVERALL PLAYER],0)),"")</f>
        <v>13</v>
      </c>
      <c r="AS118" s="127">
        <f>IFERROR(INDEX(TableOverallMaster[Custom],MATCH(TableOverallRank[[#This Row],[OVERALL PLAYER]],TableOverallMaster[OVERALL PLAYER],0)),"")</f>
        <v>136.85398142950658</v>
      </c>
      <c r="AT118" s="129">
        <f>IFERROR(INDEX(TableOverallMaster[VORP],MATCH(TableOverallRank[[#This Row],[OVERALL PLAYER]],TableOverallMaster[OVERALL PLAYER],0)),"")</f>
        <v>5.0362922624862007E-2</v>
      </c>
      <c r="AV118">
        <v>117</v>
      </c>
      <c r="AW118" s="130" t="str">
        <f>IFERROR(INDEX(TableWRTECalcPts[PLAYER],MATCH(TableWRTERank[[#This Row],[RK]],TableWRTECalcPts[RK],0)),"")</f>
        <v>Hunter Renfrow</v>
      </c>
      <c r="AX118" s="130" t="str">
        <f>IFERROR(INDEX(TableWRTECalcPts[POS RK],MATCH(TableWRTERank[[#This Row],[WR and TE COMBINED]],TableWRTECalcPts[PLAYER],0)),"")</f>
        <v>WR89</v>
      </c>
      <c r="AY118" s="130">
        <f>IFERROR(INDEX(TableWRTECalcPts[BYE],MATCH(TableWRTERank[[#This Row],[RK]],TableWRTECalcPts[RK],0)),"")</f>
        <v>13</v>
      </c>
      <c r="AZ118" s="131">
        <f>IFERROR(INDEX(TableWRTECalcPts[Custom],MATCH(TableWRTERank[[#This Row],[RK]],TableWRTECalcPts[RK],0)),"")</f>
        <v>84.554260335667863</v>
      </c>
      <c r="BA118" s="188">
        <f>IFERROR((TableWRTERank[[#This Row],[FPS]]-INDEX(TableWRTERank[FPS],MATCH(WRTEVORPCalc,TableWRTERank[RK],0)))/INDEX(TableWRTERank[FPS],MATCH(WRTEVORPCalc,TableWRTERank[RK],0)),"")</f>
        <v>-0.38901471382417541</v>
      </c>
      <c r="BC118" t="s">
        <v>257</v>
      </c>
      <c r="BD118">
        <v>117</v>
      </c>
      <c r="BE118" s="86">
        <f>RANK(TableWRTEMaster[[#This Row],[VORP]],TableWRTEMaster[VORP])+COUNTIF($BJ$2:BJ118,BJ118)-1</f>
        <v>164</v>
      </c>
      <c r="BF118" s="123" t="str">
        <f>IFERROR(INDEX(TableWRVORP[WIDE RECEIVER],MATCH(TableWRTEMaster[[#This Row],[RK]],TableWRVORP[RK],0)),"")</f>
        <v>Kyle Philips</v>
      </c>
      <c r="BG118" s="123" t="str">
        <f>_xlfn.CONCAT(TableWRTEMaster[[#This Row],[POS]],TableWRTEMaster[[#This Row],[RK]])</f>
        <v>WR117</v>
      </c>
      <c r="BH118" s="123">
        <f>IFERROR(INDEX(TableWRVORP[BYE],MATCH(TableWRTEMaster[[#This Row],[RK]],TableWRVORP[RK],0)),"")</f>
        <v>7</v>
      </c>
      <c r="BI118" s="124">
        <f>IFERROR(INDEX(TableWRVORP[FPS],MATCH(TableWRTEMaster[[#This Row],[RK]],TableWRVORP[RK],0)),"")</f>
        <v>36.780466404519956</v>
      </c>
      <c r="BJ118" s="125">
        <f>IFERROR(INDEX(TableWRVORP[VORP],MATCH(TableWRTEMaster[[#This Row],[RK]],TableWRVORP[RK],0)),"")</f>
        <v>-0.71770760496246955</v>
      </c>
    </row>
    <row r="119" spans="8:62" x14ac:dyDescent="0.2">
      <c r="H119">
        <v>118</v>
      </c>
      <c r="I119" s="120" t="str">
        <f>IFERROR(INDEX(TableRBCalcPts[PLAYER],MATCH(TableRBVORP[[#This Row],[RK]],TableRBCalcPts[RK],0)),"")</f>
        <v/>
      </c>
      <c r="J119" s="120" t="str">
        <f>IFERROR(INDEX(TableRBCalcPts[TM],MATCH(TableRBVORP[[#This Row],[RK]],TableRBCalcPts[RK],0)),"")</f>
        <v/>
      </c>
      <c r="K119" s="120" t="str">
        <f>IFERROR(INDEX(TableRBCalcPts[BYE],MATCH(TableRBVORP[[#This Row],[RK]],TableRBCalcPts[RK],0)),"")</f>
        <v/>
      </c>
      <c r="L119" s="121" t="str">
        <f>IFERROR(INDEX(TableRBCalcPts[Custom],MATCH(TableRBVORP[[#This Row],[RK]],TableRBCalcPts[RK],0)),"")</f>
        <v/>
      </c>
      <c r="M119" s="122" t="str">
        <f>IFERROR((TableRBVORP[[#This Row],[FPS]]-INDEX(TableRBVORP[FPS],MATCH(RBVORPCalc,TableRBVORP[RK],0)))/INDEX(TableRBVORP[FPS],MATCH(RBVORPCalc,TableRBVORP[RK],0)),"")</f>
        <v/>
      </c>
      <c r="O119">
        <v>118</v>
      </c>
      <c r="P119" s="120" t="str">
        <f>IFERROR(INDEX(TableWRCalcPts[PLAYER],MATCH(TableWRVORP[[#This Row],[RK]],TableWRCalcPts[RK],0)),"")</f>
        <v>Sterling Shepard</v>
      </c>
      <c r="Q119" s="120" t="str">
        <f>IFERROR(INDEX(TableWRCalcPts[TM],MATCH(TableWRVORP[[#This Row],[RK]],TableWRCalcPts[RK],0)),"")</f>
        <v>NYG</v>
      </c>
      <c r="R119" s="120">
        <f>IFERROR(INDEX(TableWRCalcPts[BYE],MATCH(TableWRVORP[[#This Row],[RK]],TableWRCalcPts[RK],0)),"")</f>
        <v>13</v>
      </c>
      <c r="S119" s="121">
        <f>IFERROR(INDEX(TableWRCalcPts[Custom],MATCH(TableWRVORP[[#This Row],[RK]],TableWRCalcPts[RK],0)),"")</f>
        <v>35.665895599228826</v>
      </c>
      <c r="T119" s="122">
        <f>IFERROR((TableWRVORP[[#This Row],[FPS]]-INDEX(TableWRVORP[FPS],MATCH(WRVORPCalc,TableWRVORP[RK],0)))/INDEX(TableWRVORP[FPS],MATCH(WRVORPCalc,TableWRVORP[RK],0)),"")</f>
        <v>-0.72626200605690139</v>
      </c>
      <c r="AF119" t="s">
        <v>256</v>
      </c>
      <c r="AG119">
        <v>78</v>
      </c>
      <c r="AH119" s="86">
        <f>RANK(TableOverallMaster[[#This Row],[VORP]],TableOverallMaster[VORP])+COUNTIF($AM$2:AM119,AM119)-1</f>
        <v>265</v>
      </c>
      <c r="AI119" s="123" t="str">
        <f>IFERROR(INDEX(TableRBVORP[RUNNING BACK],MATCH(TableOverallMaster[[#This Row],[RK]],TableRBVORP[RK],0)),"")</f>
        <v>Evan Hull</v>
      </c>
      <c r="AJ119" s="123" t="str">
        <f t="shared" si="1"/>
        <v>RB78</v>
      </c>
      <c r="AK119" s="123">
        <f>IFERROR(INDEX(TableRBVORP[BYE],MATCH(TableOverallMaster[[#This Row],[RK]],TableRBVORP[RK],0)),"")</f>
        <v>11</v>
      </c>
      <c r="AL119" s="124">
        <f>IFERROR(INDEX(TableRBVORP[FPS],MATCH(TableOverallMaster[[#This Row],[RK]],TableRBVORP[RK],0)),"")</f>
        <v>39.952245169669872</v>
      </c>
      <c r="AM119" s="125">
        <f>IFERROR(INDEX(TableRBVORP[VORP],MATCH(TableOverallMaster[[#This Row],[RK]],TableRBVORP[RK],0)),"")</f>
        <v>-0.67376046050523275</v>
      </c>
      <c r="AO119">
        <v>118</v>
      </c>
      <c r="AP119" s="126" t="str">
        <f>IFERROR(INDEX(TableOverallMaster[OVERALL PLAYER],MATCH(TableOverallRank[[#This Row],[RK]],TableOverallMaster[OVR RK],0)),"")</f>
        <v>Jerick McKinnon</v>
      </c>
      <c r="AQ119" s="127" t="str">
        <f>IFERROR(INDEX(TableOverallMaster[POS RK],MATCH(TableOverallRank[[#This Row],[OVERALL PLAYER]],TableOverallMaster[OVERALL PLAYER],0)),"")</f>
        <v>RB41</v>
      </c>
      <c r="AR119" s="128">
        <f>IFERROR(INDEX(TableOverallMaster[BYE],MATCH(TableOverallRank[[#This Row],[OVERALL PLAYER]],TableOverallMaster[OVERALL PLAYER],0)),"")</f>
        <v>10</v>
      </c>
      <c r="AS119" s="127">
        <f>IFERROR(INDEX(TableOverallMaster[Custom],MATCH(TableOverallRank[[#This Row],[OVERALL PLAYER]],TableOverallMaster[OVERALL PLAYER],0)),"")</f>
        <v>127.93849341402913</v>
      </c>
      <c r="AT119" s="129">
        <f>IFERROR(INDEX(TableOverallMaster[VORP],MATCH(TableOverallRank[[#This Row],[OVERALL PLAYER]],TableOverallMaster[OVERALL PLAYER],0)),"")</f>
        <v>4.4712130639742283E-2</v>
      </c>
      <c r="AV119">
        <v>118</v>
      </c>
      <c r="AW119" s="130" t="str">
        <f>IFERROR(INDEX(TableWRTECalcPts[PLAYER],MATCH(TableWRTERank[[#This Row],[RK]],TableWRTECalcPts[RK],0)),"")</f>
        <v>Mike Gesicki</v>
      </c>
      <c r="AX119" s="130" t="str">
        <f>IFERROR(INDEX(TableWRTECalcPts[POS RK],MATCH(TableWRTERank[[#This Row],[WR and TE COMBINED]],TableWRTECalcPts[PLAYER],0)),"")</f>
        <v>TE29</v>
      </c>
      <c r="AY119" s="130">
        <f>IFERROR(INDEX(TableWRTECalcPts[BYE],MATCH(TableWRTERank[[#This Row],[RK]],TableWRTECalcPts[RK],0)),"")</f>
        <v>11</v>
      </c>
      <c r="AZ119" s="131">
        <f>IFERROR(INDEX(TableWRTECalcPts[Custom],MATCH(TableWRTERank[[#This Row],[RK]],TableWRTECalcPts[RK],0)),"")</f>
        <v>84.395870962075392</v>
      </c>
      <c r="BA119" s="188">
        <f>IFERROR((TableWRTERank[[#This Row],[FPS]]-INDEX(TableWRTERank[FPS],MATCH(WRTEVORPCalc,TableWRTERank[RK],0)))/INDEX(TableWRTERank[FPS],MATCH(WRTEVORPCalc,TableWRTERank[RK],0)),"")</f>
        <v>-0.39015922832134481</v>
      </c>
      <c r="BC119" t="s">
        <v>257</v>
      </c>
      <c r="BD119">
        <v>118</v>
      </c>
      <c r="BE119" s="86">
        <f>RANK(TableWRTEMaster[[#This Row],[VORP]],TableWRTEMaster[VORP])+COUNTIF($BJ$2:BJ119,BJ119)-1</f>
        <v>166</v>
      </c>
      <c r="BF119" s="123" t="str">
        <f>IFERROR(INDEX(TableWRVORP[WIDE RECEIVER],MATCH(TableWRTEMaster[[#This Row],[RK]],TableWRVORP[RK],0)),"")</f>
        <v>Sterling Shepard</v>
      </c>
      <c r="BG119" s="123" t="str">
        <f>_xlfn.CONCAT(TableWRTEMaster[[#This Row],[POS]],TableWRTEMaster[[#This Row],[RK]])</f>
        <v>WR118</v>
      </c>
      <c r="BH119" s="123">
        <f>IFERROR(INDEX(TableWRVORP[BYE],MATCH(TableWRTEMaster[[#This Row],[RK]],TableWRVORP[RK],0)),"")</f>
        <v>13</v>
      </c>
      <c r="BI119" s="124">
        <f>IFERROR(INDEX(TableWRVORP[FPS],MATCH(TableWRTEMaster[[#This Row],[RK]],TableWRVORP[RK],0)),"")</f>
        <v>35.665895599228826</v>
      </c>
      <c r="BJ119" s="125">
        <f>IFERROR(INDEX(TableWRVORP[VORP],MATCH(TableWRTEMaster[[#This Row],[RK]],TableWRVORP[RK],0)),"")</f>
        <v>-0.72626200605690139</v>
      </c>
    </row>
    <row r="120" spans="8:62" x14ac:dyDescent="0.2">
      <c r="H120">
        <v>119</v>
      </c>
      <c r="I120" s="120" t="str">
        <f>IFERROR(INDEX(TableRBCalcPts[PLAYER],MATCH(TableRBVORP[[#This Row],[RK]],TableRBCalcPts[RK],0)),"")</f>
        <v/>
      </c>
      <c r="J120" s="120" t="str">
        <f>IFERROR(INDEX(TableRBCalcPts[TM],MATCH(TableRBVORP[[#This Row],[RK]],TableRBCalcPts[RK],0)),"")</f>
        <v/>
      </c>
      <c r="K120" s="120" t="str">
        <f>IFERROR(INDEX(TableRBCalcPts[BYE],MATCH(TableRBVORP[[#This Row],[RK]],TableRBCalcPts[RK],0)),"")</f>
        <v/>
      </c>
      <c r="L120" s="121" t="str">
        <f>IFERROR(INDEX(TableRBCalcPts[Custom],MATCH(TableRBVORP[[#This Row],[RK]],TableRBCalcPts[RK],0)),"")</f>
        <v/>
      </c>
      <c r="M120" s="122" t="str">
        <f>IFERROR((TableRBVORP[[#This Row],[FPS]]-INDEX(TableRBVORP[FPS],MATCH(RBVORPCalc,TableRBVORP[RK],0)))/INDEX(TableRBVORP[FPS],MATCH(RBVORPCalc,TableRBVORP[RK],0)),"")</f>
        <v/>
      </c>
      <c r="O120">
        <v>119</v>
      </c>
      <c r="P120" s="120" t="str">
        <f>IFERROR(INDEX(TableWRCalcPts[PLAYER],MATCH(TableWRVORP[[#This Row],[RK]],TableWRCalcPts[RK],0)),"")</f>
        <v>Charlie Jones</v>
      </c>
      <c r="Q120" s="120" t="str">
        <f>IFERROR(INDEX(TableWRCalcPts[TM],MATCH(TableWRVORP[[#This Row],[RK]],TableWRCalcPts[RK],0)),"")</f>
        <v>CIN</v>
      </c>
      <c r="R120" s="120">
        <f>IFERROR(INDEX(TableWRCalcPts[BYE],MATCH(TableWRVORP[[#This Row],[RK]],TableWRCalcPts[RK],0)),"")</f>
        <v>7</v>
      </c>
      <c r="S120" s="121">
        <f>IFERROR(INDEX(TableWRCalcPts[Custom],MATCH(TableWRVORP[[#This Row],[RK]],TableWRCalcPts[RK],0)),"")</f>
        <v>35.157696402703706</v>
      </c>
      <c r="T120" s="122">
        <f>IFERROR((TableWRVORP[[#This Row],[FPS]]-INDEX(TableWRVORP[FPS],MATCH(WRVORPCalc,TableWRVORP[RK],0)))/INDEX(TableWRVORP[FPS],MATCH(WRVORPCalc,TableWRVORP[RK],0)),"")</f>
        <v>-0.73016246688209629</v>
      </c>
      <c r="AF120" t="s">
        <v>256</v>
      </c>
      <c r="AG120">
        <v>79</v>
      </c>
      <c r="AH120" s="86">
        <f>RANK(TableOverallMaster[[#This Row],[VORP]],TableOverallMaster[VORP])+COUNTIF($AM$2:AM120,AM120)-1</f>
        <v>267</v>
      </c>
      <c r="AI120" s="123" t="str">
        <f>IFERROR(INDEX(TableRBVORP[RUNNING BACK],MATCH(TableOverallMaster[[#This Row],[RK]],TableRBVORP[RK],0)),"")</f>
        <v>Latavius Murray</v>
      </c>
      <c r="AJ120" s="123" t="str">
        <f t="shared" si="1"/>
        <v>RB79</v>
      </c>
      <c r="AK120" s="123">
        <f>IFERROR(INDEX(TableRBVORP[BYE],MATCH(TableOverallMaster[[#This Row],[RK]],TableRBVORP[RK],0)),"")</f>
        <v>13</v>
      </c>
      <c r="AL120" s="124">
        <f>IFERROR(INDEX(TableRBVORP[FPS],MATCH(TableOverallMaster[[#This Row],[RK]],TableRBVORP[RK],0)),"")</f>
        <v>38.743776008500859</v>
      </c>
      <c r="AM120" s="125">
        <f>IFERROR(INDEX(TableRBVORP[VORP],MATCH(TableOverallMaster[[#This Row],[RK]],TableRBVORP[RK],0)),"")</f>
        <v>-0.68362850223753335</v>
      </c>
      <c r="AO120">
        <v>119</v>
      </c>
      <c r="AP120" s="126" t="str">
        <f>IFERROR(INDEX(TableOverallMaster[OVERALL PLAYER],MATCH(TableOverallRank[[#This Row],[RK]],TableOverallMaster[OVR RK],0)),"")</f>
        <v>Dak Prescott</v>
      </c>
      <c r="AQ120" s="127" t="str">
        <f>IFERROR(INDEX(TableOverallMaster[POS RK],MATCH(TableOverallRank[[#This Row],[OVERALL PLAYER]],TableOverallMaster[OVERALL PLAYER],0)),"")</f>
        <v>QB15</v>
      </c>
      <c r="AR120" s="128">
        <f>IFERROR(INDEX(TableOverallMaster[BYE],MATCH(TableOverallRank[[#This Row],[OVERALL PLAYER]],TableOverallMaster[OVERALL PLAYER],0)),"")</f>
        <v>7</v>
      </c>
      <c r="AS120" s="127">
        <f>IFERROR(INDEX(TableOverallMaster[Custom],MATCH(TableOverallRank[[#This Row],[OVERALL PLAYER]],TableOverallMaster[OVERALL PLAYER],0)),"")</f>
        <v>306.21396082571579</v>
      </c>
      <c r="AT120" s="129">
        <f>IFERROR(INDEX(TableOverallMaster[VORP],MATCH(TableOverallRank[[#This Row],[OVERALL PLAYER]],TableOverallMaster[OVERALL PLAYER],0)),"")</f>
        <v>3.6864875810591502E-2</v>
      </c>
      <c r="AV120">
        <v>119</v>
      </c>
      <c r="AW120" s="130" t="str">
        <f>IFERROR(INDEX(TableWRTECalcPts[PLAYER],MATCH(TableWRTERank[[#This Row],[RK]],TableWRTECalcPts[RK],0)),"")</f>
        <v>Hayden Hurst</v>
      </c>
      <c r="AX120" s="130" t="str">
        <f>IFERROR(INDEX(TableWRTECalcPts[POS RK],MATCH(TableWRTERank[[#This Row],[WR and TE COMBINED]],TableWRTECalcPts[PLAYER],0)),"")</f>
        <v>TE30</v>
      </c>
      <c r="AY120" s="130">
        <f>IFERROR(INDEX(TableWRTECalcPts[BYE],MATCH(TableWRTERank[[#This Row],[RK]],TableWRTECalcPts[RK],0)),"")</f>
        <v>7</v>
      </c>
      <c r="AZ120" s="131">
        <f>IFERROR(INDEX(TableWRTECalcPts[Custom],MATCH(TableWRTERank[[#This Row],[RK]],TableWRTECalcPts[RK],0)),"")</f>
        <v>84.191268201874024</v>
      </c>
      <c r="BA120" s="188">
        <f>IFERROR((TableWRTERank[[#This Row],[FPS]]-INDEX(TableWRTERank[FPS],MATCH(WRTEVORPCalc,TableWRTERank[RK],0)))/INDEX(TableWRTERank[FPS],MATCH(WRTEVORPCalc,TableWRTERank[RK],0)),"")</f>
        <v>-0.39163767867378979</v>
      </c>
      <c r="BC120" t="s">
        <v>257</v>
      </c>
      <c r="BD120">
        <v>119</v>
      </c>
      <c r="BE120" s="86">
        <f>RANK(TableWRTEMaster[[#This Row],[VORP]],TableWRTEMaster[VORP])+COUNTIF($BJ$2:BJ120,BJ120)-1</f>
        <v>167</v>
      </c>
      <c r="BF120" s="123" t="str">
        <f>IFERROR(INDEX(TableWRVORP[WIDE RECEIVER],MATCH(TableWRTEMaster[[#This Row],[RK]],TableWRVORP[RK],0)),"")</f>
        <v>Charlie Jones</v>
      </c>
      <c r="BG120" s="123" t="str">
        <f>_xlfn.CONCAT(TableWRTEMaster[[#This Row],[POS]],TableWRTEMaster[[#This Row],[RK]])</f>
        <v>WR119</v>
      </c>
      <c r="BH120" s="123">
        <f>IFERROR(INDEX(TableWRVORP[BYE],MATCH(TableWRTEMaster[[#This Row],[RK]],TableWRVORP[RK],0)),"")</f>
        <v>7</v>
      </c>
      <c r="BI120" s="124">
        <f>IFERROR(INDEX(TableWRVORP[FPS],MATCH(TableWRTEMaster[[#This Row],[RK]],TableWRVORP[RK],0)),"")</f>
        <v>35.157696402703706</v>
      </c>
      <c r="BJ120" s="125">
        <f>IFERROR(INDEX(TableWRVORP[VORP],MATCH(TableWRTEMaster[[#This Row],[RK]],TableWRVORP[RK],0)),"")</f>
        <v>-0.73016246688209629</v>
      </c>
    </row>
    <row r="121" spans="8:62" x14ac:dyDescent="0.2">
      <c r="H121">
        <v>120</v>
      </c>
      <c r="I121" s="120" t="str">
        <f>IFERROR(INDEX(TableRBCalcPts[PLAYER],MATCH(TableRBVORP[[#This Row],[RK]],TableRBCalcPts[RK],0)),"")</f>
        <v/>
      </c>
      <c r="J121" s="120" t="str">
        <f>IFERROR(INDEX(TableRBCalcPts[TM],MATCH(TableRBVORP[[#This Row],[RK]],TableRBCalcPts[RK],0)),"")</f>
        <v/>
      </c>
      <c r="K121" s="120" t="str">
        <f>IFERROR(INDEX(TableRBCalcPts[BYE],MATCH(TableRBVORP[[#This Row],[RK]],TableRBCalcPts[RK],0)),"")</f>
        <v/>
      </c>
      <c r="L121" s="121" t="str">
        <f>IFERROR(INDEX(TableRBCalcPts[Custom],MATCH(TableRBVORP[[#This Row],[RK]],TableRBCalcPts[RK],0)),"")</f>
        <v/>
      </c>
      <c r="M121" s="122" t="str">
        <f>IFERROR((TableRBVORP[[#This Row],[FPS]]-INDEX(TableRBVORP[FPS],MATCH(RBVORPCalc,TableRBVORP[RK],0)))/INDEX(TableRBVORP[FPS],MATCH(RBVORPCalc,TableRBVORP[RK],0)),"")</f>
        <v/>
      </c>
      <c r="O121">
        <v>120</v>
      </c>
      <c r="P121" s="120" t="str">
        <f>IFERROR(INDEX(TableWRCalcPts[PLAYER],MATCH(TableWRVORP[[#This Row],[RK]],TableWRCalcPts[RK],0)),"")</f>
        <v>Antoine Green</v>
      </c>
      <c r="Q121" s="120" t="str">
        <f>IFERROR(INDEX(TableWRCalcPts[TM],MATCH(TableWRVORP[[#This Row],[RK]],TableWRCalcPts[RK],0)),"")</f>
        <v>DET</v>
      </c>
      <c r="R121" s="120">
        <f>IFERROR(INDEX(TableWRCalcPts[BYE],MATCH(TableWRVORP[[#This Row],[RK]],TableWRCalcPts[RK],0)),"")</f>
        <v>9</v>
      </c>
      <c r="S121" s="121">
        <f>IFERROR(INDEX(TableWRCalcPts[Custom],MATCH(TableWRVORP[[#This Row],[RK]],TableWRCalcPts[RK],0)),"")</f>
        <v>34.981737176305913</v>
      </c>
      <c r="T121" s="122">
        <f>IFERROR((TableWRVORP[[#This Row],[FPS]]-INDEX(TableWRVORP[FPS],MATCH(WRVORPCalc,TableWRVORP[RK],0)))/INDEX(TableWRVORP[FPS],MATCH(WRVORPCalc,TableWRVORP[RK],0)),"")</f>
        <v>-0.73151296502158369</v>
      </c>
      <c r="AF121" t="s">
        <v>256</v>
      </c>
      <c r="AG121">
        <v>80</v>
      </c>
      <c r="AH121" s="86">
        <f>RANK(TableOverallMaster[[#This Row],[VORP]],TableOverallMaster[VORP])+COUNTIF($AM$2:AM121,AM121)-1</f>
        <v>268</v>
      </c>
      <c r="AI121" s="123" t="str">
        <f>IFERROR(INDEX(TableRBVORP[RUNNING BACK],MATCH(TableOverallMaster[[#This Row],[RK]],TableRBVORP[RK],0)),"")</f>
        <v>Chase Brown</v>
      </c>
      <c r="AJ121" s="123" t="str">
        <f t="shared" si="1"/>
        <v>RB80</v>
      </c>
      <c r="AK121" s="123">
        <f>IFERROR(INDEX(TableRBVORP[BYE],MATCH(TableOverallMaster[[#This Row],[RK]],TableRBVORP[RK],0)),"")</f>
        <v>7</v>
      </c>
      <c r="AL121" s="124">
        <f>IFERROR(INDEX(TableRBVORP[FPS],MATCH(TableOverallMaster[[#This Row],[RK]],TableRBVORP[RK],0)),"")</f>
        <v>37.926964521529364</v>
      </c>
      <c r="AM121" s="125">
        <f>IFERROR(INDEX(TableRBVORP[VORP],MATCH(TableOverallMaster[[#This Row],[RK]],TableRBVORP[RK],0)),"")</f>
        <v>-0.69029837028204366</v>
      </c>
      <c r="AO121">
        <v>120</v>
      </c>
      <c r="AP121" s="126" t="str">
        <f>IFERROR(INDEX(TableOverallMaster[OVERALL PLAYER],MATCH(TableOverallRank[[#This Row],[RK]],TableOverallMaster[OVR RK],0)),"")</f>
        <v>Donovan Peoples-Jones</v>
      </c>
      <c r="AQ121" s="127" t="str">
        <f>IFERROR(INDEX(TableOverallMaster[POS RK],MATCH(TableOverallRank[[#This Row],[OVERALL PLAYER]],TableOverallMaster[OVERALL PLAYER],0)),"")</f>
        <v>WR54</v>
      </c>
      <c r="AR121" s="128">
        <f>IFERROR(INDEX(TableOverallMaster[BYE],MATCH(TableOverallRank[[#This Row],[OVERALL PLAYER]],TableOverallMaster[OVERALL PLAYER],0)),"")</f>
        <v>5</v>
      </c>
      <c r="AS121" s="127">
        <f>IFERROR(INDEX(TableOverallMaster[Custom],MATCH(TableOverallRank[[#This Row],[OVERALL PLAYER]],TableOverallMaster[OVERALL PLAYER],0)),"")</f>
        <v>133.57256369839229</v>
      </c>
      <c r="AT121" s="129">
        <f>IFERROR(INDEX(TableOverallMaster[VORP],MATCH(TableOverallRank[[#This Row],[OVERALL PLAYER]],TableOverallMaster[OVERALL PLAYER],0)),"")</f>
        <v>2.5177834968631629E-2</v>
      </c>
      <c r="AV121">
        <v>120</v>
      </c>
      <c r="AW121" s="130" t="str">
        <f>IFERROR(INDEX(TableWRTECalcPts[PLAYER],MATCH(TableWRTERank[[#This Row],[RK]],TableWRTECalcPts[RK],0)),"")</f>
        <v>Cade Otton</v>
      </c>
      <c r="AX121" s="130" t="str">
        <f>IFERROR(INDEX(TableWRTECalcPts[POS RK],MATCH(TableWRTERank[[#This Row],[WR and TE COMBINED]],TableWRTECalcPts[PLAYER],0)),"")</f>
        <v>TE31</v>
      </c>
      <c r="AY121" s="130">
        <f>IFERROR(INDEX(TableWRTECalcPts[BYE],MATCH(TableWRTERank[[#This Row],[RK]],TableWRTECalcPts[RK],0)),"")</f>
        <v>5</v>
      </c>
      <c r="AZ121" s="131">
        <f>IFERROR(INDEX(TableWRTECalcPts[Custom],MATCH(TableWRTERank[[#This Row],[RK]],TableWRTECalcPts[RK],0)),"")</f>
        <v>82.115765388526086</v>
      </c>
      <c r="BA121" s="188">
        <f>IFERROR((TableWRTERank[[#This Row],[FPS]]-INDEX(TableWRTERank[FPS],MATCH(WRTEVORPCalc,TableWRTERank[RK],0)))/INDEX(TableWRTERank[FPS],MATCH(WRTEVORPCalc,TableWRTERank[RK],0)),"")</f>
        <v>-0.40663516875102479</v>
      </c>
      <c r="BC121" t="s">
        <v>257</v>
      </c>
      <c r="BD121">
        <v>120</v>
      </c>
      <c r="BE121" s="86">
        <f>RANK(TableWRTEMaster[[#This Row],[VORP]],TableWRTEMaster[VORP])+COUNTIF($BJ$2:BJ121,BJ121)-1</f>
        <v>168</v>
      </c>
      <c r="BF121" s="123" t="str">
        <f>IFERROR(INDEX(TableWRVORP[WIDE RECEIVER],MATCH(TableWRTEMaster[[#This Row],[RK]],TableWRVORP[RK],0)),"")</f>
        <v>Antoine Green</v>
      </c>
      <c r="BG121" s="123" t="str">
        <f>_xlfn.CONCAT(TableWRTEMaster[[#This Row],[POS]],TableWRTEMaster[[#This Row],[RK]])</f>
        <v>WR120</v>
      </c>
      <c r="BH121" s="123">
        <f>IFERROR(INDEX(TableWRVORP[BYE],MATCH(TableWRTEMaster[[#This Row],[RK]],TableWRVORP[RK],0)),"")</f>
        <v>9</v>
      </c>
      <c r="BI121" s="124">
        <f>IFERROR(INDEX(TableWRVORP[FPS],MATCH(TableWRTEMaster[[#This Row],[RK]],TableWRVORP[RK],0)),"")</f>
        <v>34.981737176305913</v>
      </c>
      <c r="BJ121" s="125">
        <f>IFERROR(INDEX(TableWRVORP[VORP],MATCH(TableWRTEMaster[[#This Row],[RK]],TableWRVORP[RK],0)),"")</f>
        <v>-0.73151296502158369</v>
      </c>
    </row>
    <row r="122" spans="8:62" x14ac:dyDescent="0.2">
      <c r="H122">
        <v>121</v>
      </c>
      <c r="I122" s="120" t="str">
        <f>IFERROR(INDEX(TableRBCalcPts[PLAYER],MATCH(TableRBVORP[[#This Row],[RK]],TableRBCalcPts[RK],0)),"")</f>
        <v/>
      </c>
      <c r="J122" s="120" t="str">
        <f>IFERROR(INDEX(TableRBCalcPts[TM],MATCH(TableRBVORP[[#This Row],[RK]],TableRBCalcPts[RK],0)),"")</f>
        <v/>
      </c>
      <c r="K122" s="120" t="str">
        <f>IFERROR(INDEX(TableRBCalcPts[BYE],MATCH(TableRBVORP[[#This Row],[RK]],TableRBCalcPts[RK],0)),"")</f>
        <v/>
      </c>
      <c r="L122" s="121" t="str">
        <f>IFERROR(INDEX(TableRBCalcPts[Custom],MATCH(TableRBVORP[[#This Row],[RK]],TableRBCalcPts[RK],0)),"")</f>
        <v/>
      </c>
      <c r="M122" s="122" t="str">
        <f>IFERROR((TableRBVORP[[#This Row],[FPS]]-INDEX(TableRBVORP[FPS],MATCH(RBVORPCalc,TableRBVORP[RK],0)))/INDEX(TableRBVORP[FPS],MATCH(RBVORPCalc,TableRBVORP[RK],0)),"")</f>
        <v/>
      </c>
      <c r="O122">
        <v>121</v>
      </c>
      <c r="P122" s="120" t="str">
        <f>IFERROR(INDEX(TableWRCalcPts[PLAYER],MATCH(TableWRVORP[[#This Row],[RK]],TableWRCalcPts[RK],0)),"")</f>
        <v>Brandon Johnson</v>
      </c>
      <c r="Q122" s="120" t="str">
        <f>IFERROR(INDEX(TableWRCalcPts[TM],MATCH(TableWRVORP[[#This Row],[RK]],TableWRCalcPts[RK],0)),"")</f>
        <v>DEN</v>
      </c>
      <c r="R122" s="120">
        <f>IFERROR(INDEX(TableWRCalcPts[BYE],MATCH(TableWRVORP[[#This Row],[RK]],TableWRCalcPts[RK],0)),"")</f>
        <v>9</v>
      </c>
      <c r="S122" s="121">
        <f>IFERROR(INDEX(TableWRCalcPts[Custom],MATCH(TableWRVORP[[#This Row],[RK]],TableWRCalcPts[RK],0)),"")</f>
        <v>34.217311715823605</v>
      </c>
      <c r="T122" s="122">
        <f>IFERROR((TableWRVORP[[#This Row],[FPS]]-INDEX(TableWRVORP[FPS],MATCH(WRVORPCalc,TableWRVORP[RK],0)))/INDEX(TableWRVORP[FPS],MATCH(WRVORPCalc,TableWRVORP[RK],0)),"")</f>
        <v>-0.73737997855245896</v>
      </c>
      <c r="AF122" t="s">
        <v>256</v>
      </c>
      <c r="AG122">
        <v>81</v>
      </c>
      <c r="AH122" s="86">
        <f>RANK(TableOverallMaster[[#This Row],[VORP]],TableOverallMaster[VORP])+COUNTIF($AM$2:AM122,AM122)-1</f>
        <v>271</v>
      </c>
      <c r="AI122" s="123" t="str">
        <f>IFERROR(INDEX(TableRBVORP[RUNNING BACK],MATCH(TableOverallMaster[[#This Row],[RK]],TableRBVORP[RK],0)),"")</f>
        <v>Michael Carter</v>
      </c>
      <c r="AJ122" s="123" t="str">
        <f t="shared" si="1"/>
        <v>RB81</v>
      </c>
      <c r="AK122" s="123">
        <f>IFERROR(INDEX(TableRBVORP[BYE],MATCH(TableOverallMaster[[#This Row],[RK]],TableRBVORP[RK],0)),"")</f>
        <v>7</v>
      </c>
      <c r="AL122" s="124">
        <f>IFERROR(INDEX(TableRBVORP[FPS],MATCH(TableOverallMaster[[#This Row],[RK]],TableRBVORP[RK],0)),"")</f>
        <v>36.499274480778766</v>
      </c>
      <c r="AM122" s="125">
        <f>IFERROR(INDEX(TableRBVORP[VORP],MATCH(TableOverallMaster[[#This Row],[RK]],TableRBVORP[RK],0)),"")</f>
        <v>-0.70195651213258803</v>
      </c>
      <c r="AO122">
        <v>121</v>
      </c>
      <c r="AP122" s="126" t="str">
        <f>IFERROR(INDEX(TableOverallMaster[OVERALL PLAYER],MATCH(TableOverallRank[[#This Row],[RK]],TableOverallMaster[OVR RK],0)),"")</f>
        <v>Jaylen Warren</v>
      </c>
      <c r="AQ122" s="127" t="str">
        <f>IFERROR(INDEX(TableOverallMaster[POS RK],MATCH(TableOverallRank[[#This Row],[OVERALL PLAYER]],TableOverallMaster[OVERALL PLAYER],0)),"")</f>
        <v>RB42</v>
      </c>
      <c r="AR122" s="128">
        <f>IFERROR(INDEX(TableOverallMaster[BYE],MATCH(TableOverallRank[[#This Row],[OVERALL PLAYER]],TableOverallMaster[OVERALL PLAYER],0)),"")</f>
        <v>6</v>
      </c>
      <c r="AS122" s="127">
        <f>IFERROR(INDEX(TableOverallMaster[Custom],MATCH(TableOverallRank[[#This Row],[OVERALL PLAYER]],TableOverallMaster[OVERALL PLAYER],0)),"")</f>
        <v>125.49705526529478</v>
      </c>
      <c r="AT122" s="129">
        <f>IFERROR(INDEX(TableOverallMaster[VORP],MATCH(TableOverallRank[[#This Row],[OVERALL PLAYER]],TableOverallMaster[OVERALL PLAYER],0)),"")</f>
        <v>2.4775988028344898E-2</v>
      </c>
      <c r="AV122">
        <v>121</v>
      </c>
      <c r="AW122" s="130" t="str">
        <f>IFERROR(INDEX(TableWRTECalcPts[PLAYER],MATCH(TableWRTERank[[#This Row],[RK]],TableWRTECalcPts[RK],0)),"")</f>
        <v>Tyler Conklin</v>
      </c>
      <c r="AX122" s="130" t="str">
        <f>IFERROR(INDEX(TableWRTECalcPts[POS RK],MATCH(TableWRTERank[[#This Row],[WR and TE COMBINED]],TableWRTECalcPts[PLAYER],0)),"")</f>
        <v>TE32</v>
      </c>
      <c r="AY122" s="130">
        <f>IFERROR(INDEX(TableWRTECalcPts[BYE],MATCH(TableWRTERank[[#This Row],[RK]],TableWRTECalcPts[RK],0)),"")</f>
        <v>7</v>
      </c>
      <c r="AZ122" s="131">
        <f>IFERROR(INDEX(TableWRTECalcPts[Custom],MATCH(TableWRTERank[[#This Row],[RK]],TableWRTECalcPts[RK],0)),"")</f>
        <v>80.821451672672566</v>
      </c>
      <c r="BA122" s="188">
        <f>IFERROR((TableWRTERank[[#This Row],[FPS]]-INDEX(TableWRTERank[FPS],MATCH(WRTEVORPCalc,TableWRTERank[RK],0)))/INDEX(TableWRTERank[FPS],MATCH(WRTEVORPCalc,TableWRTERank[RK],0)),"")</f>
        <v>-0.41598782150846919</v>
      </c>
      <c r="BC122" t="s">
        <v>257</v>
      </c>
      <c r="BD122">
        <v>121</v>
      </c>
      <c r="BE122" s="86">
        <f>RANK(TableWRTEMaster[[#This Row],[VORP]],TableWRTEMaster[VORP])+COUNTIF($BJ$2:BJ122,BJ122)-1</f>
        <v>170</v>
      </c>
      <c r="BF122" s="123" t="str">
        <f>IFERROR(INDEX(TableWRVORP[WIDE RECEIVER],MATCH(TableWRTEMaster[[#This Row],[RK]],TableWRVORP[RK],0)),"")</f>
        <v>Brandon Johnson</v>
      </c>
      <c r="BG122" s="123" t="str">
        <f>_xlfn.CONCAT(TableWRTEMaster[[#This Row],[POS]],TableWRTEMaster[[#This Row],[RK]])</f>
        <v>WR121</v>
      </c>
      <c r="BH122" s="123">
        <f>IFERROR(INDEX(TableWRVORP[BYE],MATCH(TableWRTEMaster[[#This Row],[RK]],TableWRVORP[RK],0)),"")</f>
        <v>9</v>
      </c>
      <c r="BI122" s="124">
        <f>IFERROR(INDEX(TableWRVORP[FPS],MATCH(TableWRTEMaster[[#This Row],[RK]],TableWRVORP[RK],0)),"")</f>
        <v>34.217311715823605</v>
      </c>
      <c r="BJ122" s="125">
        <f>IFERROR(INDEX(TableWRVORP[VORP],MATCH(TableWRTEMaster[[#This Row],[RK]],TableWRVORP[RK],0)),"")</f>
        <v>-0.73737997855245896</v>
      </c>
    </row>
    <row r="123" spans="8:62" x14ac:dyDescent="0.2">
      <c r="H123">
        <v>122</v>
      </c>
      <c r="I123" s="120" t="str">
        <f>IFERROR(INDEX(TableRBCalcPts[PLAYER],MATCH(TableRBVORP[[#This Row],[RK]],TableRBCalcPts[RK],0)),"")</f>
        <v/>
      </c>
      <c r="J123" s="120" t="str">
        <f>IFERROR(INDEX(TableRBCalcPts[TM],MATCH(TableRBVORP[[#This Row],[RK]],TableRBCalcPts[RK],0)),"")</f>
        <v/>
      </c>
      <c r="K123" s="120" t="str">
        <f>IFERROR(INDEX(TableRBCalcPts[BYE],MATCH(TableRBVORP[[#This Row],[RK]],TableRBCalcPts[RK],0)),"")</f>
        <v/>
      </c>
      <c r="L123" s="121" t="str">
        <f>IFERROR(INDEX(TableRBCalcPts[Custom],MATCH(TableRBVORP[[#This Row],[RK]],TableRBCalcPts[RK],0)),"")</f>
        <v/>
      </c>
      <c r="M123" s="122" t="str">
        <f>IFERROR((TableRBVORP[[#This Row],[FPS]]-INDEX(TableRBVORP[FPS],MATCH(RBVORPCalc,TableRBVORP[RK],0)))/INDEX(TableRBVORP[FPS],MATCH(RBVORPCalc,TableRBVORP[RK],0)),"")</f>
        <v/>
      </c>
      <c r="O123">
        <v>122</v>
      </c>
      <c r="P123" s="120" t="str">
        <f>IFERROR(INDEX(TableWRCalcPts[PLAYER],MATCH(TableWRVORP[[#This Row],[RK]],TableWRCalcPts[RK],0)),"")</f>
        <v>Deven Thompkins</v>
      </c>
      <c r="Q123" s="120" t="str">
        <f>IFERROR(INDEX(TableWRCalcPts[TM],MATCH(TableWRVORP[[#This Row],[RK]],TableWRCalcPts[RK],0)),"")</f>
        <v>TB</v>
      </c>
      <c r="R123" s="120">
        <f>IFERROR(INDEX(TableWRCalcPts[BYE],MATCH(TableWRVORP[[#This Row],[RK]],TableWRCalcPts[RK],0)),"")</f>
        <v>5</v>
      </c>
      <c r="S123" s="121">
        <f>IFERROR(INDEX(TableWRCalcPts[Custom],MATCH(TableWRVORP[[#This Row],[RK]],TableWRCalcPts[RK],0)),"")</f>
        <v>33.969009366190079</v>
      </c>
      <c r="T123" s="122">
        <f>IFERROR((TableWRVORP[[#This Row],[FPS]]-INDEX(TableWRVORP[FPS],MATCH(WRVORPCalc,TableWRVORP[RK],0)))/INDEX(TableWRVORP[FPS],MATCH(WRVORPCalc,TableWRVORP[RK],0)),"")</f>
        <v>-0.73928571471688342</v>
      </c>
      <c r="AF123" t="s">
        <v>256</v>
      </c>
      <c r="AG123">
        <v>82</v>
      </c>
      <c r="AH123" s="86">
        <f>RANK(TableOverallMaster[[#This Row],[VORP]],TableOverallMaster[VORP])+COUNTIF($AM$2:AM123,AM123)-1</f>
        <v>273</v>
      </c>
      <c r="AI123" s="123" t="str">
        <f>IFERROR(INDEX(TableRBVORP[RUNNING BACK],MATCH(TableOverallMaster[[#This Row],[RK]],TableRBVORP[RK],0)),"")</f>
        <v>Eric Gray</v>
      </c>
      <c r="AJ123" s="123" t="str">
        <f t="shared" si="1"/>
        <v>RB82</v>
      </c>
      <c r="AK123" s="123">
        <f>IFERROR(INDEX(TableRBVORP[BYE],MATCH(TableOverallMaster[[#This Row],[RK]],TableRBVORP[RK],0)),"")</f>
        <v>13</v>
      </c>
      <c r="AL123" s="124">
        <f>IFERROR(INDEX(TableRBVORP[FPS],MATCH(TableOverallMaster[[#This Row],[RK]],TableRBVORP[RK],0)),"")</f>
        <v>35.268464973798864</v>
      </c>
      <c r="AM123" s="125">
        <f>IFERROR(INDEX(TableRBVORP[VORP],MATCH(TableOverallMaster[[#This Row],[RK]],TableRBVORP[RK],0)),"")</f>
        <v>-0.7120069792604713</v>
      </c>
      <c r="AO123">
        <v>122</v>
      </c>
      <c r="AP123" s="126" t="str">
        <f>IFERROR(INDEX(TableOverallMaster[OVERALL PLAYER],MATCH(TableOverallRank[[#This Row],[RK]],TableOverallMaster[OVR RK],0)),"")</f>
        <v>De'Von Achane</v>
      </c>
      <c r="AQ123" s="127" t="str">
        <f>IFERROR(INDEX(TableOverallMaster[POS RK],MATCH(TableOverallRank[[#This Row],[OVERALL PLAYER]],TableOverallMaster[OVERALL PLAYER],0)),"")</f>
        <v>RB43</v>
      </c>
      <c r="AR123" s="128">
        <f>IFERROR(INDEX(TableOverallMaster[BYE],MATCH(TableOverallRank[[#This Row],[OVERALL PLAYER]],TableOverallMaster[OVERALL PLAYER],0)),"")</f>
        <v>10</v>
      </c>
      <c r="AS123" s="127">
        <f>IFERROR(INDEX(TableOverallMaster[Custom],MATCH(TableOverallRank[[#This Row],[OVERALL PLAYER]],TableOverallMaster[OVERALL PLAYER],0)),"")</f>
        <v>125.17657453477499</v>
      </c>
      <c r="AT123" s="129">
        <f>IFERROR(INDEX(TableOverallMaster[VORP],MATCH(TableOverallRank[[#This Row],[OVERALL PLAYER]],TableOverallMaster[OVERALL PLAYER],0)),"")</f>
        <v>2.2159026566036501E-2</v>
      </c>
      <c r="AV123">
        <v>122</v>
      </c>
      <c r="AW123" s="130" t="str">
        <f>IFERROR(INDEX(TableWRTECalcPts[PLAYER],MATCH(TableWRTERank[[#This Row],[RK]],TableWRTECalcPts[RK],0)),"")</f>
        <v>Terrace Marshall</v>
      </c>
      <c r="AX123" s="130" t="str">
        <f>IFERROR(INDEX(TableWRTECalcPts[POS RK],MATCH(TableWRTERank[[#This Row],[WR and TE COMBINED]],TableWRTECalcPts[PLAYER],0)),"")</f>
        <v>WR90</v>
      </c>
      <c r="AY123" s="130">
        <f>IFERROR(INDEX(TableWRTECalcPts[BYE],MATCH(TableWRTERank[[#This Row],[RK]],TableWRTECalcPts[RK],0)),"")</f>
        <v>7</v>
      </c>
      <c r="AZ123" s="131">
        <f>IFERROR(INDEX(TableWRTECalcPts[Custom],MATCH(TableWRTERank[[#This Row],[RK]],TableWRTECalcPts[RK],0)),"")</f>
        <v>79.745267232922856</v>
      </c>
      <c r="BA123" s="188">
        <f>IFERROR((TableWRTERank[[#This Row],[FPS]]-INDEX(TableWRTERank[FPS],MATCH(WRTEVORPCalc,TableWRTERank[RK],0)))/INDEX(TableWRTERank[FPS],MATCH(WRTEVORPCalc,TableWRTERank[RK],0)),"")</f>
        <v>-0.42376428191730181</v>
      </c>
      <c r="BC123" t="s">
        <v>257</v>
      </c>
      <c r="BD123">
        <v>122</v>
      </c>
      <c r="BE123" s="86">
        <f>RANK(TableWRTEMaster[[#This Row],[VORP]],TableWRTEMaster[VORP])+COUNTIF($BJ$2:BJ123,BJ123)-1</f>
        <v>172</v>
      </c>
      <c r="BF123" s="123" t="str">
        <f>IFERROR(INDEX(TableWRVORP[WIDE RECEIVER],MATCH(TableWRTEMaster[[#This Row],[RK]],TableWRVORP[RK],0)),"")</f>
        <v>Deven Thompkins</v>
      </c>
      <c r="BG123" s="123" t="str">
        <f>_xlfn.CONCAT(TableWRTEMaster[[#This Row],[POS]],TableWRTEMaster[[#This Row],[RK]])</f>
        <v>WR122</v>
      </c>
      <c r="BH123" s="123">
        <f>IFERROR(INDEX(TableWRVORP[BYE],MATCH(TableWRTEMaster[[#This Row],[RK]],TableWRVORP[RK],0)),"")</f>
        <v>5</v>
      </c>
      <c r="BI123" s="124">
        <f>IFERROR(INDEX(TableWRVORP[FPS],MATCH(TableWRTEMaster[[#This Row],[RK]],TableWRVORP[RK],0)),"")</f>
        <v>33.969009366190079</v>
      </c>
      <c r="BJ123" s="125">
        <f>IFERROR(INDEX(TableWRVORP[VORP],MATCH(TableWRTEMaster[[#This Row],[RK]],TableWRVORP[RK],0)),"")</f>
        <v>-0.73928571471688342</v>
      </c>
    </row>
    <row r="124" spans="8:62" x14ac:dyDescent="0.2">
      <c r="H124">
        <v>123</v>
      </c>
      <c r="I124" s="120" t="str">
        <f>IFERROR(INDEX(TableRBCalcPts[PLAYER],MATCH(TableRBVORP[[#This Row],[RK]],TableRBCalcPts[RK],0)),"")</f>
        <v/>
      </c>
      <c r="J124" s="120" t="str">
        <f>IFERROR(INDEX(TableRBCalcPts[TM],MATCH(TableRBVORP[[#This Row],[RK]],TableRBCalcPts[RK],0)),"")</f>
        <v/>
      </c>
      <c r="K124" s="120" t="str">
        <f>IFERROR(INDEX(TableRBCalcPts[BYE],MATCH(TableRBVORP[[#This Row],[RK]],TableRBCalcPts[RK],0)),"")</f>
        <v/>
      </c>
      <c r="L124" s="121" t="str">
        <f>IFERROR(INDEX(TableRBCalcPts[Custom],MATCH(TableRBVORP[[#This Row],[RK]],TableRBCalcPts[RK],0)),"")</f>
        <v/>
      </c>
      <c r="M124" s="122" t="str">
        <f>IFERROR((TableRBVORP[[#This Row],[FPS]]-INDEX(TableRBVORP[FPS],MATCH(RBVORPCalc,TableRBVORP[RK],0)))/INDEX(TableRBVORP[FPS],MATCH(RBVORPCalc,TableRBVORP[RK],0)),"")</f>
        <v/>
      </c>
      <c r="O124">
        <v>123</v>
      </c>
      <c r="P124" s="120" t="str">
        <f>IFERROR(INDEX(TableWRCalcPts[PLAYER],MATCH(TableWRVORP[[#This Row],[RK]],TableWRCalcPts[RK],0)),"")</f>
        <v>Cedric Tillman</v>
      </c>
      <c r="Q124" s="120" t="str">
        <f>IFERROR(INDEX(TableWRCalcPts[TM],MATCH(TableWRVORP[[#This Row],[RK]],TableWRCalcPts[RK],0)),"")</f>
        <v>CLE</v>
      </c>
      <c r="R124" s="120">
        <f>IFERROR(INDEX(TableWRCalcPts[BYE],MATCH(TableWRVORP[[#This Row],[RK]],TableWRCalcPts[RK],0)),"")</f>
        <v>5</v>
      </c>
      <c r="S124" s="121">
        <f>IFERROR(INDEX(TableWRCalcPts[Custom],MATCH(TableWRVORP[[#This Row],[RK]],TableWRCalcPts[RK],0)),"")</f>
        <v>33.936930944818862</v>
      </c>
      <c r="T124" s="122">
        <f>IFERROR((TableWRVORP[[#This Row],[FPS]]-INDEX(TableWRVORP[FPS],MATCH(WRVORPCalc,TableWRVORP[RK],0)))/INDEX(TableWRVORP[FPS],MATCH(WRVORPCalc,TableWRVORP[RK],0)),"")</f>
        <v>-0.73953191862028977</v>
      </c>
      <c r="AF124" t="s">
        <v>256</v>
      </c>
      <c r="AG124">
        <v>83</v>
      </c>
      <c r="AH124" s="86">
        <f>RANK(TableOverallMaster[[#This Row],[VORP]],TableOverallMaster[VORP])+COUNTIF($AM$2:AM124,AM124)-1</f>
        <v>274</v>
      </c>
      <c r="AI124" s="123" t="str">
        <f>IFERROR(INDEX(TableRBVORP[RUNNING BACK],MATCH(TableOverallMaster[[#This Row],[RK]],TableRBVORP[RK],0)),"")</f>
        <v>Kenny McIntosh</v>
      </c>
      <c r="AJ124" s="123" t="str">
        <f t="shared" si="1"/>
        <v>RB83</v>
      </c>
      <c r="AK124" s="123">
        <f>IFERROR(INDEX(TableRBVORP[BYE],MATCH(TableOverallMaster[[#This Row],[RK]],TableRBVORP[RK],0)),"")</f>
        <v>5</v>
      </c>
      <c r="AL124" s="124">
        <f>IFERROR(INDEX(TableRBVORP[FPS],MATCH(TableOverallMaster[[#This Row],[RK]],TableRBVORP[RK],0)),"")</f>
        <v>34.972280277096957</v>
      </c>
      <c r="AM124" s="125">
        <f>IFERROR(INDEX(TableRBVORP[VORP],MATCH(TableOverallMaster[[#This Row],[RK]],TableRBVORP[RK],0)),"")</f>
        <v>-0.71442554569264738</v>
      </c>
      <c r="AO124">
        <v>123</v>
      </c>
      <c r="AP124" s="126" t="str">
        <f>IFERROR(INDEX(TableOverallMaster[OVERALL PLAYER],MATCH(TableOverallRank[[#This Row],[RK]],TableOverallMaster[OVR RK],0)),"")</f>
        <v>Pat Freiermuth</v>
      </c>
      <c r="AQ124" s="127" t="str">
        <f>IFERROR(INDEX(TableOverallMaster[POS RK],MATCH(TableOverallRank[[#This Row],[OVERALL PLAYER]],TableOverallMaster[OVERALL PLAYER],0)),"")</f>
        <v>TE11</v>
      </c>
      <c r="AR124" s="128">
        <f>IFERROR(INDEX(TableOverallMaster[BYE],MATCH(TableOverallRank[[#This Row],[OVERALL PLAYER]],TableOverallMaster[OVERALL PLAYER],0)),"")</f>
        <v>6</v>
      </c>
      <c r="AS124" s="127">
        <f>IFERROR(INDEX(TableOverallMaster[Custom],MATCH(TableOverallRank[[#This Row],[OVERALL PLAYER]],TableOverallMaster[OVERALL PLAYER],0)),"")</f>
        <v>121.31963431833421</v>
      </c>
      <c r="AT124" s="129">
        <f>IFERROR(INDEX(TableOverallMaster[VORP],MATCH(TableOverallRank[[#This Row],[OVERALL PLAYER]],TableOverallMaster[OVERALL PLAYER],0)),"")</f>
        <v>2.094961915697776E-2</v>
      </c>
      <c r="AV124">
        <v>123</v>
      </c>
      <c r="AW124" s="130" t="str">
        <f>IFERROR(INDEX(TableWRTECalcPts[PLAYER],MATCH(TableWRTERank[[#This Row],[RK]],TableWRTECalcPts[RK],0)),"")</f>
        <v>Chase Claypool</v>
      </c>
      <c r="AX124" s="130" t="str">
        <f>IFERROR(INDEX(TableWRTECalcPts[POS RK],MATCH(TableWRTERank[[#This Row],[WR and TE COMBINED]],TableWRTECalcPts[PLAYER],0)),"")</f>
        <v>WR91</v>
      </c>
      <c r="AY124" s="130">
        <f>IFERROR(INDEX(TableWRTECalcPts[BYE],MATCH(TableWRTERank[[#This Row],[RK]],TableWRTECalcPts[RK],0)),"")</f>
        <v>13</v>
      </c>
      <c r="AZ124" s="131">
        <f>IFERROR(INDEX(TableWRTECalcPts[Custom],MATCH(TableWRTERank[[#This Row],[RK]],TableWRTECalcPts[RK],0)),"")</f>
        <v>78.131442847366372</v>
      </c>
      <c r="BA124" s="188">
        <f>IFERROR((TableWRTERank[[#This Row],[FPS]]-INDEX(TableWRTERank[FPS],MATCH(WRTEVORPCalc,TableWRTERank[RK],0)))/INDEX(TableWRTERank[FPS],MATCH(WRTEVORPCalc,TableWRTERank[RK],0)),"")</f>
        <v>-0.43542570441845535</v>
      </c>
      <c r="BC124" t="s">
        <v>257</v>
      </c>
      <c r="BD124">
        <v>123</v>
      </c>
      <c r="BE124" s="86">
        <f>RANK(TableWRTEMaster[[#This Row],[VORP]],TableWRTEMaster[VORP])+COUNTIF($BJ$2:BJ124,BJ124)-1</f>
        <v>173</v>
      </c>
      <c r="BF124" s="123" t="str">
        <f>IFERROR(INDEX(TableWRVORP[WIDE RECEIVER],MATCH(TableWRTEMaster[[#This Row],[RK]],TableWRVORP[RK],0)),"")</f>
        <v>Cedric Tillman</v>
      </c>
      <c r="BG124" s="123" t="str">
        <f>_xlfn.CONCAT(TableWRTEMaster[[#This Row],[POS]],TableWRTEMaster[[#This Row],[RK]])</f>
        <v>WR123</v>
      </c>
      <c r="BH124" s="123">
        <f>IFERROR(INDEX(TableWRVORP[BYE],MATCH(TableWRTEMaster[[#This Row],[RK]],TableWRVORP[RK],0)),"")</f>
        <v>5</v>
      </c>
      <c r="BI124" s="124">
        <f>IFERROR(INDEX(TableWRVORP[FPS],MATCH(TableWRTEMaster[[#This Row],[RK]],TableWRVORP[RK],0)),"")</f>
        <v>33.936930944818862</v>
      </c>
      <c r="BJ124" s="125">
        <f>IFERROR(INDEX(TableWRVORP[VORP],MATCH(TableWRTEMaster[[#This Row],[RK]],TableWRVORP[RK],0)),"")</f>
        <v>-0.73953191862028977</v>
      </c>
    </row>
    <row r="125" spans="8:62" x14ac:dyDescent="0.2">
      <c r="H125">
        <v>124</v>
      </c>
      <c r="I125" s="120" t="str">
        <f>IFERROR(INDEX(TableRBCalcPts[PLAYER],MATCH(TableRBVORP[[#This Row],[RK]],TableRBCalcPts[RK],0)),"")</f>
        <v/>
      </c>
      <c r="J125" s="120" t="str">
        <f>IFERROR(INDEX(TableRBCalcPts[TM],MATCH(TableRBVORP[[#This Row],[RK]],TableRBCalcPts[RK],0)),"")</f>
        <v/>
      </c>
      <c r="K125" s="120" t="str">
        <f>IFERROR(INDEX(TableRBCalcPts[BYE],MATCH(TableRBVORP[[#This Row],[RK]],TableRBCalcPts[RK],0)),"")</f>
        <v/>
      </c>
      <c r="L125" s="121" t="str">
        <f>IFERROR(INDEX(TableRBCalcPts[Custom],MATCH(TableRBVORP[[#This Row],[RK]],TableRBCalcPts[RK],0)),"")</f>
        <v/>
      </c>
      <c r="M125" s="122" t="str">
        <f>IFERROR((TableRBVORP[[#This Row],[FPS]]-INDEX(TableRBVORP[FPS],MATCH(RBVORPCalc,TableRBVORP[RK],0)))/INDEX(TableRBVORP[FPS],MATCH(RBVORPCalc,TableRBVORP[RK],0)),"")</f>
        <v/>
      </c>
      <c r="O125">
        <v>124</v>
      </c>
      <c r="P125" s="120" t="str">
        <f>IFERROR(INDEX(TableWRCalcPts[PLAYER],MATCH(TableWRVORP[[#This Row],[RK]],TableWRCalcPts[RK],0)),"")</f>
        <v>Greg Dortch</v>
      </c>
      <c r="Q125" s="120" t="str">
        <f>IFERROR(INDEX(TableWRCalcPts[TM],MATCH(TableWRVORP[[#This Row],[RK]],TableWRCalcPts[RK],0)),"")</f>
        <v>ARI</v>
      </c>
      <c r="R125" s="120">
        <f>IFERROR(INDEX(TableWRCalcPts[BYE],MATCH(TableWRVORP[[#This Row],[RK]],TableWRCalcPts[RK],0)),"")</f>
        <v>14</v>
      </c>
      <c r="S125" s="121">
        <f>IFERROR(INDEX(TableWRCalcPts[Custom],MATCH(TableWRVORP[[#This Row],[RK]],TableWRCalcPts[RK],0)),"")</f>
        <v>33.890268423899997</v>
      </c>
      <c r="T125" s="122">
        <f>IFERROR((TableWRVORP[[#This Row],[FPS]]-INDEX(TableWRVORP[FPS],MATCH(WRVORPCalc,TableWRVORP[RK],0)))/INDEX(TableWRVORP[FPS],MATCH(WRVORPCalc,TableWRVORP[RK],0)),"")</f>
        <v>-0.7398900564058144</v>
      </c>
      <c r="AF125" t="s">
        <v>256</v>
      </c>
      <c r="AG125">
        <v>84</v>
      </c>
      <c r="AH125" s="86">
        <f>RANK(TableOverallMaster[[#This Row],[VORP]],TableOverallMaster[VORP])+COUNTIF($AM$2:AM125,AM125)-1</f>
        <v>275</v>
      </c>
      <c r="AI125" s="123" t="str">
        <f>IFERROR(INDEX(TableRBVORP[RUNNING BACK],MATCH(TableOverallMaster[[#This Row],[RK]],TableRBVORP[RK],0)),"")</f>
        <v>Ronnie Rivers</v>
      </c>
      <c r="AJ125" s="123" t="str">
        <f t="shared" si="1"/>
        <v>RB84</v>
      </c>
      <c r="AK125" s="123">
        <f>IFERROR(INDEX(TableRBVORP[BYE],MATCH(TableOverallMaster[[#This Row],[RK]],TableRBVORP[RK],0)),"")</f>
        <v>10</v>
      </c>
      <c r="AL125" s="124">
        <f>IFERROR(INDEX(TableRBVORP[FPS],MATCH(TableOverallMaster[[#This Row],[RK]],TableRBVORP[RK],0)),"")</f>
        <v>34.805722107144163</v>
      </c>
      <c r="AM125" s="125">
        <f>IFERROR(INDEX(TableRBVORP[VORP],MATCH(TableOverallMaster[[#This Row],[RK]],TableRBVORP[RK],0)),"")</f>
        <v>-0.71578561595737789</v>
      </c>
      <c r="AO125">
        <v>124</v>
      </c>
      <c r="AP125" s="126" t="str">
        <f>IFERROR(INDEX(TableOverallMaster[OVERALL PLAYER],MATCH(TableOverallRank[[#This Row],[RK]],TableOverallMaster[OVR RK],0)),"")</f>
        <v>JuJu Smith-Schuster</v>
      </c>
      <c r="AQ125" s="127" t="str">
        <f>IFERROR(INDEX(TableOverallMaster[POS RK],MATCH(TableOverallRank[[#This Row],[OVERALL PLAYER]],TableOverallMaster[OVERALL PLAYER],0)),"")</f>
        <v>WR55</v>
      </c>
      <c r="AR125" s="128">
        <f>IFERROR(INDEX(TableOverallMaster[BYE],MATCH(TableOverallRank[[#This Row],[OVERALL PLAYER]],TableOverallMaster[OVERALL PLAYER],0)),"")</f>
        <v>11</v>
      </c>
      <c r="AS125" s="127">
        <f>IFERROR(INDEX(TableOverallMaster[Custom],MATCH(TableOverallRank[[#This Row],[OVERALL PLAYER]],TableOverallMaster[OVERALL PLAYER],0)),"")</f>
        <v>132.92429779365278</v>
      </c>
      <c r="AT125" s="129">
        <f>IFERROR(INDEX(TableOverallMaster[VORP],MATCH(TableOverallRank[[#This Row],[OVERALL PLAYER]],TableOverallMaster[OVERALL PLAYER],0)),"")</f>
        <v>2.0202353340492269E-2</v>
      </c>
      <c r="AV125">
        <v>124</v>
      </c>
      <c r="AW125" s="130" t="str">
        <f>IFERROR(INDEX(TableWRTECalcPts[PLAYER],MATCH(TableWRTERank[[#This Row],[RK]],TableWRTECalcPts[RK],0)),"")</f>
        <v>Rashid Shaheed</v>
      </c>
      <c r="AX125" s="130" t="str">
        <f>IFERROR(INDEX(TableWRTECalcPts[POS RK],MATCH(TableWRTERank[[#This Row],[WR and TE COMBINED]],TableWRTECalcPts[PLAYER],0)),"")</f>
        <v>WR92</v>
      </c>
      <c r="AY125" s="130">
        <f>IFERROR(INDEX(TableWRTECalcPts[BYE],MATCH(TableWRTERank[[#This Row],[RK]],TableWRTECalcPts[RK],0)),"")</f>
        <v>11</v>
      </c>
      <c r="AZ125" s="131">
        <f>IFERROR(INDEX(TableWRTECalcPts[Custom],MATCH(TableWRTERank[[#This Row],[RK]],TableWRTECalcPts[RK],0)),"")</f>
        <v>77.226919676598641</v>
      </c>
      <c r="BA125" s="188">
        <f>IFERROR((TableWRTERank[[#This Row],[FPS]]-INDEX(TableWRTERank[FPS],MATCH(WRTEVORPCalc,TableWRTERank[RK],0)))/INDEX(TableWRTERank[FPS],MATCH(WRTEVORPCalc,TableWRTERank[RK],0)),"")</f>
        <v>-0.44196174821033818</v>
      </c>
      <c r="BC125" t="s">
        <v>257</v>
      </c>
      <c r="BD125">
        <v>124</v>
      </c>
      <c r="BE125" s="86">
        <f>RANK(TableWRTEMaster[[#This Row],[VORP]],TableWRTEMaster[VORP])+COUNTIF($BJ$2:BJ125,BJ125)-1</f>
        <v>174</v>
      </c>
      <c r="BF125" s="123" t="str">
        <f>IFERROR(INDEX(TableWRVORP[WIDE RECEIVER],MATCH(TableWRTEMaster[[#This Row],[RK]],TableWRVORP[RK],0)),"")</f>
        <v>Greg Dortch</v>
      </c>
      <c r="BG125" s="123" t="str">
        <f>_xlfn.CONCAT(TableWRTEMaster[[#This Row],[POS]],TableWRTEMaster[[#This Row],[RK]])</f>
        <v>WR124</v>
      </c>
      <c r="BH125" s="123">
        <f>IFERROR(INDEX(TableWRVORP[BYE],MATCH(TableWRTEMaster[[#This Row],[RK]],TableWRVORP[RK],0)),"")</f>
        <v>14</v>
      </c>
      <c r="BI125" s="124">
        <f>IFERROR(INDEX(TableWRVORP[FPS],MATCH(TableWRTEMaster[[#This Row],[RK]],TableWRVORP[RK],0)),"")</f>
        <v>33.890268423899997</v>
      </c>
      <c r="BJ125" s="125">
        <f>IFERROR(INDEX(TableWRVORP[VORP],MATCH(TableWRTEMaster[[#This Row],[RK]],TableWRVORP[RK],0)),"")</f>
        <v>-0.7398900564058144</v>
      </c>
    </row>
    <row r="126" spans="8:62" x14ac:dyDescent="0.2">
      <c r="H126">
        <v>125</v>
      </c>
      <c r="I126" s="120" t="str">
        <f>IFERROR(INDEX(TableRBCalcPts[PLAYER],MATCH(TableRBVORP[[#This Row],[RK]],TableRBCalcPts[RK],0)),"")</f>
        <v/>
      </c>
      <c r="J126" s="120" t="str">
        <f>IFERROR(INDEX(TableRBCalcPts[TM],MATCH(TableRBVORP[[#This Row],[RK]],TableRBCalcPts[RK],0)),"")</f>
        <v/>
      </c>
      <c r="K126" s="120" t="str">
        <f>IFERROR(INDEX(TableRBCalcPts[BYE],MATCH(TableRBVORP[[#This Row],[RK]],TableRBCalcPts[RK],0)),"")</f>
        <v/>
      </c>
      <c r="L126" s="121" t="str">
        <f>IFERROR(INDEX(TableRBCalcPts[Custom],MATCH(TableRBVORP[[#This Row],[RK]],TableRBCalcPts[RK],0)),"")</f>
        <v/>
      </c>
      <c r="M126" s="122" t="str">
        <f>IFERROR((TableRBVORP[[#This Row],[FPS]]-INDEX(TableRBVORP[FPS],MATCH(RBVORPCalc,TableRBVORP[RK],0)))/INDEX(TableRBVORP[FPS],MATCH(RBVORPCalc,TableRBVORP[RK],0)),"")</f>
        <v/>
      </c>
      <c r="O126">
        <v>125</v>
      </c>
      <c r="P126" s="120" t="str">
        <f>IFERROR(INDEX(TableWRCalcPts[PLAYER],MATCH(TableWRVORP[[#This Row],[RK]],TableWRCalcPts[RK],0)),"")</f>
        <v>Jamal Agnew</v>
      </c>
      <c r="Q126" s="120" t="str">
        <f>IFERROR(INDEX(TableWRCalcPts[TM],MATCH(TableWRVORP[[#This Row],[RK]],TableWRCalcPts[RK],0)),"")</f>
        <v>JAX</v>
      </c>
      <c r="R126" s="120">
        <f>IFERROR(INDEX(TableWRCalcPts[BYE],MATCH(TableWRVORP[[#This Row],[RK]],TableWRCalcPts[RK],0)),"")</f>
        <v>9</v>
      </c>
      <c r="S126" s="121">
        <f>IFERROR(INDEX(TableWRCalcPts[Custom],MATCH(TableWRVORP[[#This Row],[RK]],TableWRCalcPts[RK],0)),"")</f>
        <v>33.638613788015689</v>
      </c>
      <c r="T126" s="122">
        <f>IFERROR((TableWRVORP[[#This Row],[FPS]]-INDEX(TableWRVORP[FPS],MATCH(WRVORPCalc,TableWRVORP[RK],0)))/INDEX(TableWRVORP[FPS],MATCH(WRVORPCalc,TableWRVORP[RK],0)),"")</f>
        <v>-0.74182152157824488</v>
      </c>
      <c r="AF126" t="s">
        <v>256</v>
      </c>
      <c r="AG126">
        <v>85</v>
      </c>
      <c r="AH126" s="86">
        <f>RANK(TableOverallMaster[[#This Row],[VORP]],TableOverallMaster[VORP])+COUNTIF($AM$2:AM126,AM126)-1</f>
        <v>276</v>
      </c>
      <c r="AI126" s="123" t="str">
        <f>IFERROR(INDEX(TableRBVORP[RUNNING BACK],MATCH(TableOverallMaster[[#This Row],[RK]],TableRBVORP[RK],0)),"")</f>
        <v>Chris Rodriguez</v>
      </c>
      <c r="AJ126" s="123" t="str">
        <f t="shared" si="1"/>
        <v>RB85</v>
      </c>
      <c r="AK126" s="123">
        <f>IFERROR(INDEX(TableRBVORP[BYE],MATCH(TableOverallMaster[[#This Row],[RK]],TableRBVORP[RK],0)),"")</f>
        <v>14</v>
      </c>
      <c r="AL126" s="124">
        <f>IFERROR(INDEX(TableRBVORP[FPS],MATCH(TableOverallMaster[[#This Row],[RK]],TableRBVORP[RK],0)),"")</f>
        <v>34.323708694423821</v>
      </c>
      <c r="AM126" s="125">
        <f>IFERROR(INDEX(TableRBVORP[VORP],MATCH(TableOverallMaster[[#This Row],[RK]],TableRBVORP[RK],0)),"")</f>
        <v>-0.71972161087151509</v>
      </c>
      <c r="AO126">
        <v>125</v>
      </c>
      <c r="AP126" s="126" t="str">
        <f>IFERROR(INDEX(TableOverallMaster[OVERALL PLAYER],MATCH(TableOverallRank[[#This Row],[RK]],TableOverallMaster[OVR RK],0)),"")</f>
        <v>Aaron Rodgers</v>
      </c>
      <c r="AQ126" s="127" t="str">
        <f>IFERROR(INDEX(TableOverallMaster[POS RK],MATCH(TableOverallRank[[#This Row],[OVERALL PLAYER]],TableOverallMaster[OVERALL PLAYER],0)),"")</f>
        <v>QB16</v>
      </c>
      <c r="AR126" s="128">
        <f>IFERROR(INDEX(TableOverallMaster[BYE],MATCH(TableOverallRank[[#This Row],[OVERALL PLAYER]],TableOverallMaster[OVERALL PLAYER],0)),"")</f>
        <v>7</v>
      </c>
      <c r="AS126" s="127">
        <f>IFERROR(INDEX(TableOverallMaster[Custom],MATCH(TableOverallRank[[#This Row],[OVERALL PLAYER]],TableOverallMaster[OVERALL PLAYER],0)),"")</f>
        <v>305.28497840435239</v>
      </c>
      <c r="AT126" s="129">
        <f>IFERROR(INDEX(TableOverallMaster[VORP],MATCH(TableOverallRank[[#This Row],[OVERALL PLAYER]],TableOverallMaster[OVERALL PLAYER],0)),"")</f>
        <v>1.2763595932379246E-2</v>
      </c>
      <c r="AV126">
        <v>125</v>
      </c>
      <c r="AW126" s="130" t="str">
        <f>IFERROR(INDEX(TableWRTECalcPts[PLAYER],MATCH(TableWRTERank[[#This Row],[RK]],TableWRTECalcPts[RK],0)),"")</f>
        <v>Mack Hollins</v>
      </c>
      <c r="AX126" s="130" t="str">
        <f>IFERROR(INDEX(TableWRTECalcPts[POS RK],MATCH(TableWRTERank[[#This Row],[WR and TE COMBINED]],TableWRTECalcPts[PLAYER],0)),"")</f>
        <v>WR93</v>
      </c>
      <c r="AY126" s="130">
        <f>IFERROR(INDEX(TableWRTECalcPts[BYE],MATCH(TableWRTERank[[#This Row],[RK]],TableWRTECalcPts[RK],0)),"")</f>
        <v>11</v>
      </c>
      <c r="AZ126" s="131">
        <f>IFERROR(INDEX(TableWRTECalcPts[Custom],MATCH(TableWRTERank[[#This Row],[RK]],TableWRTECalcPts[RK],0)),"")</f>
        <v>77.189576272085475</v>
      </c>
      <c r="BA126" s="188">
        <f>IFERROR((TableWRTERank[[#This Row],[FPS]]-INDEX(TableWRTERank[FPS],MATCH(WRTEVORPCalc,TableWRTERank[RK],0)))/INDEX(TableWRTERank[FPS],MATCH(WRTEVORPCalc,TableWRTERank[RK],0)),"")</f>
        <v>-0.44223158997351697</v>
      </c>
      <c r="BC126" t="s">
        <v>257</v>
      </c>
      <c r="BD126">
        <v>125</v>
      </c>
      <c r="BE126" s="86">
        <f>RANK(TableWRTEMaster[[#This Row],[VORP]],TableWRTEMaster[VORP])+COUNTIF($BJ$2:BJ126,BJ126)-1</f>
        <v>175</v>
      </c>
      <c r="BF126" s="123" t="str">
        <f>IFERROR(INDEX(TableWRVORP[WIDE RECEIVER],MATCH(TableWRTEMaster[[#This Row],[RK]],TableWRVORP[RK],0)),"")</f>
        <v>Jamal Agnew</v>
      </c>
      <c r="BG126" s="123" t="str">
        <f>_xlfn.CONCAT(TableWRTEMaster[[#This Row],[POS]],TableWRTEMaster[[#This Row],[RK]])</f>
        <v>WR125</v>
      </c>
      <c r="BH126" s="123">
        <f>IFERROR(INDEX(TableWRVORP[BYE],MATCH(TableWRTEMaster[[#This Row],[RK]],TableWRVORP[RK],0)),"")</f>
        <v>9</v>
      </c>
      <c r="BI126" s="124">
        <f>IFERROR(INDEX(TableWRVORP[FPS],MATCH(TableWRTEMaster[[#This Row],[RK]],TableWRVORP[RK],0)),"")</f>
        <v>33.638613788015689</v>
      </c>
      <c r="BJ126" s="125">
        <f>IFERROR(INDEX(TableWRVORP[VORP],MATCH(TableWRTEMaster[[#This Row],[RK]],TableWRVORP[RK],0)),"")</f>
        <v>-0.74182152157824488</v>
      </c>
    </row>
    <row r="127" spans="8:62" x14ac:dyDescent="0.2">
      <c r="H127">
        <v>126</v>
      </c>
      <c r="I127" s="120" t="str">
        <f>IFERROR(INDEX(TableRBCalcPts[PLAYER],MATCH(TableRBVORP[[#This Row],[RK]],TableRBCalcPts[RK],0)),"")</f>
        <v/>
      </c>
      <c r="J127" s="120" t="str">
        <f>IFERROR(INDEX(TableRBCalcPts[TM],MATCH(TableRBVORP[[#This Row],[RK]],TableRBCalcPts[RK],0)),"")</f>
        <v/>
      </c>
      <c r="K127" s="120" t="str">
        <f>IFERROR(INDEX(TableRBCalcPts[BYE],MATCH(TableRBVORP[[#This Row],[RK]],TableRBCalcPts[RK],0)),"")</f>
        <v/>
      </c>
      <c r="L127" s="121" t="str">
        <f>IFERROR(INDEX(TableRBCalcPts[Custom],MATCH(TableRBVORP[[#This Row],[RK]],TableRBCalcPts[RK],0)),"")</f>
        <v/>
      </c>
      <c r="M127" s="122" t="str">
        <f>IFERROR((TableRBVORP[[#This Row],[FPS]]-INDEX(TableRBVORP[FPS],MATCH(RBVORPCalc,TableRBVORP[RK],0)))/INDEX(TableRBVORP[FPS],MATCH(RBVORPCalc,TableRBVORP[RK],0)),"")</f>
        <v/>
      </c>
      <c r="O127">
        <v>126</v>
      </c>
      <c r="P127" s="120" t="str">
        <f>IFERROR(INDEX(TableWRCalcPts[PLAYER],MATCH(TableWRVORP[[#This Row],[RK]],TableWRCalcPts[RK],0)),"")</f>
        <v>Scott Miller</v>
      </c>
      <c r="Q127" s="120" t="str">
        <f>IFERROR(INDEX(TableWRCalcPts[TM],MATCH(TableWRVORP[[#This Row],[RK]],TableWRCalcPts[RK],0)),"")</f>
        <v>ATL</v>
      </c>
      <c r="R127" s="120">
        <f>IFERROR(INDEX(TableWRCalcPts[BYE],MATCH(TableWRVORP[[#This Row],[RK]],TableWRCalcPts[RK],0)),"")</f>
        <v>11</v>
      </c>
      <c r="S127" s="121">
        <f>IFERROR(INDEX(TableWRCalcPts[Custom],MATCH(TableWRVORP[[#This Row],[RK]],TableWRCalcPts[RK],0)),"")</f>
        <v>30.037570986869504</v>
      </c>
      <c r="T127" s="122">
        <f>IFERROR((TableWRVORP[[#This Row],[FPS]]-INDEX(TableWRVORP[FPS],MATCH(WRVORPCalc,TableWRVORP[RK],0)))/INDEX(TableWRVORP[FPS],MATCH(WRVORPCalc,TableWRVORP[RK],0)),"")</f>
        <v>-0.76945975176782433</v>
      </c>
      <c r="AF127" t="s">
        <v>256</v>
      </c>
      <c r="AG127">
        <v>86</v>
      </c>
      <c r="AH127" s="86">
        <f>RANK(TableOverallMaster[[#This Row],[VORP]],TableOverallMaster[VORP])+COUNTIF($AM$2:AM127,AM127)-1</f>
        <v>277</v>
      </c>
      <c r="AI127" s="123" t="str">
        <f>IFERROR(INDEX(TableRBVORP[RUNNING BACK],MATCH(TableOverallMaster[[#This Row],[RK]],TableRBVORP[RK],0)),"")</f>
        <v>Isaiah Spiller</v>
      </c>
      <c r="AJ127" s="123" t="str">
        <f t="shared" si="1"/>
        <v>RB86</v>
      </c>
      <c r="AK127" s="123">
        <f>IFERROR(INDEX(TableRBVORP[BYE],MATCH(TableOverallMaster[[#This Row],[RK]],TableRBVORP[RK],0)),"")</f>
        <v>5</v>
      </c>
      <c r="AL127" s="124">
        <f>IFERROR(INDEX(TableRBVORP[FPS],MATCH(TableOverallMaster[[#This Row],[RK]],TableRBVORP[RK],0)),"")</f>
        <v>34.067763694883844</v>
      </c>
      <c r="AM127" s="125">
        <f>IFERROR(INDEX(TableRBVORP[VORP],MATCH(TableOverallMaster[[#This Row],[RK]],TableRBVORP[RK],0)),"")</f>
        <v>-0.72181159050673471</v>
      </c>
      <c r="AO127">
        <v>126</v>
      </c>
      <c r="AP127" s="126" t="str">
        <f>IFERROR(INDEX(TableOverallMaster[OVERALL PLAYER],MATCH(TableOverallRank[[#This Row],[RK]],TableOverallMaster[OVR RK],0)),"")</f>
        <v>Romeo Doubs</v>
      </c>
      <c r="AQ127" s="127" t="str">
        <f>IFERROR(INDEX(TableOverallMaster[POS RK],MATCH(TableOverallRank[[#This Row],[OVERALL PLAYER]],TableOverallMaster[OVERALL PLAYER],0)),"")</f>
        <v>WR56</v>
      </c>
      <c r="AR127" s="128">
        <f>IFERROR(INDEX(TableOverallMaster[BYE],MATCH(TableOverallRank[[#This Row],[OVERALL PLAYER]],TableOverallMaster[OVERALL PLAYER],0)),"")</f>
        <v>6</v>
      </c>
      <c r="AS127" s="127">
        <f>IFERROR(INDEX(TableOverallMaster[Custom],MATCH(TableOverallRank[[#This Row],[OVERALL PLAYER]],TableOverallMaster[OVERALL PLAYER],0)),"")</f>
        <v>131.5987978749377</v>
      </c>
      <c r="AT127" s="129">
        <f>IFERROR(INDEX(TableOverallMaster[VORP],MATCH(TableOverallRank[[#This Row],[OVERALL PLAYER]],TableOverallMaster[OVERALL PLAYER],0)),"")</f>
        <v>1.0029058022242868E-2</v>
      </c>
      <c r="AV127">
        <v>126</v>
      </c>
      <c r="AW127" s="130" t="str">
        <f>IFERROR(INDEX(TableWRTECalcPts[PLAYER],MATCH(TableWRTERank[[#This Row],[RK]],TableWRTECalcPts[RK],0)),"")</f>
        <v>Austin Hooper</v>
      </c>
      <c r="AX127" s="130" t="str">
        <f>IFERROR(INDEX(TableWRTECalcPts[POS RK],MATCH(TableWRTERank[[#This Row],[WR and TE COMBINED]],TableWRTECalcPts[PLAYER],0)),"")</f>
        <v>TE33</v>
      </c>
      <c r="AY127" s="130">
        <f>IFERROR(INDEX(TableWRTECalcPts[BYE],MATCH(TableWRTERank[[#This Row],[RK]],TableWRTECalcPts[RK],0)),"")</f>
        <v>13</v>
      </c>
      <c r="AZ127" s="131">
        <f>IFERROR(INDEX(TableWRTECalcPts[Custom],MATCH(TableWRTERank[[#This Row],[RK]],TableWRTECalcPts[RK],0)),"")</f>
        <v>74.709928956497578</v>
      </c>
      <c r="BA127" s="188">
        <f>IFERROR((TableWRTERank[[#This Row],[FPS]]-INDEX(TableWRTERank[FPS],MATCH(WRTEVORPCalc,TableWRTERank[RK],0)))/INDEX(TableWRTERank[FPS],MATCH(WRTEVORPCalc,TableWRTERank[RK],0)),"")</f>
        <v>-0.46014941006578852</v>
      </c>
      <c r="BC127" t="s">
        <v>257</v>
      </c>
      <c r="BD127">
        <v>126</v>
      </c>
      <c r="BE127" s="86">
        <f>RANK(TableWRTEMaster[[#This Row],[VORP]],TableWRTEMaster[VORP])+COUNTIF($BJ$2:BJ127,BJ127)-1</f>
        <v>180</v>
      </c>
      <c r="BF127" s="123" t="str">
        <f>IFERROR(INDEX(TableWRVORP[WIDE RECEIVER],MATCH(TableWRTEMaster[[#This Row],[RK]],TableWRVORP[RK],0)),"")</f>
        <v>Scott Miller</v>
      </c>
      <c r="BG127" s="123" t="str">
        <f>_xlfn.CONCAT(TableWRTEMaster[[#This Row],[POS]],TableWRTEMaster[[#This Row],[RK]])</f>
        <v>WR126</v>
      </c>
      <c r="BH127" s="123">
        <f>IFERROR(INDEX(TableWRVORP[BYE],MATCH(TableWRTEMaster[[#This Row],[RK]],TableWRVORP[RK],0)),"")</f>
        <v>11</v>
      </c>
      <c r="BI127" s="124">
        <f>IFERROR(INDEX(TableWRVORP[FPS],MATCH(TableWRTEMaster[[#This Row],[RK]],TableWRVORP[RK],0)),"")</f>
        <v>30.037570986869504</v>
      </c>
      <c r="BJ127" s="125">
        <f>IFERROR(INDEX(TableWRVORP[VORP],MATCH(TableWRTEMaster[[#This Row],[RK]],TableWRVORP[RK],0)),"")</f>
        <v>-0.76945975176782433</v>
      </c>
    </row>
    <row r="128" spans="8:62" x14ac:dyDescent="0.2">
      <c r="H128">
        <v>127</v>
      </c>
      <c r="I128" s="120" t="str">
        <f>IFERROR(INDEX(TableRBCalcPts[PLAYER],MATCH(TableRBVORP[[#This Row],[RK]],TableRBCalcPts[RK],0)),"")</f>
        <v/>
      </c>
      <c r="J128" s="120" t="str">
        <f>IFERROR(INDEX(TableRBCalcPts[TM],MATCH(TableRBVORP[[#This Row],[RK]],TableRBCalcPts[RK],0)),"")</f>
        <v/>
      </c>
      <c r="K128" s="120" t="str">
        <f>IFERROR(INDEX(TableRBCalcPts[BYE],MATCH(TableRBVORP[[#This Row],[RK]],TableRBCalcPts[RK],0)),"")</f>
        <v/>
      </c>
      <c r="L128" s="121" t="str">
        <f>IFERROR(INDEX(TableRBCalcPts[Custom],MATCH(TableRBVORP[[#This Row],[RK]],TableRBCalcPts[RK],0)),"")</f>
        <v/>
      </c>
      <c r="M128" s="122" t="str">
        <f>IFERROR((TableRBVORP[[#This Row],[FPS]]-INDEX(TableRBVORP[FPS],MATCH(RBVORPCalc,TableRBVORP[RK],0)))/INDEX(TableRBVORP[FPS],MATCH(RBVORPCalc,TableRBVORP[RK],0)),"")</f>
        <v/>
      </c>
      <c r="O128">
        <v>127</v>
      </c>
      <c r="P128" s="120" t="str">
        <f>IFERROR(INDEX(TableWRCalcPts[PLAYER],MATCH(TableWRVORP[[#This Row],[RK]],TableWRCalcPts[RK],0)),"")</f>
        <v>Jalen Tolbert</v>
      </c>
      <c r="Q128" s="120" t="str">
        <f>IFERROR(INDEX(TableWRCalcPts[TM],MATCH(TableWRVORP[[#This Row],[RK]],TableWRCalcPts[RK],0)),"")</f>
        <v>DAL</v>
      </c>
      <c r="R128" s="120">
        <f>IFERROR(INDEX(TableWRCalcPts[BYE],MATCH(TableWRVORP[[#This Row],[RK]],TableWRCalcPts[RK],0)),"")</f>
        <v>7</v>
      </c>
      <c r="S128" s="121">
        <f>IFERROR(INDEX(TableWRCalcPts[Custom],MATCH(TableWRVORP[[#This Row],[RK]],TableWRCalcPts[RK],0)),"")</f>
        <v>29.724437104205709</v>
      </c>
      <c r="T128" s="122">
        <f>IFERROR((TableWRVORP[[#This Row],[FPS]]-INDEX(TableWRVORP[FPS],MATCH(WRVORPCalc,TableWRVORP[RK],0)))/INDEX(TableWRVORP[FPS],MATCH(WRVORPCalc,TableWRVORP[RK],0)),"")</f>
        <v>-0.77186307402949361</v>
      </c>
      <c r="AF128" t="s">
        <v>256</v>
      </c>
      <c r="AG128">
        <v>87</v>
      </c>
      <c r="AH128" s="86">
        <f>RANK(TableOverallMaster[[#This Row],[VORP]],TableOverallMaster[VORP])+COUNTIF($AM$2:AM128,AM128)-1</f>
        <v>279</v>
      </c>
      <c r="AI128" s="123" t="str">
        <f>IFERROR(INDEX(TableRBVORP[RUNNING BACK],MATCH(TableOverallMaster[[#This Row],[RK]],TableRBVORP[RK],0)),"")</f>
        <v>Kene Nwangwu</v>
      </c>
      <c r="AJ128" s="123" t="str">
        <f t="shared" si="1"/>
        <v>RB87</v>
      </c>
      <c r="AK128" s="123">
        <f>IFERROR(INDEX(TableRBVORP[BYE],MATCH(TableOverallMaster[[#This Row],[RK]],TableRBVORP[RK],0)),"")</f>
        <v>13</v>
      </c>
      <c r="AL128" s="124">
        <f>IFERROR(INDEX(TableRBVORP[FPS],MATCH(TableOverallMaster[[#This Row],[RK]],TableRBVORP[RK],0)),"")</f>
        <v>32.950744019818238</v>
      </c>
      <c r="AM128" s="125">
        <f>IFERROR(INDEX(TableRBVORP[VORP],MATCH(TableOverallMaster[[#This Row],[RK]],TableRBVORP[RK],0)),"")</f>
        <v>-0.7309328797572483</v>
      </c>
      <c r="AO128">
        <v>127</v>
      </c>
      <c r="AP128" s="126" t="str">
        <f>IFERROR(INDEX(TableOverallMaster[OVERALL PLAYER],MATCH(TableOverallRank[[#This Row],[RK]],TableOverallMaster[OVR RK],0)),"")</f>
        <v>Deuce Vaughn</v>
      </c>
      <c r="AQ128" s="127" t="str">
        <f>IFERROR(INDEX(TableOverallMaster[POS RK],MATCH(TableOverallRank[[#This Row],[OVERALL PLAYER]],TableOverallMaster[OVERALL PLAYER],0)),"")</f>
        <v>RB44</v>
      </c>
      <c r="AR128" s="128">
        <f>IFERROR(INDEX(TableOverallMaster[BYE],MATCH(TableOverallRank[[#This Row],[OVERALL PLAYER]],TableOverallMaster[OVERALL PLAYER],0)),"")</f>
        <v>7</v>
      </c>
      <c r="AS128" s="127">
        <f>IFERROR(INDEX(TableOverallMaster[Custom],MATCH(TableOverallRank[[#This Row],[OVERALL PLAYER]],TableOverallMaster[OVERALL PLAYER],0)),"")</f>
        <v>122.46291553605721</v>
      </c>
      <c r="AT128" s="129">
        <f>IFERROR(INDEX(TableOverallMaster[VORP],MATCH(TableOverallRank[[#This Row],[OVERALL PLAYER]],TableOverallMaster[OVERALL PLAYER],0)),"")</f>
        <v>0</v>
      </c>
      <c r="AV128">
        <v>127</v>
      </c>
      <c r="AW128" s="130" t="str">
        <f>IFERROR(INDEX(TableWRTECalcPts[PLAYER],MATCH(TableWRTERank[[#This Row],[RK]],TableWRTECalcPts[RK],0)),"")</f>
        <v>John Metchie</v>
      </c>
      <c r="AX128" s="130" t="str">
        <f>IFERROR(INDEX(TableWRTECalcPts[POS RK],MATCH(TableWRTERank[[#This Row],[WR and TE COMBINED]],TableWRTECalcPts[PLAYER],0)),"")</f>
        <v>WR94</v>
      </c>
      <c r="AY128" s="130">
        <f>IFERROR(INDEX(TableWRTECalcPts[BYE],MATCH(TableWRTERank[[#This Row],[RK]],TableWRTECalcPts[RK],0)),"")</f>
        <v>7</v>
      </c>
      <c r="AZ128" s="131">
        <f>IFERROR(INDEX(TableWRTECalcPts[Custom],MATCH(TableWRTERank[[#This Row],[RK]],TableWRTECalcPts[RK],0)),"")</f>
        <v>73.182013035648367</v>
      </c>
      <c r="BA128" s="188">
        <f>IFERROR((TableWRTERank[[#This Row],[FPS]]-INDEX(TableWRTERank[FPS],MATCH(WRTEVORPCalc,TableWRTERank[RK],0)))/INDEX(TableWRTERank[FPS],MATCH(WRTEVORPCalc,TableWRTERank[RK],0)),"")</f>
        <v>-0.47119006186082119</v>
      </c>
      <c r="BC128" t="s">
        <v>257</v>
      </c>
      <c r="BD128">
        <v>127</v>
      </c>
      <c r="BE128" s="86">
        <f>RANK(TableWRTEMaster[[#This Row],[VORP]],TableWRTEMaster[VORP])+COUNTIF($BJ$2:BJ128,BJ128)-1</f>
        <v>181</v>
      </c>
      <c r="BF128" s="123" t="str">
        <f>IFERROR(INDEX(TableWRVORP[WIDE RECEIVER],MATCH(TableWRTEMaster[[#This Row],[RK]],TableWRVORP[RK],0)),"")</f>
        <v>Jalen Tolbert</v>
      </c>
      <c r="BG128" s="123" t="str">
        <f>_xlfn.CONCAT(TableWRTEMaster[[#This Row],[POS]],TableWRTEMaster[[#This Row],[RK]])</f>
        <v>WR127</v>
      </c>
      <c r="BH128" s="123">
        <f>IFERROR(INDEX(TableWRVORP[BYE],MATCH(TableWRTEMaster[[#This Row],[RK]],TableWRVORP[RK],0)),"")</f>
        <v>7</v>
      </c>
      <c r="BI128" s="124">
        <f>IFERROR(INDEX(TableWRVORP[FPS],MATCH(TableWRTEMaster[[#This Row],[RK]],TableWRVORP[RK],0)),"")</f>
        <v>29.724437104205709</v>
      </c>
      <c r="BJ128" s="125">
        <f>IFERROR(INDEX(TableWRVORP[VORP],MATCH(TableWRTEMaster[[#This Row],[RK]],TableWRVORP[RK],0)),"")</f>
        <v>-0.77186307402949361</v>
      </c>
    </row>
    <row r="129" spans="8:62" x14ac:dyDescent="0.2">
      <c r="H129">
        <v>128</v>
      </c>
      <c r="I129" s="120" t="str">
        <f>IFERROR(INDEX(TableRBCalcPts[PLAYER],MATCH(TableRBVORP[[#This Row],[RK]],TableRBCalcPts[RK],0)),"")</f>
        <v/>
      </c>
      <c r="J129" s="120" t="str">
        <f>IFERROR(INDEX(TableRBCalcPts[TM],MATCH(TableRBVORP[[#This Row],[RK]],TableRBCalcPts[RK],0)),"")</f>
        <v/>
      </c>
      <c r="K129" s="120" t="str">
        <f>IFERROR(INDEX(TableRBCalcPts[BYE],MATCH(TableRBVORP[[#This Row],[RK]],TableRBCalcPts[RK],0)),"")</f>
        <v/>
      </c>
      <c r="L129" s="121" t="str">
        <f>IFERROR(INDEX(TableRBCalcPts[Custom],MATCH(TableRBVORP[[#This Row],[RK]],TableRBCalcPts[RK],0)),"")</f>
        <v/>
      </c>
      <c r="M129" s="122" t="str">
        <f>IFERROR((TableRBVORP[[#This Row],[FPS]]-INDEX(TableRBVORP[FPS],MATCH(RBVORPCalc,TableRBVORP[RK],0)))/INDEX(TableRBVORP[FPS],MATCH(RBVORPCalc,TableRBVORP[RK],0)),"")</f>
        <v/>
      </c>
      <c r="O129">
        <v>128</v>
      </c>
      <c r="P129" s="120" t="str">
        <f>IFERROR(INDEX(TableWRCalcPts[PLAYER],MATCH(TableWRVORP[[#This Row],[RK]],TableWRCalcPts[RK],0)),"")</f>
        <v>Zach Pascal</v>
      </c>
      <c r="Q129" s="120" t="str">
        <f>IFERROR(INDEX(TableWRCalcPts[TM],MATCH(TableWRVORP[[#This Row],[RK]],TableWRCalcPts[RK],0)),"")</f>
        <v>ARI</v>
      </c>
      <c r="R129" s="120">
        <f>IFERROR(INDEX(TableWRCalcPts[BYE],MATCH(TableWRVORP[[#This Row],[RK]],TableWRCalcPts[RK],0)),"")</f>
        <v>14</v>
      </c>
      <c r="S129" s="121">
        <f>IFERROR(INDEX(TableWRCalcPts[Custom],MATCH(TableWRVORP[[#This Row],[RK]],TableWRCalcPts[RK],0)),"")</f>
        <v>27.765618152580004</v>
      </c>
      <c r="T129" s="122">
        <f>IFERROR((TableWRVORP[[#This Row],[FPS]]-INDEX(TableWRVORP[FPS],MATCH(WRVORPCalc,TableWRVORP[RK],0)))/INDEX(TableWRVORP[FPS],MATCH(WRVORPCalc,TableWRVORP[RK],0)),"")</f>
        <v>-0.7868971327936688</v>
      </c>
      <c r="AF129" t="s">
        <v>256</v>
      </c>
      <c r="AG129">
        <v>88</v>
      </c>
      <c r="AH129" s="86">
        <f>RANK(TableOverallMaster[[#This Row],[VORP]],TableOverallMaster[VORP])+COUNTIF($AM$2:AM129,AM129)-1</f>
        <v>282</v>
      </c>
      <c r="AI129" s="123" t="str">
        <f>IFERROR(INDEX(TableRBVORP[RUNNING BACK],MATCH(TableOverallMaster[[#This Row],[RK]],TableRBVORP[RK],0)),"")</f>
        <v>Dare Ogunbowale</v>
      </c>
      <c r="AJ129" s="123" t="str">
        <f t="shared" si="1"/>
        <v>RB88</v>
      </c>
      <c r="AK129" s="123">
        <f>IFERROR(INDEX(TableRBVORP[BYE],MATCH(TableOverallMaster[[#This Row],[RK]],TableRBVORP[RK],0)),"")</f>
        <v>7</v>
      </c>
      <c r="AL129" s="124">
        <f>IFERROR(INDEX(TableRBVORP[FPS],MATCH(TableOverallMaster[[#This Row],[RK]],TableRBVORP[RK],0)),"")</f>
        <v>29.810729591596797</v>
      </c>
      <c r="AM129" s="125">
        <f>IFERROR(INDEX(TableRBVORP[VORP],MATCH(TableOverallMaster[[#This Row],[RK]],TableRBVORP[RK],0)),"")</f>
        <v>-0.75657341276658141</v>
      </c>
      <c r="AO129">
        <v>128</v>
      </c>
      <c r="AP129" s="126" t="str">
        <f>IFERROR(INDEX(TableOverallMaster[OVERALL PLAYER],MATCH(TableOverallRank[[#This Row],[RK]],TableOverallMaster[OVR RK],0)),"")</f>
        <v>Zay Flowers</v>
      </c>
      <c r="AQ129" s="127" t="str">
        <f>IFERROR(INDEX(TableOverallMaster[POS RK],MATCH(TableOverallRank[[#This Row],[OVERALL PLAYER]],TableOverallMaster[OVERALL PLAYER],0)),"")</f>
        <v>WR57</v>
      </c>
      <c r="AR129" s="128">
        <f>IFERROR(INDEX(TableOverallMaster[BYE],MATCH(TableOverallRank[[#This Row],[OVERALL PLAYER]],TableOverallMaster[OVERALL PLAYER],0)),"")</f>
        <v>13</v>
      </c>
      <c r="AS129" s="127">
        <f>IFERROR(INDEX(TableOverallMaster[Custom],MATCH(TableOverallRank[[#This Row],[OVERALL PLAYER]],TableOverallMaster[OVERALL PLAYER],0)),"")</f>
        <v>130.29209093511014</v>
      </c>
      <c r="AT129" s="129">
        <f>IFERROR(INDEX(TableOverallMaster[VORP],MATCH(TableOverallRank[[#This Row],[OVERALL PLAYER]],TableOverallMaster[OVERALL PLAYER],0)),"")</f>
        <v>0</v>
      </c>
      <c r="AV129">
        <v>128</v>
      </c>
      <c r="AW129" s="130" t="str">
        <f>IFERROR(INDEX(TableWRTECalcPts[PLAYER],MATCH(TableWRTERank[[#This Row],[RK]],TableWRTECalcPts[RK],0)),"")</f>
        <v>Taysom Hill</v>
      </c>
      <c r="AX129" s="130" t="str">
        <f>IFERROR(INDEX(TableWRTECalcPts[POS RK],MATCH(TableWRTERank[[#This Row],[WR and TE COMBINED]],TableWRTECalcPts[PLAYER],0)),"")</f>
        <v>TE34</v>
      </c>
      <c r="AY129" s="130">
        <f>IFERROR(INDEX(TableWRTECalcPts[BYE],MATCH(TableWRTERank[[#This Row],[RK]],TableWRTECalcPts[RK],0)),"")</f>
        <v>11</v>
      </c>
      <c r="AZ129" s="131">
        <f>IFERROR(INDEX(TableWRTECalcPts[Custom],MATCH(TableWRTERank[[#This Row],[RK]],TableWRTECalcPts[RK],0)),"")</f>
        <v>71.977671055054685</v>
      </c>
      <c r="BA129" s="188">
        <f>IFERROR((TableWRTERank[[#This Row],[FPS]]-INDEX(TableWRTERank[FPS],MATCH(WRTEVORPCalc,TableWRTERank[RK],0)))/INDEX(TableWRTERank[FPS],MATCH(WRTEVORPCalc,TableWRTERank[RK],0)),"")</f>
        <v>-0.47989258290169406</v>
      </c>
      <c r="BC129" t="s">
        <v>257</v>
      </c>
      <c r="BD129">
        <v>128</v>
      </c>
      <c r="BE129" s="86">
        <f>RANK(TableWRTEMaster[[#This Row],[VORP]],TableWRTEMaster[VORP])+COUNTIF($BJ$2:BJ129,BJ129)-1</f>
        <v>183</v>
      </c>
      <c r="BF129" s="123" t="str">
        <f>IFERROR(INDEX(TableWRVORP[WIDE RECEIVER],MATCH(TableWRTEMaster[[#This Row],[RK]],TableWRVORP[RK],0)),"")</f>
        <v>Zach Pascal</v>
      </c>
      <c r="BG129" s="123" t="str">
        <f>_xlfn.CONCAT(TableWRTEMaster[[#This Row],[POS]],TableWRTEMaster[[#This Row],[RK]])</f>
        <v>WR128</v>
      </c>
      <c r="BH129" s="123">
        <f>IFERROR(INDEX(TableWRVORP[BYE],MATCH(TableWRTEMaster[[#This Row],[RK]],TableWRVORP[RK],0)),"")</f>
        <v>14</v>
      </c>
      <c r="BI129" s="124">
        <f>IFERROR(INDEX(TableWRVORP[FPS],MATCH(TableWRTEMaster[[#This Row],[RK]],TableWRVORP[RK],0)),"")</f>
        <v>27.765618152580004</v>
      </c>
      <c r="BJ129" s="125">
        <f>IFERROR(INDEX(TableWRVORP[VORP],MATCH(TableWRTEMaster[[#This Row],[RK]],TableWRVORP[RK],0)),"")</f>
        <v>-0.7868971327936688</v>
      </c>
    </row>
    <row r="130" spans="8:62" x14ac:dyDescent="0.2">
      <c r="H130">
        <v>129</v>
      </c>
      <c r="I130" s="120" t="str">
        <f>IFERROR(INDEX(TableRBCalcPts[PLAYER],MATCH(TableRBVORP[[#This Row],[RK]],TableRBCalcPts[RK],0)),"")</f>
        <v/>
      </c>
      <c r="J130" s="120" t="str">
        <f>IFERROR(INDEX(TableRBCalcPts[TM],MATCH(TableRBVORP[[#This Row],[RK]],TableRBCalcPts[RK],0)),"")</f>
        <v/>
      </c>
      <c r="K130" s="120" t="str">
        <f>IFERROR(INDEX(TableRBCalcPts[BYE],MATCH(TableRBVORP[[#This Row],[RK]],TableRBCalcPts[RK],0)),"")</f>
        <v/>
      </c>
      <c r="L130" s="121" t="str">
        <f>IFERROR(INDEX(TableRBCalcPts[Custom],MATCH(TableRBVORP[[#This Row],[RK]],TableRBCalcPts[RK],0)),"")</f>
        <v/>
      </c>
      <c r="M130" s="122" t="str">
        <f>IFERROR((TableRBVORP[[#This Row],[FPS]]-INDEX(TableRBVORP[FPS],MATCH(RBVORPCalc,TableRBVORP[RK],0)))/INDEX(TableRBVORP[FPS],MATCH(RBVORPCalc,TableRBVORP[RK],0)),"")</f>
        <v/>
      </c>
      <c r="O130">
        <v>129</v>
      </c>
      <c r="P130" s="120" t="str">
        <f>IFERROR(INDEX(TableWRCalcPts[PLAYER],MATCH(TableWRVORP[[#This Row],[RK]],TableWRCalcPts[RK],0)),"")</f>
        <v>River Cracraft</v>
      </c>
      <c r="Q130" s="120" t="str">
        <f>IFERROR(INDEX(TableWRCalcPts[TM],MATCH(TableWRVORP[[#This Row],[RK]],TableWRCalcPts[RK],0)),"")</f>
        <v>MIA</v>
      </c>
      <c r="R130" s="120">
        <f>IFERROR(INDEX(TableWRCalcPts[BYE],MATCH(TableWRVORP[[#This Row],[RK]],TableWRCalcPts[RK],0)),"")</f>
        <v>10</v>
      </c>
      <c r="S130" s="121">
        <f>IFERROR(INDEX(TableWRCalcPts[Custom],MATCH(TableWRVORP[[#This Row],[RK]],TableWRCalcPts[RK],0)),"")</f>
        <v>26.416578674304006</v>
      </c>
      <c r="T130" s="122">
        <f>IFERROR((TableWRVORP[[#This Row],[FPS]]-INDEX(TableWRVORP[FPS],MATCH(WRVORPCalc,TableWRVORP[RK],0)))/INDEX(TableWRVORP[FPS],MATCH(WRVORPCalc,TableWRVORP[RK],0)),"")</f>
        <v>-0.79725109571339714</v>
      </c>
      <c r="AF130" t="s">
        <v>256</v>
      </c>
      <c r="AG130">
        <v>89</v>
      </c>
      <c r="AH130" s="86">
        <f>RANK(TableOverallMaster[[#This Row],[VORP]],TableOverallMaster[VORP])+COUNTIF($AM$2:AM130,AM130)-1</f>
        <v>283</v>
      </c>
      <c r="AI130" s="123" t="str">
        <f>IFERROR(INDEX(TableRBVORP[RUNNING BACK],MATCH(TableOverallMaster[[#This Row],[RK]],TableRBVORP[RK],0)),"")</f>
        <v>Trayveon Williams</v>
      </c>
      <c r="AJ130" s="123" t="str">
        <f t="shared" ref="AJ130:AJ193" si="2">CONCATENATE(AF130,AG130)</f>
        <v>RB89</v>
      </c>
      <c r="AK130" s="123">
        <f>IFERROR(INDEX(TableRBVORP[BYE],MATCH(TableOverallMaster[[#This Row],[RK]],TableRBVORP[RK],0)),"")</f>
        <v>7</v>
      </c>
      <c r="AL130" s="124">
        <f>IFERROR(INDEX(TableRBVORP[FPS],MATCH(TableOverallMaster[[#This Row],[RK]],TableRBVORP[RK],0)),"")</f>
        <v>29.795665618303204</v>
      </c>
      <c r="AM130" s="125">
        <f>IFERROR(INDEX(TableRBVORP[VORP],MATCH(TableOverallMaster[[#This Row],[RK]],TableRBVORP[RK],0)),"")</f>
        <v>-0.75669642121552827</v>
      </c>
      <c r="AO130">
        <v>129</v>
      </c>
      <c r="AP130" s="126" t="str">
        <f>IFERROR(INDEX(TableOverallMaster[OVERALL PLAYER],MATCH(TableOverallRank[[#This Row],[RK]],TableOverallMaster[OVR RK],0)),"")</f>
        <v>Chigoziem Okonkwo</v>
      </c>
      <c r="AQ130" s="127" t="str">
        <f>IFERROR(INDEX(TableOverallMaster[POS RK],MATCH(TableOverallRank[[#This Row],[OVERALL PLAYER]],TableOverallMaster[OVERALL PLAYER],0)),"")</f>
        <v>TE12</v>
      </c>
      <c r="AR130" s="128">
        <f>IFERROR(INDEX(TableOverallMaster[BYE],MATCH(TableOverallRank[[#This Row],[OVERALL PLAYER]],TableOverallMaster[OVERALL PLAYER],0)),"")</f>
        <v>7</v>
      </c>
      <c r="AS130" s="127">
        <f>IFERROR(INDEX(TableOverallMaster[Custom],MATCH(TableOverallRank[[#This Row],[OVERALL PLAYER]],TableOverallMaster[OVERALL PLAYER],0)),"")</f>
        <v>118.83018715312387</v>
      </c>
      <c r="AT130" s="129">
        <f>IFERROR(INDEX(TableOverallMaster[VORP],MATCH(TableOverallRank[[#This Row],[OVERALL PLAYER]],TableOverallMaster[OVERALL PLAYER],0)),"")</f>
        <v>0</v>
      </c>
      <c r="AV130">
        <v>129</v>
      </c>
      <c r="AW130" s="130" t="str">
        <f>IFERROR(INDEX(TableWRTECalcPts[PLAYER],MATCH(TableWRTERank[[#This Row],[RK]],TableWRTECalcPts[RK],0)),"")</f>
        <v>Randall Cobb</v>
      </c>
      <c r="AX130" s="130" t="str">
        <f>IFERROR(INDEX(TableWRTECalcPts[POS RK],MATCH(TableWRTERank[[#This Row],[WR and TE COMBINED]],TableWRTECalcPts[PLAYER],0)),"")</f>
        <v>WR95</v>
      </c>
      <c r="AY130" s="130">
        <f>IFERROR(INDEX(TableWRTECalcPts[BYE],MATCH(TableWRTERank[[#This Row],[RK]],TableWRTECalcPts[RK],0)),"")</f>
        <v>7</v>
      </c>
      <c r="AZ130" s="131">
        <f>IFERROR(INDEX(TableWRTECalcPts[Custom],MATCH(TableWRTERank[[#This Row],[RK]],TableWRTECalcPts[RK],0)),"")</f>
        <v>71.627058184838234</v>
      </c>
      <c r="BA130" s="188">
        <f>IFERROR((TableWRTERank[[#This Row],[FPS]]-INDEX(TableWRTERank[FPS],MATCH(WRTEVORPCalc,TableWRTERank[RK],0)))/INDEX(TableWRTERank[FPS],MATCH(WRTEVORPCalc,TableWRTERank[RK],0)),"")</f>
        <v>-0.48242609574889661</v>
      </c>
      <c r="BC130" t="s">
        <v>257</v>
      </c>
      <c r="BD130">
        <v>129</v>
      </c>
      <c r="BE130" s="86">
        <f>RANK(TableWRTEMaster[[#This Row],[VORP]],TableWRTEMaster[VORP])+COUNTIF($BJ$2:BJ130,BJ130)-1</f>
        <v>185</v>
      </c>
      <c r="BF130" s="123" t="str">
        <f>IFERROR(INDEX(TableWRVORP[WIDE RECEIVER],MATCH(TableWRTEMaster[[#This Row],[RK]],TableWRVORP[RK],0)),"")</f>
        <v>River Cracraft</v>
      </c>
      <c r="BG130" s="123" t="str">
        <f>_xlfn.CONCAT(TableWRTEMaster[[#This Row],[POS]],TableWRTEMaster[[#This Row],[RK]])</f>
        <v>WR129</v>
      </c>
      <c r="BH130" s="123">
        <f>IFERROR(INDEX(TableWRVORP[BYE],MATCH(TableWRTEMaster[[#This Row],[RK]],TableWRVORP[RK],0)),"")</f>
        <v>10</v>
      </c>
      <c r="BI130" s="124">
        <f>IFERROR(INDEX(TableWRVORP[FPS],MATCH(TableWRTEMaster[[#This Row],[RK]],TableWRVORP[RK],0)),"")</f>
        <v>26.416578674304006</v>
      </c>
      <c r="BJ130" s="125">
        <f>IFERROR(INDEX(TableWRVORP[VORP],MATCH(TableWRTEMaster[[#This Row],[RK]],TableWRVORP[RK],0)),"")</f>
        <v>-0.79725109571339714</v>
      </c>
    </row>
    <row r="131" spans="8:62" x14ac:dyDescent="0.2">
      <c r="H131">
        <v>130</v>
      </c>
      <c r="I131" s="120" t="str">
        <f>IFERROR(INDEX(TableRBCalcPts[PLAYER],MATCH(TableRBVORP[[#This Row],[RK]],TableRBCalcPts[RK],0)),"")</f>
        <v/>
      </c>
      <c r="J131" s="120" t="str">
        <f>IFERROR(INDEX(TableRBCalcPts[TM],MATCH(TableRBVORP[[#This Row],[RK]],TableRBCalcPts[RK],0)),"")</f>
        <v/>
      </c>
      <c r="K131" s="120" t="str">
        <f>IFERROR(INDEX(TableRBCalcPts[BYE],MATCH(TableRBVORP[[#This Row],[RK]],TableRBCalcPts[RK],0)),"")</f>
        <v/>
      </c>
      <c r="L131" s="121" t="str">
        <f>IFERROR(INDEX(TableRBCalcPts[Custom],MATCH(TableRBVORP[[#This Row],[RK]],TableRBCalcPts[RK],0)),"")</f>
        <v/>
      </c>
      <c r="M131" s="122" t="str">
        <f>IFERROR((TableRBVORP[[#This Row],[FPS]]-INDEX(TableRBVORP[FPS],MATCH(RBVORPCalc,TableRBVORP[RK],0)))/INDEX(TableRBVORP[FPS],MATCH(RBVORPCalc,TableRBVORP[RK],0)),"")</f>
        <v/>
      </c>
      <c r="O131">
        <v>130</v>
      </c>
      <c r="P131" s="120" t="str">
        <f>IFERROR(INDEX(TableWRCalcPts[PLAYER],MATCH(TableWRVORP[[#This Row],[RK]],TableWRCalcPts[RK],0)),"")</f>
        <v>Brandon Powell</v>
      </c>
      <c r="Q131" s="120" t="str">
        <f>IFERROR(INDEX(TableWRCalcPts[TM],MATCH(TableWRVORP[[#This Row],[RK]],TableWRCalcPts[RK],0)),"")</f>
        <v>MIN</v>
      </c>
      <c r="R131" s="120">
        <f>IFERROR(INDEX(TableWRCalcPts[BYE],MATCH(TableWRVORP[[#This Row],[RK]],TableWRCalcPts[RK],0)),"")</f>
        <v>13</v>
      </c>
      <c r="S131" s="121">
        <f>IFERROR(INDEX(TableWRCalcPts[Custom],MATCH(TableWRVORP[[#This Row],[RK]],TableWRCalcPts[RK],0)),"")</f>
        <v>26.324510102351994</v>
      </c>
      <c r="T131" s="122">
        <f>IFERROR((TableWRVORP[[#This Row],[FPS]]-INDEX(TableWRVORP[FPS],MATCH(WRVORPCalc,TableWRVORP[RK],0)))/INDEX(TableWRVORP[FPS],MATCH(WRVORPCalc,TableWRVORP[RK],0)),"")</f>
        <v>-0.79795772779897678</v>
      </c>
      <c r="AF131" t="s">
        <v>256</v>
      </c>
      <c r="AG131">
        <v>90</v>
      </c>
      <c r="AH131" s="86">
        <f>RANK(TableOverallMaster[[#This Row],[VORP]],TableOverallMaster[VORP])+COUNTIF($AM$2:AM131,AM131)-1</f>
        <v>285</v>
      </c>
      <c r="AI131" s="123" t="str">
        <f>IFERROR(INDEX(TableRBVORP[RUNNING BACK],MATCH(TableOverallMaster[[#This Row],[RK]],TableRBVORP[RK],0)),"")</f>
        <v>D'Onta Foreman</v>
      </c>
      <c r="AJ131" s="123" t="str">
        <f t="shared" si="2"/>
        <v>RB90</v>
      </c>
      <c r="AK131" s="123">
        <f>IFERROR(INDEX(TableRBVORP[BYE],MATCH(TableOverallMaster[[#This Row],[RK]],TableRBVORP[RK],0)),"")</f>
        <v>13</v>
      </c>
      <c r="AL131" s="124">
        <f>IFERROR(INDEX(TableRBVORP[FPS],MATCH(TableOverallMaster[[#This Row],[RK]],TableRBVORP[RK],0)),"")</f>
        <v>27.946418935653998</v>
      </c>
      <c r="AM131" s="125">
        <f>IFERROR(INDEX(TableRBVORP[VORP],MATCH(TableOverallMaster[[#This Row],[RK]],TableRBVORP[RK],0)),"")</f>
        <v>-0.77179688387032053</v>
      </c>
      <c r="AO131">
        <v>130</v>
      </c>
      <c r="AP131" s="126" t="str">
        <f>IFERROR(INDEX(TableOverallMaster[OVERALL PLAYER],MATCH(TableOverallRank[[#This Row],[RK]],TableOverallMaster[OVR RK],0)),"")</f>
        <v>Van Jefferson</v>
      </c>
      <c r="AQ131" s="127" t="str">
        <f>IFERROR(INDEX(TableOverallMaster[POS RK],MATCH(TableOverallRank[[#This Row],[OVERALL PLAYER]],TableOverallMaster[OVERALL PLAYER],0)),"")</f>
        <v>WR58</v>
      </c>
      <c r="AR131" s="128">
        <f>IFERROR(INDEX(TableOverallMaster[BYE],MATCH(TableOverallRank[[#This Row],[OVERALL PLAYER]],TableOverallMaster[OVERALL PLAYER],0)),"")</f>
        <v>10</v>
      </c>
      <c r="AS131" s="127">
        <f>IFERROR(INDEX(TableOverallMaster[Custom],MATCH(TableOverallRank[[#This Row],[OVERALL PLAYER]],TableOverallMaster[OVERALL PLAYER],0)),"")</f>
        <v>130.16505343713359</v>
      </c>
      <c r="AT131" s="129">
        <f>IFERROR(INDEX(TableOverallMaster[VORP],MATCH(TableOverallRank[[#This Row],[OVERALL PLAYER]],TableOverallMaster[OVERALL PLAYER],0)),"")</f>
        <v>-9.7502079416174174E-4</v>
      </c>
      <c r="AV131">
        <v>130</v>
      </c>
      <c r="AW131" s="130" t="str">
        <f>IFERROR(INDEX(TableWRTECalcPts[PLAYER],MATCH(TableWRTERank[[#This Row],[RK]],TableWRTECalcPts[RK],0)),"")</f>
        <v>Nick Westbrook-Ikhine</v>
      </c>
      <c r="AX131" s="130" t="str">
        <f>IFERROR(INDEX(TableWRTECalcPts[POS RK],MATCH(TableWRTERank[[#This Row],[WR and TE COMBINED]],TableWRTECalcPts[PLAYER],0)),"")</f>
        <v>WR96</v>
      </c>
      <c r="AY131" s="130">
        <f>IFERROR(INDEX(TableWRTECalcPts[BYE],MATCH(TableWRTERank[[#This Row],[RK]],TableWRTECalcPts[RK],0)),"")</f>
        <v>7</v>
      </c>
      <c r="AZ131" s="131">
        <f>IFERROR(INDEX(TableWRTECalcPts[Custom],MATCH(TableWRTERank[[#This Row],[RK]],TableWRTECalcPts[RK],0)),"")</f>
        <v>69.20477178254302</v>
      </c>
      <c r="BA131" s="188">
        <f>IFERROR((TableWRTERank[[#This Row],[FPS]]-INDEX(TableWRTERank[FPS],MATCH(WRTEVORPCalc,TableWRTERank[RK],0)))/INDEX(TableWRTERank[FPS],MATCH(WRTEVORPCalc,TableWRTERank[RK],0)),"")</f>
        <v>-0.49992942845893207</v>
      </c>
      <c r="BC131" t="s">
        <v>257</v>
      </c>
      <c r="BD131">
        <v>130</v>
      </c>
      <c r="BE131" s="86">
        <f>RANK(TableWRTEMaster[[#This Row],[VORP]],TableWRTEMaster[VORP])+COUNTIF($BJ$2:BJ131,BJ131)-1</f>
        <v>186</v>
      </c>
      <c r="BF131" s="123" t="str">
        <f>IFERROR(INDEX(TableWRVORP[WIDE RECEIVER],MATCH(TableWRTEMaster[[#This Row],[RK]],TableWRVORP[RK],0)),"")</f>
        <v>Brandon Powell</v>
      </c>
      <c r="BG131" s="123" t="str">
        <f>_xlfn.CONCAT(TableWRTEMaster[[#This Row],[POS]],TableWRTEMaster[[#This Row],[RK]])</f>
        <v>WR130</v>
      </c>
      <c r="BH131" s="123">
        <f>IFERROR(INDEX(TableWRVORP[BYE],MATCH(TableWRTEMaster[[#This Row],[RK]],TableWRVORP[RK],0)),"")</f>
        <v>13</v>
      </c>
      <c r="BI131" s="124">
        <f>IFERROR(INDEX(TableWRVORP[FPS],MATCH(TableWRTEMaster[[#This Row],[RK]],TableWRVORP[RK],0)),"")</f>
        <v>26.324510102351994</v>
      </c>
      <c r="BJ131" s="125">
        <f>IFERROR(INDEX(TableWRVORP[VORP],MATCH(TableWRTEMaster[[#This Row],[RK]],TableWRVORP[RK],0)),"")</f>
        <v>-0.79795772779897678</v>
      </c>
    </row>
    <row r="132" spans="8:62" x14ac:dyDescent="0.2">
      <c r="H132">
        <v>131</v>
      </c>
      <c r="I132" s="120" t="str">
        <f>IFERROR(INDEX(TableRBCalcPts[PLAYER],MATCH(TableRBVORP[[#This Row],[RK]],TableRBCalcPts[RK],0)),"")</f>
        <v/>
      </c>
      <c r="J132" s="120" t="str">
        <f>IFERROR(INDEX(TableRBCalcPts[TM],MATCH(TableRBVORP[[#This Row],[RK]],TableRBCalcPts[RK],0)),"")</f>
        <v/>
      </c>
      <c r="K132" s="120" t="str">
        <f>IFERROR(INDEX(TableRBCalcPts[BYE],MATCH(TableRBVORP[[#This Row],[RK]],TableRBCalcPts[RK],0)),"")</f>
        <v/>
      </c>
      <c r="L132" s="121" t="str">
        <f>IFERROR(INDEX(TableRBCalcPts[Custom],MATCH(TableRBVORP[[#This Row],[RK]],TableRBCalcPts[RK],0)),"")</f>
        <v/>
      </c>
      <c r="M132" s="122" t="str">
        <f>IFERROR((TableRBVORP[[#This Row],[FPS]]-INDEX(TableRBVORP[FPS],MATCH(RBVORPCalc,TableRBVORP[RK],0)))/INDEX(TableRBVORP[FPS],MATCH(RBVORPCalc,TableRBVORP[RK],0)),"")</f>
        <v/>
      </c>
      <c r="O132">
        <v>131</v>
      </c>
      <c r="P132" s="120" t="str">
        <f>IFERROR(INDEX(TableWRCalcPts[PLAYER],MATCH(TableWRVORP[[#This Row],[RK]],TableWRCalcPts[RK],0)),"")</f>
        <v>Jason Brownlee</v>
      </c>
      <c r="Q132" s="120" t="str">
        <f>IFERROR(INDEX(TableWRCalcPts[TM],MATCH(TableWRVORP[[#This Row],[RK]],TableWRCalcPts[RK],0)),"")</f>
        <v>NYJ</v>
      </c>
      <c r="R132" s="120">
        <f>IFERROR(INDEX(TableWRCalcPts[BYE],MATCH(TableWRVORP[[#This Row],[RK]],TableWRCalcPts[RK],0)),"")</f>
        <v>7</v>
      </c>
      <c r="S132" s="121">
        <f>IFERROR(INDEX(TableWRCalcPts[Custom],MATCH(TableWRVORP[[#This Row],[RK]],TableWRCalcPts[RK],0)),"")</f>
        <v>26.314535347600497</v>
      </c>
      <c r="T132" s="122">
        <f>IFERROR((TableWRVORP[[#This Row],[FPS]]-INDEX(TableWRVORP[FPS],MATCH(WRVORPCalc,TableWRVORP[RK],0)))/INDEX(TableWRVORP[FPS],MATCH(WRVORPCalc,TableWRVORP[RK],0)),"")</f>
        <v>-0.79803428466961956</v>
      </c>
      <c r="AF132" t="s">
        <v>256</v>
      </c>
      <c r="AG132">
        <v>91</v>
      </c>
      <c r="AH132" s="86">
        <f>RANK(TableOverallMaster[[#This Row],[VORP]],TableOverallMaster[VORP])+COUNTIF($AM$2:AM132,AM132)-1</f>
        <v>286</v>
      </c>
      <c r="AI132" s="123" t="str">
        <f>IFERROR(INDEX(TableRBVORP[RUNNING BACK],MATCH(TableOverallMaster[[#This Row],[RK]],TableRBVORP[RK],0)),"")</f>
        <v>Ty Montgomery</v>
      </c>
      <c r="AJ132" s="123" t="str">
        <f t="shared" si="2"/>
        <v>RB91</v>
      </c>
      <c r="AK132" s="123">
        <f>IFERROR(INDEX(TableRBVORP[BYE],MATCH(TableOverallMaster[[#This Row],[RK]],TableRBVORP[RK],0)),"")</f>
        <v>11</v>
      </c>
      <c r="AL132" s="124">
        <f>IFERROR(INDEX(TableRBVORP[FPS],MATCH(TableOverallMaster[[#This Row],[RK]],TableRBVORP[RK],0)),"")</f>
        <v>25.966866593346559</v>
      </c>
      <c r="AM132" s="125">
        <f>IFERROR(INDEX(TableRBVORP[VORP],MATCH(TableOverallMaster[[#This Row],[RK]],TableRBVORP[RK],0)),"")</f>
        <v>-0.78796138831350093</v>
      </c>
      <c r="AO132">
        <v>131</v>
      </c>
      <c r="AP132" s="126" t="str">
        <f>IFERROR(INDEX(TableOverallMaster[OVERALL PLAYER],MATCH(TableOverallRank[[#This Row],[RK]],TableOverallMaster[OVR RK],0)),"")</f>
        <v>Marvin Mims</v>
      </c>
      <c r="AQ132" s="127" t="str">
        <f>IFERROR(INDEX(TableOverallMaster[POS RK],MATCH(TableOverallRank[[#This Row],[OVERALL PLAYER]],TableOverallMaster[OVERALL PLAYER],0)),"")</f>
        <v>WR59</v>
      </c>
      <c r="AR132" s="128">
        <f>IFERROR(INDEX(TableOverallMaster[BYE],MATCH(TableOverallRank[[#This Row],[OVERALL PLAYER]],TableOverallMaster[OVERALL PLAYER],0)),"")</f>
        <v>9</v>
      </c>
      <c r="AS132" s="127">
        <f>IFERROR(INDEX(TableOverallMaster[Custom],MATCH(TableOverallRank[[#This Row],[OVERALL PLAYER]],TableOverallMaster[OVERALL PLAYER],0)),"")</f>
        <v>129.2891470122569</v>
      </c>
      <c r="AT132" s="129">
        <f>IFERROR(INDEX(TableOverallMaster[VORP],MATCH(TableOverallRank[[#This Row],[OVERALL PLAYER]],TableOverallMaster[OVERALL PLAYER],0)),"")</f>
        <v>-7.6976577446495496E-3</v>
      </c>
      <c r="AV132">
        <v>131</v>
      </c>
      <c r="AW132" s="130" t="str">
        <f>IFERROR(INDEX(TableWRTECalcPts[PLAYER],MATCH(TableWRTERank[[#This Row],[RK]],TableWRTECalcPts[RK],0)),"")</f>
        <v>Josh Reynolds</v>
      </c>
      <c r="AX132" s="130" t="str">
        <f>IFERROR(INDEX(TableWRTECalcPts[POS RK],MATCH(TableWRTERank[[#This Row],[WR and TE COMBINED]],TableWRTECalcPts[PLAYER],0)),"")</f>
        <v>WR97</v>
      </c>
      <c r="AY132" s="130">
        <f>IFERROR(INDEX(TableWRTECalcPts[BYE],MATCH(TableWRTERank[[#This Row],[RK]],TableWRTECalcPts[RK],0)),"")</f>
        <v>9</v>
      </c>
      <c r="AZ132" s="131">
        <f>IFERROR(INDEX(TableWRTECalcPts[Custom],MATCH(TableWRTERank[[#This Row],[RK]],TableWRTECalcPts[RK],0)),"")</f>
        <v>68.671312284847986</v>
      </c>
      <c r="BA132" s="188">
        <f>IFERROR((TableWRTERank[[#This Row],[FPS]]-INDEX(TableWRTERank[FPS],MATCH(WRTEVORPCalc,TableWRTERank[RK],0)))/INDEX(TableWRTERank[FPS],MATCH(WRTEVORPCalc,TableWRTERank[RK],0)),"")</f>
        <v>-0.50378418282102444</v>
      </c>
      <c r="BC132" t="s">
        <v>257</v>
      </c>
      <c r="BD132">
        <v>131</v>
      </c>
      <c r="BE132" s="86">
        <f>RANK(TableWRTEMaster[[#This Row],[VORP]],TableWRTEMaster[VORP])+COUNTIF($BJ$2:BJ132,BJ132)-1</f>
        <v>187</v>
      </c>
      <c r="BF132" s="123" t="str">
        <f>IFERROR(INDEX(TableWRVORP[WIDE RECEIVER],MATCH(TableWRTEMaster[[#This Row],[RK]],TableWRVORP[RK],0)),"")</f>
        <v>Jason Brownlee</v>
      </c>
      <c r="BG132" s="123" t="str">
        <f>_xlfn.CONCAT(TableWRTEMaster[[#This Row],[POS]],TableWRTEMaster[[#This Row],[RK]])</f>
        <v>WR131</v>
      </c>
      <c r="BH132" s="123">
        <f>IFERROR(INDEX(TableWRVORP[BYE],MATCH(TableWRTEMaster[[#This Row],[RK]],TableWRVORP[RK],0)),"")</f>
        <v>7</v>
      </c>
      <c r="BI132" s="124">
        <f>IFERROR(INDEX(TableWRVORP[FPS],MATCH(TableWRTEMaster[[#This Row],[RK]],TableWRVORP[RK],0)),"")</f>
        <v>26.314535347600497</v>
      </c>
      <c r="BJ132" s="125">
        <f>IFERROR(INDEX(TableWRVORP[VORP],MATCH(TableWRTEMaster[[#This Row],[RK]],TableWRVORP[RK],0)),"")</f>
        <v>-0.79803428466961956</v>
      </c>
    </row>
    <row r="133" spans="8:62" x14ac:dyDescent="0.2">
      <c r="H133">
        <v>132</v>
      </c>
      <c r="I133" s="120" t="str">
        <f>IFERROR(INDEX(TableRBCalcPts[PLAYER],MATCH(TableRBVORP[[#This Row],[RK]],TableRBCalcPts[RK],0)),"")</f>
        <v/>
      </c>
      <c r="J133" s="120" t="str">
        <f>IFERROR(INDEX(TableRBCalcPts[TM],MATCH(TableRBVORP[[#This Row],[RK]],TableRBCalcPts[RK],0)),"")</f>
        <v/>
      </c>
      <c r="K133" s="120" t="str">
        <f>IFERROR(INDEX(TableRBCalcPts[BYE],MATCH(TableRBVORP[[#This Row],[RK]],TableRBCalcPts[RK],0)),"")</f>
        <v/>
      </c>
      <c r="L133" s="121" t="str">
        <f>IFERROR(INDEX(TableRBCalcPts[Custom],MATCH(TableRBVORP[[#This Row],[RK]],TableRBCalcPts[RK],0)),"")</f>
        <v/>
      </c>
      <c r="M133" s="122" t="str">
        <f>IFERROR((TableRBVORP[[#This Row],[FPS]]-INDEX(TableRBVORP[FPS],MATCH(RBVORPCalc,TableRBVORP[RK],0)))/INDEX(TableRBVORP[FPS],MATCH(RBVORPCalc,TableRBVORP[RK],0)),"")</f>
        <v/>
      </c>
      <c r="O133">
        <v>132</v>
      </c>
      <c r="P133" s="120" t="str">
        <f>IFERROR(INDEX(TableWRCalcPts[PLAYER],MATCH(TableWRVORP[[#This Row],[RK]],TableWRCalcPts[RK],0)),"")</f>
        <v>Samori Toure</v>
      </c>
      <c r="Q133" s="120" t="str">
        <f>IFERROR(INDEX(TableWRCalcPts[TM],MATCH(TableWRVORP[[#This Row],[RK]],TableWRCalcPts[RK],0)),"")</f>
        <v>GB</v>
      </c>
      <c r="R133" s="120">
        <f>IFERROR(INDEX(TableWRCalcPts[BYE],MATCH(TableWRVORP[[#This Row],[RK]],TableWRCalcPts[RK],0)),"")</f>
        <v>6</v>
      </c>
      <c r="S133" s="121">
        <f>IFERROR(INDEX(TableWRCalcPts[Custom],MATCH(TableWRVORP[[#This Row],[RK]],TableWRCalcPts[RK],0)),"")</f>
        <v>25.989920188422406</v>
      </c>
      <c r="T133" s="122">
        <f>IFERROR((TableWRVORP[[#This Row],[FPS]]-INDEX(TableWRVORP[FPS],MATCH(WRVORPCalc,TableWRVORP[RK],0)))/INDEX(TableWRVORP[FPS],MATCH(WRVORPCalc,TableWRVORP[RK],0)),"")</f>
        <v>-0.80052572645129882</v>
      </c>
      <c r="AF133" t="s">
        <v>256</v>
      </c>
      <c r="AG133">
        <v>92</v>
      </c>
      <c r="AH133" s="86">
        <f>RANK(TableOverallMaster[[#This Row],[VORP]],TableOverallMaster[VORP])+COUNTIF($AM$2:AM133,AM133)-1</f>
        <v>288</v>
      </c>
      <c r="AI133" s="123" t="str">
        <f>IFERROR(INDEX(TableRBVORP[RUNNING BACK],MATCH(TableOverallMaster[[#This Row],[RK]],TableRBVORP[RK],0)),"")</f>
        <v>Jaleel McLaughlin</v>
      </c>
      <c r="AJ133" s="123" t="str">
        <f t="shared" si="2"/>
        <v>RB92</v>
      </c>
      <c r="AK133" s="123">
        <f>IFERROR(INDEX(TableRBVORP[BYE],MATCH(TableOverallMaster[[#This Row],[RK]],TableRBVORP[RK],0)),"")</f>
        <v>9</v>
      </c>
      <c r="AL133" s="124">
        <f>IFERROR(INDEX(TableRBVORP[FPS],MATCH(TableOverallMaster[[#This Row],[RK]],TableRBVORP[RK],0)),"")</f>
        <v>24.102129513840001</v>
      </c>
      <c r="AM133" s="125">
        <f>IFERROR(INDEX(TableRBVORP[VORP],MATCH(TableOverallMaster[[#This Row],[RK]],TableRBVORP[RK],0)),"")</f>
        <v>-0.80318834148004981</v>
      </c>
      <c r="AO133">
        <v>132</v>
      </c>
      <c r="AP133" s="126" t="str">
        <f>IFERROR(INDEX(TableOverallMaster[OVERALL PLAYER],MATCH(TableOverallRank[[#This Row],[RK]],TableOverallMaster[OVR RK],0)),"")</f>
        <v>Curtis Samuel</v>
      </c>
      <c r="AQ133" s="127" t="str">
        <f>IFERROR(INDEX(TableOverallMaster[POS RK],MATCH(TableOverallRank[[#This Row],[OVERALL PLAYER]],TableOverallMaster[OVERALL PLAYER],0)),"")</f>
        <v>WR60</v>
      </c>
      <c r="AR133" s="128">
        <f>IFERROR(INDEX(TableOverallMaster[BYE],MATCH(TableOverallRank[[#This Row],[OVERALL PLAYER]],TableOverallMaster[OVERALL PLAYER],0)),"")</f>
        <v>14</v>
      </c>
      <c r="AS133" s="127">
        <f>IFERROR(INDEX(TableOverallMaster[Custom],MATCH(TableOverallRank[[#This Row],[OVERALL PLAYER]],TableOverallMaster[OVERALL PLAYER],0)),"")</f>
        <v>129.28583659160677</v>
      </c>
      <c r="AT133" s="129">
        <f>IFERROR(INDEX(TableOverallMaster[VORP],MATCH(TableOverallRank[[#This Row],[OVERALL PLAYER]],TableOverallMaster[OVERALL PLAYER],0)),"")</f>
        <v>-7.7230654315350606E-3</v>
      </c>
      <c r="AV133">
        <v>132</v>
      </c>
      <c r="AW133" s="130" t="str">
        <f>IFERROR(INDEX(TableWRTECalcPts[PLAYER],MATCH(TableWRTERank[[#This Row],[RK]],TableWRTECalcPts[RK],0)),"")</f>
        <v>Logan Thomas</v>
      </c>
      <c r="AX133" s="130" t="str">
        <f>IFERROR(INDEX(TableWRTECalcPts[POS RK],MATCH(TableWRTERank[[#This Row],[WR and TE COMBINED]],TableWRTECalcPts[PLAYER],0)),"")</f>
        <v>TE35</v>
      </c>
      <c r="AY133" s="130">
        <f>IFERROR(INDEX(TableWRTECalcPts[BYE],MATCH(TableWRTERank[[#This Row],[RK]],TableWRTECalcPts[RK],0)),"")</f>
        <v>14</v>
      </c>
      <c r="AZ133" s="131">
        <f>IFERROR(INDEX(TableWRTECalcPts[Custom],MATCH(TableWRTERank[[#This Row],[RK]],TableWRTECalcPts[RK],0)),"")</f>
        <v>66.78321520699437</v>
      </c>
      <c r="BA133" s="188">
        <f>IFERROR((TableWRTERank[[#This Row],[FPS]]-INDEX(TableWRTERank[FPS],MATCH(WRTEVORPCalc,TableWRTERank[RK],0)))/INDEX(TableWRTERank[FPS],MATCH(WRTEVORPCalc,TableWRTERank[RK],0)),"")</f>
        <v>-0.51742748747368783</v>
      </c>
      <c r="BC133" t="s">
        <v>257</v>
      </c>
      <c r="BD133">
        <v>132</v>
      </c>
      <c r="BE133" s="86">
        <f>RANK(TableWRTEMaster[[#This Row],[VORP]],TableWRTEMaster[VORP])+COUNTIF($BJ$2:BJ133,BJ133)-1</f>
        <v>189</v>
      </c>
      <c r="BF133" s="123" t="str">
        <f>IFERROR(INDEX(TableWRVORP[WIDE RECEIVER],MATCH(TableWRTEMaster[[#This Row],[RK]],TableWRVORP[RK],0)),"")</f>
        <v>Samori Toure</v>
      </c>
      <c r="BG133" s="123" t="str">
        <f>_xlfn.CONCAT(TableWRTEMaster[[#This Row],[POS]],TableWRTEMaster[[#This Row],[RK]])</f>
        <v>WR132</v>
      </c>
      <c r="BH133" s="123">
        <f>IFERROR(INDEX(TableWRVORP[BYE],MATCH(TableWRTEMaster[[#This Row],[RK]],TableWRVORP[RK],0)),"")</f>
        <v>6</v>
      </c>
      <c r="BI133" s="124">
        <f>IFERROR(INDEX(TableWRVORP[FPS],MATCH(TableWRTEMaster[[#This Row],[RK]],TableWRVORP[RK],0)),"")</f>
        <v>25.989920188422406</v>
      </c>
      <c r="BJ133" s="125">
        <f>IFERROR(INDEX(TableWRVORP[VORP],MATCH(TableWRTEMaster[[#This Row],[RK]],TableWRVORP[RK],0)),"")</f>
        <v>-0.80052572645129882</v>
      </c>
    </row>
    <row r="134" spans="8:62" x14ac:dyDescent="0.2">
      <c r="H134">
        <v>133</v>
      </c>
      <c r="I134" s="120" t="str">
        <f>IFERROR(INDEX(TableRBCalcPts[PLAYER],MATCH(TableRBVORP[[#This Row],[RK]],TableRBCalcPts[RK],0)),"")</f>
        <v/>
      </c>
      <c r="J134" s="120" t="str">
        <f>IFERROR(INDEX(TableRBCalcPts[TM],MATCH(TableRBVORP[[#This Row],[RK]],TableRBCalcPts[RK],0)),"")</f>
        <v/>
      </c>
      <c r="K134" s="120" t="str">
        <f>IFERROR(INDEX(TableRBCalcPts[BYE],MATCH(TableRBVORP[[#This Row],[RK]],TableRBCalcPts[RK],0)),"")</f>
        <v/>
      </c>
      <c r="L134" s="121" t="str">
        <f>IFERROR(INDEX(TableRBCalcPts[Custom],MATCH(TableRBVORP[[#This Row],[RK]],TableRBCalcPts[RK],0)),"")</f>
        <v/>
      </c>
      <c r="M134" s="122" t="str">
        <f>IFERROR((TableRBVORP[[#This Row],[FPS]]-INDEX(TableRBVORP[FPS],MATCH(RBVORPCalc,TableRBVORP[RK],0)))/INDEX(TableRBVORP[FPS],MATCH(RBVORPCalc,TableRBVORP[RK],0)),"")</f>
        <v/>
      </c>
      <c r="O134">
        <v>133</v>
      </c>
      <c r="P134" s="120" t="str">
        <f>IFERROR(INDEX(TableWRCalcPts[PLAYER],MATCH(TableWRVORP[[#This Row],[RK]],TableWRCalcPts[RK],0)),"")</f>
        <v>Nelson Agholor</v>
      </c>
      <c r="Q134" s="120" t="str">
        <f>IFERROR(INDEX(TableWRCalcPts[TM],MATCH(TableWRVORP[[#This Row],[RK]],TableWRCalcPts[RK],0)),"")</f>
        <v>BAL</v>
      </c>
      <c r="R134" s="120">
        <f>IFERROR(INDEX(TableWRCalcPts[BYE],MATCH(TableWRVORP[[#This Row],[RK]],TableWRCalcPts[RK],0)),"")</f>
        <v>13</v>
      </c>
      <c r="S134" s="121">
        <f>IFERROR(INDEX(TableWRCalcPts[Custom],MATCH(TableWRVORP[[#This Row],[RK]],TableWRCalcPts[RK],0)),"")</f>
        <v>24.648219082428216</v>
      </c>
      <c r="T134" s="122">
        <f>IFERROR((TableWRVORP[[#This Row],[FPS]]-INDEX(TableWRVORP[FPS],MATCH(WRVORPCalc,TableWRVORP[RK],0)))/INDEX(TableWRVORP[FPS],MATCH(WRVORPCalc,TableWRVORP[RK],0)),"")</f>
        <v>-0.81082336690180323</v>
      </c>
      <c r="AF134" t="s">
        <v>256</v>
      </c>
      <c r="AG134">
        <v>93</v>
      </c>
      <c r="AH134" s="86">
        <f>RANK(TableOverallMaster[[#This Row],[VORP]],TableOverallMaster[VORP])+COUNTIF($AM$2:AM134,AM134)-1</f>
        <v>289</v>
      </c>
      <c r="AI134" s="123" t="str">
        <f>IFERROR(INDEX(TableRBVORP[RUNNING BACK],MATCH(TableOverallMaster[[#This Row],[RK]],TableRBVORP[RK],0)),"")</f>
        <v>J.J. Taylor</v>
      </c>
      <c r="AJ134" s="123" t="str">
        <f t="shared" si="2"/>
        <v>RB93</v>
      </c>
      <c r="AK134" s="123">
        <f>IFERROR(INDEX(TableRBVORP[BYE],MATCH(TableOverallMaster[[#This Row],[RK]],TableRBVORP[RK],0)),"")</f>
        <v>11</v>
      </c>
      <c r="AL134" s="124">
        <f>IFERROR(INDEX(TableRBVORP[FPS],MATCH(TableOverallMaster[[#This Row],[RK]],TableRBVORP[RK],0)),"")</f>
        <v>23.120132108572804</v>
      </c>
      <c r="AM134" s="125">
        <f>IFERROR(INDEX(TableRBVORP[VORP],MATCH(TableOverallMaster[[#This Row],[RK]],TableRBVORP[RK],0)),"")</f>
        <v>-0.81120707434271844</v>
      </c>
      <c r="AO134">
        <v>133</v>
      </c>
      <c r="AP134" s="126" t="str">
        <f>IFERROR(INDEX(TableOverallMaster[OVERALL PLAYER],MATCH(TableOverallRank[[#This Row],[RK]],TableOverallMaster[OVR RK],0)),"")</f>
        <v>Russell Wilson</v>
      </c>
      <c r="AQ134" s="127" t="str">
        <f>IFERROR(INDEX(TableOverallMaster[POS RK],MATCH(TableOverallRank[[#This Row],[OVERALL PLAYER]],TableOverallMaster[OVERALL PLAYER],0)),"")</f>
        <v>QB17</v>
      </c>
      <c r="AR134" s="128">
        <f>IFERROR(INDEX(TableOverallMaster[BYE],MATCH(TableOverallRank[[#This Row],[OVERALL PLAYER]],TableOverallMaster[OVERALL PLAYER],0)),"")</f>
        <v>9</v>
      </c>
      <c r="AS134" s="127">
        <f>IFERROR(INDEX(TableOverallMaster[Custom],MATCH(TableOverallRank[[#This Row],[OVERALL PLAYER]],TableOverallMaster[OVERALL PLAYER],0)),"")</f>
        <v>296.59318059087798</v>
      </c>
      <c r="AT134" s="129">
        <f>IFERROR(INDEX(TableOverallMaster[VORP],MATCH(TableOverallRank[[#This Row],[OVERALL PLAYER]],TableOverallMaster[OVERALL PLAYER],0)),"")</f>
        <v>-8.1930834365366856E-3</v>
      </c>
      <c r="AV134">
        <v>133</v>
      </c>
      <c r="AW134" s="130" t="str">
        <f>IFERROR(INDEX(TableWRTECalcPts[PLAYER],MATCH(TableWRTERank[[#This Row],[RK]],TableWRTECalcPts[RK],0)),"")</f>
        <v>Adam Trautman</v>
      </c>
      <c r="AX134" s="130" t="str">
        <f>IFERROR(INDEX(TableWRTECalcPts[POS RK],MATCH(TableWRTERank[[#This Row],[WR and TE COMBINED]],TableWRTECalcPts[PLAYER],0)),"")</f>
        <v>TE36</v>
      </c>
      <c r="AY134" s="130">
        <f>IFERROR(INDEX(TableWRTECalcPts[BYE],MATCH(TableWRTERank[[#This Row],[RK]],TableWRTECalcPts[RK],0)),"")</f>
        <v>9</v>
      </c>
      <c r="AZ134" s="131">
        <f>IFERROR(INDEX(TableWRTECalcPts[Custom],MATCH(TableWRTERank[[#This Row],[RK]],TableWRTECalcPts[RK],0)),"")</f>
        <v>66.361537245636754</v>
      </c>
      <c r="BA134" s="188">
        <f>IFERROR((TableWRTERank[[#This Row],[FPS]]-INDEX(TableWRTERank[FPS],MATCH(WRTEVORPCalc,TableWRTERank[RK],0)))/INDEX(TableWRTERank[FPS],MATCH(WRTEVORPCalc,TableWRTERank[RK],0)),"")</f>
        <v>-0.52047451347653306</v>
      </c>
      <c r="BC134" t="s">
        <v>257</v>
      </c>
      <c r="BD134">
        <v>133</v>
      </c>
      <c r="BE134" s="86">
        <f>RANK(TableWRTEMaster[[#This Row],[VORP]],TableWRTEMaster[VORP])+COUNTIF($BJ$2:BJ134,BJ134)-1</f>
        <v>193</v>
      </c>
      <c r="BF134" s="123" t="str">
        <f>IFERROR(INDEX(TableWRVORP[WIDE RECEIVER],MATCH(TableWRTEMaster[[#This Row],[RK]],TableWRVORP[RK],0)),"")</f>
        <v>Nelson Agholor</v>
      </c>
      <c r="BG134" s="123" t="str">
        <f>_xlfn.CONCAT(TableWRTEMaster[[#This Row],[POS]],TableWRTEMaster[[#This Row],[RK]])</f>
        <v>WR133</v>
      </c>
      <c r="BH134" s="123">
        <f>IFERROR(INDEX(TableWRVORP[BYE],MATCH(TableWRTEMaster[[#This Row],[RK]],TableWRVORP[RK],0)),"")</f>
        <v>13</v>
      </c>
      <c r="BI134" s="124">
        <f>IFERROR(INDEX(TableWRVORP[FPS],MATCH(TableWRTEMaster[[#This Row],[RK]],TableWRVORP[RK],0)),"")</f>
        <v>24.648219082428216</v>
      </c>
      <c r="BJ134" s="125">
        <f>IFERROR(INDEX(TableWRVORP[VORP],MATCH(TableWRTEMaster[[#This Row],[RK]],TableWRVORP[RK],0)),"")</f>
        <v>-0.81082336690180323</v>
      </c>
    </row>
    <row r="135" spans="8:62" x14ac:dyDescent="0.2">
      <c r="H135">
        <v>134</v>
      </c>
      <c r="I135" s="120" t="str">
        <f>IFERROR(INDEX(TableRBCalcPts[PLAYER],MATCH(TableRBVORP[[#This Row],[RK]],TableRBCalcPts[RK],0)),"")</f>
        <v/>
      </c>
      <c r="J135" s="120" t="str">
        <f>IFERROR(INDEX(TableRBCalcPts[TM],MATCH(TableRBVORP[[#This Row],[RK]],TableRBCalcPts[RK],0)),"")</f>
        <v/>
      </c>
      <c r="K135" s="120" t="str">
        <f>IFERROR(INDEX(TableRBCalcPts[BYE],MATCH(TableRBVORP[[#This Row],[RK]],TableRBCalcPts[RK],0)),"")</f>
        <v/>
      </c>
      <c r="L135" s="121" t="str">
        <f>IFERROR(INDEX(TableRBCalcPts[Custom],MATCH(TableRBVORP[[#This Row],[RK]],TableRBCalcPts[RK],0)),"")</f>
        <v/>
      </c>
      <c r="M135" s="122" t="str">
        <f>IFERROR((TableRBVORP[[#This Row],[FPS]]-INDEX(TableRBVORP[FPS],MATCH(RBVORPCalc,TableRBVORP[RK],0)))/INDEX(TableRBVORP[FPS],MATCH(RBVORPCalc,TableRBVORP[RK],0)),"")</f>
        <v/>
      </c>
      <c r="O135">
        <v>134</v>
      </c>
      <c r="P135" s="120" t="str">
        <f>IFERROR(INDEX(TableWRCalcPts[PLAYER],MATCH(TableWRVORP[[#This Row],[RK]],TableWRCalcPts[RK],0)),"")</f>
        <v>A.T. Perry</v>
      </c>
      <c r="Q135" s="120" t="str">
        <f>IFERROR(INDEX(TableWRCalcPts[TM],MATCH(TableWRVORP[[#This Row],[RK]],TableWRCalcPts[RK],0)),"")</f>
        <v>NO</v>
      </c>
      <c r="R135" s="120">
        <f>IFERROR(INDEX(TableWRCalcPts[BYE],MATCH(TableWRVORP[[#This Row],[RK]],TableWRCalcPts[RK],0)),"")</f>
        <v>11</v>
      </c>
      <c r="S135" s="121">
        <f>IFERROR(INDEX(TableWRCalcPts[Custom],MATCH(TableWRVORP[[#This Row],[RK]],TableWRCalcPts[RK],0)),"")</f>
        <v>24.507357616987889</v>
      </c>
      <c r="T135" s="122">
        <f>IFERROR((TableWRVORP[[#This Row],[FPS]]-INDEX(TableWRVORP[FPS],MATCH(WRVORPCalc,TableWRVORP[RK],0)))/INDEX(TableWRVORP[FPS],MATCH(WRVORPCalc,TableWRVORP[RK],0)),"")</f>
        <v>-0.81190448751648803</v>
      </c>
      <c r="AF135" t="s">
        <v>256</v>
      </c>
      <c r="AG135">
        <v>94</v>
      </c>
      <c r="AH135" s="86">
        <f>RANK(TableOverallMaster[[#This Row],[VORP]],TableOverallMaster[VORP])+COUNTIF($AM$2:AM135,AM135)-1</f>
        <v>290</v>
      </c>
      <c r="AI135" s="123" t="str">
        <f>IFERROR(INDEX(TableRBVORP[RUNNING BACK],MATCH(TableOverallMaster[[#This Row],[RK]],TableRBVORP[RK],0)),"")</f>
        <v>Julius Chestnut</v>
      </c>
      <c r="AJ135" s="123" t="str">
        <f t="shared" si="2"/>
        <v>RB94</v>
      </c>
      <c r="AK135" s="123">
        <f>IFERROR(INDEX(TableRBVORP[BYE],MATCH(TableOverallMaster[[#This Row],[RK]],TableRBVORP[RK],0)),"")</f>
        <v>7</v>
      </c>
      <c r="AL135" s="124">
        <f>IFERROR(INDEX(TableRBVORP[FPS],MATCH(TableOverallMaster[[#This Row],[RK]],TableRBVORP[RK],0)),"")</f>
        <v>22.584872523415996</v>
      </c>
      <c r="AM135" s="125">
        <f>IFERROR(INDEX(TableRBVORP[VORP],MATCH(TableOverallMaster[[#This Row],[RK]],TableRBVORP[RK],0)),"")</f>
        <v>-0.81557786351439387</v>
      </c>
      <c r="AO135">
        <v>134</v>
      </c>
      <c r="AP135" s="126" t="str">
        <f>IFERROR(INDEX(TableOverallMaster[OVERALL PLAYER],MATCH(TableOverallRank[[#This Row],[RK]],TableOverallMaster[OVR RK],0)),"")</f>
        <v>Bryce Young</v>
      </c>
      <c r="AQ135" s="127" t="str">
        <f>IFERROR(INDEX(TableOverallMaster[POS RK],MATCH(TableOverallRank[[#This Row],[OVERALL PLAYER]],TableOverallMaster[OVERALL PLAYER],0)),"")</f>
        <v>QB18</v>
      </c>
      <c r="AR135" s="128">
        <f>IFERROR(INDEX(TableOverallMaster[BYE],MATCH(TableOverallRank[[#This Row],[OVERALL PLAYER]],TableOverallMaster[OVERALL PLAYER],0)),"")</f>
        <v>7</v>
      </c>
      <c r="AS135" s="127">
        <f>IFERROR(INDEX(TableOverallMaster[Custom],MATCH(TableOverallRank[[#This Row],[OVERALL PLAYER]],TableOverallMaster[OVERALL PLAYER],0)),"")</f>
        <v>294.26252157990365</v>
      </c>
      <c r="AT135" s="129">
        <f>IFERROR(INDEX(TableOverallMaster[VORP],MATCH(TableOverallRank[[#This Row],[OVERALL PLAYER]],TableOverallMaster[OVERALL PLAYER],0)),"")</f>
        <v>-2.0091354044756926E-2</v>
      </c>
      <c r="AV135">
        <v>134</v>
      </c>
      <c r="AW135" s="130" t="str">
        <f>IFERROR(INDEX(TableWRTECalcPts[PLAYER],MATCH(TableWRTERank[[#This Row],[RK]],TableWRTECalcPts[RK],0)),"")</f>
        <v>Joshua Palmer</v>
      </c>
      <c r="AX135" s="130" t="str">
        <f>IFERROR(INDEX(TableWRTECalcPts[POS RK],MATCH(TableWRTERank[[#This Row],[WR and TE COMBINED]],TableWRTECalcPts[PLAYER],0)),"")</f>
        <v>WR98</v>
      </c>
      <c r="AY135" s="130">
        <f>IFERROR(INDEX(TableWRTECalcPts[BYE],MATCH(TableWRTERank[[#This Row],[RK]],TableWRTECalcPts[RK],0)),"")</f>
        <v>5</v>
      </c>
      <c r="AZ135" s="131">
        <f>IFERROR(INDEX(TableWRTECalcPts[Custom],MATCH(TableWRTERank[[#This Row],[RK]],TableWRTECalcPts[RK],0)),"")</f>
        <v>65.559330244799995</v>
      </c>
      <c r="BA135" s="188">
        <f>IFERROR((TableWRTERank[[#This Row],[FPS]]-INDEX(TableWRTERank[FPS],MATCH(WRTEVORPCalc,TableWRTERank[RK],0)))/INDEX(TableWRTERank[FPS],MATCH(WRTEVORPCalc,TableWRTERank[RK],0)),"")</f>
        <v>-0.52627122522154424</v>
      </c>
      <c r="BC135" t="s">
        <v>257</v>
      </c>
      <c r="BD135">
        <v>134</v>
      </c>
      <c r="BE135" s="86">
        <f>RANK(TableWRTEMaster[[#This Row],[VORP]],TableWRTEMaster[VORP])+COUNTIF($BJ$2:BJ135,BJ135)-1</f>
        <v>195</v>
      </c>
      <c r="BF135" s="123" t="str">
        <f>IFERROR(INDEX(TableWRVORP[WIDE RECEIVER],MATCH(TableWRTEMaster[[#This Row],[RK]],TableWRVORP[RK],0)),"")</f>
        <v>A.T. Perry</v>
      </c>
      <c r="BG135" s="123" t="str">
        <f>_xlfn.CONCAT(TableWRTEMaster[[#This Row],[POS]],TableWRTEMaster[[#This Row],[RK]])</f>
        <v>WR134</v>
      </c>
      <c r="BH135" s="123">
        <f>IFERROR(INDEX(TableWRVORP[BYE],MATCH(TableWRTEMaster[[#This Row],[RK]],TableWRVORP[RK],0)),"")</f>
        <v>11</v>
      </c>
      <c r="BI135" s="124">
        <f>IFERROR(INDEX(TableWRVORP[FPS],MATCH(TableWRTEMaster[[#This Row],[RK]],TableWRVORP[RK],0)),"")</f>
        <v>24.507357616987889</v>
      </c>
      <c r="BJ135" s="125">
        <f>IFERROR(INDEX(TableWRVORP[VORP],MATCH(TableWRTEMaster[[#This Row],[RK]],TableWRVORP[RK],0)),"")</f>
        <v>-0.81190448751648803</v>
      </c>
    </row>
    <row r="136" spans="8:62" x14ac:dyDescent="0.2">
      <c r="H136">
        <v>135</v>
      </c>
      <c r="I136" s="120" t="str">
        <f>IFERROR(INDEX(TableRBCalcPts[PLAYER],MATCH(TableRBVORP[[#This Row],[RK]],TableRBCalcPts[RK],0)),"")</f>
        <v/>
      </c>
      <c r="J136" s="120" t="str">
        <f>IFERROR(INDEX(TableRBCalcPts[TM],MATCH(TableRBVORP[[#This Row],[RK]],TableRBCalcPts[RK],0)),"")</f>
        <v/>
      </c>
      <c r="K136" s="120" t="str">
        <f>IFERROR(INDEX(TableRBCalcPts[BYE],MATCH(TableRBVORP[[#This Row],[RK]],TableRBCalcPts[RK],0)),"")</f>
        <v/>
      </c>
      <c r="L136" s="121" t="str">
        <f>IFERROR(INDEX(TableRBCalcPts[Custom],MATCH(TableRBVORP[[#This Row],[RK]],TableRBCalcPts[RK],0)),"")</f>
        <v/>
      </c>
      <c r="M136" s="122" t="str">
        <f>IFERROR((TableRBVORP[[#This Row],[FPS]]-INDEX(TableRBVORP[FPS],MATCH(RBVORPCalc,TableRBVORP[RK],0)))/INDEX(TableRBVORP[FPS],MATCH(RBVORPCalc,TableRBVORP[RK],0)),"")</f>
        <v/>
      </c>
      <c r="O136">
        <v>135</v>
      </c>
      <c r="P136" s="120" t="str">
        <f>IFERROR(INDEX(TableWRCalcPts[PLAYER],MATCH(TableWRVORP[[#This Row],[RK]],TableWRCalcPts[RK],0)),"")</f>
        <v>Dyami Brown</v>
      </c>
      <c r="Q136" s="120" t="str">
        <f>IFERROR(INDEX(TableWRCalcPts[TM],MATCH(TableWRVORP[[#This Row],[RK]],TableWRCalcPts[RK],0)),"")</f>
        <v>WSH</v>
      </c>
      <c r="R136" s="120">
        <f>IFERROR(INDEX(TableWRCalcPts[BYE],MATCH(TableWRVORP[[#This Row],[RK]],TableWRCalcPts[RK],0)),"")</f>
        <v>14</v>
      </c>
      <c r="S136" s="121">
        <f>IFERROR(INDEX(TableWRCalcPts[Custom],MATCH(TableWRVORP[[#This Row],[RK]],TableWRCalcPts[RK],0)),"")</f>
        <v>24.28852591635879</v>
      </c>
      <c r="T136" s="122">
        <f>IFERROR((TableWRVORP[[#This Row],[FPS]]-INDEX(TableWRVORP[FPS],MATCH(WRVORPCalc,TableWRVORP[RK],0)))/INDEX(TableWRVORP[FPS],MATCH(WRVORPCalc,TableWRVORP[RK],0)),"")</f>
        <v>-0.81358403459458406</v>
      </c>
      <c r="AF136" t="s">
        <v>256</v>
      </c>
      <c r="AG136">
        <v>95</v>
      </c>
      <c r="AH136" s="86">
        <f>RANK(TableOverallMaster[[#This Row],[VORP]],TableOverallMaster[VORP])+COUNTIF($AM$2:AM136,AM136)-1</f>
        <v>291</v>
      </c>
      <c r="AI136" s="123" t="str">
        <f>IFERROR(INDEX(TableRBVORP[RUNNING BACK],MATCH(TableOverallMaster[[#This Row],[RK]],TableRBVORP[RK],0)),"")</f>
        <v>Travis Homer</v>
      </c>
      <c r="AJ136" s="123" t="str">
        <f t="shared" si="2"/>
        <v>RB95</v>
      </c>
      <c r="AK136" s="123">
        <f>IFERROR(INDEX(TableRBVORP[BYE],MATCH(TableOverallMaster[[#This Row],[RK]],TableRBVORP[RK],0)),"")</f>
        <v>13</v>
      </c>
      <c r="AL136" s="124">
        <f>IFERROR(INDEX(TableRBVORP[FPS],MATCH(TableOverallMaster[[#This Row],[RK]],TableRBVORP[RK],0)),"")</f>
        <v>22.560629640663144</v>
      </c>
      <c r="AM136" s="125">
        <f>IFERROR(INDEX(TableRBVORP[VORP],MATCH(TableOverallMaster[[#This Row],[RK]],TableRBVORP[RK],0)),"")</f>
        <v>-0.8157758245268909</v>
      </c>
      <c r="AO136">
        <v>135</v>
      </c>
      <c r="AP136" s="126" t="str">
        <f>IFERROR(INDEX(TableOverallMaster[OVERALL PLAYER],MATCH(TableOverallRank[[#This Row],[RK]],TableOverallMaster[OVR RK],0)),"")</f>
        <v>Matthew Stafford</v>
      </c>
      <c r="AQ136" s="127" t="str">
        <f>IFERROR(INDEX(TableOverallMaster[POS RK],MATCH(TableOverallRank[[#This Row],[OVERALL PLAYER]],TableOverallMaster[OVERALL PLAYER],0)),"")</f>
        <v>QB19</v>
      </c>
      <c r="AR136" s="128">
        <f>IFERROR(INDEX(TableOverallMaster[BYE],MATCH(TableOverallRank[[#This Row],[OVERALL PLAYER]],TableOverallMaster[OVERALL PLAYER],0)),"")</f>
        <v>10</v>
      </c>
      <c r="AS136" s="127">
        <f>IFERROR(INDEX(TableOverallMaster[Custom],MATCH(TableOverallRank[[#This Row],[OVERALL PLAYER]],TableOverallMaster[OVERALL PLAYER],0)),"")</f>
        <v>287.42028298073348</v>
      </c>
      <c r="AT136" s="129">
        <f>IFERROR(INDEX(TableOverallMaster[VORP],MATCH(TableOverallRank[[#This Row],[OVERALL PLAYER]],TableOverallMaster[OVERALL PLAYER],0)),"")</f>
        <v>-4.5594448262709641E-2</v>
      </c>
      <c r="AV136">
        <v>135</v>
      </c>
      <c r="AW136" s="130" t="str">
        <f>IFERROR(INDEX(TableWRTECalcPts[PLAYER],MATCH(TableWRTERank[[#This Row],[RK]],TableWRTECalcPts[RK],0)),"")</f>
        <v>Jelani Woods</v>
      </c>
      <c r="AX136" s="130" t="str">
        <f>IFERROR(INDEX(TableWRTECalcPts[POS RK],MATCH(TableWRTERank[[#This Row],[WR and TE COMBINED]],TableWRTECalcPts[PLAYER],0)),"")</f>
        <v>TE37</v>
      </c>
      <c r="AY136" s="130">
        <f>IFERROR(INDEX(TableWRTECalcPts[BYE],MATCH(TableWRTERank[[#This Row],[RK]],TableWRTECalcPts[RK],0)),"")</f>
        <v>11</v>
      </c>
      <c r="AZ136" s="131">
        <f>IFERROR(INDEX(TableWRTECalcPts[Custom],MATCH(TableWRTERank[[#This Row],[RK]],TableWRTECalcPts[RK],0)),"")</f>
        <v>64.887841835586016</v>
      </c>
      <c r="BA136" s="188">
        <f>IFERROR((TableWRTERank[[#This Row],[FPS]]-INDEX(TableWRTERank[FPS],MATCH(WRTEVORPCalc,TableWRTERank[RK],0)))/INDEX(TableWRTERank[FPS],MATCH(WRTEVORPCalc,TableWRTERank[RK],0)),"")</f>
        <v>-0.53112337029665513</v>
      </c>
      <c r="BC136" t="s">
        <v>257</v>
      </c>
      <c r="BD136">
        <v>135</v>
      </c>
      <c r="BE136" s="86">
        <f>RANK(TableWRTEMaster[[#This Row],[VORP]],TableWRTEMaster[VORP])+COUNTIF($BJ$2:BJ136,BJ136)-1</f>
        <v>197</v>
      </c>
      <c r="BF136" s="123" t="str">
        <f>IFERROR(INDEX(TableWRVORP[WIDE RECEIVER],MATCH(TableWRTEMaster[[#This Row],[RK]],TableWRVORP[RK],0)),"")</f>
        <v>Dyami Brown</v>
      </c>
      <c r="BG136" s="123" t="str">
        <f>_xlfn.CONCAT(TableWRTEMaster[[#This Row],[POS]],TableWRTEMaster[[#This Row],[RK]])</f>
        <v>WR135</v>
      </c>
      <c r="BH136" s="123">
        <f>IFERROR(INDEX(TableWRVORP[BYE],MATCH(TableWRTEMaster[[#This Row],[RK]],TableWRVORP[RK],0)),"")</f>
        <v>14</v>
      </c>
      <c r="BI136" s="124">
        <f>IFERROR(INDEX(TableWRVORP[FPS],MATCH(TableWRTEMaster[[#This Row],[RK]],TableWRVORP[RK],0)),"")</f>
        <v>24.28852591635879</v>
      </c>
      <c r="BJ136" s="125">
        <f>IFERROR(INDEX(TableWRVORP[VORP],MATCH(TableWRTEMaster[[#This Row],[RK]],TableWRVORP[RK],0)),"")</f>
        <v>-0.81358403459458406</v>
      </c>
    </row>
    <row r="137" spans="8:62" x14ac:dyDescent="0.2">
      <c r="H137">
        <v>136</v>
      </c>
      <c r="I137" s="120" t="str">
        <f>IFERROR(INDEX(TableRBCalcPts[PLAYER],MATCH(TableRBVORP[[#This Row],[RK]],TableRBCalcPts[RK],0)),"")</f>
        <v/>
      </c>
      <c r="J137" s="120" t="str">
        <f>IFERROR(INDEX(TableRBCalcPts[TM],MATCH(TableRBVORP[[#This Row],[RK]],TableRBCalcPts[RK],0)),"")</f>
        <v/>
      </c>
      <c r="K137" s="120" t="str">
        <f>IFERROR(INDEX(TableRBCalcPts[BYE],MATCH(TableRBVORP[[#This Row],[RK]],TableRBCalcPts[RK],0)),"")</f>
        <v/>
      </c>
      <c r="L137" s="121" t="str">
        <f>IFERROR(INDEX(TableRBCalcPts[Custom],MATCH(TableRBVORP[[#This Row],[RK]],TableRBCalcPts[RK],0)),"")</f>
        <v/>
      </c>
      <c r="M137" s="122" t="str">
        <f>IFERROR((TableRBVORP[[#This Row],[FPS]]-INDEX(TableRBVORP[FPS],MATCH(RBVORPCalc,TableRBVORP[RK],0)))/INDEX(TableRBVORP[FPS],MATCH(RBVORPCalc,TableRBVORP[RK],0)),"")</f>
        <v/>
      </c>
      <c r="O137">
        <v>136</v>
      </c>
      <c r="P137" s="120" t="str">
        <f>IFERROR(INDEX(TableWRCalcPts[PLAYER],MATCH(TableWRVORP[[#This Row],[RK]],TableWRCalcPts[RK],0)),"")</f>
        <v>Tyler Scott</v>
      </c>
      <c r="Q137" s="120" t="str">
        <f>IFERROR(INDEX(TableWRCalcPts[TM],MATCH(TableWRVORP[[#This Row],[RK]],TableWRCalcPts[RK],0)),"")</f>
        <v>CHI</v>
      </c>
      <c r="R137" s="120">
        <f>IFERROR(INDEX(TableWRCalcPts[BYE],MATCH(TableWRVORP[[#This Row],[RK]],TableWRCalcPts[RK],0)),"")</f>
        <v>13</v>
      </c>
      <c r="S137" s="121">
        <f>IFERROR(INDEX(TableWRCalcPts[Custom],MATCH(TableWRVORP[[#This Row],[RK]],TableWRCalcPts[RK],0)),"")</f>
        <v>22.848987911184629</v>
      </c>
      <c r="T137" s="122">
        <f>IFERROR((TableWRVORP[[#This Row],[FPS]]-INDEX(TableWRVORP[FPS],MATCH(WRVORPCalc,TableWRVORP[RK],0)))/INDEX(TableWRVORP[FPS],MATCH(WRVORPCalc,TableWRVORP[RK],0)),"")</f>
        <v>-0.82463257940526724</v>
      </c>
      <c r="AF137" t="s">
        <v>256</v>
      </c>
      <c r="AG137">
        <v>96</v>
      </c>
      <c r="AH137" s="86">
        <f>RANK(TableOverallMaster[[#This Row],[VORP]],TableOverallMaster[VORP])+COUNTIF($AM$2:AM137,AM137)-1</f>
        <v>292</v>
      </c>
      <c r="AI137" s="123" t="str">
        <f>IFERROR(INDEX(TableRBVORP[RUNNING BACK],MATCH(TableOverallMaster[[#This Row],[RK]],TableRBVORP[RK],0)),"")</f>
        <v>Salvon Ahmed</v>
      </c>
      <c r="AJ137" s="123" t="str">
        <f t="shared" si="2"/>
        <v>RB96</v>
      </c>
      <c r="AK137" s="123">
        <f>IFERROR(INDEX(TableRBVORP[BYE],MATCH(TableOverallMaster[[#This Row],[RK]],TableRBVORP[RK],0)),"")</f>
        <v>10</v>
      </c>
      <c r="AL137" s="124">
        <f>IFERROR(INDEX(TableRBVORP[FPS],MATCH(TableOverallMaster[[#This Row],[RK]],TableRBVORP[RK],0)),"")</f>
        <v>22.424756662526406</v>
      </c>
      <c r="AM137" s="125">
        <f>IFERROR(INDEX(TableRBVORP[VORP],MATCH(TableOverallMaster[[#This Row],[RK]],TableRBVORP[RK],0)),"")</f>
        <v>-0.81688532757556465</v>
      </c>
      <c r="AO137">
        <v>136</v>
      </c>
      <c r="AP137" s="126" t="str">
        <f>IFERROR(INDEX(TableOverallMaster[OVERALL PLAYER],MATCH(TableOverallRank[[#This Row],[RK]],TableOverallMaster[OVR RK],0)),"")</f>
        <v>Rashaad Penny</v>
      </c>
      <c r="AQ137" s="127" t="str">
        <f>IFERROR(INDEX(TableOverallMaster[POS RK],MATCH(TableOverallRank[[#This Row],[OVERALL PLAYER]],TableOverallMaster[OVERALL PLAYER],0)),"")</f>
        <v>RB45</v>
      </c>
      <c r="AR137" s="128">
        <f>IFERROR(INDEX(TableOverallMaster[BYE],MATCH(TableOverallRank[[#This Row],[OVERALL PLAYER]],TableOverallMaster[OVERALL PLAYER],0)),"")</f>
        <v>10</v>
      </c>
      <c r="AS137" s="127">
        <f>IFERROR(INDEX(TableOverallMaster[Custom],MATCH(TableOverallRank[[#This Row],[OVERALL PLAYER]],TableOverallMaster[OVERALL PLAYER],0)),"")</f>
        <v>116.11919779473679</v>
      </c>
      <c r="AT137" s="129">
        <f>IFERROR(INDEX(TableOverallMaster[VORP],MATCH(TableOverallRank[[#This Row],[OVERALL PLAYER]],TableOverallMaster[OVERALL PLAYER],0)),"")</f>
        <v>-5.1801132722931242E-2</v>
      </c>
      <c r="AV137">
        <v>136</v>
      </c>
      <c r="AW137" s="130" t="str">
        <f>IFERROR(INDEX(TableWRTECalcPts[PLAYER],MATCH(TableWRTERank[[#This Row],[RK]],TableWRTECalcPts[RK],0)),"")</f>
        <v>Tutu Atwell</v>
      </c>
      <c r="AX137" s="130" t="str">
        <f>IFERROR(INDEX(TableWRTECalcPts[POS RK],MATCH(TableWRTERank[[#This Row],[WR and TE COMBINED]],TableWRTECalcPts[PLAYER],0)),"")</f>
        <v>WR99</v>
      </c>
      <c r="AY137" s="130">
        <f>IFERROR(INDEX(TableWRTECalcPts[BYE],MATCH(TableWRTERank[[#This Row],[RK]],TableWRTECalcPts[RK],0)),"")</f>
        <v>10</v>
      </c>
      <c r="AZ137" s="131">
        <f>IFERROR(INDEX(TableWRTECalcPts[Custom],MATCH(TableWRTERank[[#This Row],[RK]],TableWRTECalcPts[RK],0)),"")</f>
        <v>64.322349932332799</v>
      </c>
      <c r="BA137" s="188">
        <f>IFERROR((TableWRTERank[[#This Row],[FPS]]-INDEX(TableWRTERank[FPS],MATCH(WRTEVORPCalc,TableWRTERank[RK],0)))/INDEX(TableWRTERank[FPS],MATCH(WRTEVORPCalc,TableWRTERank[RK],0)),"")</f>
        <v>-0.53520958938209995</v>
      </c>
      <c r="BC137" t="s">
        <v>257</v>
      </c>
      <c r="BD137">
        <v>136</v>
      </c>
      <c r="BE137" s="86">
        <f>RANK(TableWRTEMaster[[#This Row],[VORP]],TableWRTEMaster[VORP])+COUNTIF($BJ$2:BJ137,BJ137)-1</f>
        <v>201</v>
      </c>
      <c r="BF137" s="123" t="str">
        <f>IFERROR(INDEX(TableWRVORP[WIDE RECEIVER],MATCH(TableWRTEMaster[[#This Row],[RK]],TableWRVORP[RK],0)),"")</f>
        <v>Tyler Scott</v>
      </c>
      <c r="BG137" s="123" t="str">
        <f>_xlfn.CONCAT(TableWRTEMaster[[#This Row],[POS]],TableWRTEMaster[[#This Row],[RK]])</f>
        <v>WR136</v>
      </c>
      <c r="BH137" s="123">
        <f>IFERROR(INDEX(TableWRVORP[BYE],MATCH(TableWRTEMaster[[#This Row],[RK]],TableWRVORP[RK],0)),"")</f>
        <v>13</v>
      </c>
      <c r="BI137" s="124">
        <f>IFERROR(INDEX(TableWRVORP[FPS],MATCH(TableWRTEMaster[[#This Row],[RK]],TableWRVORP[RK],0)),"")</f>
        <v>22.848987911184629</v>
      </c>
      <c r="BJ137" s="125">
        <f>IFERROR(INDEX(TableWRVORP[VORP],MATCH(TableWRTEMaster[[#This Row],[RK]],TableWRVORP[RK],0)),"")</f>
        <v>-0.82463257940526724</v>
      </c>
    </row>
    <row r="138" spans="8:62" x14ac:dyDescent="0.2">
      <c r="H138">
        <v>137</v>
      </c>
      <c r="I138" s="120" t="str">
        <f>IFERROR(INDEX(TableRBCalcPts[PLAYER],MATCH(TableRBVORP[[#This Row],[RK]],TableRBCalcPts[RK],0)),"")</f>
        <v/>
      </c>
      <c r="J138" s="120" t="str">
        <f>IFERROR(INDEX(TableRBCalcPts[TM],MATCH(TableRBVORP[[#This Row],[RK]],TableRBCalcPts[RK],0)),"")</f>
        <v/>
      </c>
      <c r="K138" s="120" t="str">
        <f>IFERROR(INDEX(TableRBCalcPts[BYE],MATCH(TableRBVORP[[#This Row],[RK]],TableRBCalcPts[RK],0)),"")</f>
        <v/>
      </c>
      <c r="L138" s="121" t="str">
        <f>IFERROR(INDEX(TableRBCalcPts[Custom],MATCH(TableRBVORP[[#This Row],[RK]],TableRBCalcPts[RK],0)),"")</f>
        <v/>
      </c>
      <c r="M138" s="122" t="str">
        <f>IFERROR((TableRBVORP[[#This Row],[FPS]]-INDEX(TableRBVORP[FPS],MATCH(RBVORPCalc,TableRBVORP[RK],0)))/INDEX(TableRBVORP[FPS],MATCH(RBVORPCalc,TableRBVORP[RK],0)),"")</f>
        <v/>
      </c>
      <c r="O138">
        <v>137</v>
      </c>
      <c r="P138" s="120" t="str">
        <f>IFERROR(INDEX(TableWRCalcPts[PLAYER],MATCH(TableWRVORP[[#This Row],[RK]],TableWRCalcPts[RK],0)),"")</f>
        <v>Tre'Quan Smith</v>
      </c>
      <c r="Q138" s="120" t="str">
        <f>IFERROR(INDEX(TableWRCalcPts[TM],MATCH(TableWRVORP[[#This Row],[RK]],TableWRCalcPts[RK],0)),"")</f>
        <v>NO</v>
      </c>
      <c r="R138" s="120">
        <f>IFERROR(INDEX(TableWRCalcPts[BYE],MATCH(TableWRVORP[[#This Row],[RK]],TableWRCalcPts[RK],0)),"")</f>
        <v>11</v>
      </c>
      <c r="S138" s="121">
        <f>IFERROR(INDEX(TableWRCalcPts[Custom],MATCH(TableWRVORP[[#This Row],[RK]],TableWRCalcPts[RK],0)),"")</f>
        <v>22.644639589571998</v>
      </c>
      <c r="T138" s="122">
        <f>IFERROR((TableWRVORP[[#This Row],[FPS]]-INDEX(TableWRVORP[FPS],MATCH(WRVORPCalc,TableWRVORP[RK],0)))/INDEX(TableWRVORP[FPS],MATCH(WRVORPCalc,TableWRVORP[RK],0)),"")</f>
        <v>-0.82620096563766265</v>
      </c>
      <c r="AF138" t="s">
        <v>256</v>
      </c>
      <c r="AG138">
        <v>97</v>
      </c>
      <c r="AH138" s="86">
        <f>RANK(TableOverallMaster[[#This Row],[VORP]],TableOverallMaster[VORP])+COUNTIF($AM$2:AM138,AM138)-1</f>
        <v>293</v>
      </c>
      <c r="AI138" s="123" t="str">
        <f>IFERROR(INDEX(TableRBVORP[RUNNING BACK],MATCH(TableOverallMaster[[#This Row],[RK]],TableRBVORP[RK],0)),"")</f>
        <v>Brandon Bolden</v>
      </c>
      <c r="AJ138" s="123" t="str">
        <f t="shared" si="2"/>
        <v>RB97</v>
      </c>
      <c r="AK138" s="123">
        <f>IFERROR(INDEX(TableRBVORP[BYE],MATCH(TableOverallMaster[[#This Row],[RK]],TableRBVORP[RK],0)),"")</f>
        <v>13</v>
      </c>
      <c r="AL138" s="124">
        <f>IFERROR(INDEX(TableRBVORP[FPS],MATCH(TableOverallMaster[[#This Row],[RK]],TableRBVORP[RK],0)),"")</f>
        <v>22.341095421120002</v>
      </c>
      <c r="AM138" s="125">
        <f>IFERROR(INDEX(TableRBVORP[VORP],MATCH(TableOverallMaster[[#This Row],[RK]],TableRBVORP[RK],0)),"")</f>
        <v>-0.81756848329695342</v>
      </c>
      <c r="AO138">
        <v>137</v>
      </c>
      <c r="AP138" s="126" t="str">
        <f>IFERROR(INDEX(TableOverallMaster[OVERALL PLAYER],MATCH(TableOverallRank[[#This Row],[RK]],TableOverallMaster[OVR RK],0)),"")</f>
        <v>Hunter Henry</v>
      </c>
      <c r="AQ138" s="127" t="str">
        <f>IFERROR(INDEX(TableOverallMaster[POS RK],MATCH(TableOverallRank[[#This Row],[OVERALL PLAYER]],TableOverallMaster[OVERALL PLAYER],0)),"")</f>
        <v>TE13</v>
      </c>
      <c r="AR138" s="128">
        <f>IFERROR(INDEX(TableOverallMaster[BYE],MATCH(TableOverallRank[[#This Row],[OVERALL PLAYER]],TableOverallMaster[OVERALL PLAYER],0)),"")</f>
        <v>11</v>
      </c>
      <c r="AS138" s="127">
        <f>IFERROR(INDEX(TableOverallMaster[Custom],MATCH(TableOverallRank[[#This Row],[OVERALL PLAYER]],TableOverallMaster[OVERALL PLAYER],0)),"")</f>
        <v>112.32468213400713</v>
      </c>
      <c r="AT138" s="129">
        <f>IFERROR(INDEX(TableOverallMaster[VORP],MATCH(TableOverallRank[[#This Row],[OVERALL PLAYER]],TableOverallMaster[OVERALL PLAYER],0)),"")</f>
        <v>-5.4746232207257106E-2</v>
      </c>
      <c r="AV138">
        <v>137</v>
      </c>
      <c r="AW138" s="130" t="str">
        <f>IFERROR(INDEX(TableWRTECalcPts[PLAYER],MATCH(TableWRTERank[[#This Row],[RK]],TableWRTECalcPts[RK],0)),"")</f>
        <v>Trent Sherfield</v>
      </c>
      <c r="AX138" s="130" t="str">
        <f>IFERROR(INDEX(TableWRTECalcPts[POS RK],MATCH(TableWRTERank[[#This Row],[WR and TE COMBINED]],TableWRTECalcPts[PLAYER],0)),"")</f>
        <v>WR100</v>
      </c>
      <c r="AY138" s="130">
        <f>IFERROR(INDEX(TableWRTECalcPts[BYE],MATCH(TableWRTERank[[#This Row],[RK]],TableWRTECalcPts[RK],0)),"")</f>
        <v>13</v>
      </c>
      <c r="AZ138" s="131">
        <f>IFERROR(INDEX(TableWRTECalcPts[Custom],MATCH(TableWRTERank[[#This Row],[RK]],TableWRTECalcPts[RK],0)),"")</f>
        <v>59.836018948557339</v>
      </c>
      <c r="BA138" s="188">
        <f>IFERROR((TableWRTERank[[#This Row],[FPS]]-INDEX(TableWRTERank[FPS],MATCH(WRTEVORPCalc,TableWRTERank[RK],0)))/INDEX(TableWRTERank[FPS],MATCH(WRTEVORPCalc,TableWRTERank[RK],0)),"")</f>
        <v>-0.56762761550071095</v>
      </c>
      <c r="BC138" t="s">
        <v>257</v>
      </c>
      <c r="BD138">
        <v>137</v>
      </c>
      <c r="BE138" s="86">
        <f>RANK(TableWRTEMaster[[#This Row],[VORP]],TableWRTEMaster[VORP])+COUNTIF($BJ$2:BJ138,BJ138)-1</f>
        <v>202</v>
      </c>
      <c r="BF138" s="123" t="str">
        <f>IFERROR(INDEX(TableWRVORP[WIDE RECEIVER],MATCH(TableWRTEMaster[[#This Row],[RK]],TableWRVORP[RK],0)),"")</f>
        <v>Tre'Quan Smith</v>
      </c>
      <c r="BG138" s="123" t="str">
        <f>_xlfn.CONCAT(TableWRTEMaster[[#This Row],[POS]],TableWRTEMaster[[#This Row],[RK]])</f>
        <v>WR137</v>
      </c>
      <c r="BH138" s="123">
        <f>IFERROR(INDEX(TableWRVORP[BYE],MATCH(TableWRTEMaster[[#This Row],[RK]],TableWRVORP[RK],0)),"")</f>
        <v>11</v>
      </c>
      <c r="BI138" s="124">
        <f>IFERROR(INDEX(TableWRVORP[FPS],MATCH(TableWRTEMaster[[#This Row],[RK]],TableWRVORP[RK],0)),"")</f>
        <v>22.644639589571998</v>
      </c>
      <c r="BJ138" s="125">
        <f>IFERROR(INDEX(TableWRVORP[VORP],MATCH(TableWRTEMaster[[#This Row],[RK]],TableWRVORP[RK],0)),"")</f>
        <v>-0.82620096563766265</v>
      </c>
    </row>
    <row r="139" spans="8:62" x14ac:dyDescent="0.2">
      <c r="H139">
        <v>138</v>
      </c>
      <c r="I139" s="120" t="str">
        <f>IFERROR(INDEX(TableRBCalcPts[PLAYER],MATCH(TableRBVORP[[#This Row],[RK]],TableRBCalcPts[RK],0)),"")</f>
        <v/>
      </c>
      <c r="J139" s="120" t="str">
        <f>IFERROR(INDEX(TableRBCalcPts[TM],MATCH(TableRBVORP[[#This Row],[RK]],TableRBCalcPts[RK],0)),"")</f>
        <v/>
      </c>
      <c r="K139" s="120" t="str">
        <f>IFERROR(INDEX(TableRBCalcPts[BYE],MATCH(TableRBVORP[[#This Row],[RK]],TableRBCalcPts[RK],0)),"")</f>
        <v/>
      </c>
      <c r="L139" s="121" t="str">
        <f>IFERROR(INDEX(TableRBCalcPts[Custom],MATCH(TableRBVORP[[#This Row],[RK]],TableRBCalcPts[RK],0)),"")</f>
        <v/>
      </c>
      <c r="M139" s="122" t="str">
        <f>IFERROR((TableRBVORP[[#This Row],[FPS]]-INDEX(TableRBVORP[FPS],MATCH(RBVORPCalc,TableRBVORP[RK],0)))/INDEX(TableRBVORP[FPS],MATCH(RBVORPCalc,TableRBVORP[RK],0)),"")</f>
        <v/>
      </c>
      <c r="O139">
        <v>138</v>
      </c>
      <c r="P139" s="120" t="str">
        <f>IFERROR(INDEX(TableWRCalcPts[PLAYER],MATCH(TableWRVORP[[#This Row],[RK]],TableWRCalcPts[RK],0)),"")</f>
        <v>Jake Bobo</v>
      </c>
      <c r="Q139" s="120" t="str">
        <f>IFERROR(INDEX(TableWRCalcPts[TM],MATCH(TableWRVORP[[#This Row],[RK]],TableWRCalcPts[RK],0)),"")</f>
        <v>SEA</v>
      </c>
      <c r="R139" s="120">
        <f>IFERROR(INDEX(TableWRCalcPts[BYE],MATCH(TableWRVORP[[#This Row],[RK]],TableWRCalcPts[RK],0)),"")</f>
        <v>5</v>
      </c>
      <c r="S139" s="121">
        <f>IFERROR(INDEX(TableWRCalcPts[Custom],MATCH(TableWRVORP[[#This Row],[RK]],TableWRCalcPts[RK],0)),"")</f>
        <v>21.473156859376324</v>
      </c>
      <c r="T139" s="122">
        <f>IFERROR((TableWRVORP[[#This Row],[FPS]]-INDEX(TableWRVORP[FPS],MATCH(WRVORPCalc,TableWRVORP[RK],0)))/INDEX(TableWRVORP[FPS],MATCH(WRVORPCalc,TableWRVORP[RK],0)),"")</f>
        <v>-0.83519216933842366</v>
      </c>
      <c r="AF139" t="s">
        <v>256</v>
      </c>
      <c r="AG139">
        <v>98</v>
      </c>
      <c r="AH139" s="86">
        <f>RANK(TableOverallMaster[[#This Row],[VORP]],TableOverallMaster[VORP])+COUNTIF($AM$2:AM139,AM139)-1</f>
        <v>294</v>
      </c>
      <c r="AI139" s="123" t="str">
        <f>IFERROR(INDEX(TableRBVORP[RUNNING BACK],MATCH(TableOverallMaster[[#This Row],[RK]],TableRBVORP[RK],0)),"")</f>
        <v>Justice Hill</v>
      </c>
      <c r="AJ139" s="123" t="str">
        <f t="shared" si="2"/>
        <v>RB98</v>
      </c>
      <c r="AK139" s="123">
        <f>IFERROR(INDEX(TableRBVORP[BYE],MATCH(TableOverallMaster[[#This Row],[RK]],TableRBVORP[RK],0)),"")</f>
        <v>13</v>
      </c>
      <c r="AL139" s="124">
        <f>IFERROR(INDEX(TableRBVORP[FPS],MATCH(TableOverallMaster[[#This Row],[RK]],TableRBVORP[RK],0)),"")</f>
        <v>21.261982117647044</v>
      </c>
      <c r="AM139" s="125">
        <f>IFERROR(INDEX(TableRBVORP[VORP],MATCH(TableOverallMaster[[#This Row],[RK]],TableRBVORP[RK],0)),"")</f>
        <v>-0.82638023907419711</v>
      </c>
      <c r="AO139">
        <v>138</v>
      </c>
      <c r="AP139" s="126" t="str">
        <f>IFERROR(INDEX(TableOverallMaster[OVERALL PLAYER],MATCH(TableOverallRank[[#This Row],[RK]],TableOverallMaster[OVR RK],0)),"")</f>
        <v>Cole Kmet</v>
      </c>
      <c r="AQ139" s="127" t="str">
        <f>IFERROR(INDEX(TableOverallMaster[POS RK],MATCH(TableOverallRank[[#This Row],[OVERALL PLAYER]],TableOverallMaster[OVERALL PLAYER],0)),"")</f>
        <v>TE14</v>
      </c>
      <c r="AR139" s="128">
        <f>IFERROR(INDEX(TableOverallMaster[BYE],MATCH(TableOverallRank[[#This Row],[OVERALL PLAYER]],TableOverallMaster[OVERALL PLAYER],0)),"")</f>
        <v>13</v>
      </c>
      <c r="AS139" s="127">
        <f>IFERROR(INDEX(TableOverallMaster[Custom],MATCH(TableOverallRank[[#This Row],[OVERALL PLAYER]],TableOverallMaster[OVERALL PLAYER],0)),"")</f>
        <v>112.27012334528251</v>
      </c>
      <c r="AT139" s="129">
        <f>IFERROR(INDEX(TableOverallMaster[VORP],MATCH(TableOverallRank[[#This Row],[OVERALL PLAYER]],TableOverallMaster[OVERALL PLAYER],0)),"")</f>
        <v>-5.5205364604770844E-2</v>
      </c>
      <c r="AV139">
        <v>138</v>
      </c>
      <c r="AW139" s="130" t="str">
        <f>IFERROR(INDEX(TableWRTECalcPts[PLAYER],MATCH(TableWRTERank[[#This Row],[RK]],TableWRTECalcPts[RK],0)),"")</f>
        <v>Tank Dell</v>
      </c>
      <c r="AX139" s="130" t="str">
        <f>IFERROR(INDEX(TableWRTECalcPts[POS RK],MATCH(TableWRTERank[[#This Row],[WR and TE COMBINED]],TableWRTECalcPts[PLAYER],0)),"")</f>
        <v>WR101</v>
      </c>
      <c r="AY139" s="130">
        <f>IFERROR(INDEX(TableWRTECalcPts[BYE],MATCH(TableWRTERank[[#This Row],[RK]],TableWRTECalcPts[RK],0)),"")</f>
        <v>7</v>
      </c>
      <c r="AZ139" s="131">
        <f>IFERROR(INDEX(TableWRTECalcPts[Custom],MATCH(TableWRTERank[[#This Row],[RK]],TableWRTECalcPts[RK],0)),"")</f>
        <v>59.210008222847328</v>
      </c>
      <c r="BA139" s="188">
        <f>IFERROR((TableWRTERank[[#This Row],[FPS]]-INDEX(TableWRTERank[FPS],MATCH(WRTEVORPCalc,TableWRTERank[RK],0)))/INDEX(TableWRTERank[FPS],MATCH(WRTEVORPCalc,TableWRTERank[RK],0)),"")</f>
        <v>-0.57215114087812735</v>
      </c>
      <c r="BC139" t="s">
        <v>257</v>
      </c>
      <c r="BD139">
        <v>138</v>
      </c>
      <c r="BE139" s="86">
        <f>RANK(TableWRTEMaster[[#This Row],[VORP]],TableWRTEMaster[VORP])+COUNTIF($BJ$2:BJ139,BJ139)-1</f>
        <v>205</v>
      </c>
      <c r="BF139" s="123" t="str">
        <f>IFERROR(INDEX(TableWRVORP[WIDE RECEIVER],MATCH(TableWRTEMaster[[#This Row],[RK]],TableWRVORP[RK],0)),"")</f>
        <v>Jake Bobo</v>
      </c>
      <c r="BG139" s="123" t="str">
        <f>_xlfn.CONCAT(TableWRTEMaster[[#This Row],[POS]],TableWRTEMaster[[#This Row],[RK]])</f>
        <v>WR138</v>
      </c>
      <c r="BH139" s="123">
        <f>IFERROR(INDEX(TableWRVORP[BYE],MATCH(TableWRTEMaster[[#This Row],[RK]],TableWRVORP[RK],0)),"")</f>
        <v>5</v>
      </c>
      <c r="BI139" s="124">
        <f>IFERROR(INDEX(TableWRVORP[FPS],MATCH(TableWRTEMaster[[#This Row],[RK]],TableWRVORP[RK],0)),"")</f>
        <v>21.473156859376324</v>
      </c>
      <c r="BJ139" s="125">
        <f>IFERROR(INDEX(TableWRVORP[VORP],MATCH(TableWRTEMaster[[#This Row],[RK]],TableWRVORP[RK],0)),"")</f>
        <v>-0.83519216933842366</v>
      </c>
    </row>
    <row r="140" spans="8:62" x14ac:dyDescent="0.2">
      <c r="H140">
        <v>139</v>
      </c>
      <c r="I140" s="120" t="str">
        <f>IFERROR(INDEX(TableRBCalcPts[PLAYER],MATCH(TableRBVORP[[#This Row],[RK]],TableRBCalcPts[RK],0)),"")</f>
        <v/>
      </c>
      <c r="J140" s="120" t="str">
        <f>IFERROR(INDEX(TableRBCalcPts[TM],MATCH(TableRBVORP[[#This Row],[RK]],TableRBCalcPts[RK],0)),"")</f>
        <v/>
      </c>
      <c r="K140" s="120" t="str">
        <f>IFERROR(INDEX(TableRBCalcPts[BYE],MATCH(TableRBVORP[[#This Row],[RK]],TableRBCalcPts[RK],0)),"")</f>
        <v/>
      </c>
      <c r="L140" s="121" t="str">
        <f>IFERROR(INDEX(TableRBCalcPts[Custom],MATCH(TableRBVORP[[#This Row],[RK]],TableRBCalcPts[RK],0)),"")</f>
        <v/>
      </c>
      <c r="M140" s="122" t="str">
        <f>IFERROR((TableRBVORP[[#This Row],[FPS]]-INDEX(TableRBVORP[FPS],MATCH(RBVORPCalc,TableRBVORP[RK],0)))/INDEX(TableRBVORP[FPS],MATCH(RBVORPCalc,TableRBVORP[RK],0)),"")</f>
        <v/>
      </c>
      <c r="O140">
        <v>139</v>
      </c>
      <c r="P140" s="120" t="str">
        <f>IFERROR(INDEX(TableWRCalcPts[PLAYER],MATCH(TableWRVORP[[#This Row],[RK]],TableWRCalcPts[RK],0)),"")</f>
        <v>Parker Washington</v>
      </c>
      <c r="Q140" s="120" t="str">
        <f>IFERROR(INDEX(TableWRCalcPts[TM],MATCH(TableWRVORP[[#This Row],[RK]],TableWRCalcPts[RK],0)),"")</f>
        <v>JAX</v>
      </c>
      <c r="R140" s="120">
        <f>IFERROR(INDEX(TableWRCalcPts[BYE],MATCH(TableWRVORP[[#This Row],[RK]],TableWRCalcPts[RK],0)),"")</f>
        <v>9</v>
      </c>
      <c r="S140" s="121">
        <f>IFERROR(INDEX(TableWRCalcPts[Custom],MATCH(TableWRVORP[[#This Row],[RK]],TableWRCalcPts[RK],0)),"")</f>
        <v>21.3997226771328</v>
      </c>
      <c r="T140" s="122">
        <f>IFERROR((TableWRVORP[[#This Row],[FPS]]-INDEX(TableWRVORP[FPS],MATCH(WRVORPCalc,TableWRVORP[RK],0)))/INDEX(TableWRVORP[FPS],MATCH(WRVORPCalc,TableWRVORP[RK],0)),"")</f>
        <v>-0.83575578130992934</v>
      </c>
      <c r="AF140" t="s">
        <v>256</v>
      </c>
      <c r="AG140">
        <v>99</v>
      </c>
      <c r="AH140" s="86">
        <f>RANK(TableOverallMaster[[#This Row],[VORP]],TableOverallMaster[VORP])+COUNTIF($AM$2:AM140,AM140)-1</f>
        <v>295</v>
      </c>
      <c r="AI140" s="123" t="str">
        <f>IFERROR(INDEX(TableRBVORP[RUNNING BACK],MATCH(TableOverallMaster[[#This Row],[RK]],TableRBVORP[RK],0)),"")</f>
        <v>Ke'Shawn Vaughn</v>
      </c>
      <c r="AJ140" s="123" t="str">
        <f t="shared" si="2"/>
        <v>RB99</v>
      </c>
      <c r="AK140" s="123">
        <f>IFERROR(INDEX(TableRBVORP[BYE],MATCH(TableOverallMaster[[#This Row],[RK]],TableRBVORP[RK],0)),"")</f>
        <v>5</v>
      </c>
      <c r="AL140" s="124">
        <f>IFERROR(INDEX(TableRBVORP[FPS],MATCH(TableOverallMaster[[#This Row],[RK]],TableRBVORP[RK],0)),"")</f>
        <v>20.166868055698529</v>
      </c>
      <c r="AM140" s="125">
        <f>IFERROR(INDEX(TableRBVORP[VORP],MATCH(TableOverallMaster[[#This Row],[RK]],TableRBVORP[RK],0)),"")</f>
        <v>-0.83532265284211105</v>
      </c>
      <c r="AO140">
        <v>139</v>
      </c>
      <c r="AP140" s="126" t="str">
        <f>IFERROR(INDEX(TableOverallMaster[OVERALL PLAYER],MATCH(TableOverallRank[[#This Row],[RK]],TableOverallMaster[OVR RK],0)),"")</f>
        <v>Jared Goff</v>
      </c>
      <c r="AQ140" s="127" t="str">
        <f>IFERROR(INDEX(TableOverallMaster[POS RK],MATCH(TableOverallRank[[#This Row],[OVERALL PLAYER]],TableOverallMaster[OVERALL PLAYER],0)),"")</f>
        <v>QB20</v>
      </c>
      <c r="AR140" s="128">
        <f>IFERROR(INDEX(TableOverallMaster[BYE],MATCH(TableOverallRank[[#This Row],[OVERALL PLAYER]],TableOverallMaster[OVERALL PLAYER],0)),"")</f>
        <v>9</v>
      </c>
      <c r="AS140" s="127">
        <f>IFERROR(INDEX(TableOverallMaster[Custom],MATCH(TableOverallRank[[#This Row],[OVERALL PLAYER]],TableOverallMaster[OVERALL PLAYER],0)),"")</f>
        <v>286.03273448914445</v>
      </c>
      <c r="AT140" s="129">
        <f>IFERROR(INDEX(TableOverallMaster[VORP],MATCH(TableOverallRank[[#This Row],[OVERALL PLAYER]],TableOverallMaster[OVERALL PLAYER],0)),"")</f>
        <v>-5.5851241022007392E-2</v>
      </c>
      <c r="AV140">
        <v>139</v>
      </c>
      <c r="AW140" s="130" t="str">
        <f>IFERROR(INDEX(TableWRTECalcPts[PLAYER],MATCH(TableWRTERank[[#This Row],[RK]],TableWRTECalcPts[RK],0)),"")</f>
        <v>Cedrick Wilson</v>
      </c>
      <c r="AX140" s="130" t="str">
        <f>IFERROR(INDEX(TableWRTECalcPts[POS RK],MATCH(TableWRTERank[[#This Row],[WR and TE COMBINED]],TableWRTECalcPts[PLAYER],0)),"")</f>
        <v>WR102</v>
      </c>
      <c r="AY140" s="130">
        <f>IFERROR(INDEX(TableWRTECalcPts[BYE],MATCH(TableWRTERank[[#This Row],[RK]],TableWRTECalcPts[RK],0)),"")</f>
        <v>10</v>
      </c>
      <c r="AZ140" s="131">
        <f>IFERROR(INDEX(TableWRTECalcPts[Custom],MATCH(TableWRTERank[[#This Row],[RK]],TableWRTECalcPts[RK],0)),"")</f>
        <v>59.155899982718687</v>
      </c>
      <c r="BA140" s="188">
        <f>IFERROR((TableWRTERank[[#This Row],[FPS]]-INDEX(TableWRTERank[FPS],MATCH(WRTEVORPCalc,TableWRTERank[RK],0)))/INDEX(TableWRTERank[FPS],MATCH(WRTEVORPCalc,TableWRTERank[RK],0)),"")</f>
        <v>-0.57254212459022213</v>
      </c>
      <c r="BC140" t="s">
        <v>257</v>
      </c>
      <c r="BD140">
        <v>139</v>
      </c>
      <c r="BE140" s="86">
        <f>RANK(TableWRTEMaster[[#This Row],[VORP]],TableWRTEMaster[VORP])+COUNTIF($BJ$2:BJ140,BJ140)-1</f>
        <v>206</v>
      </c>
      <c r="BF140" s="123" t="str">
        <f>IFERROR(INDEX(TableWRVORP[WIDE RECEIVER],MATCH(TableWRTEMaster[[#This Row],[RK]],TableWRVORP[RK],0)),"")</f>
        <v>Parker Washington</v>
      </c>
      <c r="BG140" s="123" t="str">
        <f>_xlfn.CONCAT(TableWRTEMaster[[#This Row],[POS]],TableWRTEMaster[[#This Row],[RK]])</f>
        <v>WR139</v>
      </c>
      <c r="BH140" s="123">
        <f>IFERROR(INDEX(TableWRVORP[BYE],MATCH(TableWRTEMaster[[#This Row],[RK]],TableWRVORP[RK],0)),"")</f>
        <v>9</v>
      </c>
      <c r="BI140" s="124">
        <f>IFERROR(INDEX(TableWRVORP[FPS],MATCH(TableWRTEMaster[[#This Row],[RK]],TableWRVORP[RK],0)),"")</f>
        <v>21.3997226771328</v>
      </c>
      <c r="BJ140" s="125">
        <f>IFERROR(INDEX(TableWRVORP[VORP],MATCH(TableWRTEMaster[[#This Row],[RK]],TableWRVORP[RK],0)),"")</f>
        <v>-0.83575578130992934</v>
      </c>
    </row>
    <row r="141" spans="8:62" x14ac:dyDescent="0.2">
      <c r="H141">
        <v>140</v>
      </c>
      <c r="I141" s="120" t="str">
        <f>IFERROR(INDEX(TableRBCalcPts[PLAYER],MATCH(TableRBVORP[[#This Row],[RK]],TableRBCalcPts[RK],0)),"")</f>
        <v/>
      </c>
      <c r="J141" s="120" t="str">
        <f>IFERROR(INDEX(TableRBCalcPts[TM],MATCH(TableRBVORP[[#This Row],[RK]],TableRBCalcPts[RK],0)),"")</f>
        <v/>
      </c>
      <c r="K141" s="120" t="str">
        <f>IFERROR(INDEX(TableRBCalcPts[BYE],MATCH(TableRBVORP[[#This Row],[RK]],TableRBCalcPts[RK],0)),"")</f>
        <v/>
      </c>
      <c r="L141" s="121" t="str">
        <f>IFERROR(INDEX(TableRBCalcPts[Custom],MATCH(TableRBVORP[[#This Row],[RK]],TableRBCalcPts[RK],0)),"")</f>
        <v/>
      </c>
      <c r="M141" s="122" t="str">
        <f>IFERROR((TableRBVORP[[#This Row],[FPS]]-INDEX(TableRBVORP[FPS],MATCH(RBVORPCalc,TableRBVORP[RK],0)))/INDEX(TableRBVORP[FPS],MATCH(RBVORPCalc,TableRBVORP[RK],0)),"")</f>
        <v/>
      </c>
      <c r="O141">
        <v>140</v>
      </c>
      <c r="P141" s="120" t="str">
        <f>IFERROR(INDEX(TableWRCalcPts[PLAYER],MATCH(TableWRVORP[[#This Row],[RK]],TableWRCalcPts[RK],0)),"")</f>
        <v>Chris Moore</v>
      </c>
      <c r="Q141" s="120" t="str">
        <f>IFERROR(INDEX(TableWRCalcPts[TM],MATCH(TableWRVORP[[#This Row],[RK]],TableWRCalcPts[RK],0)),"")</f>
        <v>TEN</v>
      </c>
      <c r="R141" s="120">
        <f>IFERROR(INDEX(TableWRCalcPts[BYE],MATCH(TableWRVORP[[#This Row],[RK]],TableWRCalcPts[RK],0)),"")</f>
        <v>7</v>
      </c>
      <c r="S141" s="121">
        <f>IFERROR(INDEX(TableWRCalcPts[Custom],MATCH(TableWRVORP[[#This Row],[RK]],TableWRCalcPts[RK],0)),"")</f>
        <v>21.260022568135398</v>
      </c>
      <c r="T141" s="122">
        <f>IFERROR((TableWRVORP[[#This Row],[FPS]]-INDEX(TableWRVORP[FPS],MATCH(WRVORPCalc,TableWRVORP[RK],0)))/INDEX(TableWRVORP[FPS],MATCH(WRVORPCalc,TableWRVORP[RK],0)),"")</f>
        <v>-0.83682798844080564</v>
      </c>
      <c r="AF141" t="s">
        <v>256</v>
      </c>
      <c r="AG141">
        <v>100</v>
      </c>
      <c r="AH141" s="86">
        <f>RANK(TableOverallMaster[[#This Row],[VORP]],TableOverallMaster[VORP])+COUNTIF($AM$2:AM141,AM141)-1</f>
        <v>296</v>
      </c>
      <c r="AI141" s="123" t="str">
        <f>IFERROR(INDEX(TableRBVORP[RUNNING BACK],MATCH(TableOverallMaster[[#This Row],[RK]],TableRBVORP[RK],0)),"")</f>
        <v>Tyrion Davis-Price</v>
      </c>
      <c r="AJ141" s="123" t="str">
        <f t="shared" si="2"/>
        <v>RB100</v>
      </c>
      <c r="AK141" s="123">
        <f>IFERROR(INDEX(TableRBVORP[BYE],MATCH(TableOverallMaster[[#This Row],[RK]],TableRBVORP[RK],0)),"")</f>
        <v>9</v>
      </c>
      <c r="AL141" s="124">
        <f>IFERROR(INDEX(TableRBVORP[FPS],MATCH(TableOverallMaster[[#This Row],[RK]],TableRBVORP[RK],0)),"")</f>
        <v>18.938193866605488</v>
      </c>
      <c r="AM141" s="125">
        <f>IFERROR(INDEX(TableRBVORP[VORP],MATCH(TableOverallMaster[[#This Row],[RK]],TableRBVORP[RK],0)),"")</f>
        <v>-0.84535568352503054</v>
      </c>
      <c r="AO141">
        <v>140</v>
      </c>
      <c r="AP141" s="126" t="str">
        <f>IFERROR(INDEX(TableOverallMaster[OVERALL PLAYER],MATCH(TableOverallRank[[#This Row],[RK]],TableOverallMaster[OVR RK],0)),"")</f>
        <v>Jordan Love</v>
      </c>
      <c r="AQ141" s="127" t="str">
        <f>IFERROR(INDEX(TableOverallMaster[POS RK],MATCH(TableOverallRank[[#This Row],[OVERALL PLAYER]],TableOverallMaster[OVERALL PLAYER],0)),"")</f>
        <v>QB21</v>
      </c>
      <c r="AR141" s="128">
        <f>IFERROR(INDEX(TableOverallMaster[BYE],MATCH(TableOverallRank[[#This Row],[OVERALL PLAYER]],TableOverallMaster[OVERALL PLAYER],0)),"")</f>
        <v>6</v>
      </c>
      <c r="AS141" s="127">
        <f>IFERROR(INDEX(TableOverallMaster[Custom],MATCH(TableOverallRank[[#This Row],[OVERALL PLAYER]],TableOverallMaster[OVERALL PLAYER],0)),"")</f>
        <v>284.28893491449384</v>
      </c>
      <c r="AT141" s="129">
        <f>IFERROR(INDEX(TableOverallMaster[VORP],MATCH(TableOverallRank[[#This Row],[OVERALL PLAYER]],TableOverallMaster[OVERALL PLAYER],0)),"")</f>
        <v>-6.0496937319552246E-2</v>
      </c>
      <c r="AV141">
        <v>140</v>
      </c>
      <c r="AW141" s="130" t="str">
        <f>IFERROR(INDEX(TableWRTECalcPts[PLAYER],MATCH(TableWRTERank[[#This Row],[RK]],TableWRTECalcPts[RK],0)),"")</f>
        <v>Wan'Dale Robinson</v>
      </c>
      <c r="AX141" s="130" t="str">
        <f>IFERROR(INDEX(TableWRTECalcPts[POS RK],MATCH(TableWRTERank[[#This Row],[WR and TE COMBINED]],TableWRTECalcPts[PLAYER],0)),"")</f>
        <v>WR103</v>
      </c>
      <c r="AY141" s="130">
        <f>IFERROR(INDEX(TableWRTECalcPts[BYE],MATCH(TableWRTERank[[#This Row],[RK]],TableWRTECalcPts[RK],0)),"")</f>
        <v>13</v>
      </c>
      <c r="AZ141" s="131">
        <f>IFERROR(INDEX(TableWRTECalcPts[Custom],MATCH(TableWRTERank[[#This Row],[RK]],TableWRTECalcPts[RK],0)),"")</f>
        <v>57.776482817212141</v>
      </c>
      <c r="BA141" s="188">
        <f>IFERROR((TableWRTERank[[#This Row],[FPS]]-INDEX(TableWRTERank[FPS],MATCH(WRTEVORPCalc,TableWRTERank[RK],0)))/INDEX(TableWRTERank[FPS],MATCH(WRTEVORPCalc,TableWRTERank[RK],0)),"")</f>
        <v>-0.58250973105117465</v>
      </c>
      <c r="BC141" t="s">
        <v>257</v>
      </c>
      <c r="BD141">
        <v>140</v>
      </c>
      <c r="BE141" s="86">
        <f>RANK(TableWRTEMaster[[#This Row],[VORP]],TableWRTEMaster[VORP])+COUNTIF($BJ$2:BJ141,BJ141)-1</f>
        <v>207</v>
      </c>
      <c r="BF141" s="123" t="str">
        <f>IFERROR(INDEX(TableWRVORP[WIDE RECEIVER],MATCH(TableWRTEMaster[[#This Row],[RK]],TableWRVORP[RK],0)),"")</f>
        <v>Chris Moore</v>
      </c>
      <c r="BG141" s="123" t="str">
        <f>_xlfn.CONCAT(TableWRTEMaster[[#This Row],[POS]],TableWRTEMaster[[#This Row],[RK]])</f>
        <v>WR140</v>
      </c>
      <c r="BH141" s="123">
        <f>IFERROR(INDEX(TableWRVORP[BYE],MATCH(TableWRTEMaster[[#This Row],[RK]],TableWRVORP[RK],0)),"")</f>
        <v>7</v>
      </c>
      <c r="BI141" s="124">
        <f>IFERROR(INDEX(TableWRVORP[FPS],MATCH(TableWRTEMaster[[#This Row],[RK]],TableWRVORP[RK],0)),"")</f>
        <v>21.260022568135398</v>
      </c>
      <c r="BJ141" s="125">
        <f>IFERROR(INDEX(TableWRVORP[VORP],MATCH(TableWRTEMaster[[#This Row],[RK]],TableWRVORP[RK],0)),"")</f>
        <v>-0.83682798844080564</v>
      </c>
    </row>
    <row r="142" spans="8:62" x14ac:dyDescent="0.2">
      <c r="H142">
        <v>141</v>
      </c>
      <c r="I142" s="120" t="str">
        <f>IFERROR(INDEX(TableRBCalcPts[PLAYER],MATCH(TableRBVORP[[#This Row],[RK]],TableRBCalcPts[RK],0)),"")</f>
        <v/>
      </c>
      <c r="J142" s="120" t="str">
        <f>IFERROR(INDEX(TableRBCalcPts[TM],MATCH(TableRBVORP[[#This Row],[RK]],TableRBCalcPts[RK],0)),"")</f>
        <v/>
      </c>
      <c r="K142" s="120" t="str">
        <f>IFERROR(INDEX(TableRBCalcPts[BYE],MATCH(TableRBVORP[[#This Row],[RK]],TableRBCalcPts[RK],0)),"")</f>
        <v/>
      </c>
      <c r="L142" s="121" t="str">
        <f>IFERROR(INDEX(TableRBCalcPts[Custom],MATCH(TableRBVORP[[#This Row],[RK]],TableRBCalcPts[RK],0)),"")</f>
        <v/>
      </c>
      <c r="M142" s="122" t="str">
        <f>IFERROR((TableRBVORP[[#This Row],[FPS]]-INDEX(TableRBVORP[FPS],MATCH(RBVORPCalc,TableRBVORP[RK],0)))/INDEX(TableRBVORP[FPS],MATCH(RBVORPCalc,TableRBVORP[RK],0)),"")</f>
        <v/>
      </c>
      <c r="O142">
        <v>141</v>
      </c>
      <c r="P142" s="120" t="str">
        <f>IFERROR(INDEX(TableWRCalcPts[PLAYER],MATCH(TableWRVORP[[#This Row],[RK]],TableWRCalcPts[RK],0)),"")</f>
        <v>Josh Ali</v>
      </c>
      <c r="Q142" s="120" t="str">
        <f>IFERROR(INDEX(TableWRCalcPts[TM],MATCH(TableWRVORP[[#This Row],[RK]],TableWRCalcPts[RK],0)),"")</f>
        <v>ATL</v>
      </c>
      <c r="R142" s="120">
        <f>IFERROR(INDEX(TableWRCalcPts[BYE],MATCH(TableWRVORP[[#This Row],[RK]],TableWRCalcPts[RK],0)),"")</f>
        <v>11</v>
      </c>
      <c r="S142" s="121">
        <f>IFERROR(INDEX(TableWRCalcPts[Custom],MATCH(TableWRVORP[[#This Row],[RK]],TableWRCalcPts[RK],0)),"")</f>
        <v>21.123903027513649</v>
      </c>
      <c r="T142" s="122">
        <f>IFERROR((TableWRVORP[[#This Row],[FPS]]-INDEX(TableWRVORP[FPS],MATCH(WRVORPCalc,TableWRVORP[RK],0)))/INDEX(TableWRVORP[FPS],MATCH(WRVORPCalc,TableWRVORP[RK],0)),"")</f>
        <v>-0.83787271448399681</v>
      </c>
      <c r="AF142" t="s">
        <v>257</v>
      </c>
      <c r="AG142">
        <v>1</v>
      </c>
      <c r="AH142" s="86">
        <f>RANK(TableOverallMaster[[#This Row],[VORP]],TableOverallMaster[VORP])+COUNTIF($AM$2:AM142,AM142)-1</f>
        <v>4</v>
      </c>
      <c r="AI142" s="123" t="str">
        <f>IFERROR(INDEX(TableWRVORP[WIDE RECEIVER],MATCH(TableOverallMaster[[#This Row],[RK]],TableWRVORP[RK],0)),"")</f>
        <v>Justin Jefferson</v>
      </c>
      <c r="AJ142" s="123" t="str">
        <f t="shared" si="2"/>
        <v>WR1</v>
      </c>
      <c r="AK142" s="123">
        <f>IFERROR(INDEX(TableWRVORP[BYE],MATCH(TableOverallMaster[[#This Row],[RK]],TableWRVORP[RK],0)),"")</f>
        <v>13</v>
      </c>
      <c r="AL142" s="124">
        <f>IFERROR(INDEX(TableWRVORP[FPS],MATCH(TableOverallMaster[[#This Row],[RK]],TableWRVORP[RK],0)),"")</f>
        <v>277.31918748577561</v>
      </c>
      <c r="AM142" s="125">
        <f>IFERROR(INDEX(TableWRVORP[VORP],MATCH(TableOverallMaster[[#This Row],[RK]],TableWRVORP[RK],0)),"")</f>
        <v>1.1284422215918688</v>
      </c>
      <c r="AO142">
        <v>141</v>
      </c>
      <c r="AP142" s="126" t="str">
        <f>IFERROR(INDEX(TableOverallMaster[OVERALL PLAYER],MATCH(TableOverallRank[[#This Row],[RK]],TableOverallMaster[OVR RK],0)),"")</f>
        <v>Dalton Kincaid</v>
      </c>
      <c r="AQ142" s="127" t="str">
        <f>IFERROR(INDEX(TableOverallMaster[POS RK],MATCH(TableOverallRank[[#This Row],[OVERALL PLAYER]],TableOverallMaster[OVERALL PLAYER],0)),"")</f>
        <v>TE15</v>
      </c>
      <c r="AR142" s="128">
        <f>IFERROR(INDEX(TableOverallMaster[BYE],MATCH(TableOverallRank[[#This Row],[OVERALL PLAYER]],TableOverallMaster[OVERALL PLAYER],0)),"")</f>
        <v>13</v>
      </c>
      <c r="AS142" s="127">
        <f>IFERROR(INDEX(TableOverallMaster[Custom],MATCH(TableOverallRank[[#This Row],[OVERALL PLAYER]],TableOverallMaster[OVERALL PLAYER],0)),"")</f>
        <v>111.19421970139238</v>
      </c>
      <c r="AT142" s="129">
        <f>IFERROR(INDEX(TableOverallMaster[VORP],MATCH(TableOverallRank[[#This Row],[OVERALL PLAYER]],TableOverallMaster[OVERALL PLAYER],0)),"")</f>
        <v>-6.4259491924319082E-2</v>
      </c>
      <c r="AV142">
        <v>141</v>
      </c>
      <c r="AW142" s="130" t="str">
        <f>IFERROR(INDEX(TableWRTECalcPts[PLAYER],MATCH(TableWRTERank[[#This Row],[RK]],TableWRTECalcPts[RK],0)),"")</f>
        <v>Kylen Granson</v>
      </c>
      <c r="AX142" s="130" t="str">
        <f>IFERROR(INDEX(TableWRTECalcPts[POS RK],MATCH(TableWRTERank[[#This Row],[WR and TE COMBINED]],TableWRTECalcPts[PLAYER],0)),"")</f>
        <v>TE38</v>
      </c>
      <c r="AY142" s="130">
        <f>IFERROR(INDEX(TableWRTECalcPts[BYE],MATCH(TableWRTERank[[#This Row],[RK]],TableWRTECalcPts[RK],0)),"")</f>
        <v>11</v>
      </c>
      <c r="AZ142" s="131">
        <f>IFERROR(INDEX(TableWRTECalcPts[Custom],MATCH(TableWRTERank[[#This Row],[RK]],TableWRTECalcPts[RK],0)),"")</f>
        <v>57.54787370262359</v>
      </c>
      <c r="BA142" s="188">
        <f>IFERROR((TableWRTERank[[#This Row],[FPS]]-INDEX(TableWRTERank[FPS],MATCH(WRTEVORPCalc,TableWRTERank[RK],0)))/INDEX(TableWRTERank[FPS],MATCH(WRTEVORPCalc,TableWRTERank[RK],0)),"")</f>
        <v>-0.58416165024181965</v>
      </c>
      <c r="BC142" t="s">
        <v>257</v>
      </c>
      <c r="BD142">
        <v>141</v>
      </c>
      <c r="BE142" s="86">
        <f>RANK(TableWRTEMaster[[#This Row],[VORP]],TableWRTEMaster[VORP])+COUNTIF($BJ$2:BJ142,BJ142)-1</f>
        <v>208</v>
      </c>
      <c r="BF142" s="123" t="str">
        <f>IFERROR(INDEX(TableWRVORP[WIDE RECEIVER],MATCH(TableWRTEMaster[[#This Row],[RK]],TableWRVORP[RK],0)),"")</f>
        <v>Josh Ali</v>
      </c>
      <c r="BG142" s="123" t="str">
        <f>_xlfn.CONCAT(TableWRTEMaster[[#This Row],[POS]],TableWRTEMaster[[#This Row],[RK]])</f>
        <v>WR141</v>
      </c>
      <c r="BH142" s="123">
        <f>IFERROR(INDEX(TableWRVORP[BYE],MATCH(TableWRTEMaster[[#This Row],[RK]],TableWRVORP[RK],0)),"")</f>
        <v>11</v>
      </c>
      <c r="BI142" s="124">
        <f>IFERROR(INDEX(TableWRVORP[FPS],MATCH(TableWRTEMaster[[#This Row],[RK]],TableWRVORP[RK],0)),"")</f>
        <v>21.123903027513649</v>
      </c>
      <c r="BJ142" s="125">
        <f>IFERROR(INDEX(TableWRVORP[VORP],MATCH(TableWRTEMaster[[#This Row],[RK]],TableWRVORP[RK],0)),"")</f>
        <v>-0.83787271448399681</v>
      </c>
    </row>
    <row r="143" spans="8:62" x14ac:dyDescent="0.2">
      <c r="H143">
        <v>142</v>
      </c>
      <c r="I143" s="120" t="str">
        <f>IFERROR(INDEX(TableRBCalcPts[PLAYER],MATCH(TableRBVORP[[#This Row],[RK]],TableRBCalcPts[RK],0)),"")</f>
        <v/>
      </c>
      <c r="J143" s="120" t="str">
        <f>IFERROR(INDEX(TableRBCalcPts[TM],MATCH(TableRBVORP[[#This Row],[RK]],TableRBCalcPts[RK],0)),"")</f>
        <v/>
      </c>
      <c r="K143" s="120" t="str">
        <f>IFERROR(INDEX(TableRBCalcPts[BYE],MATCH(TableRBVORP[[#This Row],[RK]],TableRBCalcPts[RK],0)),"")</f>
        <v/>
      </c>
      <c r="L143" s="121" t="str">
        <f>IFERROR(INDEX(TableRBCalcPts[Custom],MATCH(TableRBVORP[[#This Row],[RK]],TableRBCalcPts[RK],0)),"")</f>
        <v/>
      </c>
      <c r="M143" s="122" t="str">
        <f>IFERROR((TableRBVORP[[#This Row],[FPS]]-INDEX(TableRBVORP[FPS],MATCH(RBVORPCalc,TableRBVORP[RK],0)))/INDEX(TableRBVORP[FPS],MATCH(RBVORPCalc,TableRBVORP[RK],0)),"")</f>
        <v/>
      </c>
      <c r="O143">
        <v>142</v>
      </c>
      <c r="P143" s="120" t="str">
        <f>IFERROR(INDEX(TableWRCalcPts[PLAYER],MATCH(TableWRVORP[[#This Row],[RK]],TableWRCalcPts[RK],0)),"")</f>
        <v>Calvin Austin</v>
      </c>
      <c r="Q143" s="120" t="str">
        <f>IFERROR(INDEX(TableWRCalcPts[TM],MATCH(TableWRVORP[[#This Row],[RK]],TableWRCalcPts[RK],0)),"")</f>
        <v>PIT</v>
      </c>
      <c r="R143" s="120">
        <f>IFERROR(INDEX(TableWRCalcPts[BYE],MATCH(TableWRVORP[[#This Row],[RK]],TableWRCalcPts[RK],0)),"")</f>
        <v>6</v>
      </c>
      <c r="S143" s="121">
        <f>IFERROR(INDEX(TableWRCalcPts[Custom],MATCH(TableWRVORP[[#This Row],[RK]],TableWRCalcPts[RK],0)),"")</f>
        <v>20.161777129038061</v>
      </c>
      <c r="T143" s="122">
        <f>IFERROR((TableWRVORP[[#This Row],[FPS]]-INDEX(TableWRVORP[FPS],MATCH(WRVORPCalc,TableWRVORP[RK],0)))/INDEX(TableWRVORP[FPS],MATCH(WRVORPCalc,TableWRVORP[RK],0)),"")</f>
        <v>-0.84525709132199511</v>
      </c>
      <c r="AF143" t="s">
        <v>257</v>
      </c>
      <c r="AG143">
        <v>2</v>
      </c>
      <c r="AH143" s="86">
        <f>RANK(TableOverallMaster[[#This Row],[VORP]],TableOverallMaster[VORP])+COUNTIF($AM$2:AM143,AM143)-1</f>
        <v>9</v>
      </c>
      <c r="AI143" s="123" t="str">
        <f>IFERROR(INDEX(TableWRVORP[WIDE RECEIVER],MATCH(TableOverallMaster[[#This Row],[RK]],TableWRVORP[RK],0)),"")</f>
        <v>Tyreek Hill</v>
      </c>
      <c r="AJ143" s="123" t="str">
        <f t="shared" si="2"/>
        <v>WR2</v>
      </c>
      <c r="AK143" s="123">
        <f>IFERROR(INDEX(TableWRVORP[BYE],MATCH(TableOverallMaster[[#This Row],[RK]],TableWRVORP[RK],0)),"")</f>
        <v>10</v>
      </c>
      <c r="AL143" s="124">
        <f>IFERROR(INDEX(TableWRVORP[FPS],MATCH(TableOverallMaster[[#This Row],[RK]],TableWRVORP[RK],0)),"")</f>
        <v>265.79784894083116</v>
      </c>
      <c r="AM143" s="125">
        <f>IFERROR(INDEX(TableWRVORP[VORP],MATCH(TableOverallMaster[[#This Row],[RK]],TableWRVORP[RK],0)),"")</f>
        <v>1.0400152229747197</v>
      </c>
      <c r="AO143">
        <v>142</v>
      </c>
      <c r="AP143" s="126" t="str">
        <f>IFERROR(INDEX(TableOverallMaster[OVERALL PLAYER],MATCH(TableOverallRank[[#This Row],[RK]],TableOverallMaster[OVR RK],0)),"")</f>
        <v>Keaontay Ingram</v>
      </c>
      <c r="AQ143" s="127" t="str">
        <f>IFERROR(INDEX(TableOverallMaster[POS RK],MATCH(TableOverallRank[[#This Row],[OVERALL PLAYER]],TableOverallMaster[OVERALL PLAYER],0)),"")</f>
        <v>RB46</v>
      </c>
      <c r="AR143" s="128">
        <f>IFERROR(INDEX(TableOverallMaster[BYE],MATCH(TableOverallRank[[#This Row],[OVERALL PLAYER]],TableOverallMaster[OVERALL PLAYER],0)),"")</f>
        <v>14</v>
      </c>
      <c r="AS143" s="127">
        <f>IFERROR(INDEX(TableOverallMaster[Custom],MATCH(TableOverallRank[[#This Row],[OVERALL PLAYER]],TableOverallMaster[OVERALL PLAYER],0)),"")</f>
        <v>114.34337921125001</v>
      </c>
      <c r="AT143" s="129">
        <f>IFERROR(INDEX(TableOverallMaster[VORP],MATCH(TableOverallRank[[#This Row],[OVERALL PLAYER]],TableOverallMaster[OVERALL PLAYER],0)),"")</f>
        <v>-6.6302000807881595E-2</v>
      </c>
      <c r="AV143">
        <v>142</v>
      </c>
      <c r="AW143" s="130" t="str">
        <f>IFERROR(INDEX(TableWRTECalcPts[PLAYER],MATCH(TableWRTERank[[#This Row],[RK]],TableWRTECalcPts[RK],0)),"")</f>
        <v>Rashee Rice</v>
      </c>
      <c r="AX143" s="130" t="str">
        <f>IFERROR(INDEX(TableWRTECalcPts[POS RK],MATCH(TableWRTERank[[#This Row],[WR and TE COMBINED]],TableWRTECalcPts[PLAYER],0)),"")</f>
        <v>WR104</v>
      </c>
      <c r="AY143" s="130">
        <f>IFERROR(INDEX(TableWRTECalcPts[BYE],MATCH(TableWRTERank[[#This Row],[RK]],TableWRTECalcPts[RK],0)),"")</f>
        <v>10</v>
      </c>
      <c r="AZ143" s="131">
        <f>IFERROR(INDEX(TableWRTECalcPts[Custom],MATCH(TableWRTERank[[#This Row],[RK]],TableWRTECalcPts[RK],0)),"")</f>
        <v>56.831704490872688</v>
      </c>
      <c r="BA143" s="188">
        <f>IFERROR((TableWRTERank[[#This Row],[FPS]]-INDEX(TableWRTERank[FPS],MATCH(WRTEVORPCalc,TableWRTERank[RK],0)))/INDEX(TableWRTERank[FPS],MATCH(WRTEVORPCalc,TableWRTERank[RK],0)),"")</f>
        <v>-0.58933665678856095</v>
      </c>
      <c r="BC143" t="s">
        <v>257</v>
      </c>
      <c r="BD143">
        <v>142</v>
      </c>
      <c r="BE143" s="86">
        <f>RANK(TableWRTEMaster[[#This Row],[VORP]],TableWRTEMaster[VORP])+COUNTIF($BJ$2:BJ143,BJ143)-1</f>
        <v>209</v>
      </c>
      <c r="BF143" s="123" t="str">
        <f>IFERROR(INDEX(TableWRVORP[WIDE RECEIVER],MATCH(TableWRTEMaster[[#This Row],[RK]],TableWRVORP[RK],0)),"")</f>
        <v>Calvin Austin</v>
      </c>
      <c r="BG143" s="123" t="str">
        <f>_xlfn.CONCAT(TableWRTEMaster[[#This Row],[POS]],TableWRTEMaster[[#This Row],[RK]])</f>
        <v>WR142</v>
      </c>
      <c r="BH143" s="123">
        <f>IFERROR(INDEX(TableWRVORP[BYE],MATCH(TableWRTEMaster[[#This Row],[RK]],TableWRVORP[RK],0)),"")</f>
        <v>6</v>
      </c>
      <c r="BI143" s="124">
        <f>IFERROR(INDEX(TableWRVORP[FPS],MATCH(TableWRTEMaster[[#This Row],[RK]],TableWRVORP[RK],0)),"")</f>
        <v>20.161777129038061</v>
      </c>
      <c r="BJ143" s="125">
        <f>IFERROR(INDEX(TableWRVORP[VORP],MATCH(TableWRTEMaster[[#This Row],[RK]],TableWRVORP[RK],0)),"")</f>
        <v>-0.84525709132199511</v>
      </c>
    </row>
    <row r="144" spans="8:62" x14ac:dyDescent="0.2">
      <c r="H144">
        <v>143</v>
      </c>
      <c r="I144" s="120" t="str">
        <f>IFERROR(INDEX(TableRBCalcPts[PLAYER],MATCH(TableRBVORP[[#This Row],[RK]],TableRBCalcPts[RK],0)),"")</f>
        <v/>
      </c>
      <c r="J144" s="120" t="str">
        <f>IFERROR(INDEX(TableRBCalcPts[TM],MATCH(TableRBVORP[[#This Row],[RK]],TableRBCalcPts[RK],0)),"")</f>
        <v/>
      </c>
      <c r="K144" s="120" t="str">
        <f>IFERROR(INDEX(TableRBCalcPts[BYE],MATCH(TableRBVORP[[#This Row],[RK]],TableRBCalcPts[RK],0)),"")</f>
        <v/>
      </c>
      <c r="L144" s="121" t="str">
        <f>IFERROR(INDEX(TableRBCalcPts[Custom],MATCH(TableRBVORP[[#This Row],[RK]],TableRBCalcPts[RK],0)),"")</f>
        <v/>
      </c>
      <c r="M144" s="122" t="str">
        <f>IFERROR((TableRBVORP[[#This Row],[FPS]]-INDEX(TableRBVORP[FPS],MATCH(RBVORPCalc,TableRBVORP[RK],0)))/INDEX(TableRBVORP[FPS],MATCH(RBVORPCalc,TableRBVORP[RK],0)),"")</f>
        <v/>
      </c>
      <c r="O144">
        <v>143</v>
      </c>
      <c r="P144" s="120" t="str">
        <f>IFERROR(INDEX(TableWRCalcPts[PLAYER],MATCH(TableWRVORP[[#This Row],[RK]],TableWRCalcPts[RK],0)),"")</f>
        <v>Malik Heath</v>
      </c>
      <c r="Q144" s="120" t="str">
        <f>IFERROR(INDEX(TableWRCalcPts[TM],MATCH(TableWRVORP[[#This Row],[RK]],TableWRCalcPts[RK],0)),"")</f>
        <v>GB</v>
      </c>
      <c r="R144" s="120">
        <f>IFERROR(INDEX(TableWRCalcPts[BYE],MATCH(TableWRVORP[[#This Row],[RK]],TableWRCalcPts[RK],0)),"")</f>
        <v>6</v>
      </c>
      <c r="S144" s="121">
        <f>IFERROR(INDEX(TableWRCalcPts[Custom],MATCH(TableWRVORP[[#This Row],[RK]],TableWRCalcPts[RK],0)),"")</f>
        <v>18.534319168668365</v>
      </c>
      <c r="T144" s="122">
        <f>IFERROR((TableWRVORP[[#This Row],[FPS]]-INDEX(TableWRVORP[FPS],MATCH(WRVORPCalc,TableWRVORP[RK],0)))/INDEX(TableWRVORP[FPS],MATCH(WRVORPCalc,TableWRVORP[RK],0)),"")</f>
        <v>-0.85774793361863322</v>
      </c>
      <c r="AF144" t="s">
        <v>257</v>
      </c>
      <c r="AG144">
        <v>3</v>
      </c>
      <c r="AH144" s="86">
        <f>RANK(TableOverallMaster[[#This Row],[VORP]],TableOverallMaster[VORP])+COUNTIF($AM$2:AM144,AM144)-1</f>
        <v>10</v>
      </c>
      <c r="AI144" s="123" t="str">
        <f>IFERROR(INDEX(TableWRVORP[WIDE RECEIVER],MATCH(TableOverallMaster[[#This Row],[RK]],TableWRVORP[RK],0)),"")</f>
        <v>Cooper Kupp</v>
      </c>
      <c r="AJ144" s="123" t="str">
        <f t="shared" si="2"/>
        <v>WR3</v>
      </c>
      <c r="AK144" s="123">
        <f>IFERROR(INDEX(TableWRVORP[BYE],MATCH(TableOverallMaster[[#This Row],[RK]],TableWRVORP[RK],0)),"")</f>
        <v>10</v>
      </c>
      <c r="AL144" s="124">
        <f>IFERROR(INDEX(TableWRVORP[FPS],MATCH(TableOverallMaster[[#This Row],[RK]],TableWRVORP[RK],0)),"")</f>
        <v>258.64512105109765</v>
      </c>
      <c r="AM144" s="125">
        <f>IFERROR(INDEX(TableWRVORP[VORP],MATCH(TableOverallMaster[[#This Row],[RK]],TableWRVORP[RK],0)),"")</f>
        <v>0.98511758614658851</v>
      </c>
      <c r="AO144">
        <v>143</v>
      </c>
      <c r="AP144" s="126" t="str">
        <f>IFERROR(INDEX(TableOverallMaster[OVERALL PLAYER],MATCH(TableOverallRank[[#This Row],[RK]],TableOverallMaster[OVR RK],0)),"")</f>
        <v>Darius Slayton</v>
      </c>
      <c r="AQ144" s="127" t="str">
        <f>IFERROR(INDEX(TableOverallMaster[POS RK],MATCH(TableOverallRank[[#This Row],[OVERALL PLAYER]],TableOverallMaster[OVERALL PLAYER],0)),"")</f>
        <v>WR61</v>
      </c>
      <c r="AR144" s="128">
        <f>IFERROR(INDEX(TableOverallMaster[BYE],MATCH(TableOverallRank[[#This Row],[OVERALL PLAYER]],TableOverallMaster[OVERALL PLAYER],0)),"")</f>
        <v>13</v>
      </c>
      <c r="AS144" s="127">
        <f>IFERROR(INDEX(TableOverallMaster[Custom],MATCH(TableOverallRank[[#This Row],[OVERALL PLAYER]],TableOverallMaster[OVERALL PLAYER],0)),"")</f>
        <v>121.11123240350437</v>
      </c>
      <c r="AT144" s="129">
        <f>IFERROR(INDEX(TableOverallMaster[VORP],MATCH(TableOverallRank[[#This Row],[OVERALL PLAYER]],TableOverallMaster[OVERALL PLAYER],0)),"")</f>
        <v>-7.0463667178218378E-2</v>
      </c>
      <c r="AV144">
        <v>143</v>
      </c>
      <c r="AW144" s="130" t="str">
        <f>IFERROR(INDEX(TableWRTECalcPts[PLAYER],MATCH(TableWRTERank[[#This Row],[RK]],TableWRTECalcPts[RK],0)),"")</f>
        <v>Deonte Harty</v>
      </c>
      <c r="AX144" s="130" t="str">
        <f>IFERROR(INDEX(TableWRTECalcPts[POS RK],MATCH(TableWRTERank[[#This Row],[WR and TE COMBINED]],TableWRTECalcPts[PLAYER],0)),"")</f>
        <v>WR105</v>
      </c>
      <c r="AY144" s="130">
        <f>IFERROR(INDEX(TableWRTECalcPts[BYE],MATCH(TableWRTERank[[#This Row],[RK]],TableWRTECalcPts[RK],0)),"")</f>
        <v>13</v>
      </c>
      <c r="AZ144" s="131">
        <f>IFERROR(INDEX(TableWRTECalcPts[Custom],MATCH(TableWRTERank[[#This Row],[RK]],TableWRTECalcPts[RK],0)),"")</f>
        <v>56.822667667156409</v>
      </c>
      <c r="BA144" s="188">
        <f>IFERROR((TableWRTERank[[#This Row],[FPS]]-INDEX(TableWRTERank[FPS],MATCH(WRTEVORPCalc,TableWRTERank[RK],0)))/INDEX(TableWRTERank[FPS],MATCH(WRTEVORPCalc,TableWRTERank[RK],0)),"")</f>
        <v>-0.58940195647071159</v>
      </c>
      <c r="BC144" t="s">
        <v>257</v>
      </c>
      <c r="BD144">
        <v>143</v>
      </c>
      <c r="BE144" s="86">
        <f>RANK(TableWRTEMaster[[#This Row],[VORP]],TableWRTEMaster[VORP])+COUNTIF($BJ$2:BJ144,BJ144)-1</f>
        <v>211</v>
      </c>
      <c r="BF144" s="123" t="str">
        <f>IFERROR(INDEX(TableWRVORP[WIDE RECEIVER],MATCH(TableWRTEMaster[[#This Row],[RK]],TableWRVORP[RK],0)),"")</f>
        <v>Malik Heath</v>
      </c>
      <c r="BG144" s="123" t="str">
        <f>_xlfn.CONCAT(TableWRTEMaster[[#This Row],[POS]],TableWRTEMaster[[#This Row],[RK]])</f>
        <v>WR143</v>
      </c>
      <c r="BH144" s="123">
        <f>IFERROR(INDEX(TableWRVORP[BYE],MATCH(TableWRTEMaster[[#This Row],[RK]],TableWRVORP[RK],0)),"")</f>
        <v>6</v>
      </c>
      <c r="BI144" s="124">
        <f>IFERROR(INDEX(TableWRVORP[FPS],MATCH(TableWRTEMaster[[#This Row],[RK]],TableWRVORP[RK],0)),"")</f>
        <v>18.534319168668365</v>
      </c>
      <c r="BJ144" s="125">
        <f>IFERROR(INDEX(TableWRVORP[VORP],MATCH(TableWRTEMaster[[#This Row],[RK]],TableWRVORP[RK],0)),"")</f>
        <v>-0.85774793361863322</v>
      </c>
    </row>
    <row r="145" spans="8:62" x14ac:dyDescent="0.2">
      <c r="H145">
        <v>144</v>
      </c>
      <c r="I145" s="120" t="str">
        <f>IFERROR(INDEX(TableRBCalcPts[PLAYER],MATCH(TableRBVORP[[#This Row],[RK]],TableRBCalcPts[RK],0)),"")</f>
        <v/>
      </c>
      <c r="J145" s="120" t="str">
        <f>IFERROR(INDEX(TableRBCalcPts[TM],MATCH(TableRBVORP[[#This Row],[RK]],TableRBCalcPts[RK],0)),"")</f>
        <v/>
      </c>
      <c r="K145" s="120" t="str">
        <f>IFERROR(INDEX(TableRBCalcPts[BYE],MATCH(TableRBVORP[[#This Row],[RK]],TableRBCalcPts[RK],0)),"")</f>
        <v/>
      </c>
      <c r="L145" s="121" t="str">
        <f>IFERROR(INDEX(TableRBCalcPts[Custom],MATCH(TableRBVORP[[#This Row],[RK]],TableRBCalcPts[RK],0)),"")</f>
        <v/>
      </c>
      <c r="M145" s="122" t="str">
        <f>IFERROR((TableRBVORP[[#This Row],[FPS]]-INDEX(TableRBVORP[FPS],MATCH(RBVORPCalc,TableRBVORP[RK],0)))/INDEX(TableRBVORP[FPS],MATCH(RBVORPCalc,TableRBVORP[RK],0)),"")</f>
        <v/>
      </c>
      <c r="O145">
        <v>144</v>
      </c>
      <c r="P145" s="120" t="str">
        <f>IFERROR(INDEX(TableWRCalcPts[PLAYER],MATCH(TableWRVORP[[#This Row],[RK]],TableWRCalcPts[RK],0)),"")</f>
        <v>Dareke Young</v>
      </c>
      <c r="Q145" s="120" t="str">
        <f>IFERROR(INDEX(TableWRCalcPts[TM],MATCH(TableWRVORP[[#This Row],[RK]],TableWRCalcPts[RK],0)),"")</f>
        <v>SEA</v>
      </c>
      <c r="R145" s="120">
        <f>IFERROR(INDEX(TableWRCalcPts[BYE],MATCH(TableWRVORP[[#This Row],[RK]],TableWRCalcPts[RK],0)),"")</f>
        <v>5</v>
      </c>
      <c r="S145" s="121">
        <f>IFERROR(INDEX(TableWRCalcPts[Custom],MATCH(TableWRVORP[[#This Row],[RK]],TableWRCalcPts[RK],0)),"")</f>
        <v>18.109175132318295</v>
      </c>
      <c r="T145" s="122">
        <f>IFERROR((TableWRVORP[[#This Row],[FPS]]-INDEX(TableWRVORP[FPS],MATCH(WRVORPCalc,TableWRVORP[RK],0)))/INDEX(TableWRVORP[FPS],MATCH(WRVORPCalc,TableWRVORP[RK],0)),"")</f>
        <v>-0.86101094086104368</v>
      </c>
      <c r="AF145" t="s">
        <v>257</v>
      </c>
      <c r="AG145">
        <v>4</v>
      </c>
      <c r="AH145" s="86">
        <f>RANK(TableOverallMaster[[#This Row],[VORP]],TableOverallMaster[VORP])+COUNTIF($AM$2:AM145,AM145)-1</f>
        <v>11</v>
      </c>
      <c r="AI145" s="123" t="str">
        <f>IFERROR(INDEX(TableWRVORP[WIDE RECEIVER],MATCH(TableOverallMaster[[#This Row],[RK]],TableWRVORP[RK],0)),"")</f>
        <v>Davante Adams</v>
      </c>
      <c r="AJ145" s="123" t="str">
        <f t="shared" si="2"/>
        <v>WR4</v>
      </c>
      <c r="AK145" s="123">
        <f>IFERROR(INDEX(TableWRVORP[BYE],MATCH(TableOverallMaster[[#This Row],[RK]],TableWRVORP[RK],0)),"")</f>
        <v>13</v>
      </c>
      <c r="AL145" s="124">
        <f>IFERROR(INDEX(TableWRVORP[FPS],MATCH(TableOverallMaster[[#This Row],[RK]],TableWRVORP[RK],0)),"")</f>
        <v>254.78207097985711</v>
      </c>
      <c r="AM145" s="125">
        <f>IFERROR(INDEX(TableWRVORP[VORP],MATCH(TableOverallMaster[[#This Row],[RK]],TableWRVORP[RK],0)),"")</f>
        <v>0.95546843366530354</v>
      </c>
      <c r="AO145">
        <v>144</v>
      </c>
      <c r="AP145" s="126" t="str">
        <f>IFERROR(INDEX(TableOverallMaster[OVERALL PLAYER],MATCH(TableOverallRank[[#This Row],[RK]],TableOverallMaster[OVR RK],0)),"")</f>
        <v>Roschon Johnson</v>
      </c>
      <c r="AQ145" s="127" t="str">
        <f>IFERROR(INDEX(TableOverallMaster[POS RK],MATCH(TableOverallRank[[#This Row],[OVERALL PLAYER]],TableOverallMaster[OVERALL PLAYER],0)),"")</f>
        <v>RB47</v>
      </c>
      <c r="AR145" s="128">
        <f>IFERROR(INDEX(TableOverallMaster[BYE],MATCH(TableOverallRank[[#This Row],[OVERALL PLAYER]],TableOverallMaster[OVERALL PLAYER],0)),"")</f>
        <v>13</v>
      </c>
      <c r="AS145" s="127">
        <f>IFERROR(INDEX(TableOverallMaster[Custom],MATCH(TableOverallRank[[#This Row],[OVERALL PLAYER]],TableOverallMaster[OVERALL PLAYER],0)),"")</f>
        <v>113.11824613203741</v>
      </c>
      <c r="AT145" s="129">
        <f>IFERROR(INDEX(TableOverallMaster[VORP],MATCH(TableOverallRank[[#This Row],[OVERALL PLAYER]],TableOverallMaster[OVERALL PLAYER],0)),"")</f>
        <v>-7.6306115717687709E-2</v>
      </c>
      <c r="AV145">
        <v>144</v>
      </c>
      <c r="AW145" s="130" t="str">
        <f>IFERROR(INDEX(TableWRTECalcPts[PLAYER],MATCH(TableWRTERank[[#This Row],[RK]],TableWRTECalcPts[RK],0)),"")</f>
        <v>Braxton Berrios</v>
      </c>
      <c r="AX145" s="130" t="str">
        <f>IFERROR(INDEX(TableWRTECalcPts[POS RK],MATCH(TableWRTERank[[#This Row],[WR and TE COMBINED]],TableWRTECalcPts[PLAYER],0)),"")</f>
        <v>WR106</v>
      </c>
      <c r="AY145" s="130">
        <f>IFERROR(INDEX(TableWRTECalcPts[BYE],MATCH(TableWRTERank[[#This Row],[RK]],TableWRTECalcPts[RK],0)),"")</f>
        <v>10</v>
      </c>
      <c r="AZ145" s="131">
        <f>IFERROR(INDEX(TableWRTECalcPts[Custom],MATCH(TableWRTERank[[#This Row],[RK]],TableWRTECalcPts[RK],0)),"")</f>
        <v>56.686699079863281</v>
      </c>
      <c r="BA145" s="188">
        <f>IFERROR((TableWRTERank[[#This Row],[FPS]]-INDEX(TableWRTERank[FPS],MATCH(WRTEVORPCalc,TableWRTERank[RK],0)))/INDEX(TableWRTERank[FPS],MATCH(WRTEVORPCalc,TableWRTERank[RK],0)),"")</f>
        <v>-0.59038445937344441</v>
      </c>
      <c r="BC145" t="s">
        <v>257</v>
      </c>
      <c r="BD145">
        <v>144</v>
      </c>
      <c r="BE145" s="86">
        <f>RANK(TableWRTEMaster[[#This Row],[VORP]],TableWRTEMaster[VORP])+COUNTIF($BJ$2:BJ145,BJ145)-1</f>
        <v>214</v>
      </c>
      <c r="BF145" s="123" t="str">
        <f>IFERROR(INDEX(TableWRVORP[WIDE RECEIVER],MATCH(TableWRTEMaster[[#This Row],[RK]],TableWRVORP[RK],0)),"")</f>
        <v>Dareke Young</v>
      </c>
      <c r="BG145" s="123" t="str">
        <f>_xlfn.CONCAT(TableWRTEMaster[[#This Row],[POS]],TableWRTEMaster[[#This Row],[RK]])</f>
        <v>WR144</v>
      </c>
      <c r="BH145" s="123">
        <f>IFERROR(INDEX(TableWRVORP[BYE],MATCH(TableWRTEMaster[[#This Row],[RK]],TableWRVORP[RK],0)),"")</f>
        <v>5</v>
      </c>
      <c r="BI145" s="124">
        <f>IFERROR(INDEX(TableWRVORP[FPS],MATCH(TableWRTEMaster[[#This Row],[RK]],TableWRVORP[RK],0)),"")</f>
        <v>18.109175132318295</v>
      </c>
      <c r="BJ145" s="125">
        <f>IFERROR(INDEX(TableWRVORP[VORP],MATCH(TableWRTEMaster[[#This Row],[RK]],TableWRVORP[RK],0)),"")</f>
        <v>-0.86101094086104368</v>
      </c>
    </row>
    <row r="146" spans="8:62" x14ac:dyDescent="0.2">
      <c r="H146">
        <v>145</v>
      </c>
      <c r="I146" s="120" t="str">
        <f>IFERROR(INDEX(TableRBCalcPts[PLAYER],MATCH(TableRBVORP[[#This Row],[RK]],TableRBCalcPts[RK],0)),"")</f>
        <v/>
      </c>
      <c r="J146" s="120" t="str">
        <f>IFERROR(INDEX(TableRBCalcPts[TM],MATCH(TableRBVORP[[#This Row],[RK]],TableRBCalcPts[RK],0)),"")</f>
        <v/>
      </c>
      <c r="K146" s="120" t="str">
        <f>IFERROR(INDEX(TableRBCalcPts[BYE],MATCH(TableRBVORP[[#This Row],[RK]],TableRBCalcPts[RK],0)),"")</f>
        <v/>
      </c>
      <c r="L146" s="121" t="str">
        <f>IFERROR(INDEX(TableRBCalcPts[Custom],MATCH(TableRBVORP[[#This Row],[RK]],TableRBCalcPts[RK],0)),"")</f>
        <v/>
      </c>
      <c r="M146" s="122" t="str">
        <f>IFERROR((TableRBVORP[[#This Row],[FPS]]-INDEX(TableRBVORP[FPS],MATCH(RBVORPCalc,TableRBVORP[RK],0)))/INDEX(TableRBVORP[FPS],MATCH(RBVORPCalc,TableRBVORP[RK],0)),"")</f>
        <v/>
      </c>
      <c r="O146">
        <v>145</v>
      </c>
      <c r="P146" s="120" t="str">
        <f>IFERROR(INDEX(TableWRCalcPts[PLAYER],MATCH(TableWRVORP[[#This Row],[RK]],TableWRCalcPts[RK],0)),"")</f>
        <v>Olamide Zaccheaus</v>
      </c>
      <c r="Q146" s="120" t="str">
        <f>IFERROR(INDEX(TableWRCalcPts[TM],MATCH(TableWRVORP[[#This Row],[RK]],TableWRCalcPts[RK],0)),"")</f>
        <v>PHI</v>
      </c>
      <c r="R146" s="120">
        <f>IFERROR(INDEX(TableWRCalcPts[BYE],MATCH(TableWRVORP[[#This Row],[RK]],TableWRCalcPts[RK],0)),"")</f>
        <v>10</v>
      </c>
      <c r="S146" s="121">
        <f>IFERROR(INDEX(TableWRCalcPts[Custom],MATCH(TableWRVORP[[#This Row],[RK]],TableWRCalcPts[RK],0)),"")</f>
        <v>17.304445098071039</v>
      </c>
      <c r="T146" s="122">
        <f>IFERROR((TableWRVORP[[#This Row],[FPS]]-INDEX(TableWRVORP[FPS],MATCH(WRVORPCalc,TableWRVORP[RK],0)))/INDEX(TableWRVORP[FPS],MATCH(WRVORPCalc,TableWRVORP[RK],0)),"")</f>
        <v>-0.86718729453279519</v>
      </c>
      <c r="AF146" t="s">
        <v>257</v>
      </c>
      <c r="AG146">
        <v>5</v>
      </c>
      <c r="AH146" s="86">
        <f>RANK(TableOverallMaster[[#This Row],[VORP]],TableOverallMaster[VORP])+COUNTIF($AM$2:AM146,AM146)-1</f>
        <v>12</v>
      </c>
      <c r="AI146" s="123" t="str">
        <f>IFERROR(INDEX(TableWRVORP[WIDE RECEIVER],MATCH(TableOverallMaster[[#This Row],[RK]],TableWRVORP[RK],0)),"")</f>
        <v>Ja'Marr Chase</v>
      </c>
      <c r="AJ146" s="123" t="str">
        <f t="shared" si="2"/>
        <v>WR5</v>
      </c>
      <c r="AK146" s="123">
        <f>IFERROR(INDEX(TableWRVORP[BYE],MATCH(TableOverallMaster[[#This Row],[RK]],TableWRVORP[RK],0)),"")</f>
        <v>7</v>
      </c>
      <c r="AL146" s="124">
        <f>IFERROR(INDEX(TableWRVORP[FPS],MATCH(TableOverallMaster[[#This Row],[RK]],TableWRVORP[RK],0)),"")</f>
        <v>251.63020846296595</v>
      </c>
      <c r="AM146" s="125">
        <f>IFERROR(INDEX(TableWRVORP[VORP],MATCH(TableOverallMaster[[#This Row],[RK]],TableWRVORP[RK],0)),"")</f>
        <v>0.93127769043392128</v>
      </c>
      <c r="AO146">
        <v>145</v>
      </c>
      <c r="AP146" s="126" t="str">
        <f>IFERROR(INDEX(TableOverallMaster[OVERALL PLAYER],MATCH(TableOverallRank[[#This Row],[RK]],TableOverallMaster[OVR RK],0)),"")</f>
        <v>Michael Wilson</v>
      </c>
      <c r="AQ146" s="127" t="str">
        <f>IFERROR(INDEX(TableOverallMaster[POS RK],MATCH(TableOverallRank[[#This Row],[OVERALL PLAYER]],TableOverallMaster[OVERALL PLAYER],0)),"")</f>
        <v>WR62</v>
      </c>
      <c r="AR146" s="128">
        <f>IFERROR(INDEX(TableOverallMaster[BYE],MATCH(TableOverallRank[[#This Row],[OVERALL PLAYER]],TableOverallMaster[OVERALL PLAYER],0)),"")</f>
        <v>14</v>
      </c>
      <c r="AS146" s="127">
        <f>IFERROR(INDEX(TableOverallMaster[Custom],MATCH(TableOverallRank[[#This Row],[OVERALL PLAYER]],TableOverallMaster[OVERALL PLAYER],0)),"")</f>
        <v>119.77105166565002</v>
      </c>
      <c r="AT146" s="129">
        <f>IFERROR(INDEX(TableOverallMaster[VORP],MATCH(TableOverallRank[[#This Row],[OVERALL PLAYER]],TableOverallMaster[OVERALL PLAYER],0)),"")</f>
        <v>-8.0749638707540206E-2</v>
      </c>
      <c r="AV146">
        <v>145</v>
      </c>
      <c r="AW146" s="130" t="str">
        <f>IFERROR(INDEX(TableWRTECalcPts[PLAYER],MATCH(TableWRTERank[[#This Row],[RK]],TableWRTECalcPts[RK],0)),"")</f>
        <v>Ben Skowronek</v>
      </c>
      <c r="AX146" s="130" t="str">
        <f>IFERROR(INDEX(TableWRTECalcPts[POS RK],MATCH(TableWRTERank[[#This Row],[WR and TE COMBINED]],TableWRTECalcPts[PLAYER],0)),"")</f>
        <v>WR107</v>
      </c>
      <c r="AY146" s="130">
        <f>IFERROR(INDEX(TableWRTECalcPts[BYE],MATCH(TableWRTERank[[#This Row],[RK]],TableWRTECalcPts[RK],0)),"")</f>
        <v>10</v>
      </c>
      <c r="AZ146" s="131">
        <f>IFERROR(INDEX(TableWRTECalcPts[Custom],MATCH(TableWRTERank[[#This Row],[RK]],TableWRTECalcPts[RK],0)),"")</f>
        <v>55.2630857895698</v>
      </c>
      <c r="BA146" s="188">
        <f>IFERROR((TableWRTERank[[#This Row],[FPS]]-INDEX(TableWRTERank[FPS],MATCH(WRTEVORPCalc,TableWRTERank[RK],0)))/INDEX(TableWRTERank[FPS],MATCH(WRTEVORPCalc,TableWRTERank[RK],0)),"")</f>
        <v>-0.60067142504638227</v>
      </c>
      <c r="BC146" t="s">
        <v>257</v>
      </c>
      <c r="BD146">
        <v>145</v>
      </c>
      <c r="BE146" s="86">
        <f>RANK(TableWRTEMaster[[#This Row],[VORP]],TableWRTEMaster[VORP])+COUNTIF($BJ$2:BJ146,BJ146)-1</f>
        <v>217</v>
      </c>
      <c r="BF146" s="123" t="str">
        <f>IFERROR(INDEX(TableWRVORP[WIDE RECEIVER],MATCH(TableWRTEMaster[[#This Row],[RK]],TableWRVORP[RK],0)),"")</f>
        <v>Olamide Zaccheaus</v>
      </c>
      <c r="BG146" s="123" t="str">
        <f>_xlfn.CONCAT(TableWRTEMaster[[#This Row],[POS]],TableWRTEMaster[[#This Row],[RK]])</f>
        <v>WR145</v>
      </c>
      <c r="BH146" s="123">
        <f>IFERROR(INDEX(TableWRVORP[BYE],MATCH(TableWRTEMaster[[#This Row],[RK]],TableWRVORP[RK],0)),"")</f>
        <v>10</v>
      </c>
      <c r="BI146" s="124">
        <f>IFERROR(INDEX(TableWRVORP[FPS],MATCH(TableWRTEMaster[[#This Row],[RK]],TableWRVORP[RK],0)),"")</f>
        <v>17.304445098071039</v>
      </c>
      <c r="BJ146" s="125">
        <f>IFERROR(INDEX(TableWRVORP[VORP],MATCH(TableWRTEMaster[[#This Row],[RK]],TableWRVORP[RK],0)),"")</f>
        <v>-0.86718729453279519</v>
      </c>
    </row>
    <row r="147" spans="8:62" x14ac:dyDescent="0.2">
      <c r="H147">
        <v>146</v>
      </c>
      <c r="I147" s="120" t="str">
        <f>IFERROR(INDEX(TableRBCalcPts[PLAYER],MATCH(TableRBVORP[[#This Row],[RK]],TableRBCalcPts[RK],0)),"")</f>
        <v/>
      </c>
      <c r="J147" s="120" t="str">
        <f>IFERROR(INDEX(TableRBCalcPts[TM],MATCH(TableRBVORP[[#This Row],[RK]],TableRBCalcPts[RK],0)),"")</f>
        <v/>
      </c>
      <c r="K147" s="120" t="str">
        <f>IFERROR(INDEX(TableRBCalcPts[BYE],MATCH(TableRBVORP[[#This Row],[RK]],TableRBCalcPts[RK],0)),"")</f>
        <v/>
      </c>
      <c r="L147" s="121" t="str">
        <f>IFERROR(INDEX(TableRBCalcPts[Custom],MATCH(TableRBVORP[[#This Row],[RK]],TableRBCalcPts[RK],0)),"")</f>
        <v/>
      </c>
      <c r="M147" s="122" t="str">
        <f>IFERROR((TableRBVORP[[#This Row],[FPS]]-INDEX(TableRBVORP[FPS],MATCH(RBVORPCalc,TableRBVORP[RK],0)))/INDEX(TableRBVORP[FPS],MATCH(RBVORPCalc,TableRBVORP[RK],0)),"")</f>
        <v/>
      </c>
      <c r="O147">
        <v>146</v>
      </c>
      <c r="P147" s="120" t="str">
        <f>IFERROR(INDEX(TableWRCalcPts[PLAYER],MATCH(TableWRVORP[[#This Row],[RK]],TableWRCalcPts[RK],0)),"")</f>
        <v>Justin Shorter</v>
      </c>
      <c r="Q147" s="120" t="str">
        <f>IFERROR(INDEX(TableWRCalcPts[TM],MATCH(TableWRVORP[[#This Row],[RK]],TableWRCalcPts[RK],0)),"")</f>
        <v>BUF</v>
      </c>
      <c r="R147" s="120">
        <f>IFERROR(INDEX(TableWRCalcPts[BYE],MATCH(TableWRVORP[[#This Row],[RK]],TableWRCalcPts[RK],0)),"")</f>
        <v>13</v>
      </c>
      <c r="S147" s="121">
        <f>IFERROR(INDEX(TableWRCalcPts[Custom],MATCH(TableWRVORP[[#This Row],[RK]],TableWRCalcPts[RK],0)),"")</f>
        <v>17.103082196199999</v>
      </c>
      <c r="T147" s="122">
        <f>IFERROR((TableWRVORP[[#This Row],[FPS]]-INDEX(TableWRVORP[FPS],MATCH(WRVORPCalc,TableWRVORP[RK],0)))/INDEX(TableWRVORP[FPS],MATCH(WRVORPCalc,TableWRVORP[RK],0)),"")</f>
        <v>-0.86873276748073747</v>
      </c>
      <c r="AF147" t="s">
        <v>257</v>
      </c>
      <c r="AG147">
        <v>6</v>
      </c>
      <c r="AH147" s="86">
        <f>RANK(TableOverallMaster[[#This Row],[VORP]],TableOverallMaster[VORP])+COUNTIF($AM$2:AM147,AM147)-1</f>
        <v>15</v>
      </c>
      <c r="AI147" s="123" t="str">
        <f>IFERROR(INDEX(TableWRVORP[WIDE RECEIVER],MATCH(TableOverallMaster[[#This Row],[RK]],TableWRVORP[RK],0)),"")</f>
        <v>Amon-Ra St. Brown</v>
      </c>
      <c r="AJ147" s="123" t="str">
        <f t="shared" si="2"/>
        <v>WR6</v>
      </c>
      <c r="AK147" s="123">
        <f>IFERROR(INDEX(TableWRVORP[BYE],MATCH(TableOverallMaster[[#This Row],[RK]],TableWRVORP[RK],0)),"")</f>
        <v>9</v>
      </c>
      <c r="AL147" s="124">
        <f>IFERROR(INDEX(TableWRVORP[FPS],MATCH(TableOverallMaster[[#This Row],[RK]],TableWRVORP[RK],0)),"")</f>
        <v>235.77471963299024</v>
      </c>
      <c r="AM147" s="125">
        <f>IFERROR(INDEX(TableWRVORP[VORP],MATCH(TableOverallMaster[[#This Row],[RK]],TableWRVORP[RK],0)),"")</f>
        <v>0.80958581553821263</v>
      </c>
      <c r="AO147">
        <v>146</v>
      </c>
      <c r="AP147" s="126" t="str">
        <f>IFERROR(INDEX(TableOverallMaster[OVERALL PLAYER],MATCH(TableOverallRank[[#This Row],[RK]],TableOverallMaster[OVR RK],0)),"")</f>
        <v>Jayden Reed</v>
      </c>
      <c r="AQ147" s="127" t="str">
        <f>IFERROR(INDEX(TableOverallMaster[POS RK],MATCH(TableOverallRank[[#This Row],[OVERALL PLAYER]],TableOverallMaster[OVERALL PLAYER],0)),"")</f>
        <v>WR63</v>
      </c>
      <c r="AR147" s="128">
        <f>IFERROR(INDEX(TableOverallMaster[BYE],MATCH(TableOverallRank[[#This Row],[OVERALL PLAYER]],TableOverallMaster[OVERALL PLAYER],0)),"")</f>
        <v>6</v>
      </c>
      <c r="AS147" s="127">
        <f>IFERROR(INDEX(TableOverallMaster[Custom],MATCH(TableOverallRank[[#This Row],[OVERALL PLAYER]],TableOverallMaster[OVERALL PLAYER],0)),"")</f>
        <v>119.06544448157086</v>
      </c>
      <c r="AT147" s="129">
        <f>IFERROR(INDEX(TableOverallMaster[VORP],MATCH(TableOverallRank[[#This Row],[OVERALL PLAYER]],TableOverallMaster[OVERALL PLAYER],0)),"")</f>
        <v>-8.6165218264326757E-2</v>
      </c>
      <c r="AV147">
        <v>146</v>
      </c>
      <c r="AW147" s="130" t="str">
        <f>IFERROR(INDEX(TableWRTECalcPts[PLAYER],MATCH(TableWRTERank[[#This Row],[RK]],TableWRTECalcPts[RK],0)),"")</f>
        <v>Mo Alie-Cox</v>
      </c>
      <c r="AX147" s="130" t="str">
        <f>IFERROR(INDEX(TableWRTECalcPts[POS RK],MATCH(TableWRTERank[[#This Row],[WR and TE COMBINED]],TableWRTECalcPts[PLAYER],0)),"")</f>
        <v>TE39</v>
      </c>
      <c r="AY147" s="130">
        <f>IFERROR(INDEX(TableWRTECalcPts[BYE],MATCH(TableWRTERank[[#This Row],[RK]],TableWRTECalcPts[RK],0)),"")</f>
        <v>11</v>
      </c>
      <c r="AZ147" s="131">
        <f>IFERROR(INDEX(TableWRTECalcPts[Custom],MATCH(TableWRTERank[[#This Row],[RK]],TableWRTECalcPts[RK],0)),"")</f>
        <v>54.929491460862458</v>
      </c>
      <c r="BA147" s="188">
        <f>IFERROR((TableWRTERank[[#This Row],[FPS]]-INDEX(TableWRTERank[FPS],MATCH(WRTEVORPCalc,TableWRTERank[RK],0)))/INDEX(TableWRTERank[FPS],MATCH(WRTEVORPCalc,TableWRTERank[RK],0)),"")</f>
        <v>-0.60308196267728043</v>
      </c>
      <c r="BC147" t="s">
        <v>257</v>
      </c>
      <c r="BD147">
        <v>146</v>
      </c>
      <c r="BE147" s="86">
        <f>RANK(TableWRTEMaster[[#This Row],[VORP]],TableWRTEMaster[VORP])+COUNTIF($BJ$2:BJ147,BJ147)-1</f>
        <v>218</v>
      </c>
      <c r="BF147" s="123" t="str">
        <f>IFERROR(INDEX(TableWRVORP[WIDE RECEIVER],MATCH(TableWRTEMaster[[#This Row],[RK]],TableWRVORP[RK],0)),"")</f>
        <v>Justin Shorter</v>
      </c>
      <c r="BG147" s="123" t="str">
        <f>_xlfn.CONCAT(TableWRTEMaster[[#This Row],[POS]],TableWRTEMaster[[#This Row],[RK]])</f>
        <v>WR146</v>
      </c>
      <c r="BH147" s="123">
        <f>IFERROR(INDEX(TableWRVORP[BYE],MATCH(TableWRTEMaster[[#This Row],[RK]],TableWRVORP[RK],0)),"")</f>
        <v>13</v>
      </c>
      <c r="BI147" s="124">
        <f>IFERROR(INDEX(TableWRVORP[FPS],MATCH(TableWRTEMaster[[#This Row],[RK]],TableWRVORP[RK],0)),"")</f>
        <v>17.103082196199999</v>
      </c>
      <c r="BJ147" s="125">
        <f>IFERROR(INDEX(TableWRVORP[VORP],MATCH(TableWRTEMaster[[#This Row],[RK]],TableWRVORP[RK],0)),"")</f>
        <v>-0.86873276748073747</v>
      </c>
    </row>
    <row r="148" spans="8:62" x14ac:dyDescent="0.2">
      <c r="H148">
        <v>147</v>
      </c>
      <c r="I148" s="120" t="str">
        <f>IFERROR(INDEX(TableRBCalcPts[PLAYER],MATCH(TableRBVORP[[#This Row],[RK]],TableRBCalcPts[RK],0)),"")</f>
        <v/>
      </c>
      <c r="J148" s="120" t="str">
        <f>IFERROR(INDEX(TableRBCalcPts[TM],MATCH(TableRBVORP[[#This Row],[RK]],TableRBCalcPts[RK],0)),"")</f>
        <v/>
      </c>
      <c r="K148" s="120" t="str">
        <f>IFERROR(INDEX(TableRBCalcPts[BYE],MATCH(TableRBVORP[[#This Row],[RK]],TableRBCalcPts[RK],0)),"")</f>
        <v/>
      </c>
      <c r="L148" s="121" t="str">
        <f>IFERROR(INDEX(TableRBCalcPts[Custom],MATCH(TableRBVORP[[#This Row],[RK]],TableRBCalcPts[RK],0)),"")</f>
        <v/>
      </c>
      <c r="M148" s="122" t="str">
        <f>IFERROR((TableRBVORP[[#This Row],[FPS]]-INDEX(TableRBVORP[FPS],MATCH(RBVORPCalc,TableRBVORP[RK],0)))/INDEX(TableRBVORP[FPS],MATCH(RBVORPCalc,TableRBVORP[RK],0)),"")</f>
        <v/>
      </c>
      <c r="O148">
        <v>147</v>
      </c>
      <c r="P148" s="120" t="str">
        <f>IFERROR(INDEX(TableWRCalcPts[PLAYER],MATCH(TableWRVORP[[#This Row],[RK]],TableWRCalcPts[RK],0)),"")</f>
        <v>DeAndre Carter</v>
      </c>
      <c r="Q148" s="120" t="str">
        <f>IFERROR(INDEX(TableWRCalcPts[TM],MATCH(TableWRVORP[[#This Row],[RK]],TableWRCalcPts[RK],0)),"")</f>
        <v>LV</v>
      </c>
      <c r="R148" s="120">
        <f>IFERROR(INDEX(TableWRCalcPts[BYE],MATCH(TableWRVORP[[#This Row],[RK]],TableWRCalcPts[RK],0)),"")</f>
        <v>13</v>
      </c>
      <c r="S148" s="121">
        <f>IFERROR(INDEX(TableWRCalcPts[Custom],MATCH(TableWRVORP[[#This Row],[RK]],TableWRCalcPts[RK],0)),"")</f>
        <v>16.591250282286047</v>
      </c>
      <c r="T148" s="122">
        <f>IFERROR((TableWRVORP[[#This Row],[FPS]]-INDEX(TableWRVORP[FPS],MATCH(WRVORPCalc,TableWRVORP[RK],0)))/INDEX(TableWRVORP[FPS],MATCH(WRVORPCalc,TableWRVORP[RK],0)),"")</f>
        <v>-0.87266110964057642</v>
      </c>
      <c r="AF148" t="s">
        <v>257</v>
      </c>
      <c r="AG148">
        <v>7</v>
      </c>
      <c r="AH148" s="86">
        <f>RANK(TableOverallMaster[[#This Row],[VORP]],TableOverallMaster[VORP])+COUNTIF($AM$2:AM148,AM148)-1</f>
        <v>20</v>
      </c>
      <c r="AI148" s="123" t="str">
        <f>IFERROR(INDEX(TableWRVORP[WIDE RECEIVER],MATCH(TableOverallMaster[[#This Row],[RK]],TableWRVORP[RK],0)),"")</f>
        <v>Stefon Diggs</v>
      </c>
      <c r="AJ148" s="123" t="str">
        <f t="shared" si="2"/>
        <v>WR7</v>
      </c>
      <c r="AK148" s="123">
        <f>IFERROR(INDEX(TableWRVORP[BYE],MATCH(TableOverallMaster[[#This Row],[RK]],TableWRVORP[RK],0)),"")</f>
        <v>13</v>
      </c>
      <c r="AL148" s="124">
        <f>IFERROR(INDEX(TableWRVORP[FPS],MATCH(TableOverallMaster[[#This Row],[RK]],TableWRVORP[RK],0)),"")</f>
        <v>230.83501137252614</v>
      </c>
      <c r="AM148" s="125">
        <f>IFERROR(INDEX(TableWRVORP[VORP],MATCH(TableOverallMaster[[#This Row],[RK]],TableWRVORP[RK],0)),"")</f>
        <v>0.77167324367746748</v>
      </c>
      <c r="AO148">
        <v>147</v>
      </c>
      <c r="AP148" s="126" t="str">
        <f>IFERROR(INDEX(TableOverallMaster[OVERALL PLAYER],MATCH(TableOverallRank[[#This Row],[RK]],TableOverallMaster[OVR RK],0)),"")</f>
        <v>Elijah Moore</v>
      </c>
      <c r="AQ148" s="127" t="str">
        <f>IFERROR(INDEX(TableOverallMaster[POS RK],MATCH(TableOverallRank[[#This Row],[OVERALL PLAYER]],TableOverallMaster[OVERALL PLAYER],0)),"")</f>
        <v>WR64</v>
      </c>
      <c r="AR148" s="128">
        <f>IFERROR(INDEX(TableOverallMaster[BYE],MATCH(TableOverallRank[[#This Row],[OVERALL PLAYER]],TableOverallMaster[OVERALL PLAYER],0)),"")</f>
        <v>5</v>
      </c>
      <c r="AS148" s="127">
        <f>IFERROR(INDEX(TableOverallMaster[Custom],MATCH(TableOverallRank[[#This Row],[OVERALL PLAYER]],TableOverallMaster[OVERALL PLAYER],0)),"")</f>
        <v>118.66713195414852</v>
      </c>
      <c r="AT148" s="129">
        <f>IFERROR(INDEX(TableOverallMaster[VORP],MATCH(TableOverallRank[[#This Row],[OVERALL PLAYER]],TableOverallMaster[OVERALL PLAYER],0)),"")</f>
        <v>-8.9222291986635199E-2</v>
      </c>
      <c r="AV148">
        <v>147</v>
      </c>
      <c r="AW148" s="130" t="str">
        <f>IFERROR(INDEX(TableWRTECalcPts[PLAYER],MATCH(TableWRTERank[[#This Row],[RK]],TableWRTECalcPts[RK],0)),"")</f>
        <v>Durham Smythe</v>
      </c>
      <c r="AX148" s="130" t="str">
        <f>IFERROR(INDEX(TableWRTECalcPts[POS RK],MATCH(TableWRTERank[[#This Row],[WR and TE COMBINED]],TableWRTECalcPts[PLAYER],0)),"")</f>
        <v>TE40</v>
      </c>
      <c r="AY148" s="130">
        <f>IFERROR(INDEX(TableWRTECalcPts[BYE],MATCH(TableWRTERank[[#This Row],[RK]],TableWRTECalcPts[RK],0)),"")</f>
        <v>10</v>
      </c>
      <c r="AZ148" s="131">
        <f>IFERROR(INDEX(TableWRTECalcPts[Custom],MATCH(TableWRTERank[[#This Row],[RK]],TableWRTECalcPts[RK],0)),"")</f>
        <v>54.683501545855158</v>
      </c>
      <c r="BA148" s="188">
        <f>IFERROR((TableWRTERank[[#This Row],[FPS]]-INDEX(TableWRTERank[FPS],MATCH(WRTEVORPCalc,TableWRTERank[RK],0)))/INDEX(TableWRTERank[FPS],MATCH(WRTEVORPCalc,TableWRTERank[RK],0)),"")</f>
        <v>-0.60485947475083468</v>
      </c>
      <c r="BC148" t="s">
        <v>257</v>
      </c>
      <c r="BD148">
        <v>147</v>
      </c>
      <c r="BE148" s="86">
        <f>RANK(TableWRTEMaster[[#This Row],[VORP]],TableWRTEMaster[VORP])+COUNTIF($BJ$2:BJ148,BJ148)-1</f>
        <v>220</v>
      </c>
      <c r="BF148" s="123" t="str">
        <f>IFERROR(INDEX(TableWRVORP[WIDE RECEIVER],MATCH(TableWRTEMaster[[#This Row],[RK]],TableWRVORP[RK],0)),"")</f>
        <v>DeAndre Carter</v>
      </c>
      <c r="BG148" s="123" t="str">
        <f>_xlfn.CONCAT(TableWRTEMaster[[#This Row],[POS]],TableWRTEMaster[[#This Row],[RK]])</f>
        <v>WR147</v>
      </c>
      <c r="BH148" s="123">
        <f>IFERROR(INDEX(TableWRVORP[BYE],MATCH(TableWRTEMaster[[#This Row],[RK]],TableWRVORP[RK],0)),"")</f>
        <v>13</v>
      </c>
      <c r="BI148" s="124">
        <f>IFERROR(INDEX(TableWRVORP[FPS],MATCH(TableWRTEMaster[[#This Row],[RK]],TableWRVORP[RK],0)),"")</f>
        <v>16.591250282286047</v>
      </c>
      <c r="BJ148" s="125">
        <f>IFERROR(INDEX(TableWRVORP[VORP],MATCH(TableWRTEMaster[[#This Row],[RK]],TableWRVORP[RK],0)),"")</f>
        <v>-0.87266110964057642</v>
      </c>
    </row>
    <row r="149" spans="8:62" x14ac:dyDescent="0.2">
      <c r="H149">
        <v>148</v>
      </c>
      <c r="I149" s="120" t="str">
        <f>IFERROR(INDEX(TableRBCalcPts[PLAYER],MATCH(TableRBVORP[[#This Row],[RK]],TableRBCalcPts[RK],0)),"")</f>
        <v/>
      </c>
      <c r="J149" s="120" t="str">
        <f>IFERROR(INDEX(TableRBCalcPts[TM],MATCH(TableRBVORP[[#This Row],[RK]],TableRBCalcPts[RK],0)),"")</f>
        <v/>
      </c>
      <c r="K149" s="120" t="str">
        <f>IFERROR(INDEX(TableRBCalcPts[BYE],MATCH(TableRBVORP[[#This Row],[RK]],TableRBCalcPts[RK],0)),"")</f>
        <v/>
      </c>
      <c r="L149" s="121" t="str">
        <f>IFERROR(INDEX(TableRBCalcPts[Custom],MATCH(TableRBVORP[[#This Row],[RK]],TableRBCalcPts[RK],0)),"")</f>
        <v/>
      </c>
      <c r="M149" s="122" t="str">
        <f>IFERROR((TableRBVORP[[#This Row],[FPS]]-INDEX(TableRBVORP[FPS],MATCH(RBVORPCalc,TableRBVORP[RK],0)))/INDEX(TableRBVORP[FPS],MATCH(RBVORPCalc,TableRBVORP[RK],0)),"")</f>
        <v/>
      </c>
      <c r="O149">
        <v>148</v>
      </c>
      <c r="P149" s="120" t="str">
        <f>IFERROR(INDEX(TableWRCalcPts[PLAYER],MATCH(TableWRVORP[[#This Row],[RK]],TableWRCalcPts[RK],0)),"")</f>
        <v>Tre Tucker</v>
      </c>
      <c r="Q149" s="120" t="str">
        <f>IFERROR(INDEX(TableWRCalcPts[TM],MATCH(TableWRVORP[[#This Row],[RK]],TableWRCalcPts[RK],0)),"")</f>
        <v>LV</v>
      </c>
      <c r="R149" s="120">
        <f>IFERROR(INDEX(TableWRCalcPts[BYE],MATCH(TableWRVORP[[#This Row],[RK]],TableWRCalcPts[RK],0)),"")</f>
        <v>13</v>
      </c>
      <c r="S149" s="121">
        <f>IFERROR(INDEX(TableWRCalcPts[Custom],MATCH(TableWRVORP[[#This Row],[RK]],TableWRCalcPts[RK],0)),"")</f>
        <v>16.305184102292177</v>
      </c>
      <c r="T149" s="122">
        <f>IFERROR((TableWRVORP[[#This Row],[FPS]]-INDEX(TableWRVORP[FPS],MATCH(WRVORPCalc,TableWRVORP[RK],0)))/INDEX(TableWRVORP[FPS],MATCH(WRVORPCalc,TableWRVORP[RK],0)),"")</f>
        <v>-0.87485668558030349</v>
      </c>
      <c r="AF149" t="s">
        <v>257</v>
      </c>
      <c r="AG149">
        <v>8</v>
      </c>
      <c r="AH149" s="86">
        <f>RANK(TableOverallMaster[[#This Row],[VORP]],TableOverallMaster[VORP])+COUNTIF($AM$2:AM149,AM149)-1</f>
        <v>23</v>
      </c>
      <c r="AI149" s="123" t="str">
        <f>IFERROR(INDEX(TableWRVORP[WIDE RECEIVER],MATCH(TableOverallMaster[[#This Row],[RK]],TableWRVORP[RK],0)),"")</f>
        <v>CeeDee Lamb</v>
      </c>
      <c r="AJ149" s="123" t="str">
        <f t="shared" si="2"/>
        <v>WR8</v>
      </c>
      <c r="AK149" s="123">
        <f>IFERROR(INDEX(TableWRVORP[BYE],MATCH(TableOverallMaster[[#This Row],[RK]],TableWRVORP[RK],0)),"")</f>
        <v>7</v>
      </c>
      <c r="AL149" s="124">
        <f>IFERROR(INDEX(TableWRVORP[FPS],MATCH(TableOverallMaster[[#This Row],[RK]],TableWRVORP[RK],0)),"")</f>
        <v>217.43365166733861</v>
      </c>
      <c r="AM149" s="125">
        <f>IFERROR(INDEX(TableWRVORP[VORP],MATCH(TableOverallMaster[[#This Row],[RK]],TableWRVORP[RK],0)),"")</f>
        <v>0.66881696430543824</v>
      </c>
      <c r="AO149">
        <v>148</v>
      </c>
      <c r="AP149" s="126" t="str">
        <f>IFERROR(INDEX(TableOverallMaster[OVERALL PLAYER],MATCH(TableOverallRank[[#This Row],[RK]],TableOverallMaster[OVR RK],0)),"")</f>
        <v>Dalton Schultz</v>
      </c>
      <c r="AQ149" s="127" t="str">
        <f>IFERROR(INDEX(TableOverallMaster[POS RK],MATCH(TableOverallRank[[#This Row],[OVERALL PLAYER]],TableOverallMaster[OVERALL PLAYER],0)),"")</f>
        <v>TE16</v>
      </c>
      <c r="AR149" s="128">
        <f>IFERROR(INDEX(TableOverallMaster[BYE],MATCH(TableOverallRank[[#This Row],[OVERALL PLAYER]],TableOverallMaster[OVERALL PLAYER],0)),"")</f>
        <v>7</v>
      </c>
      <c r="AS149" s="127">
        <f>IFERROR(INDEX(TableOverallMaster[Custom],MATCH(TableOverallRank[[#This Row],[OVERALL PLAYER]],TableOverallMaster[OVERALL PLAYER],0)),"")</f>
        <v>107.78710020429105</v>
      </c>
      <c r="AT149" s="129">
        <f>IFERROR(INDEX(TableOverallMaster[VORP],MATCH(TableOverallRank[[#This Row],[OVERALL PLAYER]],TableOverallMaster[OVERALL PLAYER],0)),"")</f>
        <v>-9.2931663354217958E-2</v>
      </c>
      <c r="AV149">
        <v>148</v>
      </c>
      <c r="AW149" s="130" t="str">
        <f>IFERROR(INDEX(TableWRTECalcPts[PLAYER],MATCH(TableWRTERank[[#This Row],[RK]],TableWRTECalcPts[RK],0)),"")</f>
        <v>Richie James</v>
      </c>
      <c r="AX149" s="130" t="str">
        <f>IFERROR(INDEX(TableWRTECalcPts[POS RK],MATCH(TableWRTERank[[#This Row],[WR and TE COMBINED]],TableWRTECalcPts[PLAYER],0)),"")</f>
        <v>WR108</v>
      </c>
      <c r="AY149" s="130">
        <f>IFERROR(INDEX(TableWRTECalcPts[BYE],MATCH(TableWRTERank[[#This Row],[RK]],TableWRTECalcPts[RK],0)),"")</f>
        <v>10</v>
      </c>
      <c r="AZ149" s="131">
        <f>IFERROR(INDEX(TableWRTECalcPts[Custom],MATCH(TableWRTERank[[#This Row],[RK]],TableWRTECalcPts[RK],0)),"")</f>
        <v>54.595342488959986</v>
      </c>
      <c r="BA149" s="188">
        <f>IFERROR((TableWRTERank[[#This Row],[FPS]]-INDEX(TableWRTERank[FPS],MATCH(WRTEVORPCalc,TableWRTERank[RK],0)))/INDEX(TableWRTERank[FPS],MATCH(WRTEVORPCalc,TableWRTERank[RK],0)),"")</f>
        <v>-0.60549650813498657</v>
      </c>
      <c r="BC149" t="s">
        <v>257</v>
      </c>
      <c r="BD149">
        <v>148</v>
      </c>
      <c r="BE149" s="86">
        <f>RANK(TableWRTEMaster[[#This Row],[VORP]],TableWRTEMaster[VORP])+COUNTIF($BJ$2:BJ149,BJ149)-1</f>
        <v>221</v>
      </c>
      <c r="BF149" s="123" t="str">
        <f>IFERROR(INDEX(TableWRVORP[WIDE RECEIVER],MATCH(TableWRTEMaster[[#This Row],[RK]],TableWRVORP[RK],0)),"")</f>
        <v>Tre Tucker</v>
      </c>
      <c r="BG149" s="123" t="str">
        <f>_xlfn.CONCAT(TableWRTEMaster[[#This Row],[POS]],TableWRTEMaster[[#This Row],[RK]])</f>
        <v>WR148</v>
      </c>
      <c r="BH149" s="123">
        <f>IFERROR(INDEX(TableWRVORP[BYE],MATCH(TableWRTEMaster[[#This Row],[RK]],TableWRVORP[RK],0)),"")</f>
        <v>13</v>
      </c>
      <c r="BI149" s="124">
        <f>IFERROR(INDEX(TableWRVORP[FPS],MATCH(TableWRTEMaster[[#This Row],[RK]],TableWRVORP[RK],0)),"")</f>
        <v>16.305184102292177</v>
      </c>
      <c r="BJ149" s="125">
        <f>IFERROR(INDEX(TableWRVORP[VORP],MATCH(TableWRTEMaster[[#This Row],[RK]],TableWRVORP[RK],0)),"")</f>
        <v>-0.87485668558030349</v>
      </c>
    </row>
    <row r="150" spans="8:62" x14ac:dyDescent="0.2">
      <c r="H150">
        <v>149</v>
      </c>
      <c r="I150" s="120" t="str">
        <f>IFERROR(INDEX(TableRBCalcPts[PLAYER],MATCH(TableRBVORP[[#This Row],[RK]],TableRBCalcPts[RK],0)),"")</f>
        <v/>
      </c>
      <c r="J150" s="120" t="str">
        <f>IFERROR(INDEX(TableRBCalcPts[TM],MATCH(TableRBVORP[[#This Row],[RK]],TableRBCalcPts[RK],0)),"")</f>
        <v/>
      </c>
      <c r="K150" s="120" t="str">
        <f>IFERROR(INDEX(TableRBCalcPts[BYE],MATCH(TableRBVORP[[#This Row],[RK]],TableRBCalcPts[RK],0)),"")</f>
        <v/>
      </c>
      <c r="L150" s="121" t="str">
        <f>IFERROR(INDEX(TableRBCalcPts[Custom],MATCH(TableRBVORP[[#This Row],[RK]],TableRBCalcPts[RK],0)),"")</f>
        <v/>
      </c>
      <c r="M150" s="122" t="str">
        <f>IFERROR((TableRBVORP[[#This Row],[FPS]]-INDEX(TableRBVORP[FPS],MATCH(RBVORPCalc,TableRBVORP[RK],0)))/INDEX(TableRBVORP[FPS],MATCH(RBVORPCalc,TableRBVORP[RK],0)),"")</f>
        <v/>
      </c>
      <c r="O150">
        <v>149</v>
      </c>
      <c r="P150" s="120" t="str">
        <f>IFERROR(INDEX(TableWRCalcPts[PLAYER],MATCH(TableWRVORP[[#This Row],[RK]],TableWRCalcPts[RK],0)),"")</f>
        <v>David Bell</v>
      </c>
      <c r="Q150" s="120" t="str">
        <f>IFERROR(INDEX(TableWRCalcPts[TM],MATCH(TableWRVORP[[#This Row],[RK]],TableWRCalcPts[RK],0)),"")</f>
        <v>CLE</v>
      </c>
      <c r="R150" s="120">
        <f>IFERROR(INDEX(TableWRCalcPts[BYE],MATCH(TableWRVORP[[#This Row],[RK]],TableWRCalcPts[RK],0)),"")</f>
        <v>5</v>
      </c>
      <c r="S150" s="121">
        <f>IFERROR(INDEX(TableWRCalcPts[Custom],MATCH(TableWRVORP[[#This Row],[RK]],TableWRCalcPts[RK],0)),"")</f>
        <v>16.274309090837527</v>
      </c>
      <c r="T150" s="122">
        <f>IFERROR((TableWRVORP[[#This Row],[FPS]]-INDEX(TableWRVORP[FPS],MATCH(WRVORPCalc,TableWRVORP[RK],0)))/INDEX(TableWRVORP[FPS],MATCH(WRVORPCalc,TableWRVORP[RK],0)),"")</f>
        <v>-0.87509365323684396</v>
      </c>
      <c r="AF150" t="s">
        <v>257</v>
      </c>
      <c r="AG150">
        <v>9</v>
      </c>
      <c r="AH150" s="86">
        <f>RANK(TableOverallMaster[[#This Row],[VORP]],TableOverallMaster[VORP])+COUNTIF($AM$2:AM150,AM150)-1</f>
        <v>26</v>
      </c>
      <c r="AI150" s="123" t="str">
        <f>IFERROR(INDEX(TableWRVORP[WIDE RECEIVER],MATCH(TableOverallMaster[[#This Row],[RK]],TableWRVORP[RK],0)),"")</f>
        <v>Jaylen Waddle</v>
      </c>
      <c r="AJ150" s="123" t="str">
        <f t="shared" si="2"/>
        <v>WR9</v>
      </c>
      <c r="AK150" s="123">
        <f>IFERROR(INDEX(TableWRVORP[BYE],MATCH(TableOverallMaster[[#This Row],[RK]],TableWRVORP[RK],0)),"")</f>
        <v>10</v>
      </c>
      <c r="AL150" s="124">
        <f>IFERROR(INDEX(TableWRVORP[FPS],MATCH(TableOverallMaster[[#This Row],[RK]],TableWRVORP[RK],0)),"")</f>
        <v>213.97580424242801</v>
      </c>
      <c r="AM150" s="125">
        <f>IFERROR(INDEX(TableWRVORP[VORP],MATCH(TableOverallMaster[[#This Row],[RK]],TableWRVORP[RK],0)),"")</f>
        <v>0.64227776764282019</v>
      </c>
      <c r="AO150">
        <v>149</v>
      </c>
      <c r="AP150" s="126" t="str">
        <f>IFERROR(INDEX(TableOverallMaster[OVERALL PLAYER],MATCH(TableOverallRank[[#This Row],[RK]],TableOverallMaster[OVR RK],0)),"")</f>
        <v>Sam Howell</v>
      </c>
      <c r="AQ150" s="127" t="str">
        <f>IFERROR(INDEX(TableOverallMaster[POS RK],MATCH(TableOverallRank[[#This Row],[OVERALL PLAYER]],TableOverallMaster[OVERALL PLAYER],0)),"")</f>
        <v>QB22</v>
      </c>
      <c r="AR150" s="128">
        <f>IFERROR(INDEX(TableOverallMaster[BYE],MATCH(TableOverallRank[[#This Row],[OVERALL PLAYER]],TableOverallMaster[OVERALL PLAYER],0)),"")</f>
        <v>14</v>
      </c>
      <c r="AS150" s="127">
        <f>IFERROR(INDEX(TableOverallMaster[Custom],MATCH(TableOverallRank[[#This Row],[OVERALL PLAYER]],TableOverallMaster[OVERALL PLAYER],0)),"")</f>
        <v>274.21294636457452</v>
      </c>
      <c r="AT150" s="129">
        <f>IFERROR(INDEX(TableOverallMaster[VORP],MATCH(TableOverallRank[[#This Row],[OVERALL PLAYER]],TableOverallMaster[OVERALL PLAYER],0)),"")</f>
        <v>-9.3721336038496222E-2</v>
      </c>
      <c r="AV150">
        <v>149</v>
      </c>
      <c r="AW150" s="130" t="str">
        <f>IFERROR(INDEX(TableWRTECalcPts[PLAYER],MATCH(TableWRTERank[[#This Row],[RK]],TableWRTECalcPts[RK],0)),"")</f>
        <v>Isaiah Likely</v>
      </c>
      <c r="AX150" s="130" t="str">
        <f>IFERROR(INDEX(TableWRTECalcPts[POS RK],MATCH(TableWRTERank[[#This Row],[WR and TE COMBINED]],TableWRTECalcPts[PLAYER],0)),"")</f>
        <v>TE41</v>
      </c>
      <c r="AY150" s="130">
        <f>IFERROR(INDEX(TableWRTECalcPts[BYE],MATCH(TableWRTERank[[#This Row],[RK]],TableWRTECalcPts[RK],0)),"")</f>
        <v>13</v>
      </c>
      <c r="AZ150" s="131">
        <f>IFERROR(INDEX(TableWRTECalcPts[Custom],MATCH(TableWRTERank[[#This Row],[RK]],TableWRTECalcPts[RK],0)),"")</f>
        <v>53.123189134197595</v>
      </c>
      <c r="BA150" s="188">
        <f>IFERROR((TableWRTERank[[#This Row],[FPS]]-INDEX(TableWRTERank[FPS],MATCH(WRTEVORPCalc,TableWRTERank[RK],0)))/INDEX(TableWRTERank[FPS],MATCH(WRTEVORPCalc,TableWRTERank[RK],0)),"")</f>
        <v>-0.61613422213287938</v>
      </c>
      <c r="BC150" t="s">
        <v>257</v>
      </c>
      <c r="BD150">
        <v>149</v>
      </c>
      <c r="BE150" s="86">
        <f>RANK(TableWRTEMaster[[#This Row],[VORP]],TableWRTEMaster[VORP])+COUNTIF($BJ$2:BJ150,BJ150)-1</f>
        <v>222</v>
      </c>
      <c r="BF150" s="123" t="str">
        <f>IFERROR(INDEX(TableWRVORP[WIDE RECEIVER],MATCH(TableWRTEMaster[[#This Row],[RK]],TableWRVORP[RK],0)),"")</f>
        <v>David Bell</v>
      </c>
      <c r="BG150" s="123" t="str">
        <f>_xlfn.CONCAT(TableWRTEMaster[[#This Row],[POS]],TableWRTEMaster[[#This Row],[RK]])</f>
        <v>WR149</v>
      </c>
      <c r="BH150" s="123">
        <f>IFERROR(INDEX(TableWRVORP[BYE],MATCH(TableWRTEMaster[[#This Row],[RK]],TableWRVORP[RK],0)),"")</f>
        <v>5</v>
      </c>
      <c r="BI150" s="124">
        <f>IFERROR(INDEX(TableWRVORP[FPS],MATCH(TableWRTEMaster[[#This Row],[RK]],TableWRVORP[RK],0)),"")</f>
        <v>16.274309090837527</v>
      </c>
      <c r="BJ150" s="125">
        <f>IFERROR(INDEX(TableWRVORP[VORP],MATCH(TableWRTEMaster[[#This Row],[RK]],TableWRVORP[RK],0)),"")</f>
        <v>-0.87509365323684396</v>
      </c>
    </row>
    <row r="151" spans="8:62" x14ac:dyDescent="0.2">
      <c r="H151">
        <v>150</v>
      </c>
      <c r="I151" s="120" t="str">
        <f>IFERROR(INDEX(TableRBCalcPts[PLAYER],MATCH(TableRBVORP[[#This Row],[RK]],TableRBCalcPts[RK],0)),"")</f>
        <v/>
      </c>
      <c r="J151" s="120" t="str">
        <f>IFERROR(INDEX(TableRBCalcPts[TM],MATCH(TableRBVORP[[#This Row],[RK]],TableRBCalcPts[RK],0)),"")</f>
        <v/>
      </c>
      <c r="K151" s="120" t="str">
        <f>IFERROR(INDEX(TableRBCalcPts[BYE],MATCH(TableRBVORP[[#This Row],[RK]],TableRBCalcPts[RK],0)),"")</f>
        <v/>
      </c>
      <c r="L151" s="121" t="str">
        <f>IFERROR(INDEX(TableRBCalcPts[Custom],MATCH(TableRBVORP[[#This Row],[RK]],TableRBCalcPts[RK],0)),"")</f>
        <v/>
      </c>
      <c r="M151" s="122" t="str">
        <f>IFERROR((TableRBVORP[[#This Row],[FPS]]-INDEX(TableRBVORP[FPS],MATCH(RBVORPCalc,TableRBVORP[RK],0)))/INDEX(TableRBVORP[FPS],MATCH(RBVORPCalc,TableRBVORP[RK],0)),"")</f>
        <v/>
      </c>
      <c r="O151">
        <v>150</v>
      </c>
      <c r="P151" s="120" t="str">
        <f>IFERROR(INDEX(TableWRCalcPts[PLAYER],MATCH(TableWRVORP[[#This Row],[RK]],TableWRCalcPts[RK],0)),"")</f>
        <v>Andrei Iosivas</v>
      </c>
      <c r="Q151" s="120" t="str">
        <f>IFERROR(INDEX(TableWRCalcPts[TM],MATCH(TableWRVORP[[#This Row],[RK]],TableWRCalcPts[RK],0)),"")</f>
        <v>CIN</v>
      </c>
      <c r="R151" s="120">
        <f>IFERROR(INDEX(TableWRCalcPts[BYE],MATCH(TableWRVORP[[#This Row],[RK]],TableWRCalcPts[RK],0)),"")</f>
        <v>7</v>
      </c>
      <c r="S151" s="121">
        <f>IFERROR(INDEX(TableWRCalcPts[Custom],MATCH(TableWRVORP[[#This Row],[RK]],TableWRCalcPts[RK],0)),"")</f>
        <v>15.523537206239999</v>
      </c>
      <c r="T151" s="122">
        <f>IFERROR((TableWRVORP[[#This Row],[FPS]]-INDEX(TableWRVORP[FPS],MATCH(WRVORPCalc,TableWRVORP[RK],0)))/INDEX(TableWRVORP[FPS],MATCH(WRVORPCalc,TableWRVORP[RK],0)),"")</f>
        <v>-0.88085587471329141</v>
      </c>
      <c r="AF151" t="s">
        <v>257</v>
      </c>
      <c r="AG151">
        <v>10</v>
      </c>
      <c r="AH151" s="86">
        <f>RANK(TableOverallMaster[[#This Row],[VORP]],TableOverallMaster[VORP])+COUNTIF($AM$2:AM151,AM151)-1</f>
        <v>30</v>
      </c>
      <c r="AI151" s="123" t="str">
        <f>IFERROR(INDEX(TableWRVORP[WIDE RECEIVER],MATCH(TableOverallMaster[[#This Row],[RK]],TableWRVORP[RK],0)),"")</f>
        <v>Garrett Wilson</v>
      </c>
      <c r="AJ151" s="123" t="str">
        <f t="shared" si="2"/>
        <v>WR10</v>
      </c>
      <c r="AK151" s="123">
        <f>IFERROR(INDEX(TableWRVORP[BYE],MATCH(TableOverallMaster[[#This Row],[RK]],TableWRVORP[RK],0)),"")</f>
        <v>7</v>
      </c>
      <c r="AL151" s="124">
        <f>IFERROR(INDEX(TableWRVORP[FPS],MATCH(TableOverallMaster[[#This Row],[RK]],TableWRVORP[RK],0)),"")</f>
        <v>207.71072219166814</v>
      </c>
      <c r="AM151" s="125">
        <f>IFERROR(INDEX(TableWRVORP[VORP],MATCH(TableOverallMaster[[#This Row],[RK]],TableWRVORP[RK],0)),"")</f>
        <v>0.59419286850738384</v>
      </c>
      <c r="AO151">
        <v>150</v>
      </c>
      <c r="AP151" s="126" t="str">
        <f>IFERROR(INDEX(TableOverallMaster[OVERALL PLAYER],MATCH(TableOverallRank[[#This Row],[RK]],TableOverallMaster[OVR RK],0)),"")</f>
        <v>Tank Bigsby</v>
      </c>
      <c r="AQ151" s="127" t="str">
        <f>IFERROR(INDEX(TableOverallMaster[POS RK],MATCH(TableOverallRank[[#This Row],[OVERALL PLAYER]],TableOverallMaster[OVERALL PLAYER],0)),"")</f>
        <v>RB48</v>
      </c>
      <c r="AR151" s="128">
        <f>IFERROR(INDEX(TableOverallMaster[BYE],MATCH(TableOverallRank[[#This Row],[OVERALL PLAYER]],TableOverallMaster[OVERALL PLAYER],0)),"")</f>
        <v>9</v>
      </c>
      <c r="AS151" s="127">
        <f>IFERROR(INDEX(TableOverallMaster[Custom],MATCH(TableOverallRank[[#This Row],[OVERALL PLAYER]],TableOverallMaster[OVERALL PLAYER],0)),"")</f>
        <v>110.05860429876311</v>
      </c>
      <c r="AT151" s="129">
        <f>IFERROR(INDEX(TableOverallMaster[VORP],MATCH(TableOverallRank[[#This Row],[OVERALL PLAYER]],TableOverallMaster[OVERALL PLAYER],0)),"")</f>
        <v>-0.10129034722876451</v>
      </c>
      <c r="AV151">
        <v>150</v>
      </c>
      <c r="AW151" s="130" t="str">
        <f>IFERROR(INDEX(TableWRTECalcPts[PLAYER],MATCH(TableWRTERank[[#This Row],[RK]],TableWRTECalcPts[RK],0)),"")</f>
        <v>Kayshon Boutte</v>
      </c>
      <c r="AX151" s="130" t="str">
        <f>IFERROR(INDEX(TableWRTECalcPts[POS RK],MATCH(TableWRTERank[[#This Row],[WR and TE COMBINED]],TableWRTECalcPts[PLAYER],0)),"")</f>
        <v>WR109</v>
      </c>
      <c r="AY151" s="130">
        <f>IFERROR(INDEX(TableWRTECalcPts[BYE],MATCH(TableWRTERank[[#This Row],[RK]],TableWRTECalcPts[RK],0)),"")</f>
        <v>11</v>
      </c>
      <c r="AZ151" s="131">
        <f>IFERROR(INDEX(TableWRTECalcPts[Custom],MATCH(TableWRTERank[[#This Row],[RK]],TableWRTECalcPts[RK],0)),"")</f>
        <v>47.181509120148462</v>
      </c>
      <c r="BA151" s="188">
        <f>IFERROR((TableWRTERank[[#This Row],[FPS]]-INDEX(TableWRTERank[FPS],MATCH(WRTEVORPCalc,TableWRTERank[RK],0)))/INDEX(TableWRTERank[FPS],MATCH(WRTEVORPCalc,TableWRTERank[RK],0)),"")</f>
        <v>-0.65906853495564333</v>
      </c>
      <c r="BC151" t="s">
        <v>257</v>
      </c>
      <c r="BD151">
        <v>150</v>
      </c>
      <c r="BE151" s="86">
        <f>RANK(TableWRTEMaster[[#This Row],[VORP]],TableWRTEMaster[VORP])+COUNTIF($BJ$2:BJ151,BJ151)-1</f>
        <v>224</v>
      </c>
      <c r="BF151" s="123" t="str">
        <f>IFERROR(INDEX(TableWRVORP[WIDE RECEIVER],MATCH(TableWRTEMaster[[#This Row],[RK]],TableWRVORP[RK],0)),"")</f>
        <v>Andrei Iosivas</v>
      </c>
      <c r="BG151" s="123" t="str">
        <f>_xlfn.CONCAT(TableWRTEMaster[[#This Row],[POS]],TableWRTEMaster[[#This Row],[RK]])</f>
        <v>WR150</v>
      </c>
      <c r="BH151" s="123">
        <f>IFERROR(INDEX(TableWRVORP[BYE],MATCH(TableWRTEMaster[[#This Row],[RK]],TableWRVORP[RK],0)),"")</f>
        <v>7</v>
      </c>
      <c r="BI151" s="124">
        <f>IFERROR(INDEX(TableWRVORP[FPS],MATCH(TableWRTEMaster[[#This Row],[RK]],TableWRVORP[RK],0)),"")</f>
        <v>15.523537206239999</v>
      </c>
      <c r="BJ151" s="125">
        <f>IFERROR(INDEX(TableWRVORP[VORP],MATCH(TableWRTEMaster[[#This Row],[RK]],TableWRVORP[RK],0)),"")</f>
        <v>-0.88085587471329141</v>
      </c>
    </row>
    <row r="152" spans="8:62" x14ac:dyDescent="0.2">
      <c r="H152">
        <v>151</v>
      </c>
      <c r="I152" s="120" t="str">
        <f>IFERROR(INDEX(TableRBCalcPts[PLAYER],MATCH(TableRBVORP[[#This Row],[RK]],TableRBCalcPts[RK],0)),"")</f>
        <v/>
      </c>
      <c r="J152" s="120" t="str">
        <f>IFERROR(INDEX(TableRBCalcPts[TM],MATCH(TableRBVORP[[#This Row],[RK]],TableRBCalcPts[RK],0)),"")</f>
        <v/>
      </c>
      <c r="K152" s="120" t="str">
        <f>IFERROR(INDEX(TableRBCalcPts[BYE],MATCH(TableRBVORP[[#This Row],[RK]],TableRBCalcPts[RK],0)),"")</f>
        <v/>
      </c>
      <c r="L152" s="121" t="str">
        <f>IFERROR(INDEX(TableRBCalcPts[Custom],MATCH(TableRBVORP[[#This Row],[RK]],TableRBCalcPts[RK],0)),"")</f>
        <v/>
      </c>
      <c r="M152" s="122" t="str">
        <f>IFERROR((TableRBVORP[[#This Row],[FPS]]-INDEX(TableRBVORP[FPS],MATCH(RBVORPCalc,TableRBVORP[RK],0)))/INDEX(TableRBVORP[FPS],MATCH(RBVORPCalc,TableRBVORP[RK],0)),"")</f>
        <v/>
      </c>
      <c r="O152">
        <v>151</v>
      </c>
      <c r="P152" s="120" t="str">
        <f>IFERROR(INDEX(TableWRCalcPts[PLAYER],MATCH(TableWRVORP[[#This Row],[RK]],TableWRCalcPts[RK],0)),"")</f>
        <v>Devin Duvernay</v>
      </c>
      <c r="Q152" s="120" t="str">
        <f>IFERROR(INDEX(TableWRCalcPts[TM],MATCH(TableWRVORP[[#This Row],[RK]],TableWRCalcPts[RK],0)),"")</f>
        <v>BAL</v>
      </c>
      <c r="R152" s="120">
        <f>IFERROR(INDEX(TableWRCalcPts[BYE],MATCH(TableWRVORP[[#This Row],[RK]],TableWRCalcPts[RK],0)),"")</f>
        <v>13</v>
      </c>
      <c r="S152" s="121">
        <f>IFERROR(INDEX(TableWRCalcPts[Custom],MATCH(TableWRVORP[[#This Row],[RK]],TableWRCalcPts[RK],0)),"")</f>
        <v>14.822361132585366</v>
      </c>
      <c r="T152" s="122">
        <f>IFERROR((TableWRVORP[[#This Row],[FPS]]-INDEX(TableWRVORP[FPS],MATCH(WRVORPCalc,TableWRVORP[RK],0)))/INDEX(TableWRVORP[FPS],MATCH(WRVORPCalc,TableWRVORP[RK],0)),"")</f>
        <v>-0.88623744521862491</v>
      </c>
      <c r="AF152" t="s">
        <v>257</v>
      </c>
      <c r="AG152">
        <v>11</v>
      </c>
      <c r="AH152" s="86">
        <f>RANK(TableOverallMaster[[#This Row],[VORP]],TableOverallMaster[VORP])+COUNTIF($AM$2:AM152,AM152)-1</f>
        <v>31</v>
      </c>
      <c r="AI152" s="123" t="str">
        <f>IFERROR(INDEX(TableWRVORP[WIDE RECEIVER],MATCH(TableOverallMaster[[#This Row],[RK]],TableWRVORP[RK],0)),"")</f>
        <v>A.J. Brown</v>
      </c>
      <c r="AJ152" s="123" t="str">
        <f t="shared" si="2"/>
        <v>WR11</v>
      </c>
      <c r="AK152" s="123">
        <f>IFERROR(INDEX(TableWRVORP[BYE],MATCH(TableOverallMaster[[#This Row],[RK]],TableWRVORP[RK],0)),"")</f>
        <v>10</v>
      </c>
      <c r="AL152" s="124">
        <f>IFERROR(INDEX(TableWRVORP[FPS],MATCH(TableOverallMaster[[#This Row],[RK]],TableWRVORP[RK],0)),"")</f>
        <v>206.51176008611552</v>
      </c>
      <c r="AM152" s="125">
        <f>IFERROR(INDEX(TableWRVORP[VORP],MATCH(TableOverallMaster[[#This Row],[RK]],TableWRVORP[RK],0)),"")</f>
        <v>0.58499075887089225</v>
      </c>
      <c r="AO152">
        <v>151</v>
      </c>
      <c r="AP152" s="126" t="str">
        <f>IFERROR(INDEX(TableOverallMaster[OVERALL PLAYER],MATCH(TableOverallRank[[#This Row],[RK]],TableOverallMaster[OVR RK],0)),"")</f>
        <v>Kadarius Toney</v>
      </c>
      <c r="AQ152" s="127" t="str">
        <f>IFERROR(INDEX(TableOverallMaster[POS RK],MATCH(TableOverallRank[[#This Row],[OVERALL PLAYER]],TableOverallMaster[OVERALL PLAYER],0)),"")</f>
        <v>WR65</v>
      </c>
      <c r="AR152" s="128">
        <f>IFERROR(INDEX(TableOverallMaster[BYE],MATCH(TableOverallRank[[#This Row],[OVERALL PLAYER]],TableOverallMaster[OVERALL PLAYER],0)),"")</f>
        <v>10</v>
      </c>
      <c r="AS152" s="127">
        <f>IFERROR(INDEX(TableOverallMaster[Custom],MATCH(TableOverallRank[[#This Row],[OVERALL PLAYER]],TableOverallMaster[OVERALL PLAYER],0)),"")</f>
        <v>115.6532121174868</v>
      </c>
      <c r="AT152" s="129">
        <f>IFERROR(INDEX(TableOverallMaster[VORP],MATCH(TableOverallRank[[#This Row],[OVERALL PLAYER]],TableOverallMaster[OVERALL PLAYER],0)),"")</f>
        <v>-0.11235431646356794</v>
      </c>
      <c r="AV152">
        <v>151</v>
      </c>
      <c r="AW152" s="130" t="str">
        <f>IFERROR(INDEX(TableWRTECalcPts[PLAYER],MATCH(TableWRTERank[[#This Row],[RK]],TableWRTECalcPts[RK],0)),"")</f>
        <v>KhaDarel Hodge</v>
      </c>
      <c r="AX152" s="130" t="str">
        <f>IFERROR(INDEX(TableWRTECalcPts[POS RK],MATCH(TableWRTERank[[#This Row],[WR and TE COMBINED]],TableWRTECalcPts[PLAYER],0)),"")</f>
        <v>WR110</v>
      </c>
      <c r="AY152" s="130">
        <f>IFERROR(INDEX(TableWRTECalcPts[BYE],MATCH(TableWRTERank[[#This Row],[RK]],TableWRTECalcPts[RK],0)),"")</f>
        <v>11</v>
      </c>
      <c r="AZ152" s="131">
        <f>IFERROR(INDEX(TableWRTECalcPts[Custom],MATCH(TableWRTERank[[#This Row],[RK]],TableWRTECalcPts[RK],0)),"")</f>
        <v>46.12868847008707</v>
      </c>
      <c r="BA152" s="188">
        <f>IFERROR((TableWRTERank[[#This Row],[FPS]]-INDEX(TableWRTERank[FPS],MATCH(WRTEVORPCalc,TableWRTERank[RK],0)))/INDEX(TableWRTERank[FPS],MATCH(WRTEVORPCalc,TableWRTERank[RK],0)),"")</f>
        <v>-0.66667616966991949</v>
      </c>
      <c r="BC152" t="s">
        <v>257</v>
      </c>
      <c r="BD152">
        <v>151</v>
      </c>
      <c r="BE152" s="86">
        <f>RANK(TableWRTEMaster[[#This Row],[VORP]],TableWRTEMaster[VORP])+COUNTIF($BJ$2:BJ152,BJ152)-1</f>
        <v>227</v>
      </c>
      <c r="BF152" s="123" t="str">
        <f>IFERROR(INDEX(TableWRVORP[WIDE RECEIVER],MATCH(TableWRTEMaster[[#This Row],[RK]],TableWRVORP[RK],0)),"")</f>
        <v>Devin Duvernay</v>
      </c>
      <c r="BG152" s="123" t="str">
        <f>_xlfn.CONCAT(TableWRTEMaster[[#This Row],[POS]],TableWRTEMaster[[#This Row],[RK]])</f>
        <v>WR151</v>
      </c>
      <c r="BH152" s="123">
        <f>IFERROR(INDEX(TableWRVORP[BYE],MATCH(TableWRTEMaster[[#This Row],[RK]],TableWRVORP[RK],0)),"")</f>
        <v>13</v>
      </c>
      <c r="BI152" s="124">
        <f>IFERROR(INDEX(TableWRVORP[FPS],MATCH(TableWRTEMaster[[#This Row],[RK]],TableWRVORP[RK],0)),"")</f>
        <v>14.822361132585366</v>
      </c>
      <c r="BJ152" s="125">
        <f>IFERROR(INDEX(TableWRVORP[VORP],MATCH(TableWRTEMaster[[#This Row],[RK]],TableWRVORP[RK],0)),"")</f>
        <v>-0.88623744521862491</v>
      </c>
    </row>
    <row r="153" spans="8:62" x14ac:dyDescent="0.2">
      <c r="H153">
        <v>152</v>
      </c>
      <c r="I153" s="120" t="str">
        <f>IFERROR(INDEX(TableRBCalcPts[PLAYER],MATCH(TableRBVORP[[#This Row],[RK]],TableRBCalcPts[RK],0)),"")</f>
        <v/>
      </c>
      <c r="J153" s="120" t="str">
        <f>IFERROR(INDEX(TableRBCalcPts[TM],MATCH(TableRBVORP[[#This Row],[RK]],TableRBCalcPts[RK],0)),"")</f>
        <v/>
      </c>
      <c r="K153" s="120" t="str">
        <f>IFERROR(INDEX(TableRBCalcPts[BYE],MATCH(TableRBVORP[[#This Row],[RK]],TableRBCalcPts[RK],0)),"")</f>
        <v/>
      </c>
      <c r="L153" s="121" t="str">
        <f>IFERROR(INDEX(TableRBCalcPts[Custom],MATCH(TableRBVORP[[#This Row],[RK]],TableRBCalcPts[RK],0)),"")</f>
        <v/>
      </c>
      <c r="M153" s="122" t="str">
        <f>IFERROR((TableRBVORP[[#This Row],[FPS]]-INDEX(TableRBVORP[FPS],MATCH(RBVORPCalc,TableRBVORP[RK],0)))/INDEX(TableRBVORP[FPS],MATCH(RBVORPCalc,TableRBVORP[RK],0)),"")</f>
        <v/>
      </c>
      <c r="O153">
        <v>152</v>
      </c>
      <c r="P153" s="120" t="str">
        <f>IFERROR(INDEX(TableWRCalcPts[PLAYER],MATCH(TableWRVORP[[#This Row],[RK]],TableWRCalcPts[RK],0)),"")</f>
        <v>Dax Milne</v>
      </c>
      <c r="Q153" s="120" t="str">
        <f>IFERROR(INDEX(TableWRCalcPts[TM],MATCH(TableWRVORP[[#This Row],[RK]],TableWRCalcPts[RK],0)),"")</f>
        <v>WSH</v>
      </c>
      <c r="R153" s="120">
        <f>IFERROR(INDEX(TableWRCalcPts[BYE],MATCH(TableWRVORP[[#This Row],[RK]],TableWRCalcPts[RK],0)),"")</f>
        <v>14</v>
      </c>
      <c r="S153" s="121">
        <f>IFERROR(INDEX(TableWRCalcPts[Custom],MATCH(TableWRVORP[[#This Row],[RK]],TableWRCalcPts[RK],0)),"")</f>
        <v>13.829966895396961</v>
      </c>
      <c r="T153" s="122">
        <f>IFERROR((TableWRVORP[[#This Row],[FPS]]-INDEX(TableWRVORP[FPS],MATCH(WRVORPCalc,TableWRVORP[RK],0)))/INDEX(TableWRVORP[FPS],MATCH(WRVORPCalc,TableWRVORP[RK],0)),"")</f>
        <v>-0.89385413346167919</v>
      </c>
      <c r="AF153" t="s">
        <v>257</v>
      </c>
      <c r="AG153">
        <v>12</v>
      </c>
      <c r="AH153" s="86">
        <f>RANK(TableOverallMaster[[#This Row],[VORP]],TableOverallMaster[VORP])+COUNTIF($AM$2:AM153,AM153)-1</f>
        <v>33</v>
      </c>
      <c r="AI153" s="123" t="str">
        <f>IFERROR(INDEX(TableWRVORP[WIDE RECEIVER],MATCH(TableOverallMaster[[#This Row],[RK]],TableWRVORP[RK],0)),"")</f>
        <v>Tee Higgins</v>
      </c>
      <c r="AJ153" s="123" t="str">
        <f t="shared" si="2"/>
        <v>WR12</v>
      </c>
      <c r="AK153" s="123">
        <f>IFERROR(INDEX(TableWRVORP[BYE],MATCH(TableOverallMaster[[#This Row],[RK]],TableWRVORP[RK],0)),"")</f>
        <v>7</v>
      </c>
      <c r="AL153" s="124">
        <f>IFERROR(INDEX(TableWRVORP[FPS],MATCH(TableOverallMaster[[#This Row],[RK]],TableWRVORP[RK],0)),"")</f>
        <v>206.05871828961045</v>
      </c>
      <c r="AM153" s="125">
        <f>IFERROR(INDEX(TableWRVORP[VORP],MATCH(TableOverallMaster[[#This Row],[RK]],TableWRVORP[RK],0)),"")</f>
        <v>0.58151363456308836</v>
      </c>
      <c r="AO153">
        <v>152</v>
      </c>
      <c r="AP153" s="126" t="str">
        <f>IFERROR(INDEX(TableOverallMaster[OVERALL PLAYER],MATCH(TableOverallRank[[#This Row],[RK]],TableOverallMaster[OVR RK],0)),"")</f>
        <v>Jimmy Garoppolo</v>
      </c>
      <c r="AQ153" s="127" t="str">
        <f>IFERROR(INDEX(TableOverallMaster[POS RK],MATCH(TableOverallRank[[#This Row],[OVERALL PLAYER]],TableOverallMaster[OVERALL PLAYER],0)),"")</f>
        <v>QB23</v>
      </c>
      <c r="AR153" s="128">
        <f>IFERROR(INDEX(TableOverallMaster[BYE],MATCH(TableOverallRank[[#This Row],[OVERALL PLAYER]],TableOverallMaster[OVERALL PLAYER],0)),"")</f>
        <v>13</v>
      </c>
      <c r="AS153" s="127">
        <f>IFERROR(INDEX(TableOverallMaster[Custom],MATCH(TableOverallRank[[#This Row],[OVERALL PLAYER]],TableOverallMaster[OVERALL PLAYER],0)),"")</f>
        <v>267.40904968899622</v>
      </c>
      <c r="AT153" s="129">
        <f>IFERROR(INDEX(TableOverallMaster[VORP],MATCH(TableOverallRank[[#This Row],[OVERALL PLAYER]],TableOverallMaster[OVERALL PLAYER],0)),"")</f>
        <v>-0.11255375192808897</v>
      </c>
      <c r="AV153">
        <v>152</v>
      </c>
      <c r="AW153" s="130" t="str">
        <f>IFERROR(INDEX(TableWRTECalcPts[PLAYER],MATCH(TableWRTERank[[#This Row],[RK]],TableWRTECalcPts[RK],0)),"")</f>
        <v>Quez Watkins</v>
      </c>
      <c r="AX153" s="130" t="str">
        <f>IFERROR(INDEX(TableWRTECalcPts[POS RK],MATCH(TableWRTERank[[#This Row],[WR and TE COMBINED]],TableWRTECalcPts[PLAYER],0)),"")</f>
        <v>WR111</v>
      </c>
      <c r="AY153" s="130">
        <f>IFERROR(INDEX(TableWRTECalcPts[BYE],MATCH(TableWRTERank[[#This Row],[RK]],TableWRTECalcPts[RK],0)),"")</f>
        <v>10</v>
      </c>
      <c r="AZ153" s="131">
        <f>IFERROR(INDEX(TableWRTECalcPts[Custom],MATCH(TableWRTERank[[#This Row],[RK]],TableWRTECalcPts[RK],0)),"")</f>
        <v>45.688608346058807</v>
      </c>
      <c r="BA153" s="188">
        <f>IFERROR((TableWRTERank[[#This Row],[FPS]]-INDEX(TableWRTERank[FPS],MATCH(WRTEVORPCalc,TableWRTERank[RK],0)))/INDEX(TableWRTERank[FPS],MATCH(WRTEVORPCalc,TableWRTERank[RK],0)),"")</f>
        <v>-0.66985616887341659</v>
      </c>
      <c r="BC153" t="s">
        <v>257</v>
      </c>
      <c r="BD153">
        <v>152</v>
      </c>
      <c r="BE153" s="86">
        <f>RANK(TableWRTEMaster[[#This Row],[VORP]],TableWRTEMaster[VORP])+COUNTIF($BJ$2:BJ153,BJ153)-1</f>
        <v>228</v>
      </c>
      <c r="BF153" s="123" t="str">
        <f>IFERROR(INDEX(TableWRVORP[WIDE RECEIVER],MATCH(TableWRTEMaster[[#This Row],[RK]],TableWRVORP[RK],0)),"")</f>
        <v>Dax Milne</v>
      </c>
      <c r="BG153" s="123" t="str">
        <f>_xlfn.CONCAT(TableWRTEMaster[[#This Row],[POS]],TableWRTEMaster[[#This Row],[RK]])</f>
        <v>WR152</v>
      </c>
      <c r="BH153" s="123">
        <f>IFERROR(INDEX(TableWRVORP[BYE],MATCH(TableWRTEMaster[[#This Row],[RK]],TableWRVORP[RK],0)),"")</f>
        <v>14</v>
      </c>
      <c r="BI153" s="124">
        <f>IFERROR(INDEX(TableWRVORP[FPS],MATCH(TableWRTEMaster[[#This Row],[RK]],TableWRVORP[RK],0)),"")</f>
        <v>13.829966895396961</v>
      </c>
      <c r="BJ153" s="125">
        <f>IFERROR(INDEX(TableWRVORP[VORP],MATCH(TableWRTEMaster[[#This Row],[RK]],TableWRVORP[RK],0)),"")</f>
        <v>-0.89385413346167919</v>
      </c>
    </row>
    <row r="154" spans="8:62" x14ac:dyDescent="0.2">
      <c r="H154">
        <v>153</v>
      </c>
      <c r="I154" s="120" t="str">
        <f>IFERROR(INDEX(TableRBCalcPts[PLAYER],MATCH(TableRBVORP[[#This Row],[RK]],TableRBCalcPts[RK],0)),"")</f>
        <v/>
      </c>
      <c r="J154" s="120" t="str">
        <f>IFERROR(INDEX(TableRBCalcPts[TM],MATCH(TableRBVORP[[#This Row],[RK]],TableRBCalcPts[RK],0)),"")</f>
        <v/>
      </c>
      <c r="K154" s="120" t="str">
        <f>IFERROR(INDEX(TableRBCalcPts[BYE],MATCH(TableRBVORP[[#This Row],[RK]],TableRBCalcPts[RK],0)),"")</f>
        <v/>
      </c>
      <c r="L154" s="121" t="str">
        <f>IFERROR(INDEX(TableRBCalcPts[Custom],MATCH(TableRBVORP[[#This Row],[RK]],TableRBCalcPts[RK],0)),"")</f>
        <v/>
      </c>
      <c r="M154" s="122" t="str">
        <f>IFERROR((TableRBVORP[[#This Row],[FPS]]-INDEX(TableRBVORP[FPS],MATCH(RBVORPCalc,TableRBVORP[RK],0)))/INDEX(TableRBVORP[FPS],MATCH(RBVORPCalc,TableRBVORP[RK],0)),"")</f>
        <v/>
      </c>
      <c r="O154">
        <v>153</v>
      </c>
      <c r="P154" s="120" t="str">
        <f>IFERROR(INDEX(TableWRCalcPts[PLAYER],MATCH(TableWRVORP[[#This Row],[RK]],TableWRCalcPts[RK],0)),"")</f>
        <v>Derius Davis</v>
      </c>
      <c r="Q154" s="120" t="str">
        <f>IFERROR(INDEX(TableWRCalcPts[TM],MATCH(TableWRVORP[[#This Row],[RK]],TableWRCalcPts[RK],0)),"")</f>
        <v>LAC</v>
      </c>
      <c r="R154" s="120">
        <f>IFERROR(INDEX(TableWRCalcPts[BYE],MATCH(TableWRVORP[[#This Row],[RK]],TableWRCalcPts[RK],0)),"")</f>
        <v>5</v>
      </c>
      <c r="S154" s="121">
        <f>IFERROR(INDEX(TableWRCalcPts[Custom],MATCH(TableWRVORP[[#This Row],[RK]],TableWRCalcPts[RK],0)),"")</f>
        <v>13.746683842113603</v>
      </c>
      <c r="T154" s="122">
        <f>IFERROR((TableWRVORP[[#This Row],[FPS]]-INDEX(TableWRVORP[FPS],MATCH(WRVORPCalc,TableWRVORP[RK],0)))/INDEX(TableWRVORP[FPS],MATCH(WRVORPCalc,TableWRVORP[RK],0)),"")</f>
        <v>-0.89449333613841597</v>
      </c>
      <c r="AF154" t="s">
        <v>257</v>
      </c>
      <c r="AG154">
        <v>13</v>
      </c>
      <c r="AH154" s="86">
        <f>RANK(TableOverallMaster[[#This Row],[VORP]],TableOverallMaster[VORP])+COUNTIF($AM$2:AM154,AM154)-1</f>
        <v>34</v>
      </c>
      <c r="AI154" s="123" t="str">
        <f>IFERROR(INDEX(TableWRVORP[WIDE RECEIVER],MATCH(TableOverallMaster[[#This Row],[RK]],TableWRVORP[RK],0)),"")</f>
        <v>Calvin Ridley</v>
      </c>
      <c r="AJ154" s="123" t="str">
        <f t="shared" si="2"/>
        <v>WR13</v>
      </c>
      <c r="AK154" s="123">
        <f>IFERROR(INDEX(TableWRVORP[BYE],MATCH(TableOverallMaster[[#This Row],[RK]],TableWRVORP[RK],0)),"")</f>
        <v>9</v>
      </c>
      <c r="AL154" s="124">
        <f>IFERROR(INDEX(TableWRVORP[FPS],MATCH(TableOverallMaster[[#This Row],[RK]],TableWRVORP[RK],0)),"")</f>
        <v>205.85347666981542</v>
      </c>
      <c r="AM154" s="125">
        <f>IFERROR(INDEX(TableWRVORP[VORP],MATCH(TableOverallMaster[[#This Row],[RK]],TableWRVORP[RK],0)),"")</f>
        <v>0.5799383922109087</v>
      </c>
      <c r="AO154">
        <v>153</v>
      </c>
      <c r="AP154" s="126" t="str">
        <f>IFERROR(INDEX(TableOverallMaster[OVERALL PLAYER],MATCH(TableOverallRank[[#This Row],[RK]],TableOverallMaster[OVR RK],0)),"")</f>
        <v>Nico Collins</v>
      </c>
      <c r="AQ154" s="127" t="str">
        <f>IFERROR(INDEX(TableOverallMaster[POS RK],MATCH(TableOverallRank[[#This Row],[OVERALL PLAYER]],TableOverallMaster[OVERALL PLAYER],0)),"")</f>
        <v>WR66</v>
      </c>
      <c r="AR154" s="128">
        <f>IFERROR(INDEX(TableOverallMaster[BYE],MATCH(TableOverallRank[[#This Row],[OVERALL PLAYER]],TableOverallMaster[OVERALL PLAYER],0)),"")</f>
        <v>7</v>
      </c>
      <c r="AS154" s="127">
        <f>IFERROR(INDEX(TableOverallMaster[Custom],MATCH(TableOverallRank[[#This Row],[OVERALL PLAYER]],TableOverallMaster[OVERALL PLAYER],0)),"")</f>
        <v>114.84809106865067</v>
      </c>
      <c r="AT154" s="129">
        <f>IFERROR(INDEX(TableOverallMaster[VORP],MATCH(TableOverallRank[[#This Row],[OVERALL PLAYER]],TableOverallMaster[OVERALL PLAYER],0)),"")</f>
        <v>-0.11853367119690401</v>
      </c>
      <c r="AV154">
        <v>153</v>
      </c>
      <c r="AW154" s="130" t="str">
        <f>IFERROR(INDEX(TableWRTECalcPts[PLAYER],MATCH(TableWRTERank[[#This Row],[RK]],TableWRTECalcPts[RK],0)),"")</f>
        <v>Jonnu Smith</v>
      </c>
      <c r="AX154" s="130" t="str">
        <f>IFERROR(INDEX(TableWRTECalcPts[POS RK],MATCH(TableWRTERank[[#This Row],[WR and TE COMBINED]],TableWRTECalcPts[PLAYER],0)),"")</f>
        <v>TE42</v>
      </c>
      <c r="AY154" s="130">
        <f>IFERROR(INDEX(TableWRTECalcPts[BYE],MATCH(TableWRTERank[[#This Row],[RK]],TableWRTECalcPts[RK],0)),"")</f>
        <v>11</v>
      </c>
      <c r="AZ154" s="131">
        <f>IFERROR(INDEX(TableWRTECalcPts[Custom],MATCH(TableWRTERank[[#This Row],[RK]],TableWRTECalcPts[RK],0)),"")</f>
        <v>43.372279950248007</v>
      </c>
      <c r="BA154" s="188">
        <f>IFERROR((TableWRTERank[[#This Row],[FPS]]-INDEX(TableWRTERank[FPS],MATCH(WRTEVORPCalc,TableWRTERank[RK],0)))/INDEX(TableWRTERank[FPS],MATCH(WRTEVORPCalc,TableWRTERank[RK],0)),"")</f>
        <v>-0.68659385378927218</v>
      </c>
      <c r="BC154" t="s">
        <v>257</v>
      </c>
      <c r="BD154">
        <v>153</v>
      </c>
      <c r="BE154" s="86">
        <f>RANK(TableWRTEMaster[[#This Row],[VORP]],TableWRTEMaster[VORP])+COUNTIF($BJ$2:BJ154,BJ154)-1</f>
        <v>229</v>
      </c>
      <c r="BF154" s="123" t="str">
        <f>IFERROR(INDEX(TableWRVORP[WIDE RECEIVER],MATCH(TableWRTEMaster[[#This Row],[RK]],TableWRVORP[RK],0)),"")</f>
        <v>Derius Davis</v>
      </c>
      <c r="BG154" s="123" t="str">
        <f>_xlfn.CONCAT(TableWRTEMaster[[#This Row],[POS]],TableWRTEMaster[[#This Row],[RK]])</f>
        <v>WR153</v>
      </c>
      <c r="BH154" s="123">
        <f>IFERROR(INDEX(TableWRVORP[BYE],MATCH(TableWRTEMaster[[#This Row],[RK]],TableWRVORP[RK],0)),"")</f>
        <v>5</v>
      </c>
      <c r="BI154" s="124">
        <f>IFERROR(INDEX(TableWRVORP[FPS],MATCH(TableWRTEMaster[[#This Row],[RK]],TableWRVORP[RK],0)),"")</f>
        <v>13.746683842113603</v>
      </c>
      <c r="BJ154" s="125">
        <f>IFERROR(INDEX(TableWRVORP[VORP],MATCH(TableWRTEMaster[[#This Row],[RK]],TableWRVORP[RK],0)),"")</f>
        <v>-0.89449333613841597</v>
      </c>
    </row>
    <row r="155" spans="8:62" x14ac:dyDescent="0.2">
      <c r="H155">
        <v>154</v>
      </c>
      <c r="I155" s="120" t="str">
        <f>IFERROR(INDEX(TableRBCalcPts[PLAYER],MATCH(TableRBVORP[[#This Row],[RK]],TableRBCalcPts[RK],0)),"")</f>
        <v/>
      </c>
      <c r="J155" s="120" t="str">
        <f>IFERROR(INDEX(TableRBCalcPts[TM],MATCH(TableRBVORP[[#This Row],[RK]],TableRBCalcPts[RK],0)),"")</f>
        <v/>
      </c>
      <c r="K155" s="120" t="str">
        <f>IFERROR(INDEX(TableRBCalcPts[BYE],MATCH(TableRBVORP[[#This Row],[RK]],TableRBCalcPts[RK],0)),"")</f>
        <v/>
      </c>
      <c r="L155" s="121" t="str">
        <f>IFERROR(INDEX(TableRBCalcPts[Custom],MATCH(TableRBVORP[[#This Row],[RK]],TableRBCalcPts[RK],0)),"")</f>
        <v/>
      </c>
      <c r="M155" s="122" t="str">
        <f>IFERROR((TableRBVORP[[#This Row],[FPS]]-INDEX(TableRBVORP[FPS],MATCH(RBVORPCalc,TableRBVORP[RK],0)))/INDEX(TableRBVORP[FPS],MATCH(RBVORPCalc,TableRBVORP[RK],0)),"")</f>
        <v/>
      </c>
      <c r="O155">
        <v>154</v>
      </c>
      <c r="P155" s="120" t="str">
        <f>IFERROR(INDEX(TableWRCalcPts[PLAYER],MATCH(TableWRVORP[[#This Row],[RK]],TableWRCalcPts[RK],0)),"")</f>
        <v>Velus Jones</v>
      </c>
      <c r="Q155" s="120" t="str">
        <f>IFERROR(INDEX(TableWRCalcPts[TM],MATCH(TableWRVORP[[#This Row],[RK]],TableWRCalcPts[RK],0)),"")</f>
        <v>CHI</v>
      </c>
      <c r="R155" s="120">
        <f>IFERROR(INDEX(TableWRCalcPts[BYE],MATCH(TableWRVORP[[#This Row],[RK]],TableWRCalcPts[RK],0)),"")</f>
        <v>13</v>
      </c>
      <c r="S155" s="121">
        <f>IFERROR(INDEX(TableWRCalcPts[Custom],MATCH(TableWRVORP[[#This Row],[RK]],TableWRCalcPts[RK],0)),"")</f>
        <v>13.617734530209351</v>
      </c>
      <c r="T155" s="122">
        <f>IFERROR((TableWRVORP[[#This Row],[FPS]]-INDEX(TableWRVORP[FPS],MATCH(WRVORPCalc,TableWRVORP[RK],0)))/INDEX(TableWRVORP[FPS],MATCH(WRVORPCalc,TableWRVORP[RK],0)),"")</f>
        <v>-0.89548303022482434</v>
      </c>
      <c r="AF155" t="s">
        <v>257</v>
      </c>
      <c r="AG155">
        <v>14</v>
      </c>
      <c r="AH155" s="86">
        <f>RANK(TableOverallMaster[[#This Row],[VORP]],TableOverallMaster[VORP])+COUNTIF($AM$2:AM155,AM155)-1</f>
        <v>45</v>
      </c>
      <c r="AI155" s="123" t="str">
        <f>IFERROR(INDEX(TableWRVORP[WIDE RECEIVER],MATCH(TableOverallMaster[[#This Row],[RK]],TableWRVORP[RK],0)),"")</f>
        <v>Christian Watson</v>
      </c>
      <c r="AJ155" s="123" t="str">
        <f t="shared" si="2"/>
        <v>WR14</v>
      </c>
      <c r="AK155" s="123">
        <f>IFERROR(INDEX(TableWRVORP[BYE],MATCH(TableOverallMaster[[#This Row],[RK]],TableWRVORP[RK],0)),"")</f>
        <v>6</v>
      </c>
      <c r="AL155" s="124">
        <f>IFERROR(INDEX(TableWRVORP[FPS],MATCH(TableOverallMaster[[#This Row],[RK]],TableWRVORP[RK],0)),"")</f>
        <v>194.98899947146739</v>
      </c>
      <c r="AM155" s="125">
        <f>IFERROR(INDEX(TableWRVORP[VORP],MATCH(TableOverallMaster[[#This Row],[RK]],TableWRVORP[RK],0)),"")</f>
        <v>0.49655284577924613</v>
      </c>
      <c r="AO155">
        <v>154</v>
      </c>
      <c r="AP155" s="126" t="str">
        <f>IFERROR(INDEX(TableOverallMaster[OVERALL PLAYER],MATCH(TableOverallRank[[#This Row],[RK]],TableOverallMaster[OVR RK],0)),"")</f>
        <v>Ty Chandler</v>
      </c>
      <c r="AQ155" s="127" t="str">
        <f>IFERROR(INDEX(TableOverallMaster[POS RK],MATCH(TableOverallRank[[#This Row],[OVERALL PLAYER]],TableOverallMaster[OVERALL PLAYER],0)),"")</f>
        <v>RB49</v>
      </c>
      <c r="AR155" s="128">
        <f>IFERROR(INDEX(TableOverallMaster[BYE],MATCH(TableOverallRank[[#This Row],[OVERALL PLAYER]],TableOverallMaster[OVERALL PLAYER],0)),"")</f>
        <v>13</v>
      </c>
      <c r="AS155" s="127">
        <f>IFERROR(INDEX(TableOverallMaster[Custom],MATCH(TableOverallRank[[#This Row],[OVERALL PLAYER]],TableOverallMaster[OVERALL PLAYER],0)),"")</f>
        <v>107.11994911405516</v>
      </c>
      <c r="AT155" s="129">
        <f>IFERROR(INDEX(TableOverallMaster[VORP],MATCH(TableOverallRank[[#This Row],[OVERALL PLAYER]],TableOverallMaster[OVERALL PLAYER],0)),"")</f>
        <v>-0.12528663354813371</v>
      </c>
      <c r="AV155">
        <v>154</v>
      </c>
      <c r="AW155" s="130" t="str">
        <f>IFERROR(INDEX(TableWRTECalcPts[PLAYER],MATCH(TableWRTERank[[#This Row],[RK]],TableWRTECalcPts[RK],0)),"")</f>
        <v>Will Dissly</v>
      </c>
      <c r="AX155" s="130" t="str">
        <f>IFERROR(INDEX(TableWRTECalcPts[POS RK],MATCH(TableWRTERank[[#This Row],[WR and TE COMBINED]],TableWRTECalcPts[PLAYER],0)),"")</f>
        <v>TE43</v>
      </c>
      <c r="AY155" s="130">
        <f>IFERROR(INDEX(TableWRTECalcPts[BYE],MATCH(TableWRTERank[[#This Row],[RK]],TableWRTECalcPts[RK],0)),"")</f>
        <v>5</v>
      </c>
      <c r="AZ155" s="131">
        <f>IFERROR(INDEX(TableWRTECalcPts[Custom],MATCH(TableWRTERank[[#This Row],[RK]],TableWRTECalcPts[RK],0)),"")</f>
        <v>42.965516367240703</v>
      </c>
      <c r="BA155" s="188">
        <f>IFERROR((TableWRTERank[[#This Row],[FPS]]-INDEX(TableWRTERank[FPS],MATCH(WRTEVORPCalc,TableWRTERank[RK],0)))/INDEX(TableWRTERank[FPS],MATCH(WRTEVORPCalc,TableWRTERank[RK],0)),"")</f>
        <v>-0.68953310916425881</v>
      </c>
      <c r="BC155" t="s">
        <v>257</v>
      </c>
      <c r="BD155">
        <v>154</v>
      </c>
      <c r="BE155" s="86">
        <f>RANK(TableWRTEMaster[[#This Row],[VORP]],TableWRTEMaster[VORP])+COUNTIF($BJ$2:BJ155,BJ155)-1</f>
        <v>230</v>
      </c>
      <c r="BF155" s="123" t="str">
        <f>IFERROR(INDEX(TableWRVORP[WIDE RECEIVER],MATCH(TableWRTEMaster[[#This Row],[RK]],TableWRVORP[RK],0)),"")</f>
        <v>Velus Jones</v>
      </c>
      <c r="BG155" s="123" t="str">
        <f>_xlfn.CONCAT(TableWRTEMaster[[#This Row],[POS]],TableWRTEMaster[[#This Row],[RK]])</f>
        <v>WR154</v>
      </c>
      <c r="BH155" s="123">
        <f>IFERROR(INDEX(TableWRVORP[BYE],MATCH(TableWRTEMaster[[#This Row],[RK]],TableWRVORP[RK],0)),"")</f>
        <v>13</v>
      </c>
      <c r="BI155" s="124">
        <f>IFERROR(INDEX(TableWRVORP[FPS],MATCH(TableWRTEMaster[[#This Row],[RK]],TableWRVORP[RK],0)),"")</f>
        <v>13.617734530209351</v>
      </c>
      <c r="BJ155" s="125">
        <f>IFERROR(INDEX(TableWRVORP[VORP],MATCH(TableWRTEMaster[[#This Row],[RK]],TableWRVORP[RK],0)),"")</f>
        <v>-0.89548303022482434</v>
      </c>
    </row>
    <row r="156" spans="8:62" x14ac:dyDescent="0.2">
      <c r="H156">
        <v>155</v>
      </c>
      <c r="I156" s="120" t="str">
        <f>IFERROR(INDEX(TableRBCalcPts[PLAYER],MATCH(TableRBVORP[[#This Row],[RK]],TableRBCalcPts[RK],0)),"")</f>
        <v/>
      </c>
      <c r="J156" s="120" t="str">
        <f>IFERROR(INDEX(TableRBCalcPts[TM],MATCH(TableRBVORP[[#This Row],[RK]],TableRBCalcPts[RK],0)),"")</f>
        <v/>
      </c>
      <c r="K156" s="120" t="str">
        <f>IFERROR(INDEX(TableRBCalcPts[BYE],MATCH(TableRBVORP[[#This Row],[RK]],TableRBCalcPts[RK],0)),"")</f>
        <v/>
      </c>
      <c r="L156" s="121" t="str">
        <f>IFERROR(INDEX(TableRBCalcPts[Custom],MATCH(TableRBVORP[[#This Row],[RK]],TableRBCalcPts[RK],0)),"")</f>
        <v/>
      </c>
      <c r="M156" s="122" t="str">
        <f>IFERROR((TableRBVORP[[#This Row],[FPS]]-INDEX(TableRBVORP[FPS],MATCH(RBVORPCalc,TableRBVORP[RK],0)))/INDEX(TableRBVORP[FPS],MATCH(RBVORPCalc,TableRBVORP[RK],0)),"")</f>
        <v/>
      </c>
      <c r="O156">
        <v>155</v>
      </c>
      <c r="P156" s="120" t="str">
        <f>IFERROR(INDEX(TableWRCalcPts[PLAYER],MATCH(TableWRVORP[[#This Row],[RK]],TableWRCalcPts[RK],0)),"")</f>
        <v>KaVontae Turpin</v>
      </c>
      <c r="Q156" s="120" t="str">
        <f>IFERROR(INDEX(TableWRCalcPts[TM],MATCH(TableWRVORP[[#This Row],[RK]],TableWRCalcPts[RK],0)),"")</f>
        <v>DAL</v>
      </c>
      <c r="R156" s="120">
        <f>IFERROR(INDEX(TableWRCalcPts[BYE],MATCH(TableWRVORP[[#This Row],[RK]],TableWRCalcPts[RK],0)),"")</f>
        <v>7</v>
      </c>
      <c r="S156" s="121">
        <f>IFERROR(INDEX(TableWRCalcPts[Custom],MATCH(TableWRVORP[[#This Row],[RK]],TableWRCalcPts[RK],0)),"")</f>
        <v>13.457139075072</v>
      </c>
      <c r="T156" s="122">
        <f>IFERROR((TableWRVORP[[#This Row],[FPS]]-INDEX(TableWRVORP[FPS],MATCH(WRVORPCalc,TableWRVORP[RK],0)))/INDEX(TableWRVORP[FPS],MATCH(WRVORPCalc,TableWRVORP[RK],0)),"")</f>
        <v>-0.89671561045271642</v>
      </c>
      <c r="AF156" t="s">
        <v>257</v>
      </c>
      <c r="AG156">
        <v>15</v>
      </c>
      <c r="AH156" s="86">
        <f>RANK(TableOverallMaster[[#This Row],[VORP]],TableOverallMaster[VORP])+COUNTIF($AM$2:AM156,AM156)-1</f>
        <v>49</v>
      </c>
      <c r="AI156" s="123" t="str">
        <f>IFERROR(INDEX(TableWRVORP[WIDE RECEIVER],MATCH(TableOverallMaster[[#This Row],[RK]],TableWRVORP[RK],0)),"")</f>
        <v>Jahan Dotson</v>
      </c>
      <c r="AJ156" s="123" t="str">
        <f t="shared" si="2"/>
        <v>WR15</v>
      </c>
      <c r="AK156" s="123">
        <f>IFERROR(INDEX(TableWRVORP[BYE],MATCH(TableOverallMaster[[#This Row],[RK]],TableWRVORP[RK],0)),"")</f>
        <v>14</v>
      </c>
      <c r="AL156" s="124">
        <f>IFERROR(INDEX(TableWRVORP[FPS],MATCH(TableOverallMaster[[#This Row],[RK]],TableWRVORP[RK],0)),"")</f>
        <v>191.8214704728</v>
      </c>
      <c r="AM156" s="125">
        <f>IFERROR(INDEX(TableWRVORP[VORP],MATCH(TableOverallMaster[[#This Row],[RK]],TableWRVORP[RK],0)),"")</f>
        <v>0.47224186131400386</v>
      </c>
      <c r="AO156">
        <v>155</v>
      </c>
      <c r="AP156" s="126" t="str">
        <f>IFERROR(INDEX(TableOverallMaster[OVERALL PLAYER],MATCH(TableOverallRank[[#This Row],[RK]],TableOverallMaster[OVR RK],0)),"")</f>
        <v>K.J. Osborn</v>
      </c>
      <c r="AQ156" s="127" t="str">
        <f>IFERROR(INDEX(TableOverallMaster[POS RK],MATCH(TableOverallRank[[#This Row],[OVERALL PLAYER]],TableOverallMaster[OVERALL PLAYER],0)),"")</f>
        <v>WR67</v>
      </c>
      <c r="AR156" s="128">
        <f>IFERROR(INDEX(TableOverallMaster[BYE],MATCH(TableOverallRank[[#This Row],[OVERALL PLAYER]],TableOverallMaster[OVERALL PLAYER],0)),"")</f>
        <v>13</v>
      </c>
      <c r="AS156" s="127">
        <f>IFERROR(INDEX(TableOverallMaster[Custom],MATCH(TableOverallRank[[#This Row],[OVERALL PLAYER]],TableOverallMaster[OVERALL PLAYER],0)),"")</f>
        <v>113.8911756591277</v>
      </c>
      <c r="AT156" s="129">
        <f>IFERROR(INDEX(TableOverallMaster[VORP],MATCH(TableOverallRank[[#This Row],[OVERALL PLAYER]],TableOverallMaster[OVERALL PLAYER],0)),"")</f>
        <v>-0.12587805720418327</v>
      </c>
      <c r="AV156">
        <v>155</v>
      </c>
      <c r="AW156" s="130" t="str">
        <f>IFERROR(INDEX(TableWRTECalcPts[PLAYER],MATCH(TableWRTERank[[#This Row],[RK]],TableWRTECalcPts[RK],0)),"")</f>
        <v>Jauan Jennings</v>
      </c>
      <c r="AX156" s="130" t="str">
        <f>IFERROR(INDEX(TableWRTECalcPts[POS RK],MATCH(TableWRTERank[[#This Row],[WR and TE COMBINED]],TableWRTECalcPts[PLAYER],0)),"")</f>
        <v>WR112</v>
      </c>
      <c r="AY156" s="130">
        <f>IFERROR(INDEX(TableWRTECalcPts[BYE],MATCH(TableWRTERank[[#This Row],[RK]],TableWRTECalcPts[RK],0)),"")</f>
        <v>9</v>
      </c>
      <c r="AZ156" s="131">
        <f>IFERROR(INDEX(TableWRTECalcPts[Custom],MATCH(TableWRTERank[[#This Row],[RK]],TableWRTECalcPts[RK],0)),"")</f>
        <v>40.313265190549011</v>
      </c>
      <c r="BA156" s="188">
        <f>IFERROR((TableWRTERank[[#This Row],[FPS]]-INDEX(TableWRTERank[FPS],MATCH(WRTEVORPCalc,TableWRTERank[RK],0)))/INDEX(TableWRTERank[FPS],MATCH(WRTEVORPCalc,TableWRTERank[RK],0)),"")</f>
        <v>-0.70869815700180183</v>
      </c>
      <c r="BC156" t="s">
        <v>257</v>
      </c>
      <c r="BD156">
        <v>155</v>
      </c>
      <c r="BE156" s="86">
        <f>RANK(TableWRTEMaster[[#This Row],[VORP]],TableWRTEMaster[VORP])+COUNTIF($BJ$2:BJ156,BJ156)-1</f>
        <v>231</v>
      </c>
      <c r="BF156" s="123" t="str">
        <f>IFERROR(INDEX(TableWRVORP[WIDE RECEIVER],MATCH(TableWRTEMaster[[#This Row],[RK]],TableWRVORP[RK],0)),"")</f>
        <v>KaVontae Turpin</v>
      </c>
      <c r="BG156" s="123" t="str">
        <f>_xlfn.CONCAT(TableWRTEMaster[[#This Row],[POS]],TableWRTEMaster[[#This Row],[RK]])</f>
        <v>WR155</v>
      </c>
      <c r="BH156" s="123">
        <f>IFERROR(INDEX(TableWRVORP[BYE],MATCH(TableWRTEMaster[[#This Row],[RK]],TableWRVORP[RK],0)),"")</f>
        <v>7</v>
      </c>
      <c r="BI156" s="124">
        <f>IFERROR(INDEX(TableWRVORP[FPS],MATCH(TableWRTEMaster[[#This Row],[RK]],TableWRVORP[RK],0)),"")</f>
        <v>13.457139075072</v>
      </c>
      <c r="BJ156" s="125">
        <f>IFERROR(INDEX(TableWRVORP[VORP],MATCH(TableWRTEMaster[[#This Row],[RK]],TableWRVORP[RK],0)),"")</f>
        <v>-0.89671561045271642</v>
      </c>
    </row>
    <row r="157" spans="8:62" x14ac:dyDescent="0.2">
      <c r="H157">
        <v>156</v>
      </c>
      <c r="I157" s="120" t="str">
        <f>IFERROR(INDEX(TableRBCalcPts[PLAYER],MATCH(TableRBVORP[[#This Row],[RK]],TableRBCalcPts[RK],0)),"")</f>
        <v/>
      </c>
      <c r="J157" s="120" t="str">
        <f>IFERROR(INDEX(TableRBCalcPts[TM],MATCH(TableRBVORP[[#This Row],[RK]],TableRBCalcPts[RK],0)),"")</f>
        <v/>
      </c>
      <c r="K157" s="120" t="str">
        <f>IFERROR(INDEX(TableRBCalcPts[BYE],MATCH(TableRBVORP[[#This Row],[RK]],TableRBCalcPts[RK],0)),"")</f>
        <v/>
      </c>
      <c r="L157" s="121" t="str">
        <f>IFERROR(INDEX(TableRBCalcPts[Custom],MATCH(TableRBVORP[[#This Row],[RK]],TableRBCalcPts[RK],0)),"")</f>
        <v/>
      </c>
      <c r="M157" s="122" t="str">
        <f>IFERROR((TableRBVORP[[#This Row],[FPS]]-INDEX(TableRBVORP[FPS],MATCH(RBVORPCalc,TableRBVORP[RK],0)))/INDEX(TableRBVORP[FPS],MATCH(RBVORPCalc,TableRBVORP[RK],0)),"")</f>
        <v/>
      </c>
      <c r="O157">
        <v>156</v>
      </c>
      <c r="P157" s="120" t="str">
        <f>IFERROR(INDEX(TableWRCalcPts[PLAYER],MATCH(TableWRVORP[[#This Row],[RK]],TableWRCalcPts[RK],0)),"")</f>
        <v>Rakim Jarrett</v>
      </c>
      <c r="Q157" s="120" t="str">
        <f>IFERROR(INDEX(TableWRCalcPts[TM],MATCH(TableWRVORP[[#This Row],[RK]],TableWRCalcPts[RK],0)),"")</f>
        <v>TB</v>
      </c>
      <c r="R157" s="120">
        <f>IFERROR(INDEX(TableWRCalcPts[BYE],MATCH(TableWRVORP[[#This Row],[RK]],TableWRCalcPts[RK],0)),"")</f>
        <v>5</v>
      </c>
      <c r="S157" s="121">
        <f>IFERROR(INDEX(TableWRCalcPts[Custom],MATCH(TableWRVORP[[#This Row],[RK]],TableWRCalcPts[RK],0)),"")</f>
        <v>13.398454129737601</v>
      </c>
      <c r="T157" s="122">
        <f>IFERROR((TableWRVORP[[#This Row],[FPS]]-INDEX(TableWRVORP[FPS],MATCH(WRVORPCalc,TableWRVORP[RK],0)))/INDEX(TableWRVORP[FPS],MATCH(WRVORPCalc,TableWRVORP[RK],0)),"")</f>
        <v>-0.89716602110245902</v>
      </c>
      <c r="AF157" t="s">
        <v>257</v>
      </c>
      <c r="AG157">
        <v>16</v>
      </c>
      <c r="AH157" s="86">
        <f>RANK(TableOverallMaster[[#This Row],[VORP]],TableOverallMaster[VORP])+COUNTIF($AM$2:AM157,AM157)-1</f>
        <v>50</v>
      </c>
      <c r="AI157" s="123" t="str">
        <f>IFERROR(INDEX(TableWRVORP[WIDE RECEIVER],MATCH(TableOverallMaster[[#This Row],[RK]],TableWRVORP[RK],0)),"")</f>
        <v>Chris Olave</v>
      </c>
      <c r="AJ157" s="123" t="str">
        <f t="shared" si="2"/>
        <v>WR16</v>
      </c>
      <c r="AK157" s="123">
        <f>IFERROR(INDEX(TableWRVORP[BYE],MATCH(TableOverallMaster[[#This Row],[RK]],TableWRVORP[RK],0)),"")</f>
        <v>11</v>
      </c>
      <c r="AL157" s="124">
        <f>IFERROR(INDEX(TableWRVORP[FPS],MATCH(TableOverallMaster[[#This Row],[RK]],TableWRVORP[RK],0)),"")</f>
        <v>191.7746675145101</v>
      </c>
      <c r="AM157" s="125">
        <f>IFERROR(INDEX(TableWRVORP[VORP],MATCH(TableOverallMaster[[#This Row],[RK]],TableWRVORP[RK],0)),"")</f>
        <v>0.47188264566281585</v>
      </c>
      <c r="AO157">
        <v>156</v>
      </c>
      <c r="AP157" s="126" t="str">
        <f>IFERROR(INDEX(TableOverallMaster[OVERALL PLAYER],MATCH(TableOverallRank[[#This Row],[RK]],TableOverallMaster[OVR RK],0)),"")</f>
        <v>Josh Downs</v>
      </c>
      <c r="AQ157" s="127" t="str">
        <f>IFERROR(INDEX(TableOverallMaster[POS RK],MATCH(TableOverallRank[[#This Row],[OVERALL PLAYER]],TableOverallMaster[OVERALL PLAYER],0)),"")</f>
        <v>WR68</v>
      </c>
      <c r="AR157" s="128">
        <f>IFERROR(INDEX(TableOverallMaster[BYE],MATCH(TableOverallRank[[#This Row],[OVERALL PLAYER]],TableOverallMaster[OVERALL PLAYER],0)),"")</f>
        <v>11</v>
      </c>
      <c r="AS157" s="127">
        <f>IFERROR(INDEX(TableOverallMaster[Custom],MATCH(TableOverallRank[[#This Row],[OVERALL PLAYER]],TableOverallMaster[OVERALL PLAYER],0)),"")</f>
        <v>113.73967041881546</v>
      </c>
      <c r="AT157" s="129">
        <f>IFERROR(INDEX(TableOverallMaster[VORP],MATCH(TableOverallRank[[#This Row],[OVERALL PLAYER]],TableOverallMaster[OVERALL PLAYER],0)),"")</f>
        <v>-0.1270408694610507</v>
      </c>
      <c r="AV157">
        <v>156</v>
      </c>
      <c r="AW157" s="130" t="str">
        <f>IFERROR(INDEX(TableWRTECalcPts[PLAYER],MATCH(TableWRTERank[[#This Row],[RK]],TableWRTECalcPts[RK],0)),"")</f>
        <v>C.J. Uzomah</v>
      </c>
      <c r="AX157" s="130" t="str">
        <f>IFERROR(INDEX(TableWRTECalcPts[POS RK],MATCH(TableWRTERank[[#This Row],[WR and TE COMBINED]],TableWRTECalcPts[PLAYER],0)),"")</f>
        <v>TE44</v>
      </c>
      <c r="AY157" s="130">
        <f>IFERROR(INDEX(TableWRTECalcPts[BYE],MATCH(TableWRTERank[[#This Row],[RK]],TableWRTECalcPts[RK],0)),"")</f>
        <v>7</v>
      </c>
      <c r="AZ157" s="131">
        <f>IFERROR(INDEX(TableWRTECalcPts[Custom],MATCH(TableWRTERank[[#This Row],[RK]],TableWRTECalcPts[RK],0)),"")</f>
        <v>39.827848874302617</v>
      </c>
      <c r="BA157" s="188">
        <f>IFERROR((TableWRTERank[[#This Row],[FPS]]-INDEX(TableWRTERank[FPS],MATCH(WRTEVORPCalc,TableWRTERank[RK],0)))/INDEX(TableWRTERank[FPS],MATCH(WRTEVORPCalc,TableWRTERank[RK],0)),"")</f>
        <v>-0.71220575349331894</v>
      </c>
      <c r="BC157" t="s">
        <v>257</v>
      </c>
      <c r="BD157">
        <v>156</v>
      </c>
      <c r="BE157" s="86">
        <f>RANK(TableWRTEMaster[[#This Row],[VORP]],TableWRTEMaster[VORP])+COUNTIF($BJ$2:BJ157,BJ157)-1</f>
        <v>232</v>
      </c>
      <c r="BF157" s="123" t="str">
        <f>IFERROR(INDEX(TableWRVORP[WIDE RECEIVER],MATCH(TableWRTEMaster[[#This Row],[RK]],TableWRVORP[RK],0)),"")</f>
        <v>Rakim Jarrett</v>
      </c>
      <c r="BG157" s="123" t="str">
        <f>_xlfn.CONCAT(TableWRTEMaster[[#This Row],[POS]],TableWRTEMaster[[#This Row],[RK]])</f>
        <v>WR156</v>
      </c>
      <c r="BH157" s="123">
        <f>IFERROR(INDEX(TableWRVORP[BYE],MATCH(TableWRTEMaster[[#This Row],[RK]],TableWRVORP[RK],0)),"")</f>
        <v>5</v>
      </c>
      <c r="BI157" s="124">
        <f>IFERROR(INDEX(TableWRVORP[FPS],MATCH(TableWRTEMaster[[#This Row],[RK]],TableWRVORP[RK],0)),"")</f>
        <v>13.398454129737601</v>
      </c>
      <c r="BJ157" s="125">
        <f>IFERROR(INDEX(TableWRVORP[VORP],MATCH(TableWRTEMaster[[#This Row],[RK]],TableWRVORP[RK],0)),"")</f>
        <v>-0.89716602110245902</v>
      </c>
    </row>
    <row r="158" spans="8:62" x14ac:dyDescent="0.2">
      <c r="H158">
        <v>157</v>
      </c>
      <c r="I158" s="120" t="str">
        <f>IFERROR(INDEX(TableRBCalcPts[PLAYER],MATCH(TableRBVORP[[#This Row],[RK]],TableRBCalcPts[RK],0)),"")</f>
        <v/>
      </c>
      <c r="J158" s="120" t="str">
        <f>IFERROR(INDEX(TableRBCalcPts[TM],MATCH(TableRBVORP[[#This Row],[RK]],TableRBCalcPts[RK],0)),"")</f>
        <v/>
      </c>
      <c r="K158" s="120" t="str">
        <f>IFERROR(INDEX(TableRBCalcPts[BYE],MATCH(TableRBVORP[[#This Row],[RK]],TableRBCalcPts[RK],0)),"")</f>
        <v/>
      </c>
      <c r="L158" s="121" t="str">
        <f>IFERROR(INDEX(TableRBCalcPts[Custom],MATCH(TableRBVORP[[#This Row],[RK]],TableRBCalcPts[RK],0)),"")</f>
        <v/>
      </c>
      <c r="M158" s="122" t="str">
        <f>IFERROR((TableRBVORP[[#This Row],[FPS]]-INDEX(TableRBVORP[FPS],MATCH(RBVORPCalc,TableRBVORP[RK],0)))/INDEX(TableRBVORP[FPS],MATCH(RBVORPCalc,TableRBVORP[RK],0)),"")</f>
        <v/>
      </c>
      <c r="O158">
        <v>157</v>
      </c>
      <c r="P158" s="120" t="str">
        <f>IFERROR(INDEX(TableWRCalcPts[PLAYER],MATCH(TableWRVORP[[#This Row],[RK]],TableWRCalcPts[RK],0)),"")</f>
        <v>Jalen Nailor</v>
      </c>
      <c r="Q158" s="120" t="str">
        <f>IFERROR(INDEX(TableWRCalcPts[TM],MATCH(TableWRVORP[[#This Row],[RK]],TableWRCalcPts[RK],0)),"")</f>
        <v>MIN</v>
      </c>
      <c r="R158" s="120">
        <f>IFERROR(INDEX(TableWRCalcPts[BYE],MATCH(TableWRVORP[[#This Row],[RK]],TableWRCalcPts[RK],0)),"")</f>
        <v>13</v>
      </c>
      <c r="S158" s="121">
        <f>IFERROR(INDEX(TableWRCalcPts[Custom],MATCH(TableWRVORP[[#This Row],[RK]],TableWRCalcPts[RK],0)),"")</f>
        <v>12.440677591952079</v>
      </c>
      <c r="T158" s="122">
        <f>IFERROR((TableWRVORP[[#This Row],[FPS]]-INDEX(TableWRVORP[FPS],MATCH(WRVORPCalc,TableWRVORP[RK],0)))/INDEX(TableWRVORP[FPS],MATCH(WRVORPCalc,TableWRVORP[RK],0)),"")</f>
        <v>-0.90451701632336257</v>
      </c>
      <c r="AF158" t="s">
        <v>257</v>
      </c>
      <c r="AG158">
        <v>17</v>
      </c>
      <c r="AH158" s="86">
        <f>RANK(TableOverallMaster[[#This Row],[VORP]],TableOverallMaster[VORP])+COUNTIF($AM$2:AM158,AM158)-1</f>
        <v>52</v>
      </c>
      <c r="AI158" s="123" t="str">
        <f>IFERROR(INDEX(TableWRVORP[WIDE RECEIVER],MATCH(TableOverallMaster[[#This Row],[RK]],TableWRVORP[RK],0)),"")</f>
        <v>DeAndre Hopkins</v>
      </c>
      <c r="AJ158" s="123" t="str">
        <f t="shared" si="2"/>
        <v>WR17</v>
      </c>
      <c r="AK158" s="123">
        <f>IFERROR(INDEX(TableWRVORP[BYE],MATCH(TableOverallMaster[[#This Row],[RK]],TableWRVORP[RK],0)),"")</f>
        <v>7</v>
      </c>
      <c r="AL158" s="124">
        <f>IFERROR(INDEX(TableWRVORP[FPS],MATCH(TableOverallMaster[[#This Row],[RK]],TableWRVORP[RK],0)),"")</f>
        <v>189.24061536009924</v>
      </c>
      <c r="AM158" s="125">
        <f>IFERROR(INDEX(TableWRVORP[VORP],MATCH(TableOverallMaster[[#This Row],[RK]],TableWRVORP[RK],0)),"")</f>
        <v>0.45243363585551372</v>
      </c>
      <c r="AO158">
        <v>157</v>
      </c>
      <c r="AP158" s="126" t="str">
        <f>IFERROR(INDEX(TableOverallMaster[OVERALL PLAYER],MATCH(TableOverallRank[[#This Row],[RK]],TableOverallMaster[OVR RK],0)),"")</f>
        <v>DJ Chark</v>
      </c>
      <c r="AQ158" s="127" t="str">
        <f>IFERROR(INDEX(TableOverallMaster[POS RK],MATCH(TableOverallRank[[#This Row],[OVERALL PLAYER]],TableOverallMaster[OVERALL PLAYER],0)),"")</f>
        <v>WR69</v>
      </c>
      <c r="AR158" s="128">
        <f>IFERROR(INDEX(TableOverallMaster[BYE],MATCH(TableOverallRank[[#This Row],[OVERALL PLAYER]],TableOverallMaster[OVERALL PLAYER],0)),"")</f>
        <v>7</v>
      </c>
      <c r="AS158" s="127">
        <f>IFERROR(INDEX(TableOverallMaster[Custom],MATCH(TableOverallRank[[#This Row],[OVERALL PLAYER]],TableOverallMaster[OVERALL PLAYER],0)),"")</f>
        <v>113.20957392716396</v>
      </c>
      <c r="AT158" s="129">
        <f>IFERROR(INDEX(TableOverallMaster[VORP],MATCH(TableOverallRank[[#This Row],[OVERALL PLAYER]],TableOverallMaster[OVERALL PLAYER],0)),"")</f>
        <v>-0.13110939340480651</v>
      </c>
      <c r="AV158">
        <v>157</v>
      </c>
      <c r="AW158" s="130" t="str">
        <f>IFERROR(INDEX(TableWRTECalcPts[PLAYER],MATCH(TableWRTERank[[#This Row],[RK]],TableWRTECalcPts[RK],0)),"")</f>
        <v>Isaiah McKenzie</v>
      </c>
      <c r="AX158" s="130" t="str">
        <f>IFERROR(INDEX(TableWRTECalcPts[POS RK],MATCH(TableWRTERank[[#This Row],[WR and TE COMBINED]],TableWRTECalcPts[PLAYER],0)),"")</f>
        <v>WR113</v>
      </c>
      <c r="AY158" s="130">
        <f>IFERROR(INDEX(TableWRTECalcPts[BYE],MATCH(TableWRTERank[[#This Row],[RK]],TableWRTECalcPts[RK],0)),"")</f>
        <v>11</v>
      </c>
      <c r="AZ158" s="131">
        <f>IFERROR(INDEX(TableWRTECalcPts[Custom],MATCH(TableWRTERank[[#This Row],[RK]],TableWRTECalcPts[RK],0)),"")</f>
        <v>39.328571361895207</v>
      </c>
      <c r="BA158" s="188">
        <f>IFERROR((TableWRTERank[[#This Row],[FPS]]-INDEX(TableWRTERank[FPS],MATCH(WRTEVORPCalc,TableWRTERank[RK],0)))/INDEX(TableWRTERank[FPS],MATCH(WRTEVORPCalc,TableWRTERank[RK],0)),"")</f>
        <v>-0.71581351036551433</v>
      </c>
      <c r="BC158" t="s">
        <v>257</v>
      </c>
      <c r="BD158">
        <v>157</v>
      </c>
      <c r="BE158" s="86">
        <f>RANK(TableWRTEMaster[[#This Row],[VORP]],TableWRTEMaster[VORP])+COUNTIF($BJ$2:BJ158,BJ158)-1</f>
        <v>237</v>
      </c>
      <c r="BF158" s="123" t="str">
        <f>IFERROR(INDEX(TableWRVORP[WIDE RECEIVER],MATCH(TableWRTEMaster[[#This Row],[RK]],TableWRVORP[RK],0)),"")</f>
        <v>Jalen Nailor</v>
      </c>
      <c r="BG158" s="123" t="str">
        <f>_xlfn.CONCAT(TableWRTEMaster[[#This Row],[POS]],TableWRTEMaster[[#This Row],[RK]])</f>
        <v>WR157</v>
      </c>
      <c r="BH158" s="123">
        <f>IFERROR(INDEX(TableWRVORP[BYE],MATCH(TableWRTEMaster[[#This Row],[RK]],TableWRVORP[RK],0)),"")</f>
        <v>13</v>
      </c>
      <c r="BI158" s="124">
        <f>IFERROR(INDEX(TableWRVORP[FPS],MATCH(TableWRTEMaster[[#This Row],[RK]],TableWRVORP[RK],0)),"")</f>
        <v>12.440677591952079</v>
      </c>
      <c r="BJ158" s="125">
        <f>IFERROR(INDEX(TableWRVORP[VORP],MATCH(TableWRTEMaster[[#This Row],[RK]],TableWRVORP[RK],0)),"")</f>
        <v>-0.90451701632336257</v>
      </c>
    </row>
    <row r="159" spans="8:62" x14ac:dyDescent="0.2">
      <c r="H159">
        <v>158</v>
      </c>
      <c r="I159" s="120" t="str">
        <f>IFERROR(INDEX(TableRBCalcPts[PLAYER],MATCH(TableRBVORP[[#This Row],[RK]],TableRBCalcPts[RK],0)),"")</f>
        <v/>
      </c>
      <c r="J159" s="120" t="str">
        <f>IFERROR(INDEX(TableRBCalcPts[TM],MATCH(TableRBVORP[[#This Row],[RK]],TableRBCalcPts[RK],0)),"")</f>
        <v/>
      </c>
      <c r="K159" s="120" t="str">
        <f>IFERROR(INDEX(TableRBCalcPts[BYE],MATCH(TableRBVORP[[#This Row],[RK]],TableRBCalcPts[RK],0)),"")</f>
        <v/>
      </c>
      <c r="L159" s="121" t="str">
        <f>IFERROR(INDEX(TableRBCalcPts[Custom],MATCH(TableRBVORP[[#This Row],[RK]],TableRBCalcPts[RK],0)),"")</f>
        <v/>
      </c>
      <c r="M159" s="122" t="str">
        <f>IFERROR((TableRBVORP[[#This Row],[FPS]]-INDEX(TableRBVORP[FPS],MATCH(RBVORPCalc,TableRBVORP[RK],0)))/INDEX(TableRBVORP[FPS],MATCH(RBVORPCalc,TableRBVORP[RK],0)),"")</f>
        <v/>
      </c>
      <c r="O159">
        <v>158</v>
      </c>
      <c r="P159" s="120" t="str">
        <f>IFERROR(INDEX(TableWRCalcPts[PLAYER],MATCH(TableWRVORP[[#This Row],[RK]],TableWRCalcPts[RK],0)),"")</f>
        <v>Ronnie Bell</v>
      </c>
      <c r="Q159" s="120" t="str">
        <f>IFERROR(INDEX(TableWRCalcPts[TM],MATCH(TableWRVORP[[#This Row],[RK]],TableWRCalcPts[RK],0)),"")</f>
        <v>SF</v>
      </c>
      <c r="R159" s="120">
        <f>IFERROR(INDEX(TableWRCalcPts[BYE],MATCH(TableWRVORP[[#This Row],[RK]],TableWRCalcPts[RK],0)),"")</f>
        <v>9</v>
      </c>
      <c r="S159" s="121">
        <f>IFERROR(INDEX(TableWRCalcPts[Custom],MATCH(TableWRVORP[[#This Row],[RK]],TableWRCalcPts[RK],0)),"")</f>
        <v>11.527513781876888</v>
      </c>
      <c r="T159" s="122">
        <f>IFERROR((TableWRVORP[[#This Row],[FPS]]-INDEX(TableWRVORP[FPS],MATCH(WRVORPCalc,TableWRVORP[RK],0)))/INDEX(TableWRVORP[FPS],MATCH(WRVORPCalc,TableWRVORP[RK],0)),"")</f>
        <v>-0.91152560605065447</v>
      </c>
      <c r="AF159" t="s">
        <v>257</v>
      </c>
      <c r="AG159">
        <v>18</v>
      </c>
      <c r="AH159" s="86">
        <f>RANK(TableOverallMaster[[#This Row],[VORP]],TableOverallMaster[VORP])+COUNTIF($AM$2:AM159,AM159)-1</f>
        <v>53</v>
      </c>
      <c r="AI159" s="123" t="str">
        <f>IFERROR(INDEX(TableWRVORP[WIDE RECEIVER],MATCH(TableOverallMaster[[#This Row],[RK]],TableWRVORP[RK],0)),"")</f>
        <v>DeVonta Smith</v>
      </c>
      <c r="AJ159" s="123" t="str">
        <f t="shared" si="2"/>
        <v>WR18</v>
      </c>
      <c r="AK159" s="123">
        <f>IFERROR(INDEX(TableWRVORP[BYE],MATCH(TableOverallMaster[[#This Row],[RK]],TableWRVORP[RK],0)),"")</f>
        <v>10</v>
      </c>
      <c r="AL159" s="124">
        <f>IFERROR(INDEX(TableWRVORP[FPS],MATCH(TableOverallMaster[[#This Row],[RK]],TableWRVORP[RK],0)),"")</f>
        <v>189.0966160335829</v>
      </c>
      <c r="AM159" s="125">
        <f>IFERROR(INDEX(TableWRVORP[VORP],MATCH(TableOverallMaster[[#This Row],[RK]],TableWRVORP[RK],0)),"")</f>
        <v>0.45132843195953776</v>
      </c>
      <c r="AO159">
        <v>158</v>
      </c>
      <c r="AP159" s="126" t="str">
        <f>IFERROR(INDEX(TableOverallMaster[OVERALL PLAYER],MATCH(TableOverallRank[[#This Row],[RK]],TableOverallMaster[OVR RK],0)),"")</f>
        <v>Kenny Pickett</v>
      </c>
      <c r="AQ159" s="127" t="str">
        <f>IFERROR(INDEX(TableOverallMaster[POS RK],MATCH(TableOverallRank[[#This Row],[OVERALL PLAYER]],TableOverallMaster[OVERALL PLAYER],0)),"")</f>
        <v>QB24</v>
      </c>
      <c r="AR159" s="128">
        <f>IFERROR(INDEX(TableOverallMaster[BYE],MATCH(TableOverallRank[[#This Row],[OVERALL PLAYER]],TableOverallMaster[OVERALL PLAYER],0)),"")</f>
        <v>6</v>
      </c>
      <c r="AS159" s="127">
        <f>IFERROR(INDEX(TableOverallMaster[Custom],MATCH(TableOverallRank[[#This Row],[OVERALL PLAYER]],TableOverallMaster[OVERALL PLAYER],0)),"")</f>
        <v>263.77245388453917</v>
      </c>
      <c r="AT159" s="129">
        <f>IFERROR(INDEX(TableOverallMaster[VORP],MATCH(TableOverallRank[[#This Row],[OVERALL PLAYER]],TableOverallMaster[OVERALL PLAYER],0)),"")</f>
        <v>-0.13196920490819644</v>
      </c>
      <c r="AV159">
        <v>158</v>
      </c>
      <c r="AW159" s="130" t="str">
        <f>IFERROR(INDEX(TableWRTECalcPts[PLAYER],MATCH(TableWRTERank[[#This Row],[RK]],TableWRTECalcPts[RK],0)),"")</f>
        <v>Jalin Hyatt</v>
      </c>
      <c r="AX159" s="130" t="str">
        <f>IFERROR(INDEX(TableWRTECalcPts[POS RK],MATCH(TableWRTERank[[#This Row],[WR and TE COMBINED]],TableWRTECalcPts[PLAYER],0)),"")</f>
        <v>WR114</v>
      </c>
      <c r="AY159" s="130">
        <f>IFERROR(INDEX(TableWRTECalcPts[BYE],MATCH(TableWRTERank[[#This Row],[RK]],TableWRTECalcPts[RK],0)),"")</f>
        <v>13</v>
      </c>
      <c r="AZ159" s="131">
        <f>IFERROR(INDEX(TableWRTECalcPts[Custom],MATCH(TableWRTERank[[#This Row],[RK]],TableWRTECalcPts[RK],0)),"")</f>
        <v>39.016453413547382</v>
      </c>
      <c r="BA159" s="188">
        <f>IFERROR((TableWRTERank[[#This Row],[FPS]]-INDEX(TableWRTERank[FPS],MATCH(WRTEVORPCalc,TableWRTERank[RK],0)))/INDEX(TableWRTERank[FPS],MATCH(WRTEVORPCalc,TableWRTERank[RK],0)),"")</f>
        <v>-0.71806886063686504</v>
      </c>
      <c r="BC159" t="s">
        <v>257</v>
      </c>
      <c r="BD159">
        <v>158</v>
      </c>
      <c r="BE159" s="86">
        <f>RANK(TableWRTEMaster[[#This Row],[VORP]],TableWRTEMaster[VORP])+COUNTIF($BJ$2:BJ159,BJ159)-1</f>
        <v>238</v>
      </c>
      <c r="BF159" s="123" t="str">
        <f>IFERROR(INDEX(TableWRVORP[WIDE RECEIVER],MATCH(TableWRTEMaster[[#This Row],[RK]],TableWRVORP[RK],0)),"")</f>
        <v>Ronnie Bell</v>
      </c>
      <c r="BG159" s="123" t="str">
        <f>_xlfn.CONCAT(TableWRTEMaster[[#This Row],[POS]],TableWRTEMaster[[#This Row],[RK]])</f>
        <v>WR158</v>
      </c>
      <c r="BH159" s="123">
        <f>IFERROR(INDEX(TableWRVORP[BYE],MATCH(TableWRTEMaster[[#This Row],[RK]],TableWRVORP[RK],0)),"")</f>
        <v>9</v>
      </c>
      <c r="BI159" s="124">
        <f>IFERROR(INDEX(TableWRVORP[FPS],MATCH(TableWRTEMaster[[#This Row],[RK]],TableWRVORP[RK],0)),"")</f>
        <v>11.527513781876888</v>
      </c>
      <c r="BJ159" s="125">
        <f>IFERROR(INDEX(TableWRVORP[VORP],MATCH(TableWRTEMaster[[#This Row],[RK]],TableWRVORP[RK],0)),"")</f>
        <v>-0.91152560605065447</v>
      </c>
    </row>
    <row r="160" spans="8:62" x14ac:dyDescent="0.2">
      <c r="H160">
        <v>159</v>
      </c>
      <c r="I160" s="120" t="str">
        <f>IFERROR(INDEX(TableRBCalcPts[PLAYER],MATCH(TableRBVORP[[#This Row],[RK]],TableRBCalcPts[RK],0)),"")</f>
        <v/>
      </c>
      <c r="J160" s="120" t="str">
        <f>IFERROR(INDEX(TableRBCalcPts[TM],MATCH(TableRBVORP[[#This Row],[RK]],TableRBCalcPts[RK],0)),"")</f>
        <v/>
      </c>
      <c r="K160" s="120" t="str">
        <f>IFERROR(INDEX(TableRBCalcPts[BYE],MATCH(TableRBVORP[[#This Row],[RK]],TableRBCalcPts[RK],0)),"")</f>
        <v/>
      </c>
      <c r="L160" s="121" t="str">
        <f>IFERROR(INDEX(TableRBCalcPts[Custom],MATCH(TableRBVORP[[#This Row],[RK]],TableRBCalcPts[RK],0)),"")</f>
        <v/>
      </c>
      <c r="M160" s="122" t="str">
        <f>IFERROR((TableRBVORP[[#This Row],[FPS]]-INDEX(TableRBVORP[FPS],MATCH(RBVORPCalc,TableRBVORP[RK],0)))/INDEX(TableRBVORP[FPS],MATCH(RBVORPCalc,TableRBVORP[RK],0)),"")</f>
        <v/>
      </c>
      <c r="O160">
        <v>159</v>
      </c>
      <c r="P160" s="120" t="str">
        <f>IFERROR(INDEX(TableWRCalcPts[PLAYER],MATCH(TableWRVORP[[#This Row],[RK]],TableWRCalcPts[RK],0)),"")</f>
        <v>Gunner Olszewski</v>
      </c>
      <c r="Q160" s="120" t="str">
        <f>IFERROR(INDEX(TableWRCalcPts[TM],MATCH(TableWRVORP[[#This Row],[RK]],TableWRCalcPts[RK],0)),"")</f>
        <v>PIT</v>
      </c>
      <c r="R160" s="120">
        <f>IFERROR(INDEX(TableWRCalcPts[BYE],MATCH(TableWRVORP[[#This Row],[RK]],TableWRCalcPts[RK],0)),"")</f>
        <v>6</v>
      </c>
      <c r="S160" s="121">
        <f>IFERROR(INDEX(TableWRCalcPts[Custom],MATCH(TableWRVORP[[#This Row],[RK]],TableWRCalcPts[RK],0)),"")</f>
        <v>11.220108984000003</v>
      </c>
      <c r="T160" s="122">
        <f>IFERROR((TableWRVORP[[#This Row],[FPS]]-INDEX(TableWRVORP[FPS],MATCH(WRVORPCalc,TableWRVORP[RK],0)))/INDEX(TableWRVORP[FPS],MATCH(WRVORPCalc,TableWRVORP[RK],0)),"")</f>
        <v>-0.91388495722593022</v>
      </c>
      <c r="AF160" t="s">
        <v>257</v>
      </c>
      <c r="AG160">
        <v>19</v>
      </c>
      <c r="AH160" s="86">
        <f>RANK(TableOverallMaster[[#This Row],[VORP]],TableOverallMaster[VORP])+COUNTIF($AM$2:AM160,AM160)-1</f>
        <v>54</v>
      </c>
      <c r="AI160" s="123" t="str">
        <f>IFERROR(INDEX(TableWRVORP[WIDE RECEIVER],MATCH(TableOverallMaster[[#This Row],[RK]],TableWRVORP[RK],0)),"")</f>
        <v>Keenan Allen</v>
      </c>
      <c r="AJ160" s="123" t="str">
        <f t="shared" si="2"/>
        <v>WR19</v>
      </c>
      <c r="AK160" s="123">
        <f>IFERROR(INDEX(TableWRVORP[BYE],MATCH(TableOverallMaster[[#This Row],[RK]],TableWRVORP[RK],0)),"")</f>
        <v>5</v>
      </c>
      <c r="AL160" s="124">
        <f>IFERROR(INDEX(TableWRVORP[FPS],MATCH(TableOverallMaster[[#This Row],[RK]],TableWRVORP[RK],0)),"")</f>
        <v>188.37080588355121</v>
      </c>
      <c r="AM160" s="125">
        <f>IFERROR(INDEX(TableWRVORP[VORP],MATCH(TableOverallMaster[[#This Row],[RK]],TableWRVORP[RK],0)),"")</f>
        <v>0.44575779336726001</v>
      </c>
      <c r="AO160">
        <v>159</v>
      </c>
      <c r="AP160" s="126" t="str">
        <f>IFERROR(INDEX(TableOverallMaster[OVERALL PLAYER],MATCH(TableOverallRank[[#This Row],[RK]],TableOverallMaster[OVR RK],0)),"")</f>
        <v>Damien Harris</v>
      </c>
      <c r="AQ160" s="127" t="str">
        <f>IFERROR(INDEX(TableOverallMaster[POS RK],MATCH(TableOverallRank[[#This Row],[OVERALL PLAYER]],TableOverallMaster[OVERALL PLAYER],0)),"")</f>
        <v>RB50</v>
      </c>
      <c r="AR160" s="128">
        <f>IFERROR(INDEX(TableOverallMaster[BYE],MATCH(TableOverallRank[[#This Row],[OVERALL PLAYER]],TableOverallMaster[OVERALL PLAYER],0)),"")</f>
        <v>13</v>
      </c>
      <c r="AS160" s="127">
        <f>IFERROR(INDEX(TableOverallMaster[Custom],MATCH(TableOverallRank[[#This Row],[OVERALL PLAYER]],TableOverallMaster[OVERALL PLAYER],0)),"")</f>
        <v>105.48261995841824</v>
      </c>
      <c r="AT160" s="129">
        <f>IFERROR(INDEX(TableOverallMaster[VORP],MATCH(TableOverallRank[[#This Row],[OVERALL PLAYER]],TableOverallMaster[OVERALL PLAYER],0)),"")</f>
        <v>-0.13865663334333567</v>
      </c>
      <c r="AV160">
        <v>159</v>
      </c>
      <c r="AW160" s="130" t="str">
        <f>IFERROR(INDEX(TableWRTECalcPts[PLAYER],MATCH(TableWRTERank[[#This Row],[RK]],TableWRTECalcPts[RK],0)),"")</f>
        <v>Khalil Shakir</v>
      </c>
      <c r="AX160" s="130" t="str">
        <f>IFERROR(INDEX(TableWRTECalcPts[POS RK],MATCH(TableWRTERank[[#This Row],[WR and TE COMBINED]],TableWRTECalcPts[PLAYER],0)),"")</f>
        <v>WR115</v>
      </c>
      <c r="AY160" s="130">
        <f>IFERROR(INDEX(TableWRTECalcPts[BYE],MATCH(TableWRTERank[[#This Row],[RK]],TableWRTECalcPts[RK],0)),"")</f>
        <v>13</v>
      </c>
      <c r="AZ160" s="131">
        <f>IFERROR(INDEX(TableWRTECalcPts[Custom],MATCH(TableWRTERank[[#This Row],[RK]],TableWRTECalcPts[RK],0)),"")</f>
        <v>38.389008385575202</v>
      </c>
      <c r="BA160" s="188">
        <f>IFERROR((TableWRTERank[[#This Row],[FPS]]-INDEX(TableWRTERank[FPS],MATCH(WRTEVORPCalc,TableWRTERank[RK],0)))/INDEX(TableWRTERank[FPS],MATCH(WRTEVORPCalc,TableWRTERank[RK],0)),"")</f>
        <v>-0.72260275021798481</v>
      </c>
      <c r="BC160" t="s">
        <v>257</v>
      </c>
      <c r="BD160">
        <v>159</v>
      </c>
      <c r="BE160" s="86">
        <f>RANK(TableWRTEMaster[[#This Row],[VORP]],TableWRTEMaster[VORP])+COUNTIF($BJ$2:BJ160,BJ160)-1</f>
        <v>239</v>
      </c>
      <c r="BF160" s="123" t="str">
        <f>IFERROR(INDEX(TableWRVORP[WIDE RECEIVER],MATCH(TableWRTEMaster[[#This Row],[RK]],TableWRVORP[RK],0)),"")</f>
        <v>Gunner Olszewski</v>
      </c>
      <c r="BG160" s="123" t="str">
        <f>_xlfn.CONCAT(TableWRTEMaster[[#This Row],[POS]],TableWRTEMaster[[#This Row],[RK]])</f>
        <v>WR159</v>
      </c>
      <c r="BH160" s="123">
        <f>IFERROR(INDEX(TableWRVORP[BYE],MATCH(TableWRTEMaster[[#This Row],[RK]],TableWRVORP[RK],0)),"")</f>
        <v>6</v>
      </c>
      <c r="BI160" s="124">
        <f>IFERROR(INDEX(TableWRVORP[FPS],MATCH(TableWRTEMaster[[#This Row],[RK]],TableWRVORP[RK],0)),"")</f>
        <v>11.220108984000003</v>
      </c>
      <c r="BJ160" s="125">
        <f>IFERROR(INDEX(TableWRVORP[VORP],MATCH(TableWRTEMaster[[#This Row],[RK]],TableWRVORP[RK],0)),"")</f>
        <v>-0.91388495722593022</v>
      </c>
    </row>
    <row r="161" spans="8:62" x14ac:dyDescent="0.2">
      <c r="H161">
        <v>160</v>
      </c>
      <c r="I161" s="120" t="str">
        <f>IFERROR(INDEX(TableRBCalcPts[PLAYER],MATCH(TableRBVORP[[#This Row],[RK]],TableRBCalcPts[RK],0)),"")</f>
        <v/>
      </c>
      <c r="J161" s="120" t="str">
        <f>IFERROR(INDEX(TableRBCalcPts[TM],MATCH(TableRBVORP[[#This Row],[RK]],TableRBCalcPts[RK],0)),"")</f>
        <v/>
      </c>
      <c r="K161" s="120" t="str">
        <f>IFERROR(INDEX(TableRBCalcPts[BYE],MATCH(TableRBVORP[[#This Row],[RK]],TableRBCalcPts[RK],0)),"")</f>
        <v/>
      </c>
      <c r="L161" s="121" t="str">
        <f>IFERROR(INDEX(TableRBCalcPts[Custom],MATCH(TableRBVORP[[#This Row],[RK]],TableRBCalcPts[RK],0)),"")</f>
        <v/>
      </c>
      <c r="M161" s="122" t="str">
        <f>IFERROR((TableRBVORP[[#This Row],[FPS]]-INDEX(TableRBVORP[FPS],MATCH(RBVORPCalc,TableRBVORP[RK],0)))/INDEX(TableRBVORP[FPS],MATCH(RBVORPCalc,TableRBVORP[RK],0)),"")</f>
        <v/>
      </c>
      <c r="O161">
        <v>160</v>
      </c>
      <c r="P161" s="120" t="str">
        <f>IFERROR(INDEX(TableWRCalcPts[PLAYER],MATCH(TableWRVORP[[#This Row],[RK]],TableWRCalcPts[RK],0)),"")</f>
        <v>Xavier Hutchinson</v>
      </c>
      <c r="Q161" s="120" t="str">
        <f>IFERROR(INDEX(TableWRCalcPts[TM],MATCH(TableWRVORP[[#This Row],[RK]],TableWRCalcPts[RK],0)),"")</f>
        <v>HOU</v>
      </c>
      <c r="R161" s="120">
        <f>IFERROR(INDEX(TableWRCalcPts[BYE],MATCH(TableWRVORP[[#This Row],[RK]],TableWRCalcPts[RK],0)),"")</f>
        <v>7</v>
      </c>
      <c r="S161" s="121">
        <f>IFERROR(INDEX(TableWRCalcPts[Custom],MATCH(TableWRVORP[[#This Row],[RK]],TableWRCalcPts[RK],0)),"")</f>
        <v>9.68795222327239</v>
      </c>
      <c r="T161" s="122">
        <f>IFERROR((TableWRVORP[[#This Row],[FPS]]-INDEX(TableWRVORP[FPS],MATCH(WRVORPCalc,TableWRVORP[RK],0)))/INDEX(TableWRVORP[FPS],MATCH(WRVORPCalc,TableWRVORP[RK],0)),"")</f>
        <v>-0.92564435681596879</v>
      </c>
      <c r="AF161" t="s">
        <v>257</v>
      </c>
      <c r="AG161">
        <v>20</v>
      </c>
      <c r="AH161" s="86">
        <f>RANK(TableOverallMaster[[#This Row],[VORP]],TableOverallMaster[VORP])+COUNTIF($AM$2:AM161,AM161)-1</f>
        <v>55</v>
      </c>
      <c r="AI161" s="123" t="str">
        <f>IFERROR(INDEX(TableWRVORP[WIDE RECEIVER],MATCH(TableOverallMaster[[#This Row],[RK]],TableWRVORP[RK],0)),"")</f>
        <v>DK Metcalf</v>
      </c>
      <c r="AJ161" s="123" t="str">
        <f t="shared" si="2"/>
        <v>WR20</v>
      </c>
      <c r="AK161" s="123">
        <f>IFERROR(INDEX(TableWRVORP[BYE],MATCH(TableOverallMaster[[#This Row],[RK]],TableWRVORP[RK],0)),"")</f>
        <v>5</v>
      </c>
      <c r="AL161" s="124">
        <f>IFERROR(INDEX(TableWRVORP[FPS],MATCH(TableOverallMaster[[#This Row],[RK]],TableWRVORP[RK],0)),"")</f>
        <v>188.35721763550663</v>
      </c>
      <c r="AM161" s="125">
        <f>IFERROR(INDEX(TableWRVORP[VORP],MATCH(TableOverallMaster[[#This Row],[RK]],TableWRVORP[RK],0)),"")</f>
        <v>0.44565350270811821</v>
      </c>
      <c r="AO161">
        <v>160</v>
      </c>
      <c r="AP161" s="126" t="str">
        <f>IFERROR(INDEX(TableOverallMaster[OVERALL PLAYER],MATCH(TableOverallRank[[#This Row],[RK]],TableOverallMaster[OVR RK],0)),"")</f>
        <v>Zach Ertz</v>
      </c>
      <c r="AQ161" s="127" t="str">
        <f>IFERROR(INDEX(TableOverallMaster[POS RK],MATCH(TableOverallRank[[#This Row],[OVERALL PLAYER]],TableOverallMaster[OVERALL PLAYER],0)),"")</f>
        <v>TE17</v>
      </c>
      <c r="AR161" s="128">
        <f>IFERROR(INDEX(TableOverallMaster[BYE],MATCH(TableOverallRank[[#This Row],[OVERALL PLAYER]],TableOverallMaster[OVERALL PLAYER],0)),"")</f>
        <v>14</v>
      </c>
      <c r="AS161" s="127">
        <f>IFERROR(INDEX(TableOverallMaster[Custom],MATCH(TableOverallRank[[#This Row],[OVERALL PLAYER]],TableOverallMaster[OVERALL PLAYER],0)),"")</f>
        <v>102.28849844849999</v>
      </c>
      <c r="AT161" s="129">
        <f>IFERROR(INDEX(TableOverallMaster[VORP],MATCH(TableOverallRank[[#This Row],[OVERALL PLAYER]],TableOverallMaster[OVERALL PLAYER],0)),"")</f>
        <v>-0.1392044319791263</v>
      </c>
      <c r="AV161">
        <v>160</v>
      </c>
      <c r="AW161" s="130" t="str">
        <f>IFERROR(INDEX(TableWRTECalcPts[PLAYER],MATCH(TableWRTERank[[#This Row],[RK]],TableWRTECalcPts[RK],0)),"")</f>
        <v>Cole Turner</v>
      </c>
      <c r="AX161" s="130" t="str">
        <f>IFERROR(INDEX(TableWRTECalcPts[POS RK],MATCH(TableWRTERank[[#This Row],[WR and TE COMBINED]],TableWRTECalcPts[PLAYER],0)),"")</f>
        <v>TE45</v>
      </c>
      <c r="AY161" s="130">
        <f>IFERROR(INDEX(TableWRTECalcPts[BYE],MATCH(TableWRTERank[[#This Row],[RK]],TableWRTECalcPts[RK],0)),"")</f>
        <v>14</v>
      </c>
      <c r="AZ161" s="131">
        <f>IFERROR(INDEX(TableWRTECalcPts[Custom],MATCH(TableWRTERank[[#This Row],[RK]],TableWRTECalcPts[RK],0)),"")</f>
        <v>38.146037279319202</v>
      </c>
      <c r="BA161" s="188">
        <f>IFERROR((TableWRTERank[[#This Row],[FPS]]-INDEX(TableWRTERank[FPS],MATCH(WRTEVORPCalc,TableWRTERank[RK],0)))/INDEX(TableWRTERank[FPS],MATCH(WRTEVORPCalc,TableWRTERank[RK],0)),"")</f>
        <v>-0.72435844851513687</v>
      </c>
      <c r="BC161" t="s">
        <v>257</v>
      </c>
      <c r="BD161">
        <v>160</v>
      </c>
      <c r="BE161" s="86">
        <f>RANK(TableWRTEMaster[[#This Row],[VORP]],TableWRTEMaster[VORP])+COUNTIF($BJ$2:BJ161,BJ161)-1</f>
        <v>240</v>
      </c>
      <c r="BF161" s="123" t="str">
        <f>IFERROR(INDEX(TableWRVORP[WIDE RECEIVER],MATCH(TableWRTEMaster[[#This Row],[RK]],TableWRVORP[RK],0)),"")</f>
        <v>Xavier Hutchinson</v>
      </c>
      <c r="BG161" s="123" t="str">
        <f>_xlfn.CONCAT(TableWRTEMaster[[#This Row],[POS]],TableWRTEMaster[[#This Row],[RK]])</f>
        <v>WR160</v>
      </c>
      <c r="BH161" s="123">
        <f>IFERROR(INDEX(TableWRVORP[BYE],MATCH(TableWRTEMaster[[#This Row],[RK]],TableWRVORP[RK],0)),"")</f>
        <v>7</v>
      </c>
      <c r="BI161" s="124">
        <f>IFERROR(INDEX(TableWRVORP[FPS],MATCH(TableWRTEMaster[[#This Row],[RK]],TableWRVORP[RK],0)),"")</f>
        <v>9.68795222327239</v>
      </c>
      <c r="BJ161" s="125">
        <f>IFERROR(INDEX(TableWRVORP[VORP],MATCH(TableWRTEMaster[[#This Row],[RK]],TableWRVORP[RK],0)),"")</f>
        <v>-0.92564435681596879</v>
      </c>
    </row>
    <row r="162" spans="8:62" x14ac:dyDescent="0.2">
      <c r="H162">
        <v>161</v>
      </c>
      <c r="I162" s="120" t="str">
        <f>IFERROR(INDEX(TableRBCalcPts[PLAYER],MATCH(TableRBVORP[[#This Row],[RK]],TableRBCalcPts[RK],0)),"")</f>
        <v/>
      </c>
      <c r="J162" s="120" t="str">
        <f>IFERROR(INDEX(TableRBCalcPts[TM],MATCH(TableRBVORP[[#This Row],[RK]],TableRBCalcPts[RK],0)),"")</f>
        <v/>
      </c>
      <c r="K162" s="120" t="str">
        <f>IFERROR(INDEX(TableRBCalcPts[BYE],MATCH(TableRBVORP[[#This Row],[RK]],TableRBCalcPts[RK],0)),"")</f>
        <v/>
      </c>
      <c r="L162" s="121" t="str">
        <f>IFERROR(INDEX(TableRBCalcPts[Custom],MATCH(TableRBVORP[[#This Row],[RK]],TableRBCalcPts[RK],0)),"")</f>
        <v/>
      </c>
      <c r="M162" s="122" t="str">
        <f>IFERROR((TableRBVORP[[#This Row],[FPS]]-INDEX(TableRBVORP[FPS],MATCH(RBVORPCalc,TableRBVORP[RK],0)))/INDEX(TableRBVORP[FPS],MATCH(RBVORPCalc,TableRBVORP[RK],0)),"")</f>
        <v/>
      </c>
      <c r="O162">
        <v>161</v>
      </c>
      <c r="P162" s="120" t="str">
        <f>IFERROR(INDEX(TableWRCalcPts[PLAYER],MATCH(TableWRVORP[[#This Row],[RK]],TableWRCalcPts[RK],0)),"")</f>
        <v>Tim Jones</v>
      </c>
      <c r="Q162" s="120" t="str">
        <f>IFERROR(INDEX(TableWRCalcPts[TM],MATCH(TableWRVORP[[#This Row],[RK]],TableWRCalcPts[RK],0)),"")</f>
        <v>JAX</v>
      </c>
      <c r="R162" s="120">
        <f>IFERROR(INDEX(TableWRCalcPts[BYE],MATCH(TableWRVORP[[#This Row],[RK]],TableWRCalcPts[RK],0)),"")</f>
        <v>9</v>
      </c>
      <c r="S162" s="121">
        <f>IFERROR(INDEX(TableWRCalcPts[Custom],MATCH(TableWRVORP[[#This Row],[RK]],TableWRCalcPts[RK],0)),"")</f>
        <v>7.3040380685999988</v>
      </c>
      <c r="T162" s="122">
        <f>IFERROR((TableWRVORP[[#This Row],[FPS]]-INDEX(TableWRVORP[FPS],MATCH(WRVORPCalc,TableWRVORP[RK],0)))/INDEX(TableWRVORP[FPS],MATCH(WRVORPCalc,TableWRVORP[RK],0)),"")</f>
        <v>-0.94394104802387702</v>
      </c>
      <c r="AF162" t="s">
        <v>257</v>
      </c>
      <c r="AG162">
        <v>21</v>
      </c>
      <c r="AH162" s="86">
        <f>RANK(TableOverallMaster[[#This Row],[VORP]],TableOverallMaster[VORP])+COUNTIF($AM$2:AM162,AM162)-1</f>
        <v>56</v>
      </c>
      <c r="AI162" s="123" t="str">
        <f>IFERROR(INDEX(TableWRVORP[WIDE RECEIVER],MATCH(TableOverallMaster[[#This Row],[RK]],TableWRVORP[RK],0)),"")</f>
        <v>Deebo Samuel</v>
      </c>
      <c r="AJ162" s="123" t="str">
        <f t="shared" si="2"/>
        <v>WR21</v>
      </c>
      <c r="AK162" s="123">
        <f>IFERROR(INDEX(TableWRVORP[BYE],MATCH(TableOverallMaster[[#This Row],[RK]],TableWRVORP[RK],0)),"")</f>
        <v>9</v>
      </c>
      <c r="AL162" s="124">
        <f>IFERROR(INDEX(TableWRVORP[FPS],MATCH(TableOverallMaster[[#This Row],[RK]],TableWRVORP[RK],0)),"")</f>
        <v>187.77475092905638</v>
      </c>
      <c r="AM162" s="125">
        <f>IFERROR(INDEX(TableWRVORP[VORP],MATCH(TableOverallMaster[[#This Row],[RK]],TableWRVORP[RK],0)),"")</f>
        <v>0.44118303406900228</v>
      </c>
      <c r="AO162">
        <v>161</v>
      </c>
      <c r="AP162" s="126" t="str">
        <f>IFERROR(INDEX(TableOverallMaster[OVERALL PLAYER],MATCH(TableOverallRank[[#This Row],[RK]],TableOverallMaster[OVR RK],0)),"")</f>
        <v>Brock Purdy</v>
      </c>
      <c r="AQ162" s="127" t="str">
        <f>IFERROR(INDEX(TableOverallMaster[POS RK],MATCH(TableOverallRank[[#This Row],[OVERALL PLAYER]],TableOverallMaster[OVERALL PLAYER],0)),"")</f>
        <v>QB25</v>
      </c>
      <c r="AR162" s="128">
        <f>IFERROR(INDEX(TableOverallMaster[BYE],MATCH(TableOverallRank[[#This Row],[OVERALL PLAYER]],TableOverallMaster[OVERALL PLAYER],0)),"")</f>
        <v>9</v>
      </c>
      <c r="AS162" s="127">
        <f>IFERROR(INDEX(TableOverallMaster[Custom],MATCH(TableOverallRank[[#This Row],[OVERALL PLAYER]],TableOverallMaster[OVERALL PLAYER],0)),"")</f>
        <v>260.90182349387231</v>
      </c>
      <c r="AT162" s="129">
        <f>IFERROR(INDEX(TableOverallMaster[VORP],MATCH(TableOverallRank[[#This Row],[OVERALL PLAYER]],TableOverallMaster[OVERALL PLAYER],0)),"")</f>
        <v>-0.13926765839268426</v>
      </c>
      <c r="AV162">
        <v>161</v>
      </c>
      <c r="AW162" s="130" t="str">
        <f>IFERROR(INDEX(TableWRTECalcPts[PLAYER],MATCH(TableWRTERank[[#This Row],[RK]],TableWRTECalcPts[RK],0)),"")</f>
        <v>Demario Douglas</v>
      </c>
      <c r="AX162" s="130" t="str">
        <f>IFERROR(INDEX(TableWRTECalcPts[POS RK],MATCH(TableWRTERank[[#This Row],[WR and TE COMBINED]],TableWRTECalcPts[PLAYER],0)),"")</f>
        <v>WR116</v>
      </c>
      <c r="AY162" s="130">
        <f>IFERROR(INDEX(TableWRTECalcPts[BYE],MATCH(TableWRTERank[[#This Row],[RK]],TableWRTECalcPts[RK],0)),"")</f>
        <v>11</v>
      </c>
      <c r="AZ162" s="131">
        <f>IFERROR(INDEX(TableWRTECalcPts[Custom],MATCH(TableWRTERank[[#This Row],[RK]],TableWRTECalcPts[RK],0)),"")</f>
        <v>37.195711972182387</v>
      </c>
      <c r="BA162" s="188">
        <f>IFERROR((TableWRTERank[[#This Row],[FPS]]-INDEX(TableWRTERank[FPS],MATCH(WRTEVORPCalc,TableWRTERank[RK],0)))/INDEX(TableWRTERank[FPS],MATCH(WRTEVORPCalc,TableWRTERank[RK],0)),"")</f>
        <v>-0.73122545648653992</v>
      </c>
      <c r="BC162" t="s">
        <v>257</v>
      </c>
      <c r="BD162">
        <v>161</v>
      </c>
      <c r="BE162" s="86">
        <f>RANK(TableWRTEMaster[[#This Row],[VORP]],TableWRTEMaster[VORP])+COUNTIF($BJ$2:BJ162,BJ162)-1</f>
        <v>241</v>
      </c>
      <c r="BF162" s="123" t="str">
        <f>IFERROR(INDEX(TableWRVORP[WIDE RECEIVER],MATCH(TableWRTEMaster[[#This Row],[RK]],TableWRVORP[RK],0)),"")</f>
        <v>Tim Jones</v>
      </c>
      <c r="BG162" s="123" t="str">
        <f>_xlfn.CONCAT(TableWRTEMaster[[#This Row],[POS]],TableWRTEMaster[[#This Row],[RK]])</f>
        <v>WR161</v>
      </c>
      <c r="BH162" s="123">
        <f>IFERROR(INDEX(TableWRVORP[BYE],MATCH(TableWRTEMaster[[#This Row],[RK]],TableWRVORP[RK],0)),"")</f>
        <v>9</v>
      </c>
      <c r="BI162" s="124">
        <f>IFERROR(INDEX(TableWRVORP[FPS],MATCH(TableWRTEMaster[[#This Row],[RK]],TableWRVORP[RK],0)),"")</f>
        <v>7.3040380685999988</v>
      </c>
      <c r="BJ162" s="125">
        <f>IFERROR(INDEX(TableWRVORP[VORP],MATCH(TableWRTEMaster[[#This Row],[RK]],TableWRVORP[RK],0)),"")</f>
        <v>-0.94394104802387702</v>
      </c>
    </row>
    <row r="163" spans="8:62" x14ac:dyDescent="0.2">
      <c r="H163">
        <v>162</v>
      </c>
      <c r="I163" s="120" t="str">
        <f>IFERROR(INDEX(TableRBCalcPts[PLAYER],MATCH(TableRBVORP[[#This Row],[RK]],TableRBCalcPts[RK],0)),"")</f>
        <v/>
      </c>
      <c r="J163" s="120" t="str">
        <f>IFERROR(INDEX(TableRBCalcPts[TM],MATCH(TableRBVORP[[#This Row],[RK]],TableRBCalcPts[RK],0)),"")</f>
        <v/>
      </c>
      <c r="K163" s="120" t="str">
        <f>IFERROR(INDEX(TableRBCalcPts[BYE],MATCH(TableRBVORP[[#This Row],[RK]],TableRBCalcPts[RK],0)),"")</f>
        <v/>
      </c>
      <c r="L163" s="121" t="str">
        <f>IFERROR(INDEX(TableRBCalcPts[Custom],MATCH(TableRBVORP[[#This Row],[RK]],TableRBCalcPts[RK],0)),"")</f>
        <v/>
      </c>
      <c r="M163" s="122" t="str">
        <f>IFERROR((TableRBVORP[[#This Row],[FPS]]-INDEX(TableRBVORP[FPS],MATCH(RBVORPCalc,TableRBVORP[RK],0)))/INDEX(TableRBVORP[FPS],MATCH(RBVORPCalc,TableRBVORP[RK],0)),"")</f>
        <v/>
      </c>
      <c r="O163">
        <v>162</v>
      </c>
      <c r="P163" s="120" t="str">
        <f>IFERROR(INDEX(TableWRCalcPts[PLAYER],MATCH(TableWRVORP[[#This Row],[RK]],TableWRCalcPts[RK],0)),"")</f>
        <v>Danny Gray</v>
      </c>
      <c r="Q163" s="120" t="str">
        <f>IFERROR(INDEX(TableWRCalcPts[TM],MATCH(TableWRVORP[[#This Row],[RK]],TableWRCalcPts[RK],0)),"")</f>
        <v>SF</v>
      </c>
      <c r="R163" s="120">
        <f>IFERROR(INDEX(TableWRCalcPts[BYE],MATCH(TableWRVORP[[#This Row],[RK]],TableWRCalcPts[RK],0)),"")</f>
        <v>9</v>
      </c>
      <c r="S163" s="121">
        <f>IFERROR(INDEX(TableWRCalcPts[Custom],MATCH(TableWRVORP[[#This Row],[RK]],TableWRCalcPts[RK],0)),"")</f>
        <v>6.1474887920832781</v>
      </c>
      <c r="T163" s="122">
        <f>IFERROR((TableWRVORP[[#This Row],[FPS]]-INDEX(TableWRVORP[FPS],MATCH(WRVORPCalc,TableWRVORP[RK],0)))/INDEX(TableWRVORP[FPS],MATCH(WRVORPCalc,TableWRVORP[RK],0)),"")</f>
        <v>-0.9528176365275699</v>
      </c>
      <c r="AF163" t="s">
        <v>257</v>
      </c>
      <c r="AG163">
        <v>22</v>
      </c>
      <c r="AH163" s="86">
        <f>RANK(TableOverallMaster[[#This Row],[VORP]],TableOverallMaster[VORP])+COUNTIF($AM$2:AM163,AM163)-1</f>
        <v>57</v>
      </c>
      <c r="AI163" s="123" t="str">
        <f>IFERROR(INDEX(TableWRVORP[WIDE RECEIVER],MATCH(TableOverallMaster[[#This Row],[RK]],TableWRVORP[RK],0)),"")</f>
        <v>Terry McLaurin</v>
      </c>
      <c r="AJ163" s="123" t="str">
        <f t="shared" si="2"/>
        <v>WR22</v>
      </c>
      <c r="AK163" s="123">
        <f>IFERROR(INDEX(TableWRVORP[BYE],MATCH(TableOverallMaster[[#This Row],[RK]],TableWRVORP[RK],0)),"")</f>
        <v>14</v>
      </c>
      <c r="AL163" s="124">
        <f>IFERROR(INDEX(TableWRVORP[FPS],MATCH(TableOverallMaster[[#This Row],[RK]],TableWRVORP[RK],0)),"")</f>
        <v>185.45630681519057</v>
      </c>
      <c r="AM163" s="125">
        <f>IFERROR(INDEX(TableWRVORP[VORP],MATCH(TableOverallMaster[[#This Row],[RK]],TableWRVORP[RK],0)),"")</f>
        <v>0.42338882954571722</v>
      </c>
      <c r="AO163">
        <v>162</v>
      </c>
      <c r="AP163" s="126" t="str">
        <f>IFERROR(INDEX(TableOverallMaster[OVERALL PLAYER],MATCH(TableOverallRank[[#This Row],[RK]],TableOverallMaster[OVR RK],0)),"")</f>
        <v>DeVante Parker</v>
      </c>
      <c r="AQ163" s="127" t="str">
        <f>IFERROR(INDEX(TableOverallMaster[POS RK],MATCH(TableOverallRank[[#This Row],[OVERALL PLAYER]],TableOverallMaster[OVERALL PLAYER],0)),"")</f>
        <v>WR70</v>
      </c>
      <c r="AR163" s="128">
        <f>IFERROR(INDEX(TableOverallMaster[BYE],MATCH(TableOverallRank[[#This Row],[OVERALL PLAYER]],TableOverallMaster[OVERALL PLAYER],0)),"")</f>
        <v>11</v>
      </c>
      <c r="AS163" s="127">
        <f>IFERROR(INDEX(TableOverallMaster[Custom],MATCH(TableOverallRank[[#This Row],[OVERALL PLAYER]],TableOverallMaster[OVERALL PLAYER],0)),"")</f>
        <v>111.97896938137993</v>
      </c>
      <c r="AT163" s="129">
        <f>IFERROR(INDEX(TableOverallMaster[VORP],MATCH(TableOverallRank[[#This Row],[OVERALL PLAYER]],TableOverallMaster[OVERALL PLAYER],0)),"")</f>
        <v>-0.140554360762011</v>
      </c>
      <c r="AV163">
        <v>162</v>
      </c>
      <c r="AW163" s="130" t="str">
        <f>IFERROR(INDEX(TableWRTECalcPts[PLAYER],MATCH(TableWRTERank[[#This Row],[RK]],TableWRTECalcPts[RK],0)),"")</f>
        <v>Kyle Philips</v>
      </c>
      <c r="AX163" s="130" t="str">
        <f>IFERROR(INDEX(TableWRTECalcPts[POS RK],MATCH(TableWRTERank[[#This Row],[WR and TE COMBINED]],TableWRTECalcPts[PLAYER],0)),"")</f>
        <v>WR117</v>
      </c>
      <c r="AY163" s="130">
        <f>IFERROR(INDEX(TableWRTECalcPts[BYE],MATCH(TableWRTERank[[#This Row],[RK]],TableWRTECalcPts[RK],0)),"")</f>
        <v>7</v>
      </c>
      <c r="AZ163" s="131">
        <f>IFERROR(INDEX(TableWRTECalcPts[Custom],MATCH(TableWRTERank[[#This Row],[RK]],TableWRTECalcPts[RK],0)),"")</f>
        <v>36.780466404519956</v>
      </c>
      <c r="BA163" s="188">
        <f>IFERROR((TableWRTERank[[#This Row],[FPS]]-INDEX(TableWRTERank[FPS],MATCH(WRTEVORPCalc,TableWRTERank[RK],0)))/INDEX(TableWRTERank[FPS],MATCH(WRTEVORPCalc,TableWRTERank[RK],0)),"")</f>
        <v>-0.73422600230155011</v>
      </c>
      <c r="BC163" t="s">
        <v>257</v>
      </c>
      <c r="BD163">
        <v>162</v>
      </c>
      <c r="BE163" s="86">
        <f>RANK(TableWRTEMaster[[#This Row],[VORP]],TableWRTEMaster[VORP])+COUNTIF($BJ$2:BJ163,BJ163)-1</f>
        <v>242</v>
      </c>
      <c r="BF163" s="123" t="str">
        <f>IFERROR(INDEX(TableWRVORP[WIDE RECEIVER],MATCH(TableWRTEMaster[[#This Row],[RK]],TableWRVORP[RK],0)),"")</f>
        <v>Danny Gray</v>
      </c>
      <c r="BG163" s="123" t="str">
        <f>_xlfn.CONCAT(TableWRTEMaster[[#This Row],[POS]],TableWRTEMaster[[#This Row],[RK]])</f>
        <v>WR162</v>
      </c>
      <c r="BH163" s="123">
        <f>IFERROR(INDEX(TableWRVORP[BYE],MATCH(TableWRTEMaster[[#This Row],[RK]],TableWRVORP[RK],0)),"")</f>
        <v>9</v>
      </c>
      <c r="BI163" s="124">
        <f>IFERROR(INDEX(TableWRVORP[FPS],MATCH(TableWRTEMaster[[#This Row],[RK]],TableWRVORP[RK],0)),"")</f>
        <v>6.1474887920832781</v>
      </c>
      <c r="BJ163" s="125">
        <f>IFERROR(INDEX(TableWRVORP[VORP],MATCH(TableWRTEMaster[[#This Row],[RK]],TableWRVORP[RK],0)),"")</f>
        <v>-0.9528176365275699</v>
      </c>
    </row>
    <row r="164" spans="8:62" x14ac:dyDescent="0.2">
      <c r="H164">
        <v>163</v>
      </c>
      <c r="I164" s="120" t="str">
        <f>IFERROR(INDEX(TableRBCalcPts[PLAYER],MATCH(TableRBVORP[[#This Row],[RK]],TableRBCalcPts[RK],0)),"")</f>
        <v/>
      </c>
      <c r="J164" s="120" t="str">
        <f>IFERROR(INDEX(TableRBCalcPts[TM],MATCH(TableRBVORP[[#This Row],[RK]],TableRBCalcPts[RK],0)),"")</f>
        <v/>
      </c>
      <c r="K164" s="120" t="str">
        <f>IFERROR(INDEX(TableRBCalcPts[BYE],MATCH(TableRBVORP[[#This Row],[RK]],TableRBCalcPts[RK],0)),"")</f>
        <v/>
      </c>
      <c r="L164" s="121" t="str">
        <f>IFERROR(INDEX(TableRBCalcPts[Custom],MATCH(TableRBVORP[[#This Row],[RK]],TableRBCalcPts[RK],0)),"")</f>
        <v/>
      </c>
      <c r="M164" s="122" t="str">
        <f>IFERROR((TableRBVORP[[#This Row],[FPS]]-INDEX(TableRBVORP[FPS],MATCH(RBVORPCalc,TableRBVORP[RK],0)))/INDEX(TableRBVORP[FPS],MATCH(RBVORPCalc,TableRBVORP[RK],0)),"")</f>
        <v/>
      </c>
      <c r="O164">
        <v>163</v>
      </c>
      <c r="P164" s="120" t="str">
        <f>IFERROR(INDEX(TableWRCalcPts[PLAYER],MATCH(TableWRVORP[[#This Row],[RK]],TableWRCalcPts[RK],0)),"")</f>
        <v/>
      </c>
      <c r="Q164" s="120" t="str">
        <f>IFERROR(INDEX(TableWRCalcPts[TM],MATCH(TableWRVORP[[#This Row],[RK]],TableWRCalcPts[RK],0)),"")</f>
        <v/>
      </c>
      <c r="R164" s="120" t="str">
        <f>IFERROR(INDEX(TableWRCalcPts[BYE],MATCH(TableWRVORP[[#This Row],[RK]],TableWRCalcPts[RK],0)),"")</f>
        <v/>
      </c>
      <c r="S164" s="121" t="str">
        <f>IFERROR(INDEX(TableWRCalcPts[Custom],MATCH(TableWRVORP[[#This Row],[RK]],TableWRCalcPts[RK],0)),"")</f>
        <v/>
      </c>
      <c r="T164" s="122" t="str">
        <f>IFERROR((TableWRVORP[[#This Row],[FPS]]-INDEX(TableWRVORP[FPS],MATCH(WRVORPCalc,TableWRVORP[RK],0)))/INDEX(TableWRVORP[FPS],MATCH(WRVORPCalc,TableWRVORP[RK],0)),"")</f>
        <v/>
      </c>
      <c r="AF164" t="s">
        <v>257</v>
      </c>
      <c r="AG164">
        <v>23</v>
      </c>
      <c r="AH164" s="86">
        <f>RANK(TableOverallMaster[[#This Row],[VORP]],TableOverallMaster[VORP])+COUNTIF($AM$2:AM164,AM164)-1</f>
        <v>58</v>
      </c>
      <c r="AI164" s="123" t="str">
        <f>IFERROR(INDEX(TableWRVORP[WIDE RECEIVER],MATCH(TableOverallMaster[[#This Row],[RK]],TableWRVORP[RK],0)),"")</f>
        <v>Mike Williams</v>
      </c>
      <c r="AJ164" s="123" t="str">
        <f t="shared" si="2"/>
        <v>WR23</v>
      </c>
      <c r="AK164" s="123">
        <f>IFERROR(INDEX(TableWRVORP[BYE],MATCH(TableOverallMaster[[#This Row],[RK]],TableWRVORP[RK],0)),"")</f>
        <v>5</v>
      </c>
      <c r="AL164" s="124">
        <f>IFERROR(INDEX(TableWRVORP[FPS],MATCH(TableOverallMaster[[#This Row],[RK]],TableWRVORP[RK],0)),"")</f>
        <v>184.79340105256802</v>
      </c>
      <c r="AM164" s="125">
        <f>IFERROR(INDEX(TableWRVORP[VORP],MATCH(TableOverallMaster[[#This Row],[RK]],TableWRVORP[RK],0)),"")</f>
        <v>0.4183009860867255</v>
      </c>
      <c r="AO164">
        <v>163</v>
      </c>
      <c r="AP164" s="126" t="str">
        <f>IFERROR(INDEX(TableOverallMaster[OVERALL PLAYER],MATCH(TableOverallRank[[#This Row],[RK]],TableOverallMaster[OVR RK],0)),"")</f>
        <v>Dawson Knox</v>
      </c>
      <c r="AQ164" s="127" t="str">
        <f>IFERROR(INDEX(TableOverallMaster[POS RK],MATCH(TableOverallRank[[#This Row],[OVERALL PLAYER]],TableOverallMaster[OVERALL PLAYER],0)),"")</f>
        <v>TE18</v>
      </c>
      <c r="AR164" s="128">
        <f>IFERROR(INDEX(TableOverallMaster[BYE],MATCH(TableOverallRank[[#This Row],[OVERALL PLAYER]],TableOverallMaster[OVERALL PLAYER],0)),"")</f>
        <v>13</v>
      </c>
      <c r="AS164" s="127">
        <f>IFERROR(INDEX(TableOverallMaster[Custom],MATCH(TableOverallRank[[#This Row],[OVERALL PLAYER]],TableOverallMaster[OVERALL PLAYER],0)),"")</f>
        <v>101.98897439520259</v>
      </c>
      <c r="AT164" s="129">
        <f>IFERROR(INDEX(TableOverallMaster[VORP],MATCH(TableOverallRank[[#This Row],[OVERALL PLAYER]],TableOverallMaster[OVERALL PLAYER],0)),"")</f>
        <v>-0.14172503773153025</v>
      </c>
      <c r="AV164">
        <v>163</v>
      </c>
      <c r="AW164" s="130" t="str">
        <f>IFERROR(INDEX(TableWRTECalcPts[PLAYER],MATCH(TableWRTERank[[#This Row],[RK]],TableWRTECalcPts[RK],0)),"")</f>
        <v>Teagan Quitoriano</v>
      </c>
      <c r="AX164" s="130" t="str">
        <f>IFERROR(INDEX(TableWRTECalcPts[POS RK],MATCH(TableWRTERank[[#This Row],[WR and TE COMBINED]],TableWRTECalcPts[PLAYER],0)),"")</f>
        <v>TE46</v>
      </c>
      <c r="AY164" s="130">
        <f>IFERROR(INDEX(TableWRTECalcPts[BYE],MATCH(TableWRTERank[[#This Row],[RK]],TableWRTECalcPts[RK],0)),"")</f>
        <v>7</v>
      </c>
      <c r="AZ164" s="131">
        <f>IFERROR(INDEX(TableWRTECalcPts[Custom],MATCH(TableWRTERank[[#This Row],[RK]],TableWRTECalcPts[RK],0)),"")</f>
        <v>36.024327486654819</v>
      </c>
      <c r="BA164" s="188">
        <f>IFERROR((TableWRTERank[[#This Row],[FPS]]-INDEX(TableWRTERank[FPS],MATCH(WRTEVORPCalc,TableWRTERank[RK],0)))/INDEX(TableWRTERank[FPS],MATCH(WRTEVORPCalc,TableWRTERank[RK],0)),"")</f>
        <v>-0.7396898281488401</v>
      </c>
      <c r="BC164" t="s">
        <v>257</v>
      </c>
      <c r="BD164">
        <v>163</v>
      </c>
      <c r="BE164" s="86" t="e">
        <f>RANK(TableWRTEMaster[[#This Row],[VORP]],TableWRTEMaster[VORP])+COUNTIF($BJ$2:BJ164,BJ164)-1</f>
        <v>#VALUE!</v>
      </c>
      <c r="BF164" s="123" t="str">
        <f>IFERROR(INDEX(TableWRVORP[WIDE RECEIVER],MATCH(TableWRTEMaster[[#This Row],[RK]],TableWRVORP[RK],0)),"")</f>
        <v/>
      </c>
      <c r="BG164" s="123" t="str">
        <f>_xlfn.CONCAT(TableWRTEMaster[[#This Row],[POS]],TableWRTEMaster[[#This Row],[RK]])</f>
        <v>WR163</v>
      </c>
      <c r="BH164" s="123" t="str">
        <f>IFERROR(INDEX(TableWRVORP[BYE],MATCH(TableWRTEMaster[[#This Row],[RK]],TableWRVORP[RK],0)),"")</f>
        <v/>
      </c>
      <c r="BI164" s="124" t="str">
        <f>IFERROR(INDEX(TableWRVORP[FPS],MATCH(TableWRTEMaster[[#This Row],[RK]],TableWRVORP[RK],0)),"")</f>
        <v/>
      </c>
      <c r="BJ164" s="125" t="str">
        <f>IFERROR(INDEX(TableWRVORP[VORP],MATCH(TableWRTEMaster[[#This Row],[RK]],TableWRVORP[RK],0)),"")</f>
        <v/>
      </c>
    </row>
    <row r="165" spans="8:62" x14ac:dyDescent="0.2">
      <c r="H165">
        <v>164</v>
      </c>
      <c r="I165" s="120" t="str">
        <f>IFERROR(INDEX(TableRBCalcPts[PLAYER],MATCH(TableRBVORP[[#This Row],[RK]],TableRBCalcPts[RK],0)),"")</f>
        <v/>
      </c>
      <c r="J165" s="120" t="str">
        <f>IFERROR(INDEX(TableRBCalcPts[TM],MATCH(TableRBVORP[[#This Row],[RK]],TableRBCalcPts[RK],0)),"")</f>
        <v/>
      </c>
      <c r="K165" s="120" t="str">
        <f>IFERROR(INDEX(TableRBCalcPts[BYE],MATCH(TableRBVORP[[#This Row],[RK]],TableRBCalcPts[RK],0)),"")</f>
        <v/>
      </c>
      <c r="L165" s="121" t="str">
        <f>IFERROR(INDEX(TableRBCalcPts[Custom],MATCH(TableRBVORP[[#This Row],[RK]],TableRBCalcPts[RK],0)),"")</f>
        <v/>
      </c>
      <c r="M165" s="122" t="str">
        <f>IFERROR((TableRBVORP[[#This Row],[FPS]]-INDEX(TableRBVORP[FPS],MATCH(RBVORPCalc,TableRBVORP[RK],0)))/INDEX(TableRBVORP[FPS],MATCH(RBVORPCalc,TableRBVORP[RK],0)),"")</f>
        <v/>
      </c>
      <c r="O165">
        <v>164</v>
      </c>
      <c r="P165" s="120" t="str">
        <f>IFERROR(INDEX(TableWRCalcPts[PLAYER],MATCH(TableWRVORP[[#This Row],[RK]],TableWRCalcPts[RK],0)),"")</f>
        <v/>
      </c>
      <c r="Q165" s="120" t="str">
        <f>IFERROR(INDEX(TableWRCalcPts[TM],MATCH(TableWRVORP[[#This Row],[RK]],TableWRCalcPts[RK],0)),"")</f>
        <v/>
      </c>
      <c r="R165" s="120" t="str">
        <f>IFERROR(INDEX(TableWRCalcPts[BYE],MATCH(TableWRVORP[[#This Row],[RK]],TableWRCalcPts[RK],0)),"")</f>
        <v/>
      </c>
      <c r="S165" s="121" t="str">
        <f>IFERROR(INDEX(TableWRCalcPts[Custom],MATCH(TableWRVORP[[#This Row],[RK]],TableWRCalcPts[RK],0)),"")</f>
        <v/>
      </c>
      <c r="T165" s="122" t="str">
        <f>IFERROR((TableWRVORP[[#This Row],[FPS]]-INDEX(TableWRVORP[FPS],MATCH(WRVORPCalc,TableWRVORP[RK],0)))/INDEX(TableWRVORP[FPS],MATCH(WRVORPCalc,TableWRVORP[RK],0)),"")</f>
        <v/>
      </c>
      <c r="AF165" t="s">
        <v>257</v>
      </c>
      <c r="AG165">
        <v>24</v>
      </c>
      <c r="AH165" s="86">
        <f>RANK(TableOverallMaster[[#This Row],[VORP]],TableOverallMaster[VORP])+COUNTIF($AM$2:AM165,AM165)-1</f>
        <v>59</v>
      </c>
      <c r="AI165" s="123" t="str">
        <f>IFERROR(INDEX(TableWRVORP[WIDE RECEIVER],MATCH(TableOverallMaster[[#This Row],[RK]],TableWRVORP[RK],0)),"")</f>
        <v>Amari Cooper</v>
      </c>
      <c r="AJ165" s="123" t="str">
        <f t="shared" si="2"/>
        <v>WR24</v>
      </c>
      <c r="AK165" s="123">
        <f>IFERROR(INDEX(TableWRVORP[BYE],MATCH(TableOverallMaster[[#This Row],[RK]],TableWRVORP[RK],0)),"")</f>
        <v>5</v>
      </c>
      <c r="AL165" s="124">
        <f>IFERROR(INDEX(TableWRVORP[FPS],MATCH(TableOverallMaster[[#This Row],[RK]],TableWRVORP[RK],0)),"")</f>
        <v>183.883298165518</v>
      </c>
      <c r="AM165" s="125">
        <f>IFERROR(INDEX(TableWRVORP[VORP],MATCH(TableOverallMaster[[#This Row],[RK]],TableWRVORP[RK],0)),"")</f>
        <v>0.41131588913634132</v>
      </c>
      <c r="AO165">
        <v>164</v>
      </c>
      <c r="AP165" s="126" t="str">
        <f>IFERROR(INDEX(TableOverallMaster[OVERALL PLAYER],MATCH(TableOverallRank[[#This Row],[RK]],TableOverallMaster[OVR RK],0)),"")</f>
        <v>Elijah Mitchell</v>
      </c>
      <c r="AQ165" s="127" t="str">
        <f>IFERROR(INDEX(TableOverallMaster[POS RK],MATCH(TableOverallRank[[#This Row],[OVERALL PLAYER]],TableOverallMaster[OVERALL PLAYER],0)),"")</f>
        <v>RB51</v>
      </c>
      <c r="AR165" s="128">
        <f>IFERROR(INDEX(TableOverallMaster[BYE],MATCH(TableOverallRank[[#This Row],[OVERALL PLAYER]],TableOverallMaster[OVERALL PLAYER],0)),"")</f>
        <v>9</v>
      </c>
      <c r="AS165" s="127">
        <f>IFERROR(INDEX(TableOverallMaster[Custom],MATCH(TableOverallRank[[#This Row],[OVERALL PLAYER]],TableOverallMaster[OVERALL PLAYER],0)),"")</f>
        <v>104.6005533109488</v>
      </c>
      <c r="AT165" s="129">
        <f>IFERROR(INDEX(TableOverallMaster[VORP],MATCH(TableOverallRank[[#This Row],[OVERALL PLAYER]],TableOverallMaster[OVERALL PLAYER],0)),"")</f>
        <v>-0.14585935788740167</v>
      </c>
      <c r="AV165">
        <v>164</v>
      </c>
      <c r="AW165" s="130" t="str">
        <f>IFERROR(INDEX(TableWRTECalcPts[PLAYER],MATCH(TableWRTERank[[#This Row],[RK]],TableWRTECalcPts[RK],0)),"")</f>
        <v>Tucker Kraft</v>
      </c>
      <c r="AX165" s="130" t="str">
        <f>IFERROR(INDEX(TableWRTECalcPts[POS RK],MATCH(TableWRTERank[[#This Row],[WR and TE COMBINED]],TableWRTECalcPts[PLAYER],0)),"")</f>
        <v>TE47</v>
      </c>
      <c r="AY165" s="130">
        <f>IFERROR(INDEX(TableWRTECalcPts[BYE],MATCH(TableWRTERank[[#This Row],[RK]],TableWRTECalcPts[RK],0)),"")</f>
        <v>6</v>
      </c>
      <c r="AZ165" s="131">
        <f>IFERROR(INDEX(TableWRTECalcPts[Custom],MATCH(TableWRTERank[[#This Row],[RK]],TableWRTECalcPts[RK],0)),"")</f>
        <v>35.669760428570214</v>
      </c>
      <c r="BA165" s="188">
        <f>IFERROR((TableWRTERank[[#This Row],[FPS]]-INDEX(TableWRTERank[FPS],MATCH(WRTEVORPCalc,TableWRTERank[RK],0)))/INDEX(TableWRTERank[FPS],MATCH(WRTEVORPCalc,TableWRTERank[RK],0)),"")</f>
        <v>-0.74225191377991684</v>
      </c>
      <c r="BC165" t="s">
        <v>257</v>
      </c>
      <c r="BD165">
        <v>164</v>
      </c>
      <c r="BE165" s="86" t="e">
        <f>RANK(TableWRTEMaster[[#This Row],[VORP]],TableWRTEMaster[VORP])+COUNTIF($BJ$2:BJ165,BJ165)-1</f>
        <v>#VALUE!</v>
      </c>
      <c r="BF165" s="123" t="str">
        <f>IFERROR(INDEX(TableWRVORP[WIDE RECEIVER],MATCH(TableWRTEMaster[[#This Row],[RK]],TableWRVORP[RK],0)),"")</f>
        <v/>
      </c>
      <c r="BG165" s="123" t="str">
        <f>_xlfn.CONCAT(TableWRTEMaster[[#This Row],[POS]],TableWRTEMaster[[#This Row],[RK]])</f>
        <v>WR164</v>
      </c>
      <c r="BH165" s="123" t="str">
        <f>IFERROR(INDEX(TableWRVORP[BYE],MATCH(TableWRTEMaster[[#This Row],[RK]],TableWRVORP[RK],0)),"")</f>
        <v/>
      </c>
      <c r="BI165" s="124" t="str">
        <f>IFERROR(INDEX(TableWRVORP[FPS],MATCH(TableWRTEMaster[[#This Row],[RK]],TableWRVORP[RK],0)),"")</f>
        <v/>
      </c>
      <c r="BJ165" s="125" t="str">
        <f>IFERROR(INDEX(TableWRVORP[VORP],MATCH(TableWRTEMaster[[#This Row],[RK]],TableWRVORP[RK],0)),"")</f>
        <v/>
      </c>
    </row>
    <row r="166" spans="8:62" x14ac:dyDescent="0.2">
      <c r="H166">
        <v>165</v>
      </c>
      <c r="I166" s="120" t="str">
        <f>IFERROR(INDEX(TableRBCalcPts[PLAYER],MATCH(TableRBVORP[[#This Row],[RK]],TableRBCalcPts[RK],0)),"")</f>
        <v/>
      </c>
      <c r="J166" s="120" t="str">
        <f>IFERROR(INDEX(TableRBCalcPts[TM],MATCH(TableRBVORP[[#This Row],[RK]],TableRBCalcPts[RK],0)),"")</f>
        <v/>
      </c>
      <c r="K166" s="120" t="str">
        <f>IFERROR(INDEX(TableRBCalcPts[BYE],MATCH(TableRBVORP[[#This Row],[RK]],TableRBCalcPts[RK],0)),"")</f>
        <v/>
      </c>
      <c r="L166" s="121" t="str">
        <f>IFERROR(INDEX(TableRBCalcPts[Custom],MATCH(TableRBVORP[[#This Row],[RK]],TableRBCalcPts[RK],0)),"")</f>
        <v/>
      </c>
      <c r="M166" s="122" t="str">
        <f>IFERROR((TableRBVORP[[#This Row],[FPS]]-INDEX(TableRBVORP[FPS],MATCH(RBVORPCalc,TableRBVORP[RK],0)))/INDEX(TableRBVORP[FPS],MATCH(RBVORPCalc,TableRBVORP[RK],0)),"")</f>
        <v/>
      </c>
      <c r="O166">
        <v>165</v>
      </c>
      <c r="P166" s="120" t="str">
        <f>IFERROR(INDEX(TableWRCalcPts[PLAYER],MATCH(TableWRVORP[[#This Row],[RK]],TableWRCalcPts[RK],0)),"")</f>
        <v/>
      </c>
      <c r="Q166" s="120" t="str">
        <f>IFERROR(INDEX(TableWRCalcPts[TM],MATCH(TableWRVORP[[#This Row],[RK]],TableWRCalcPts[RK],0)),"")</f>
        <v/>
      </c>
      <c r="R166" s="120" t="str">
        <f>IFERROR(INDEX(TableWRCalcPts[BYE],MATCH(TableWRVORP[[#This Row],[RK]],TableWRCalcPts[RK],0)),"")</f>
        <v/>
      </c>
      <c r="S166" s="121" t="str">
        <f>IFERROR(INDEX(TableWRCalcPts[Custom],MATCH(TableWRVORP[[#This Row],[RK]],TableWRCalcPts[RK],0)),"")</f>
        <v/>
      </c>
      <c r="T166" s="122" t="str">
        <f>IFERROR((TableWRVORP[[#This Row],[FPS]]-INDEX(TableWRVORP[FPS],MATCH(WRVORPCalc,TableWRVORP[RK],0)))/INDEX(TableWRVORP[FPS],MATCH(WRVORPCalc,TableWRVORP[RK],0)),"")</f>
        <v/>
      </c>
      <c r="AF166" t="s">
        <v>257</v>
      </c>
      <c r="AG166">
        <v>25</v>
      </c>
      <c r="AH166" s="86">
        <f>RANK(TableOverallMaster[[#This Row],[VORP]],TableOverallMaster[VORP])+COUNTIF($AM$2:AM166,AM166)-1</f>
        <v>61</v>
      </c>
      <c r="AI166" s="123" t="str">
        <f>IFERROR(INDEX(TableWRVORP[WIDE RECEIVER],MATCH(TableOverallMaster[[#This Row],[RK]],TableWRVORP[RK],0)),"")</f>
        <v>DJ Moore</v>
      </c>
      <c r="AJ166" s="123" t="str">
        <f t="shared" si="2"/>
        <v>WR25</v>
      </c>
      <c r="AK166" s="123">
        <f>IFERROR(INDEX(TableWRVORP[BYE],MATCH(TableOverallMaster[[#This Row],[RK]],TableWRVORP[RK],0)),"")</f>
        <v>13</v>
      </c>
      <c r="AL166" s="124">
        <f>IFERROR(INDEX(TableWRVORP[FPS],MATCH(TableOverallMaster[[#This Row],[RK]],TableWRVORP[RK],0)),"")</f>
        <v>182.80721027452122</v>
      </c>
      <c r="AM166" s="125">
        <f>IFERROR(INDEX(TableWRVORP[VORP],MATCH(TableOverallMaster[[#This Row],[RK]],TableWRVORP[RK],0)),"")</f>
        <v>0.40305684683167292</v>
      </c>
      <c r="AO166">
        <v>165</v>
      </c>
      <c r="AP166" s="126" t="str">
        <f>IFERROR(INDEX(TableOverallMaster[OVERALL PLAYER],MATCH(TableOverallRank[[#This Row],[RK]],TableOverallMaster[OVR RK],0)),"")</f>
        <v>Derek Carr</v>
      </c>
      <c r="AQ166" s="127" t="str">
        <f>IFERROR(INDEX(TableOverallMaster[POS RK],MATCH(TableOverallRank[[#This Row],[OVERALL PLAYER]],TableOverallMaster[OVERALL PLAYER],0)),"")</f>
        <v>QB26</v>
      </c>
      <c r="AR166" s="128">
        <f>IFERROR(INDEX(TableOverallMaster[BYE],MATCH(TableOverallRank[[#This Row],[OVERALL PLAYER]],TableOverallMaster[OVERALL PLAYER],0)),"")</f>
        <v>11</v>
      </c>
      <c r="AS166" s="127">
        <f>IFERROR(INDEX(TableOverallMaster[Custom],MATCH(TableOverallRank[[#This Row],[OVERALL PLAYER]],TableOverallMaster[OVERALL PLAYER],0)),"")</f>
        <v>259.6801634925929</v>
      </c>
      <c r="AT166" s="129">
        <f>IFERROR(INDEX(TableOverallMaster[VORP],MATCH(TableOverallRank[[#This Row],[OVERALL PLAYER]],TableOverallMaster[OVERALL PLAYER],0)),"")</f>
        <v>-0.14794838778784009</v>
      </c>
      <c r="AV166">
        <v>165</v>
      </c>
      <c r="AW166" s="130" t="str">
        <f>IFERROR(INDEX(TableWRTECalcPts[PLAYER],MATCH(TableWRTERank[[#This Row],[RK]],TableWRTECalcPts[RK],0)),"")</f>
        <v>Sterling Shepard</v>
      </c>
      <c r="AX166" s="130" t="str">
        <f>IFERROR(INDEX(TableWRTECalcPts[POS RK],MATCH(TableWRTERank[[#This Row],[WR and TE COMBINED]],TableWRTECalcPts[PLAYER],0)),"")</f>
        <v>WR118</v>
      </c>
      <c r="AY166" s="130">
        <f>IFERROR(INDEX(TableWRTECalcPts[BYE],MATCH(TableWRTERank[[#This Row],[RK]],TableWRTECalcPts[RK],0)),"")</f>
        <v>13</v>
      </c>
      <c r="AZ166" s="131">
        <f>IFERROR(INDEX(TableWRTECalcPts[Custom],MATCH(TableWRTERank[[#This Row],[RK]],TableWRTECalcPts[RK],0)),"")</f>
        <v>35.665895599228826</v>
      </c>
      <c r="BA166" s="188">
        <f>IFERROR((TableWRTERank[[#This Row],[FPS]]-INDEX(TableWRTERank[FPS],MATCH(WRTEVORPCalc,TableWRTERank[RK],0)))/INDEX(TableWRTERank[FPS],MATCH(WRTEVORPCalc,TableWRTERank[RK],0)),"")</f>
        <v>-0.74227984086309151</v>
      </c>
      <c r="BC166" t="s">
        <v>257</v>
      </c>
      <c r="BD166">
        <v>165</v>
      </c>
      <c r="BE166" s="86" t="e">
        <f>RANK(TableWRTEMaster[[#This Row],[VORP]],TableWRTEMaster[VORP])+COUNTIF($BJ$2:BJ166,BJ166)-1</f>
        <v>#VALUE!</v>
      </c>
      <c r="BF166" s="123" t="str">
        <f>IFERROR(INDEX(TableWRVORP[WIDE RECEIVER],MATCH(TableWRTEMaster[[#This Row],[RK]],TableWRVORP[RK],0)),"")</f>
        <v/>
      </c>
      <c r="BG166" s="123" t="str">
        <f>_xlfn.CONCAT(TableWRTEMaster[[#This Row],[POS]],TableWRTEMaster[[#This Row],[RK]])</f>
        <v>WR165</v>
      </c>
      <c r="BH166" s="123" t="str">
        <f>IFERROR(INDEX(TableWRVORP[BYE],MATCH(TableWRTEMaster[[#This Row],[RK]],TableWRVORP[RK],0)),"")</f>
        <v/>
      </c>
      <c r="BI166" s="124" t="str">
        <f>IFERROR(INDEX(TableWRVORP[FPS],MATCH(TableWRTEMaster[[#This Row],[RK]],TableWRVORP[RK],0)),"")</f>
        <v/>
      </c>
      <c r="BJ166" s="125" t="str">
        <f>IFERROR(INDEX(TableWRVORP[VORP],MATCH(TableWRTEMaster[[#This Row],[RK]],TableWRVORP[RK],0)),"")</f>
        <v/>
      </c>
    </row>
    <row r="167" spans="8:62" x14ac:dyDescent="0.2">
      <c r="H167">
        <v>166</v>
      </c>
      <c r="I167" s="120" t="str">
        <f>IFERROR(INDEX(TableRBCalcPts[PLAYER],MATCH(TableRBVORP[[#This Row],[RK]],TableRBCalcPts[RK],0)),"")</f>
        <v/>
      </c>
      <c r="J167" s="120" t="str">
        <f>IFERROR(INDEX(TableRBCalcPts[TM],MATCH(TableRBVORP[[#This Row],[RK]],TableRBCalcPts[RK],0)),"")</f>
        <v/>
      </c>
      <c r="K167" s="120" t="str">
        <f>IFERROR(INDEX(TableRBCalcPts[BYE],MATCH(TableRBVORP[[#This Row],[RK]],TableRBCalcPts[RK],0)),"")</f>
        <v/>
      </c>
      <c r="L167" s="121" t="str">
        <f>IFERROR(INDEX(TableRBCalcPts[Custom],MATCH(TableRBVORP[[#This Row],[RK]],TableRBCalcPts[RK],0)),"")</f>
        <v/>
      </c>
      <c r="M167" s="122" t="str">
        <f>IFERROR((TableRBVORP[[#This Row],[FPS]]-INDEX(TableRBVORP[FPS],MATCH(RBVORPCalc,TableRBVORP[RK],0)))/INDEX(TableRBVORP[FPS],MATCH(RBVORPCalc,TableRBVORP[RK],0)),"")</f>
        <v/>
      </c>
      <c r="O167">
        <v>166</v>
      </c>
      <c r="P167" s="120" t="str">
        <f>IFERROR(INDEX(TableWRCalcPts[PLAYER],MATCH(TableWRVORP[[#This Row],[RK]],TableWRCalcPts[RK],0)),"")</f>
        <v/>
      </c>
      <c r="Q167" s="120" t="str">
        <f>IFERROR(INDEX(TableWRCalcPts[TM],MATCH(TableWRVORP[[#This Row],[RK]],TableWRCalcPts[RK],0)),"")</f>
        <v/>
      </c>
      <c r="R167" s="120" t="str">
        <f>IFERROR(INDEX(TableWRCalcPts[BYE],MATCH(TableWRVORP[[#This Row],[RK]],TableWRCalcPts[RK],0)),"")</f>
        <v/>
      </c>
      <c r="S167" s="121" t="str">
        <f>IFERROR(INDEX(TableWRCalcPts[Custom],MATCH(TableWRVORP[[#This Row],[RK]],TableWRCalcPts[RK],0)),"")</f>
        <v/>
      </c>
      <c r="T167" s="122" t="str">
        <f>IFERROR((TableWRVORP[[#This Row],[FPS]]-INDEX(TableWRVORP[FPS],MATCH(WRVORPCalc,TableWRVORP[RK],0)))/INDEX(TableWRVORP[FPS],MATCH(WRVORPCalc,TableWRVORP[RK],0)),"")</f>
        <v/>
      </c>
      <c r="AF167" t="s">
        <v>257</v>
      </c>
      <c r="AG167">
        <v>26</v>
      </c>
      <c r="AH167" s="86">
        <f>RANK(TableOverallMaster[[#This Row],[VORP]],TableOverallMaster[VORP])+COUNTIF($AM$2:AM167,AM167)-1</f>
        <v>62</v>
      </c>
      <c r="AI167" s="123" t="str">
        <f>IFERROR(INDEX(TableWRVORP[WIDE RECEIVER],MATCH(TableOverallMaster[[#This Row],[RK]],TableWRVORP[RK],0)),"")</f>
        <v>Tyler Lockett</v>
      </c>
      <c r="AJ167" s="123" t="str">
        <f t="shared" si="2"/>
        <v>WR26</v>
      </c>
      <c r="AK167" s="123">
        <f>IFERROR(INDEX(TableWRVORP[BYE],MATCH(TableOverallMaster[[#This Row],[RK]],TableWRVORP[RK],0)),"")</f>
        <v>5</v>
      </c>
      <c r="AL167" s="124">
        <f>IFERROR(INDEX(TableWRVORP[FPS],MATCH(TableOverallMaster[[#This Row],[RK]],TableWRVORP[RK],0)),"")</f>
        <v>180.30568338510338</v>
      </c>
      <c r="AM167" s="125">
        <f>IFERROR(INDEX(TableWRVORP[VORP],MATCH(TableOverallMaster[[#This Row],[RK]],TableWRVORP[RK],0)),"")</f>
        <v>0.38385747048070401</v>
      </c>
      <c r="AO167">
        <v>166</v>
      </c>
      <c r="AP167" s="126" t="str">
        <f>IFERROR(INDEX(TableOverallMaster[OVERALL PLAYER],MATCH(TableOverallRank[[#This Row],[RK]],TableOverallMaster[OVR RK],0)),"")</f>
        <v>Jake Ferguson</v>
      </c>
      <c r="AQ167" s="127" t="str">
        <f>IFERROR(INDEX(TableOverallMaster[POS RK],MATCH(TableOverallRank[[#This Row],[OVERALL PLAYER]],TableOverallMaster[OVERALL PLAYER],0)),"")</f>
        <v>TE19</v>
      </c>
      <c r="AR167" s="128">
        <f>IFERROR(INDEX(TableOverallMaster[BYE],MATCH(TableOverallRank[[#This Row],[OVERALL PLAYER]],TableOverallMaster[OVERALL PLAYER],0)),"")</f>
        <v>7</v>
      </c>
      <c r="AS167" s="127">
        <f>IFERROR(INDEX(TableOverallMaster[Custom],MATCH(TableOverallRank[[#This Row],[OVERALL PLAYER]],TableOverallMaster[OVERALL PLAYER],0)),"")</f>
        <v>100.82096199922665</v>
      </c>
      <c r="AT167" s="129">
        <f>IFERROR(INDEX(TableOverallMaster[VORP],MATCH(TableOverallRank[[#This Row],[OVERALL PLAYER]],TableOverallMaster[OVERALL PLAYER],0)),"")</f>
        <v>-0.15155429428627121</v>
      </c>
      <c r="AV167">
        <v>166</v>
      </c>
      <c r="AW167" s="130" t="str">
        <f>IFERROR(INDEX(TableWRTECalcPts[PLAYER],MATCH(TableWRTERank[[#This Row],[RK]],TableWRTECalcPts[RK],0)),"")</f>
        <v>Charlie Jones</v>
      </c>
      <c r="AX167" s="130" t="str">
        <f>IFERROR(INDEX(TableWRTECalcPts[POS RK],MATCH(TableWRTERank[[#This Row],[WR and TE COMBINED]],TableWRTECalcPts[PLAYER],0)),"")</f>
        <v>WR119</v>
      </c>
      <c r="AY167" s="130">
        <f>IFERROR(INDEX(TableWRTECalcPts[BYE],MATCH(TableWRTERank[[#This Row],[RK]],TableWRTECalcPts[RK],0)),"")</f>
        <v>7</v>
      </c>
      <c r="AZ167" s="131">
        <f>IFERROR(INDEX(TableWRTECalcPts[Custom],MATCH(TableWRTERank[[#This Row],[RK]],TableWRTECalcPts[RK],0)),"")</f>
        <v>35.157696402703706</v>
      </c>
      <c r="BA167" s="188">
        <f>IFERROR((TableWRTERank[[#This Row],[FPS]]-INDEX(TableWRTERank[FPS],MATCH(WRTEVORPCalc,TableWRTERank[RK],0)))/INDEX(TableWRTERank[FPS],MATCH(WRTEVORPCalc,TableWRTERank[RK],0)),"")</f>
        <v>-0.74595206542387149</v>
      </c>
      <c r="BC167" t="s">
        <v>257</v>
      </c>
      <c r="BD167">
        <v>166</v>
      </c>
      <c r="BE167" s="86" t="e">
        <f>RANK(TableWRTEMaster[[#This Row],[VORP]],TableWRTEMaster[VORP])+COUNTIF($BJ$2:BJ167,BJ167)-1</f>
        <v>#VALUE!</v>
      </c>
      <c r="BF167" s="123" t="str">
        <f>IFERROR(INDEX(TableWRVORP[WIDE RECEIVER],MATCH(TableWRTEMaster[[#This Row],[RK]],TableWRVORP[RK],0)),"")</f>
        <v/>
      </c>
      <c r="BG167" s="123" t="str">
        <f>_xlfn.CONCAT(TableWRTEMaster[[#This Row],[POS]],TableWRTEMaster[[#This Row],[RK]])</f>
        <v>WR166</v>
      </c>
      <c r="BH167" s="123" t="str">
        <f>IFERROR(INDEX(TableWRVORP[BYE],MATCH(TableWRTEMaster[[#This Row],[RK]],TableWRVORP[RK],0)),"")</f>
        <v/>
      </c>
      <c r="BI167" s="124" t="str">
        <f>IFERROR(INDEX(TableWRVORP[FPS],MATCH(TableWRTEMaster[[#This Row],[RK]],TableWRVORP[RK],0)),"")</f>
        <v/>
      </c>
      <c r="BJ167" s="125" t="str">
        <f>IFERROR(INDEX(TableWRVORP[VORP],MATCH(TableWRTEMaster[[#This Row],[RK]],TableWRVORP[RK],0)),"")</f>
        <v/>
      </c>
    </row>
    <row r="168" spans="8:62" x14ac:dyDescent="0.2">
      <c r="H168">
        <v>167</v>
      </c>
      <c r="I168" s="120" t="str">
        <f>IFERROR(INDEX(TableRBCalcPts[PLAYER],MATCH(TableRBVORP[[#This Row],[RK]],TableRBCalcPts[RK],0)),"")</f>
        <v/>
      </c>
      <c r="J168" s="120" t="str">
        <f>IFERROR(INDEX(TableRBCalcPts[TM],MATCH(TableRBVORP[[#This Row],[RK]],TableRBCalcPts[RK],0)),"")</f>
        <v/>
      </c>
      <c r="K168" s="120" t="str">
        <f>IFERROR(INDEX(TableRBCalcPts[BYE],MATCH(TableRBVORP[[#This Row],[RK]],TableRBCalcPts[RK],0)),"")</f>
        <v/>
      </c>
      <c r="L168" s="121" t="str">
        <f>IFERROR(INDEX(TableRBCalcPts[Custom],MATCH(TableRBVORP[[#This Row],[RK]],TableRBCalcPts[RK],0)),"")</f>
        <v/>
      </c>
      <c r="M168" s="122" t="str">
        <f>IFERROR((TableRBVORP[[#This Row],[FPS]]-INDEX(TableRBVORP[FPS],MATCH(RBVORPCalc,TableRBVORP[RK],0)))/INDEX(TableRBVORP[FPS],MATCH(RBVORPCalc,TableRBVORP[RK],0)),"")</f>
        <v/>
      </c>
      <c r="O168">
        <v>167</v>
      </c>
      <c r="P168" s="120" t="str">
        <f>IFERROR(INDEX(TableWRCalcPts[PLAYER],MATCH(TableWRVORP[[#This Row],[RK]],TableWRCalcPts[RK],0)),"")</f>
        <v/>
      </c>
      <c r="Q168" s="120" t="str">
        <f>IFERROR(INDEX(TableWRCalcPts[TM],MATCH(TableWRVORP[[#This Row],[RK]],TableWRCalcPts[RK],0)),"")</f>
        <v/>
      </c>
      <c r="R168" s="120" t="str">
        <f>IFERROR(INDEX(TableWRCalcPts[BYE],MATCH(TableWRVORP[[#This Row],[RK]],TableWRCalcPts[RK],0)),"")</f>
        <v/>
      </c>
      <c r="S168" s="121" t="str">
        <f>IFERROR(INDEX(TableWRCalcPts[Custom],MATCH(TableWRVORP[[#This Row],[RK]],TableWRCalcPts[RK],0)),"")</f>
        <v/>
      </c>
      <c r="T168" s="122" t="str">
        <f>IFERROR((TableWRVORP[[#This Row],[FPS]]-INDEX(TableWRVORP[FPS],MATCH(WRVORPCalc,TableWRVORP[RK],0)))/INDEX(TableWRVORP[FPS],MATCH(WRVORPCalc,TableWRVORP[RK],0)),"")</f>
        <v/>
      </c>
      <c r="AF168" t="s">
        <v>257</v>
      </c>
      <c r="AG168">
        <v>27</v>
      </c>
      <c r="AH168" s="86">
        <f>RANK(TableOverallMaster[[#This Row],[VORP]],TableOverallMaster[VORP])+COUNTIF($AM$2:AM168,AM168)-1</f>
        <v>67</v>
      </c>
      <c r="AI168" s="123" t="str">
        <f>IFERROR(INDEX(TableWRVORP[WIDE RECEIVER],MATCH(TableOverallMaster[[#This Row],[RK]],TableWRVORP[RK],0)),"")</f>
        <v>Jordan Addison</v>
      </c>
      <c r="AJ168" s="123" t="str">
        <f t="shared" si="2"/>
        <v>WR27</v>
      </c>
      <c r="AK168" s="123">
        <f>IFERROR(INDEX(TableWRVORP[BYE],MATCH(TableOverallMaster[[#This Row],[RK]],TableWRVORP[RK],0)),"")</f>
        <v>13</v>
      </c>
      <c r="AL168" s="124">
        <f>IFERROR(INDEX(TableWRVORP[FPS],MATCH(TableOverallMaster[[#This Row],[RK]],TableWRVORP[RK],0)),"")</f>
        <v>176.77315343207513</v>
      </c>
      <c r="AM168" s="125">
        <f>IFERROR(INDEX(TableWRVORP[VORP],MATCH(TableOverallMaster[[#This Row],[RK]],TableWRVORP[RK],0)),"")</f>
        <v>0.35674508071341132</v>
      </c>
      <c r="AO168">
        <v>167</v>
      </c>
      <c r="AP168" s="126" t="str">
        <f>IFERROR(INDEX(TableOverallMaster[OVERALL PLAYER],MATCH(TableOverallRank[[#This Row],[RK]],TableOverallMaster[OVR RK],0)),"")</f>
        <v>Robert Woods</v>
      </c>
      <c r="AQ168" s="127" t="str">
        <f>IFERROR(INDEX(TableOverallMaster[POS RK],MATCH(TableOverallRank[[#This Row],[OVERALL PLAYER]],TableOverallMaster[OVERALL PLAYER],0)),"")</f>
        <v>WR71</v>
      </c>
      <c r="AR168" s="128">
        <f>IFERROR(INDEX(TableOverallMaster[BYE],MATCH(TableOverallRank[[#This Row],[OVERALL PLAYER]],TableOverallMaster[OVERALL PLAYER],0)),"")</f>
        <v>7</v>
      </c>
      <c r="AS168" s="127">
        <f>IFERROR(INDEX(TableOverallMaster[Custom],MATCH(TableOverallRank[[#This Row],[OVERALL PLAYER]],TableOverallMaster[OVERALL PLAYER],0)),"")</f>
        <v>109.84140305335866</v>
      </c>
      <c r="AT168" s="129">
        <f>IFERROR(INDEX(TableOverallMaster[VORP],MATCH(TableOverallRank[[#This Row],[OVERALL PLAYER]],TableOverallMaster[OVERALL PLAYER],0)),"")</f>
        <v>-0.15696031689242451</v>
      </c>
      <c r="AV168">
        <v>167</v>
      </c>
      <c r="AW168" s="130" t="str">
        <f>IFERROR(INDEX(TableWRTECalcPts[PLAYER],MATCH(TableWRTERank[[#This Row],[RK]],TableWRTECalcPts[RK],0)),"")</f>
        <v>Antoine Green</v>
      </c>
      <c r="AX168" s="130" t="str">
        <f>IFERROR(INDEX(TableWRTECalcPts[POS RK],MATCH(TableWRTERank[[#This Row],[WR and TE COMBINED]],TableWRTECalcPts[PLAYER],0)),"")</f>
        <v>WR120</v>
      </c>
      <c r="AY168" s="130">
        <f>IFERROR(INDEX(TableWRTECalcPts[BYE],MATCH(TableWRTERank[[#This Row],[RK]],TableWRTECalcPts[RK],0)),"")</f>
        <v>9</v>
      </c>
      <c r="AZ168" s="131">
        <f>IFERROR(INDEX(TableWRTECalcPts[Custom],MATCH(TableWRTERank[[#This Row],[RK]],TableWRTECalcPts[RK],0)),"")</f>
        <v>34.981737176305913</v>
      </c>
      <c r="BA168" s="188">
        <f>IFERROR((TableWRTERank[[#This Row],[FPS]]-INDEX(TableWRTERank[FPS],MATCH(WRTEVORPCalc,TableWRTERank[RK],0)))/INDEX(TableWRTERank[FPS],MATCH(WRTEVORPCalc,TableWRTERank[RK],0)),"")</f>
        <v>-0.74722353888800142</v>
      </c>
      <c r="BC168" t="s">
        <v>257</v>
      </c>
      <c r="BD168">
        <v>167</v>
      </c>
      <c r="BE168" s="86" t="e">
        <f>RANK(TableWRTEMaster[[#This Row],[VORP]],TableWRTEMaster[VORP])+COUNTIF($BJ$2:BJ168,BJ168)-1</f>
        <v>#VALUE!</v>
      </c>
      <c r="BF168" s="123" t="str">
        <f>IFERROR(INDEX(TableWRVORP[WIDE RECEIVER],MATCH(TableWRTEMaster[[#This Row],[RK]],TableWRVORP[RK],0)),"")</f>
        <v/>
      </c>
      <c r="BG168" s="123" t="str">
        <f>_xlfn.CONCAT(TableWRTEMaster[[#This Row],[POS]],TableWRTEMaster[[#This Row],[RK]])</f>
        <v>WR167</v>
      </c>
      <c r="BH168" s="123" t="str">
        <f>IFERROR(INDEX(TableWRVORP[BYE],MATCH(TableWRTEMaster[[#This Row],[RK]],TableWRVORP[RK],0)),"")</f>
        <v/>
      </c>
      <c r="BI168" s="124" t="str">
        <f>IFERROR(INDEX(TableWRVORP[FPS],MATCH(TableWRTEMaster[[#This Row],[RK]],TableWRVORP[RK],0)),"")</f>
        <v/>
      </c>
      <c r="BJ168" s="125" t="str">
        <f>IFERROR(INDEX(TableWRVORP[VORP],MATCH(TableWRTEMaster[[#This Row],[RK]],TableWRVORP[RK],0)),"")</f>
        <v/>
      </c>
    </row>
    <row r="169" spans="8:62" x14ac:dyDescent="0.2">
      <c r="H169">
        <v>168</v>
      </c>
      <c r="I169" s="120" t="str">
        <f>IFERROR(INDEX(TableRBCalcPts[PLAYER],MATCH(TableRBVORP[[#This Row],[RK]],TableRBCalcPts[RK],0)),"")</f>
        <v/>
      </c>
      <c r="J169" s="120" t="str">
        <f>IFERROR(INDEX(TableRBCalcPts[TM],MATCH(TableRBVORP[[#This Row],[RK]],TableRBCalcPts[RK],0)),"")</f>
        <v/>
      </c>
      <c r="K169" s="120" t="str">
        <f>IFERROR(INDEX(TableRBCalcPts[BYE],MATCH(TableRBVORP[[#This Row],[RK]],TableRBCalcPts[RK],0)),"")</f>
        <v/>
      </c>
      <c r="L169" s="121" t="str">
        <f>IFERROR(INDEX(TableRBCalcPts[Custom],MATCH(TableRBVORP[[#This Row],[RK]],TableRBCalcPts[RK],0)),"")</f>
        <v/>
      </c>
      <c r="M169" s="122" t="str">
        <f>IFERROR((TableRBVORP[[#This Row],[FPS]]-INDEX(TableRBVORP[FPS],MATCH(RBVORPCalc,TableRBVORP[RK],0)))/INDEX(TableRBVORP[FPS],MATCH(RBVORPCalc,TableRBVORP[RK],0)),"")</f>
        <v/>
      </c>
      <c r="O169">
        <v>168</v>
      </c>
      <c r="P169" s="120" t="str">
        <f>IFERROR(INDEX(TableWRCalcPts[PLAYER],MATCH(TableWRVORP[[#This Row],[RK]],TableWRCalcPts[RK],0)),"")</f>
        <v/>
      </c>
      <c r="Q169" s="120" t="str">
        <f>IFERROR(INDEX(TableWRCalcPts[TM],MATCH(TableWRVORP[[#This Row],[RK]],TableWRCalcPts[RK],0)),"")</f>
        <v/>
      </c>
      <c r="R169" s="120" t="str">
        <f>IFERROR(INDEX(TableWRCalcPts[BYE],MATCH(TableWRVORP[[#This Row],[RK]],TableWRCalcPts[RK],0)),"")</f>
        <v/>
      </c>
      <c r="S169" s="121" t="str">
        <f>IFERROR(INDEX(TableWRCalcPts[Custom],MATCH(TableWRVORP[[#This Row],[RK]],TableWRCalcPts[RK],0)),"")</f>
        <v/>
      </c>
      <c r="T169" s="122" t="str">
        <f>IFERROR((TableWRVORP[[#This Row],[FPS]]-INDEX(TableWRVORP[FPS],MATCH(WRVORPCalc,TableWRVORP[RK],0)))/INDEX(TableWRVORP[FPS],MATCH(WRVORPCalc,TableWRVORP[RK],0)),"")</f>
        <v/>
      </c>
      <c r="AF169" t="s">
        <v>257</v>
      </c>
      <c r="AG169">
        <v>28</v>
      </c>
      <c r="AH169" s="86">
        <f>RANK(TableOverallMaster[[#This Row],[VORP]],TableOverallMaster[VORP])+COUNTIF($AM$2:AM169,AM169)-1</f>
        <v>69</v>
      </c>
      <c r="AI169" s="123" t="str">
        <f>IFERROR(INDEX(TableWRVORP[WIDE RECEIVER],MATCH(TableOverallMaster[[#This Row],[RK]],TableWRVORP[RK],0)),"")</f>
        <v>Gabe Davis</v>
      </c>
      <c r="AJ169" s="123" t="str">
        <f t="shared" si="2"/>
        <v>WR28</v>
      </c>
      <c r="AK169" s="123">
        <f>IFERROR(INDEX(TableWRVORP[BYE],MATCH(TableOverallMaster[[#This Row],[RK]],TableWRVORP[RK],0)),"")</f>
        <v>13</v>
      </c>
      <c r="AL169" s="124">
        <f>IFERROR(INDEX(TableWRVORP[FPS],MATCH(TableOverallMaster[[#This Row],[RK]],TableWRVORP[RK],0)),"")</f>
        <v>176.46008169396845</v>
      </c>
      <c r="AM169" s="125">
        <f>IFERROR(INDEX(TableWRVORP[VORP],MATCH(TableOverallMaster[[#This Row],[RK]],TableWRVORP[RK],0)),"")</f>
        <v>0.35434223541512988</v>
      </c>
      <c r="AO169">
        <v>168</v>
      </c>
      <c r="AP169" s="126" t="str">
        <f>IFERROR(INDEX(TableOverallMaster[OVERALL PLAYER],MATCH(TableOverallRank[[#This Row],[RK]],TableOverallMaster[OVR RK],0)),"")</f>
        <v>C.J. Stroud</v>
      </c>
      <c r="AQ169" s="127" t="str">
        <f>IFERROR(INDEX(TableOverallMaster[POS RK],MATCH(TableOverallRank[[#This Row],[OVERALL PLAYER]],TableOverallMaster[OVERALL PLAYER],0)),"")</f>
        <v>QB27</v>
      </c>
      <c r="AR169" s="128">
        <f>IFERROR(INDEX(TableOverallMaster[BYE],MATCH(TableOverallRank[[#This Row],[OVERALL PLAYER]],TableOverallMaster[OVERALL PLAYER],0)),"")</f>
        <v>7</v>
      </c>
      <c r="AS169" s="127">
        <f>IFERROR(INDEX(TableOverallMaster[Custom],MATCH(TableOverallRank[[#This Row],[OVERALL PLAYER]],TableOverallMaster[OVERALL PLAYER],0)),"")</f>
        <v>258.30035640895341</v>
      </c>
      <c r="AT169" s="129">
        <f>IFERROR(INDEX(TableOverallMaster[VORP],MATCH(TableOverallRank[[#This Row],[OVERALL PLAYER]],TableOverallMaster[OVERALL PLAYER],0)),"")</f>
        <v>-0.15838081642491625</v>
      </c>
      <c r="AV169">
        <v>168</v>
      </c>
      <c r="AW169" s="130" t="str">
        <f>IFERROR(INDEX(TableWRTECalcPts[PLAYER],MATCH(TableWRTERank[[#This Row],[RK]],TableWRTECalcPts[RK],0)),"")</f>
        <v>Brandon Johnson</v>
      </c>
      <c r="AX169" s="130" t="str">
        <f>IFERROR(INDEX(TableWRTECalcPts[POS RK],MATCH(TableWRTERank[[#This Row],[WR and TE COMBINED]],TableWRTECalcPts[PLAYER],0)),"")</f>
        <v>WR121</v>
      </c>
      <c r="AY169" s="130">
        <f>IFERROR(INDEX(TableWRTECalcPts[BYE],MATCH(TableWRTERank[[#This Row],[RK]],TableWRTECalcPts[RK],0)),"")</f>
        <v>9</v>
      </c>
      <c r="AZ169" s="131">
        <f>IFERROR(INDEX(TableWRTECalcPts[Custom],MATCH(TableWRTERank[[#This Row],[RK]],TableWRTECalcPts[RK],0)),"")</f>
        <v>34.217311715823605</v>
      </c>
      <c r="BA169" s="188">
        <f>IFERROR((TableWRTERank[[#This Row],[FPS]]-INDEX(TableWRTERank[FPS],MATCH(WRTEVORPCalc,TableWRTERank[RK],0)))/INDEX(TableWRTERank[FPS],MATCH(WRTEVORPCalc,TableWRTERank[RK],0)),"")</f>
        <v>-0.75274724291993012</v>
      </c>
      <c r="BC169" t="s">
        <v>257</v>
      </c>
      <c r="BD169">
        <v>168</v>
      </c>
      <c r="BE169" s="86" t="e">
        <f>RANK(TableWRTEMaster[[#This Row],[VORP]],TableWRTEMaster[VORP])+COUNTIF($BJ$2:BJ169,BJ169)-1</f>
        <v>#VALUE!</v>
      </c>
      <c r="BF169" s="123" t="str">
        <f>IFERROR(INDEX(TableWRVORP[WIDE RECEIVER],MATCH(TableWRTEMaster[[#This Row],[RK]],TableWRVORP[RK],0)),"")</f>
        <v/>
      </c>
      <c r="BG169" s="123" t="str">
        <f>_xlfn.CONCAT(TableWRTEMaster[[#This Row],[POS]],TableWRTEMaster[[#This Row],[RK]])</f>
        <v>WR168</v>
      </c>
      <c r="BH169" s="123" t="str">
        <f>IFERROR(INDEX(TableWRVORP[BYE],MATCH(TableWRTEMaster[[#This Row],[RK]],TableWRVORP[RK],0)),"")</f>
        <v/>
      </c>
      <c r="BI169" s="124" t="str">
        <f>IFERROR(INDEX(TableWRVORP[FPS],MATCH(TableWRTEMaster[[#This Row],[RK]],TableWRVORP[RK],0)),"")</f>
        <v/>
      </c>
      <c r="BJ169" s="125" t="str">
        <f>IFERROR(INDEX(TableWRVORP[VORP],MATCH(TableWRTEMaster[[#This Row],[RK]],TableWRVORP[RK],0)),"")</f>
        <v/>
      </c>
    </row>
    <row r="170" spans="8:62" x14ac:dyDescent="0.2">
      <c r="H170">
        <v>169</v>
      </c>
      <c r="I170" s="120" t="str">
        <f>IFERROR(INDEX(TableRBCalcPts[PLAYER],MATCH(TableRBVORP[[#This Row],[RK]],TableRBCalcPts[RK],0)),"")</f>
        <v/>
      </c>
      <c r="J170" s="120" t="str">
        <f>IFERROR(INDEX(TableRBCalcPts[TM],MATCH(TableRBVORP[[#This Row],[RK]],TableRBCalcPts[RK],0)),"")</f>
        <v/>
      </c>
      <c r="K170" s="120" t="str">
        <f>IFERROR(INDEX(TableRBCalcPts[BYE],MATCH(TableRBVORP[[#This Row],[RK]],TableRBCalcPts[RK],0)),"")</f>
        <v/>
      </c>
      <c r="L170" s="121" t="str">
        <f>IFERROR(INDEX(TableRBCalcPts[Custom],MATCH(TableRBVORP[[#This Row],[RK]],TableRBCalcPts[RK],0)),"")</f>
        <v/>
      </c>
      <c r="M170" s="122" t="str">
        <f>IFERROR((TableRBVORP[[#This Row],[FPS]]-INDEX(TableRBVORP[FPS],MATCH(RBVORPCalc,TableRBVORP[RK],0)))/INDEX(TableRBVORP[FPS],MATCH(RBVORPCalc,TableRBVORP[RK],0)),"")</f>
        <v/>
      </c>
      <c r="O170">
        <v>169</v>
      </c>
      <c r="P170" s="120" t="str">
        <f>IFERROR(INDEX(TableWRCalcPts[PLAYER],MATCH(TableWRVORP[[#This Row],[RK]],TableWRCalcPts[RK],0)),"")</f>
        <v/>
      </c>
      <c r="Q170" s="120" t="str">
        <f>IFERROR(INDEX(TableWRCalcPts[TM],MATCH(TableWRVORP[[#This Row],[RK]],TableWRCalcPts[RK],0)),"")</f>
        <v/>
      </c>
      <c r="R170" s="120" t="str">
        <f>IFERROR(INDEX(TableWRCalcPts[BYE],MATCH(TableWRVORP[[#This Row],[RK]],TableWRCalcPts[RK],0)),"")</f>
        <v/>
      </c>
      <c r="S170" s="121" t="str">
        <f>IFERROR(INDEX(TableWRCalcPts[Custom],MATCH(TableWRVORP[[#This Row],[RK]],TableWRCalcPts[RK],0)),"")</f>
        <v/>
      </c>
      <c r="T170" s="122" t="str">
        <f>IFERROR((TableWRVORP[[#This Row],[FPS]]-INDEX(TableWRVORP[FPS],MATCH(WRVORPCalc,TableWRVORP[RK],0)))/INDEX(TableWRVORP[FPS],MATCH(WRVORPCalc,TableWRVORP[RK],0)),"")</f>
        <v/>
      </c>
      <c r="AF170" t="s">
        <v>257</v>
      </c>
      <c r="AG170">
        <v>29</v>
      </c>
      <c r="AH170" s="86">
        <f>RANK(TableOverallMaster[[#This Row],[VORP]],TableOverallMaster[VORP])+COUNTIF($AM$2:AM170,AM170)-1</f>
        <v>72</v>
      </c>
      <c r="AI170" s="123" t="str">
        <f>IFERROR(INDEX(TableWRVORP[WIDE RECEIVER],MATCH(TableOverallMaster[[#This Row],[RK]],TableWRVORP[RK],0)),"")</f>
        <v>Christian Kirk</v>
      </c>
      <c r="AJ170" s="123" t="str">
        <f t="shared" si="2"/>
        <v>WR29</v>
      </c>
      <c r="AK170" s="123">
        <f>IFERROR(INDEX(TableWRVORP[BYE],MATCH(TableOverallMaster[[#This Row],[RK]],TableWRVORP[RK],0)),"")</f>
        <v>9</v>
      </c>
      <c r="AL170" s="124">
        <f>IFERROR(INDEX(TableWRVORP[FPS],MATCH(TableOverallMaster[[#This Row],[RK]],TableWRVORP[RK],0)),"")</f>
        <v>171.53592071198523</v>
      </c>
      <c r="AM170" s="125">
        <f>IFERROR(INDEX(TableWRVORP[VORP],MATCH(TableOverallMaster[[#This Row],[RK]],TableWRVORP[RK],0)),"")</f>
        <v>0.31654898989544888</v>
      </c>
      <c r="AO170">
        <v>169</v>
      </c>
      <c r="AP170" s="126" t="str">
        <f>IFERROR(INDEX(TableOverallMaster[OVERALL PLAYER],MATCH(TableOverallRank[[#This Row],[RK]],TableOverallMaster[OVR RK],0)),"")</f>
        <v>Sam LaPorta</v>
      </c>
      <c r="AQ170" s="127" t="str">
        <f>IFERROR(INDEX(TableOverallMaster[POS RK],MATCH(TableOverallRank[[#This Row],[OVERALL PLAYER]],TableOverallMaster[OVERALL PLAYER],0)),"")</f>
        <v>TE20</v>
      </c>
      <c r="AR170" s="128">
        <f>IFERROR(INDEX(TableOverallMaster[BYE],MATCH(TableOverallRank[[#This Row],[OVERALL PLAYER]],TableOverallMaster[OVERALL PLAYER],0)),"")</f>
        <v>9</v>
      </c>
      <c r="AS170" s="127">
        <f>IFERROR(INDEX(TableOverallMaster[Custom],MATCH(TableOverallRank[[#This Row],[OVERALL PLAYER]],TableOverallMaster[OVERALL PLAYER],0)),"")</f>
        <v>99.61112532514457</v>
      </c>
      <c r="AT170" s="129">
        <f>IFERROR(INDEX(TableOverallMaster[VORP],MATCH(TableOverallRank[[#This Row],[OVERALL PLAYER]],TableOverallMaster[OVERALL PLAYER],0)),"")</f>
        <v>-0.16173551761905192</v>
      </c>
      <c r="AV170">
        <v>169</v>
      </c>
      <c r="AW170" s="130" t="str">
        <f>IFERROR(INDEX(TableWRTECalcPts[PLAYER],MATCH(TableWRTERank[[#This Row],[RK]],TableWRTECalcPts[RK],0)),"")</f>
        <v>Deven Thompkins</v>
      </c>
      <c r="AX170" s="130" t="str">
        <f>IFERROR(INDEX(TableWRTECalcPts[POS RK],MATCH(TableWRTERank[[#This Row],[WR and TE COMBINED]],TableWRTECalcPts[PLAYER],0)),"")</f>
        <v>WR122</v>
      </c>
      <c r="AY170" s="130">
        <f>IFERROR(INDEX(TableWRTECalcPts[BYE],MATCH(TableWRTERank[[#This Row],[RK]],TableWRTECalcPts[RK],0)),"")</f>
        <v>5</v>
      </c>
      <c r="AZ170" s="131">
        <f>IFERROR(INDEX(TableWRTECalcPts[Custom],MATCH(TableWRTERank[[#This Row],[RK]],TableWRTECalcPts[RK],0)),"")</f>
        <v>33.969009366190079</v>
      </c>
      <c r="BA170" s="188">
        <f>IFERROR((TableWRTERank[[#This Row],[FPS]]-INDEX(TableWRTERank[FPS],MATCH(WRTEVORPCalc,TableWRTERank[RK],0)))/INDEX(TableWRTERank[FPS],MATCH(WRTEVORPCalc,TableWRTERank[RK],0)),"")</f>
        <v>-0.75454146454219606</v>
      </c>
      <c r="BC170" t="s">
        <v>257</v>
      </c>
      <c r="BD170">
        <v>169</v>
      </c>
      <c r="BE170" s="86" t="e">
        <f>RANK(TableWRTEMaster[[#This Row],[VORP]],TableWRTEMaster[VORP])+COUNTIF($BJ$2:BJ170,BJ170)-1</f>
        <v>#VALUE!</v>
      </c>
      <c r="BF170" s="123" t="str">
        <f>IFERROR(INDEX(TableWRVORP[WIDE RECEIVER],MATCH(TableWRTEMaster[[#This Row],[RK]],TableWRVORP[RK],0)),"")</f>
        <v/>
      </c>
      <c r="BG170" s="123" t="str">
        <f>_xlfn.CONCAT(TableWRTEMaster[[#This Row],[POS]],TableWRTEMaster[[#This Row],[RK]])</f>
        <v>WR169</v>
      </c>
      <c r="BH170" s="123" t="str">
        <f>IFERROR(INDEX(TableWRVORP[BYE],MATCH(TableWRTEMaster[[#This Row],[RK]],TableWRVORP[RK],0)),"")</f>
        <v/>
      </c>
      <c r="BI170" s="124" t="str">
        <f>IFERROR(INDEX(TableWRVORP[FPS],MATCH(TableWRTEMaster[[#This Row],[RK]],TableWRVORP[RK],0)),"")</f>
        <v/>
      </c>
      <c r="BJ170" s="125" t="str">
        <f>IFERROR(INDEX(TableWRVORP[VORP],MATCH(TableWRTEMaster[[#This Row],[RK]],TableWRVORP[RK],0)),"")</f>
        <v/>
      </c>
    </row>
    <row r="171" spans="8:62" x14ac:dyDescent="0.2">
      <c r="H171">
        <v>170</v>
      </c>
      <c r="I171" s="120" t="str">
        <f>IFERROR(INDEX(TableRBCalcPts[PLAYER],MATCH(TableRBVORP[[#This Row],[RK]],TableRBCalcPts[RK],0)),"")</f>
        <v/>
      </c>
      <c r="J171" s="120" t="str">
        <f>IFERROR(INDEX(TableRBCalcPts[TM],MATCH(TableRBVORP[[#This Row],[RK]],TableRBCalcPts[RK],0)),"")</f>
        <v/>
      </c>
      <c r="K171" s="120" t="str">
        <f>IFERROR(INDEX(TableRBCalcPts[BYE],MATCH(TableRBVORP[[#This Row],[RK]],TableRBCalcPts[RK],0)),"")</f>
        <v/>
      </c>
      <c r="L171" s="121" t="str">
        <f>IFERROR(INDEX(TableRBCalcPts[Custom],MATCH(TableRBVORP[[#This Row],[RK]],TableRBCalcPts[RK],0)),"")</f>
        <v/>
      </c>
      <c r="M171" s="122" t="str">
        <f>IFERROR((TableRBVORP[[#This Row],[FPS]]-INDEX(TableRBVORP[FPS],MATCH(RBVORPCalc,TableRBVORP[RK],0)))/INDEX(TableRBVORP[FPS],MATCH(RBVORPCalc,TableRBVORP[RK],0)),"")</f>
        <v/>
      </c>
      <c r="O171">
        <v>170</v>
      </c>
      <c r="P171" s="120" t="str">
        <f>IFERROR(INDEX(TableWRCalcPts[PLAYER],MATCH(TableWRVORP[[#This Row],[RK]],TableWRCalcPts[RK],0)),"")</f>
        <v/>
      </c>
      <c r="Q171" s="120" t="str">
        <f>IFERROR(INDEX(TableWRCalcPts[TM],MATCH(TableWRVORP[[#This Row],[RK]],TableWRCalcPts[RK],0)),"")</f>
        <v/>
      </c>
      <c r="R171" s="120" t="str">
        <f>IFERROR(INDEX(TableWRCalcPts[BYE],MATCH(TableWRVORP[[#This Row],[RK]],TableWRCalcPts[RK],0)),"")</f>
        <v/>
      </c>
      <c r="S171" s="121" t="str">
        <f>IFERROR(INDEX(TableWRCalcPts[Custom],MATCH(TableWRVORP[[#This Row],[RK]],TableWRCalcPts[RK],0)),"")</f>
        <v/>
      </c>
      <c r="T171" s="122" t="str">
        <f>IFERROR((TableWRVORP[[#This Row],[FPS]]-INDEX(TableWRVORP[FPS],MATCH(WRVORPCalc,TableWRVORP[RK],0)))/INDEX(TableWRVORP[FPS],MATCH(WRVORPCalc,TableWRVORP[RK],0)),"")</f>
        <v/>
      </c>
      <c r="AF171" t="s">
        <v>257</v>
      </c>
      <c r="AG171">
        <v>30</v>
      </c>
      <c r="AH171" s="86">
        <f>RANK(TableOverallMaster[[#This Row],[VORP]],TableOverallMaster[VORP])+COUNTIF($AM$2:AM171,AM171)-1</f>
        <v>73</v>
      </c>
      <c r="AI171" s="123" t="str">
        <f>IFERROR(INDEX(TableWRVORP[WIDE RECEIVER],MATCH(TableOverallMaster[[#This Row],[RK]],TableWRVORP[RK],0)),"")</f>
        <v>Jerry Jeudy</v>
      </c>
      <c r="AJ171" s="123" t="str">
        <f t="shared" si="2"/>
        <v>WR30</v>
      </c>
      <c r="AK171" s="123">
        <f>IFERROR(INDEX(TableWRVORP[BYE],MATCH(TableOverallMaster[[#This Row],[RK]],TableWRVORP[RK],0)),"")</f>
        <v>9</v>
      </c>
      <c r="AL171" s="124">
        <f>IFERROR(INDEX(TableWRVORP[FPS],MATCH(TableOverallMaster[[#This Row],[RK]],TableWRVORP[RK],0)),"")</f>
        <v>171.08206155698551</v>
      </c>
      <c r="AM171" s="125">
        <f>IFERROR(INDEX(TableWRVORP[VORP],MATCH(TableOverallMaster[[#This Row],[RK]],TableWRVORP[RK],0)),"")</f>
        <v>0.31306559230974468</v>
      </c>
      <c r="AO171">
        <v>170</v>
      </c>
      <c r="AP171" s="126" t="str">
        <f>IFERROR(INDEX(TableOverallMaster[OVERALL PLAYER],MATCH(TableOverallRank[[#This Row],[RK]],TableOverallMaster[OVR RK],0)),"")</f>
        <v>Kyren Williams</v>
      </c>
      <c r="AQ171" s="127" t="str">
        <f>IFERROR(INDEX(TableOverallMaster[POS RK],MATCH(TableOverallRank[[#This Row],[OVERALL PLAYER]],TableOverallMaster[OVERALL PLAYER],0)),"")</f>
        <v>RB52</v>
      </c>
      <c r="AR171" s="128">
        <f>IFERROR(INDEX(TableOverallMaster[BYE],MATCH(TableOverallRank[[#This Row],[OVERALL PLAYER]],TableOverallMaster[OVERALL PLAYER],0)),"")</f>
        <v>10</v>
      </c>
      <c r="AS171" s="127">
        <f>IFERROR(INDEX(TableOverallMaster[Custom],MATCH(TableOverallRank[[#This Row],[OVERALL PLAYER]],TableOverallMaster[OVERALL PLAYER],0)),"")</f>
        <v>101.74554570819568</v>
      </c>
      <c r="AT171" s="129">
        <f>IFERROR(INDEX(TableOverallMaster[VORP],MATCH(TableOverallRank[[#This Row],[OVERALL PLAYER]],TableOverallMaster[OVERALL PLAYER],0)),"")</f>
        <v>-0.16917260002487561</v>
      </c>
      <c r="AV171">
        <v>170</v>
      </c>
      <c r="AW171" s="130" t="str">
        <f>IFERROR(INDEX(TableWRTECalcPts[PLAYER],MATCH(TableWRTERank[[#This Row],[RK]],TableWRTECalcPts[RK],0)),"")</f>
        <v>Cedric Tillman</v>
      </c>
      <c r="AX171" s="130" t="str">
        <f>IFERROR(INDEX(TableWRTECalcPts[POS RK],MATCH(TableWRTERank[[#This Row],[WR and TE COMBINED]],TableWRTECalcPts[PLAYER],0)),"")</f>
        <v>WR123</v>
      </c>
      <c r="AY171" s="130">
        <f>IFERROR(INDEX(TableWRTECalcPts[BYE],MATCH(TableWRTERank[[#This Row],[RK]],TableWRTECalcPts[RK],0)),"")</f>
        <v>5</v>
      </c>
      <c r="AZ171" s="131">
        <f>IFERROR(INDEX(TableWRTECalcPts[Custom],MATCH(TableWRTERank[[#This Row],[RK]],TableWRTECalcPts[RK],0)),"")</f>
        <v>33.936930944818862</v>
      </c>
      <c r="BA171" s="188">
        <f>IFERROR((TableWRTERank[[#This Row],[FPS]]-INDEX(TableWRTERank[FPS],MATCH(WRTEVORPCalc,TableWRTERank[RK],0)))/INDEX(TableWRTERank[FPS],MATCH(WRTEVORPCalc,TableWRTERank[RK],0)),"")</f>
        <v>-0.75477326177374604</v>
      </c>
      <c r="BC171" t="s">
        <v>257</v>
      </c>
      <c r="BD171">
        <v>170</v>
      </c>
      <c r="BE171" s="86" t="e">
        <f>RANK(TableWRTEMaster[[#This Row],[VORP]],TableWRTEMaster[VORP])+COUNTIF($BJ$2:BJ171,BJ171)-1</f>
        <v>#VALUE!</v>
      </c>
      <c r="BF171" s="123" t="str">
        <f>IFERROR(INDEX(TableWRVORP[WIDE RECEIVER],MATCH(TableWRTEMaster[[#This Row],[RK]],TableWRVORP[RK],0)),"")</f>
        <v/>
      </c>
      <c r="BG171" s="123" t="str">
        <f>_xlfn.CONCAT(TableWRTEMaster[[#This Row],[POS]],TableWRTEMaster[[#This Row],[RK]])</f>
        <v>WR170</v>
      </c>
      <c r="BH171" s="123" t="str">
        <f>IFERROR(INDEX(TableWRVORP[BYE],MATCH(TableWRTEMaster[[#This Row],[RK]],TableWRVORP[RK],0)),"")</f>
        <v/>
      </c>
      <c r="BI171" s="124" t="str">
        <f>IFERROR(INDEX(TableWRVORP[FPS],MATCH(TableWRTEMaster[[#This Row],[RK]],TableWRVORP[RK],0)),"")</f>
        <v/>
      </c>
      <c r="BJ171" s="125" t="str">
        <f>IFERROR(INDEX(TableWRVORP[VORP],MATCH(TableWRTEMaster[[#This Row],[RK]],TableWRVORP[RK],0)),"")</f>
        <v/>
      </c>
    </row>
    <row r="172" spans="8:62" x14ac:dyDescent="0.2">
      <c r="H172">
        <v>171</v>
      </c>
      <c r="I172" s="120" t="str">
        <f>IFERROR(INDEX(TableRBCalcPts[PLAYER],MATCH(TableRBVORP[[#This Row],[RK]],TableRBCalcPts[RK],0)),"")</f>
        <v/>
      </c>
      <c r="J172" s="120" t="str">
        <f>IFERROR(INDEX(TableRBCalcPts[TM],MATCH(TableRBVORP[[#This Row],[RK]],TableRBCalcPts[RK],0)),"")</f>
        <v/>
      </c>
      <c r="K172" s="120" t="str">
        <f>IFERROR(INDEX(TableRBCalcPts[BYE],MATCH(TableRBVORP[[#This Row],[RK]],TableRBCalcPts[RK],0)),"")</f>
        <v/>
      </c>
      <c r="L172" s="121" t="str">
        <f>IFERROR(INDEX(TableRBCalcPts[Custom],MATCH(TableRBVORP[[#This Row],[RK]],TableRBCalcPts[RK],0)),"")</f>
        <v/>
      </c>
      <c r="M172" s="122" t="str">
        <f>IFERROR((TableRBVORP[[#This Row],[FPS]]-INDEX(TableRBVORP[FPS],MATCH(RBVORPCalc,TableRBVORP[RK],0)))/INDEX(TableRBVORP[FPS],MATCH(RBVORPCalc,TableRBVORP[RK],0)),"")</f>
        <v/>
      </c>
      <c r="O172">
        <v>171</v>
      </c>
      <c r="P172" s="120" t="str">
        <f>IFERROR(INDEX(TableWRCalcPts[PLAYER],MATCH(TableWRVORP[[#This Row],[RK]],TableWRCalcPts[RK],0)),"")</f>
        <v/>
      </c>
      <c r="Q172" s="120" t="str">
        <f>IFERROR(INDEX(TableWRCalcPts[TM],MATCH(TableWRVORP[[#This Row],[RK]],TableWRCalcPts[RK],0)),"")</f>
        <v/>
      </c>
      <c r="R172" s="120" t="str">
        <f>IFERROR(INDEX(TableWRCalcPts[BYE],MATCH(TableWRVORP[[#This Row],[RK]],TableWRCalcPts[RK],0)),"")</f>
        <v/>
      </c>
      <c r="S172" s="121" t="str">
        <f>IFERROR(INDEX(TableWRCalcPts[Custom],MATCH(TableWRVORP[[#This Row],[RK]],TableWRCalcPts[RK],0)),"")</f>
        <v/>
      </c>
      <c r="T172" s="122" t="str">
        <f>IFERROR((TableWRVORP[[#This Row],[FPS]]-INDEX(TableWRVORP[FPS],MATCH(WRVORPCalc,TableWRVORP[RK],0)))/INDEX(TableWRVORP[FPS],MATCH(WRVORPCalc,TableWRVORP[RK],0)),"")</f>
        <v/>
      </c>
      <c r="AF172" t="s">
        <v>257</v>
      </c>
      <c r="AG172">
        <v>31</v>
      </c>
      <c r="AH172" s="86">
        <f>RANK(TableOverallMaster[[#This Row],[VORP]],TableOverallMaster[VORP])+COUNTIF($AM$2:AM172,AM172)-1</f>
        <v>76</v>
      </c>
      <c r="AI172" s="123" t="str">
        <f>IFERROR(INDEX(TableWRVORP[WIDE RECEIVER],MATCH(TableOverallMaster[[#This Row],[RK]],TableWRVORP[RK],0)),"")</f>
        <v>Marquise Brown</v>
      </c>
      <c r="AJ172" s="123" t="str">
        <f t="shared" si="2"/>
        <v>WR31</v>
      </c>
      <c r="AK172" s="123">
        <f>IFERROR(INDEX(TableWRVORP[BYE],MATCH(TableOverallMaster[[#This Row],[RK]],TableWRVORP[RK],0)),"")</f>
        <v>14</v>
      </c>
      <c r="AL172" s="124">
        <f>IFERROR(INDEX(TableWRVORP[FPS],MATCH(TableOverallMaster[[#This Row],[RK]],TableWRVORP[RK],0)),"")</f>
        <v>169.79884257105002</v>
      </c>
      <c r="AM172" s="125">
        <f>IFERROR(INDEX(TableWRVORP[VORP],MATCH(TableOverallMaster[[#This Row],[RK]],TableWRVORP[RK],0)),"")</f>
        <v>0.30321680581222366</v>
      </c>
      <c r="AO172">
        <v>171</v>
      </c>
      <c r="AP172" s="126" t="str">
        <f>IFERROR(INDEX(TableOverallMaster[OVERALL PLAYER],MATCH(TableOverallRank[[#This Row],[RK]],TableOverallMaster[OVR RK],0)),"")</f>
        <v>Kenneth Gainwell</v>
      </c>
      <c r="AQ172" s="127" t="str">
        <f>IFERROR(INDEX(TableOverallMaster[POS RK],MATCH(TableOverallRank[[#This Row],[OVERALL PLAYER]],TableOverallMaster[OVERALL PLAYER],0)),"")</f>
        <v>RB53</v>
      </c>
      <c r="AR172" s="128">
        <f>IFERROR(INDEX(TableOverallMaster[BYE],MATCH(TableOverallRank[[#This Row],[OVERALL PLAYER]],TableOverallMaster[OVERALL PLAYER],0)),"")</f>
        <v>10</v>
      </c>
      <c r="AS172" s="127">
        <f>IFERROR(INDEX(TableOverallMaster[Custom],MATCH(TableOverallRank[[#This Row],[OVERALL PLAYER]],TableOverallMaster[OVERALL PLAYER],0)),"")</f>
        <v>101.2645883177376</v>
      </c>
      <c r="AT172" s="129">
        <f>IFERROR(INDEX(TableOverallMaster[VORP],MATCH(TableOverallRank[[#This Row],[OVERALL PLAYER]],TableOverallMaster[OVERALL PLAYER],0)),"")</f>
        <v>-0.17309997173861261</v>
      </c>
      <c r="AV172">
        <v>171</v>
      </c>
      <c r="AW172" s="130" t="str">
        <f>IFERROR(INDEX(TableWRTECalcPts[PLAYER],MATCH(TableWRTERank[[#This Row],[RK]],TableWRTECalcPts[RK],0)),"")</f>
        <v>Greg Dortch</v>
      </c>
      <c r="AX172" s="130" t="str">
        <f>IFERROR(INDEX(TableWRTECalcPts[POS RK],MATCH(TableWRTERank[[#This Row],[WR and TE COMBINED]],TableWRTECalcPts[PLAYER],0)),"")</f>
        <v>WR124</v>
      </c>
      <c r="AY172" s="130">
        <f>IFERROR(INDEX(TableWRTECalcPts[BYE],MATCH(TableWRTERank[[#This Row],[RK]],TableWRTECalcPts[RK],0)),"")</f>
        <v>14</v>
      </c>
      <c r="AZ172" s="131">
        <f>IFERROR(INDEX(TableWRTECalcPts[Custom],MATCH(TableWRTERank[[#This Row],[RK]],TableWRTECalcPts[RK],0)),"")</f>
        <v>33.890268423899997</v>
      </c>
      <c r="BA172" s="188">
        <f>IFERROR((TableWRTERank[[#This Row],[FPS]]-INDEX(TableWRTERank[FPS],MATCH(WRTEVORPCalc,TableWRTERank[RK],0)))/INDEX(TableWRTERank[FPS],MATCH(WRTEVORPCalc,TableWRTERank[RK],0)),"")</f>
        <v>-0.75511044305336605</v>
      </c>
      <c r="BC172" t="s">
        <v>257</v>
      </c>
      <c r="BD172">
        <v>171</v>
      </c>
      <c r="BE172" s="86" t="e">
        <f>RANK(TableWRTEMaster[[#This Row],[VORP]],TableWRTEMaster[VORP])+COUNTIF($BJ$2:BJ172,BJ172)-1</f>
        <v>#VALUE!</v>
      </c>
      <c r="BF172" s="123" t="str">
        <f>IFERROR(INDEX(TableWRVORP[WIDE RECEIVER],MATCH(TableWRTEMaster[[#This Row],[RK]],TableWRVORP[RK],0)),"")</f>
        <v/>
      </c>
      <c r="BG172" s="123" t="str">
        <f>_xlfn.CONCAT(TableWRTEMaster[[#This Row],[POS]],TableWRTEMaster[[#This Row],[RK]])</f>
        <v>WR171</v>
      </c>
      <c r="BH172" s="123" t="str">
        <f>IFERROR(INDEX(TableWRVORP[BYE],MATCH(TableWRTEMaster[[#This Row],[RK]],TableWRVORP[RK],0)),"")</f>
        <v/>
      </c>
      <c r="BI172" s="124" t="str">
        <f>IFERROR(INDEX(TableWRVORP[FPS],MATCH(TableWRTEMaster[[#This Row],[RK]],TableWRVORP[RK],0)),"")</f>
        <v/>
      </c>
      <c r="BJ172" s="125" t="str">
        <f>IFERROR(INDEX(TableWRVORP[VORP],MATCH(TableWRTEMaster[[#This Row],[RK]],TableWRVORP[RK],0)),"")</f>
        <v/>
      </c>
    </row>
    <row r="173" spans="8:62" x14ac:dyDescent="0.2">
      <c r="H173">
        <v>172</v>
      </c>
      <c r="I173" s="120" t="str">
        <f>IFERROR(INDEX(TableRBCalcPts[PLAYER],MATCH(TableRBVORP[[#This Row],[RK]],TableRBCalcPts[RK],0)),"")</f>
        <v/>
      </c>
      <c r="J173" s="120" t="str">
        <f>IFERROR(INDEX(TableRBCalcPts[TM],MATCH(TableRBVORP[[#This Row],[RK]],TableRBCalcPts[RK],0)),"")</f>
        <v/>
      </c>
      <c r="K173" s="120" t="str">
        <f>IFERROR(INDEX(TableRBCalcPts[BYE],MATCH(TableRBVORP[[#This Row],[RK]],TableRBCalcPts[RK],0)),"")</f>
        <v/>
      </c>
      <c r="L173" s="121" t="str">
        <f>IFERROR(INDEX(TableRBCalcPts[Custom],MATCH(TableRBVORP[[#This Row],[RK]],TableRBCalcPts[RK],0)),"")</f>
        <v/>
      </c>
      <c r="M173" s="122" t="str">
        <f>IFERROR((TableRBVORP[[#This Row],[FPS]]-INDEX(TableRBVORP[FPS],MATCH(RBVORPCalc,TableRBVORP[RK],0)))/INDEX(TableRBVORP[FPS],MATCH(RBVORPCalc,TableRBVORP[RK],0)),"")</f>
        <v/>
      </c>
      <c r="O173">
        <v>172</v>
      </c>
      <c r="P173" s="120" t="str">
        <f>IFERROR(INDEX(TableWRCalcPts[PLAYER],MATCH(TableWRVORP[[#This Row],[RK]],TableWRCalcPts[RK],0)),"")</f>
        <v/>
      </c>
      <c r="Q173" s="120" t="str">
        <f>IFERROR(INDEX(TableWRCalcPts[TM],MATCH(TableWRVORP[[#This Row],[RK]],TableWRCalcPts[RK],0)),"")</f>
        <v/>
      </c>
      <c r="R173" s="120" t="str">
        <f>IFERROR(INDEX(TableWRCalcPts[BYE],MATCH(TableWRVORP[[#This Row],[RK]],TableWRCalcPts[RK],0)),"")</f>
        <v/>
      </c>
      <c r="S173" s="121" t="str">
        <f>IFERROR(INDEX(TableWRCalcPts[Custom],MATCH(TableWRVORP[[#This Row],[RK]],TableWRCalcPts[RK],0)),"")</f>
        <v/>
      </c>
      <c r="T173" s="122" t="str">
        <f>IFERROR((TableWRVORP[[#This Row],[FPS]]-INDEX(TableWRVORP[FPS],MATCH(WRVORPCalc,TableWRVORP[RK],0)))/INDEX(TableWRVORP[FPS],MATCH(WRVORPCalc,TableWRVORP[RK],0)),"")</f>
        <v/>
      </c>
      <c r="AF173" t="s">
        <v>257</v>
      </c>
      <c r="AG173">
        <v>32</v>
      </c>
      <c r="AH173" s="86">
        <f>RANK(TableOverallMaster[[#This Row],[VORP]],TableOverallMaster[VORP])+COUNTIF($AM$2:AM173,AM173)-1</f>
        <v>77</v>
      </c>
      <c r="AI173" s="123" t="str">
        <f>IFERROR(INDEX(TableWRVORP[WIDE RECEIVER],MATCH(TableOverallMaster[[#This Row],[RK]],TableWRVORP[RK],0)),"")</f>
        <v>George Pickens</v>
      </c>
      <c r="AJ173" s="123" t="str">
        <f t="shared" si="2"/>
        <v>WR32</v>
      </c>
      <c r="AK173" s="123">
        <f>IFERROR(INDEX(TableWRVORP[BYE],MATCH(TableOverallMaster[[#This Row],[RK]],TableWRVORP[RK],0)),"")</f>
        <v>6</v>
      </c>
      <c r="AL173" s="124">
        <f>IFERROR(INDEX(TableWRVORP[FPS],MATCH(TableOverallMaster[[#This Row],[RK]],TableWRVORP[RK],0)),"")</f>
        <v>169.33579636065119</v>
      </c>
      <c r="AM173" s="125">
        <f>IFERROR(INDEX(TableWRVORP[VORP],MATCH(TableOverallMaster[[#This Row],[RK]],TableWRVORP[RK],0)),"")</f>
        <v>0.29966289699799303</v>
      </c>
      <c r="AO173">
        <v>172</v>
      </c>
      <c r="AP173" s="126" t="str">
        <f>IFERROR(INDEX(TableOverallMaster[OVERALL PLAYER],MATCH(TableOverallRank[[#This Row],[RK]],TableOverallMaster[OVR RK],0)),"")</f>
        <v>Juwan Johnson</v>
      </c>
      <c r="AQ173" s="127" t="str">
        <f>IFERROR(INDEX(TableOverallMaster[POS RK],MATCH(TableOverallRank[[#This Row],[OVERALL PLAYER]],TableOverallMaster[OVERALL PLAYER],0)),"")</f>
        <v>TE21</v>
      </c>
      <c r="AR173" s="128">
        <f>IFERROR(INDEX(TableOverallMaster[BYE],MATCH(TableOverallRank[[#This Row],[OVERALL PLAYER]],TableOverallMaster[OVERALL PLAYER],0)),"")</f>
        <v>11</v>
      </c>
      <c r="AS173" s="127">
        <f>IFERROR(INDEX(TableOverallMaster[Custom],MATCH(TableOverallRank[[#This Row],[OVERALL PLAYER]],TableOverallMaster[OVERALL PLAYER],0)),"")</f>
        <v>98.079881682801982</v>
      </c>
      <c r="AT173" s="129">
        <f>IFERROR(INDEX(TableOverallMaster[VORP],MATCH(TableOverallRank[[#This Row],[OVERALL PLAYER]],TableOverallMaster[OVERALL PLAYER],0)),"")</f>
        <v>-0.17462149953179129</v>
      </c>
      <c r="AV173">
        <v>172</v>
      </c>
      <c r="AW173" s="130" t="str">
        <f>IFERROR(INDEX(TableWRTECalcPts[PLAYER],MATCH(TableWRTERank[[#This Row],[RK]],TableWRTECalcPts[RK],0)),"")</f>
        <v>Jamal Agnew</v>
      </c>
      <c r="AX173" s="130" t="str">
        <f>IFERROR(INDEX(TableWRTECalcPts[POS RK],MATCH(TableWRTERank[[#This Row],[WR and TE COMBINED]],TableWRTECalcPts[PLAYER],0)),"")</f>
        <v>WR125</v>
      </c>
      <c r="AY173" s="130">
        <f>IFERROR(INDEX(TableWRTECalcPts[BYE],MATCH(TableWRTERank[[#This Row],[RK]],TableWRTECalcPts[RK],0)),"")</f>
        <v>9</v>
      </c>
      <c r="AZ173" s="131">
        <f>IFERROR(INDEX(TableWRTECalcPts[Custom],MATCH(TableWRTERank[[#This Row],[RK]],TableWRTECalcPts[RK],0)),"")</f>
        <v>33.638613788015689</v>
      </c>
      <c r="BA173" s="188">
        <f>IFERROR((TableWRTERank[[#This Row],[FPS]]-INDEX(TableWRTERank[FPS],MATCH(WRTEVORPCalc,TableWRTERank[RK],0)))/INDEX(TableWRTERank[FPS],MATCH(WRTEVORPCalc,TableWRTERank[RK],0)),"")</f>
        <v>-0.75692888814546255</v>
      </c>
      <c r="BC173" t="s">
        <v>257</v>
      </c>
      <c r="BD173">
        <v>172</v>
      </c>
      <c r="BE173" s="86" t="e">
        <f>RANK(TableWRTEMaster[[#This Row],[VORP]],TableWRTEMaster[VORP])+COUNTIF($BJ$2:BJ173,BJ173)-1</f>
        <v>#VALUE!</v>
      </c>
      <c r="BF173" s="123" t="str">
        <f>IFERROR(INDEX(TableWRVORP[WIDE RECEIVER],MATCH(TableWRTEMaster[[#This Row],[RK]],TableWRVORP[RK],0)),"")</f>
        <v/>
      </c>
      <c r="BG173" s="123" t="str">
        <f>_xlfn.CONCAT(TableWRTEMaster[[#This Row],[POS]],TableWRTEMaster[[#This Row],[RK]])</f>
        <v>WR172</v>
      </c>
      <c r="BH173" s="123" t="str">
        <f>IFERROR(INDEX(TableWRVORP[BYE],MATCH(TableWRTEMaster[[#This Row],[RK]],TableWRVORP[RK],0)),"")</f>
        <v/>
      </c>
      <c r="BI173" s="124" t="str">
        <f>IFERROR(INDEX(TableWRVORP[FPS],MATCH(TableWRTEMaster[[#This Row],[RK]],TableWRVORP[RK],0)),"")</f>
        <v/>
      </c>
      <c r="BJ173" s="125" t="str">
        <f>IFERROR(INDEX(TableWRVORP[VORP],MATCH(TableWRTEMaster[[#This Row],[RK]],TableWRVORP[RK],0)),"")</f>
        <v/>
      </c>
    </row>
    <row r="174" spans="8:62" x14ac:dyDescent="0.2">
      <c r="H174">
        <v>173</v>
      </c>
      <c r="I174" s="120" t="str">
        <f>IFERROR(INDEX(TableRBCalcPts[PLAYER],MATCH(TableRBVORP[[#This Row],[RK]],TableRBCalcPts[RK],0)),"")</f>
        <v/>
      </c>
      <c r="J174" s="120" t="str">
        <f>IFERROR(INDEX(TableRBCalcPts[TM],MATCH(TableRBVORP[[#This Row],[RK]],TableRBCalcPts[RK],0)),"")</f>
        <v/>
      </c>
      <c r="K174" s="120" t="str">
        <f>IFERROR(INDEX(TableRBCalcPts[BYE],MATCH(TableRBVORP[[#This Row],[RK]],TableRBCalcPts[RK],0)),"")</f>
        <v/>
      </c>
      <c r="L174" s="121" t="str">
        <f>IFERROR(INDEX(TableRBCalcPts[Custom],MATCH(TableRBVORP[[#This Row],[RK]],TableRBCalcPts[RK],0)),"")</f>
        <v/>
      </c>
      <c r="M174" s="122" t="str">
        <f>IFERROR((TableRBVORP[[#This Row],[FPS]]-INDEX(TableRBVORP[FPS],MATCH(RBVORPCalc,TableRBVORP[RK],0)))/INDEX(TableRBVORP[FPS],MATCH(RBVORPCalc,TableRBVORP[RK],0)),"")</f>
        <v/>
      </c>
      <c r="O174">
        <v>173</v>
      </c>
      <c r="P174" s="120" t="str">
        <f>IFERROR(INDEX(TableWRCalcPts[PLAYER],MATCH(TableWRVORP[[#This Row],[RK]],TableWRCalcPts[RK],0)),"")</f>
        <v/>
      </c>
      <c r="Q174" s="120" t="str">
        <f>IFERROR(INDEX(TableWRCalcPts[TM],MATCH(TableWRVORP[[#This Row],[RK]],TableWRCalcPts[RK],0)),"")</f>
        <v/>
      </c>
      <c r="R174" s="120" t="str">
        <f>IFERROR(INDEX(TableWRCalcPts[BYE],MATCH(TableWRVORP[[#This Row],[RK]],TableWRCalcPts[RK],0)),"")</f>
        <v/>
      </c>
      <c r="S174" s="121" t="str">
        <f>IFERROR(INDEX(TableWRCalcPts[Custom],MATCH(TableWRVORP[[#This Row],[RK]],TableWRCalcPts[RK],0)),"")</f>
        <v/>
      </c>
      <c r="T174" s="122" t="str">
        <f>IFERROR((TableWRVORP[[#This Row],[FPS]]-INDEX(TableWRVORP[FPS],MATCH(WRVORPCalc,TableWRVORP[RK],0)))/INDEX(TableWRVORP[FPS],MATCH(WRVORPCalc,TableWRVORP[RK],0)),"")</f>
        <v/>
      </c>
      <c r="AF174" t="s">
        <v>257</v>
      </c>
      <c r="AG174">
        <v>33</v>
      </c>
      <c r="AH174" s="86">
        <f>RANK(TableOverallMaster[[#This Row],[VORP]],TableOverallMaster[VORP])+COUNTIF($AM$2:AM174,AM174)-1</f>
        <v>78</v>
      </c>
      <c r="AI174" s="123" t="str">
        <f>IFERROR(INDEX(TableWRVORP[WIDE RECEIVER],MATCH(TableOverallMaster[[#This Row],[RK]],TableWRVORP[RK],0)),"")</f>
        <v>Skyy Moore</v>
      </c>
      <c r="AJ174" s="123" t="str">
        <f t="shared" si="2"/>
        <v>WR33</v>
      </c>
      <c r="AK174" s="123">
        <f>IFERROR(INDEX(TableWRVORP[BYE],MATCH(TableOverallMaster[[#This Row],[RK]],TableWRVORP[RK],0)),"")</f>
        <v>10</v>
      </c>
      <c r="AL174" s="124">
        <f>IFERROR(INDEX(TableWRVORP[FPS],MATCH(TableOverallMaster[[#This Row],[RK]],TableWRVORP[RK],0)),"")</f>
        <v>168.88950711828755</v>
      </c>
      <c r="AM174" s="125">
        <f>IFERROR(INDEX(TableWRVORP[VORP],MATCH(TableOverallMaster[[#This Row],[RK]],TableWRVORP[RK],0)),"")</f>
        <v>0.29623759896830754</v>
      </c>
      <c r="AO174">
        <v>173</v>
      </c>
      <c r="AP174" s="126" t="str">
        <f>IFERROR(INDEX(TableOverallMaster[OVERALL PLAYER],MATCH(TableOverallRank[[#This Row],[RK]],TableOverallMaster[OVR RK],0)),"")</f>
        <v>Irv Smith</v>
      </c>
      <c r="AQ174" s="127" t="str">
        <f>IFERROR(INDEX(TableOverallMaster[POS RK],MATCH(TableOverallRank[[#This Row],[OVERALL PLAYER]],TableOverallMaster[OVERALL PLAYER],0)),"")</f>
        <v>TE22</v>
      </c>
      <c r="AR174" s="128">
        <f>IFERROR(INDEX(TableOverallMaster[BYE],MATCH(TableOverallRank[[#This Row],[OVERALL PLAYER]],TableOverallMaster[OVERALL PLAYER],0)),"")</f>
        <v>7</v>
      </c>
      <c r="AS174" s="127">
        <f>IFERROR(INDEX(TableOverallMaster[Custom],MATCH(TableOverallRank[[#This Row],[OVERALL PLAYER]],TableOverallMaster[OVERALL PLAYER],0)),"")</f>
        <v>98.061359137818485</v>
      </c>
      <c r="AT174" s="129">
        <f>IFERROR(INDEX(TableOverallMaster[VORP],MATCH(TableOverallRank[[#This Row],[OVERALL PLAYER]],TableOverallMaster[OVERALL PLAYER],0)),"")</f>
        <v>-0.17477737360240625</v>
      </c>
      <c r="AV174">
        <v>173</v>
      </c>
      <c r="AW174" s="130" t="str">
        <f>IFERROR(INDEX(TableWRTECalcPts[PLAYER],MATCH(TableWRTERank[[#This Row],[RK]],TableWRTECalcPts[RK],0)),"")</f>
        <v>Donald Parham</v>
      </c>
      <c r="AX174" s="130" t="str">
        <f>IFERROR(INDEX(TableWRTECalcPts[POS RK],MATCH(TableWRTERank[[#This Row],[WR and TE COMBINED]],TableWRTECalcPts[PLAYER],0)),"")</f>
        <v>TE48</v>
      </c>
      <c r="AY174" s="130">
        <f>IFERROR(INDEX(TableWRTECalcPts[BYE],MATCH(TableWRTERank[[#This Row],[RK]],TableWRTECalcPts[RK],0)),"")</f>
        <v>5</v>
      </c>
      <c r="AZ174" s="131">
        <f>IFERROR(INDEX(TableWRTECalcPts[Custom],MATCH(TableWRTERank[[#This Row],[RK]],TableWRTECalcPts[RK],0)),"")</f>
        <v>32.990479742088795</v>
      </c>
      <c r="BA174" s="188">
        <f>IFERROR((TableWRTERank[[#This Row],[FPS]]-INDEX(TableWRTERank[FPS],MATCH(WRTEVORPCalc,TableWRTERank[RK],0)))/INDEX(TableWRTERank[FPS],MATCH(WRTEVORPCalc,TableWRTERank[RK],0)),"")</f>
        <v>-0.76161227564076883</v>
      </c>
      <c r="BC174" t="s">
        <v>257</v>
      </c>
      <c r="BD174">
        <v>173</v>
      </c>
      <c r="BE174" s="86" t="e">
        <f>RANK(TableWRTEMaster[[#This Row],[VORP]],TableWRTEMaster[VORP])+COUNTIF($BJ$2:BJ174,BJ174)-1</f>
        <v>#VALUE!</v>
      </c>
      <c r="BF174" s="123" t="str">
        <f>IFERROR(INDEX(TableWRVORP[WIDE RECEIVER],MATCH(TableWRTEMaster[[#This Row],[RK]],TableWRVORP[RK],0)),"")</f>
        <v/>
      </c>
      <c r="BG174" s="123" t="str">
        <f>_xlfn.CONCAT(TableWRTEMaster[[#This Row],[POS]],TableWRTEMaster[[#This Row],[RK]])</f>
        <v>WR173</v>
      </c>
      <c r="BH174" s="123" t="str">
        <f>IFERROR(INDEX(TableWRVORP[BYE],MATCH(TableWRTEMaster[[#This Row],[RK]],TableWRVORP[RK],0)),"")</f>
        <v/>
      </c>
      <c r="BI174" s="124" t="str">
        <f>IFERROR(INDEX(TableWRVORP[FPS],MATCH(TableWRTEMaster[[#This Row],[RK]],TableWRVORP[RK],0)),"")</f>
        <v/>
      </c>
      <c r="BJ174" s="125" t="str">
        <f>IFERROR(INDEX(TableWRVORP[VORP],MATCH(TableWRTEMaster[[#This Row],[RK]],TableWRVORP[RK],0)),"")</f>
        <v/>
      </c>
    </row>
    <row r="175" spans="8:62" x14ac:dyDescent="0.2">
      <c r="H175">
        <v>174</v>
      </c>
      <c r="I175" s="120" t="str">
        <f>IFERROR(INDEX(TableRBCalcPts[PLAYER],MATCH(TableRBVORP[[#This Row],[RK]],TableRBCalcPts[RK],0)),"")</f>
        <v/>
      </c>
      <c r="J175" s="120" t="str">
        <f>IFERROR(INDEX(TableRBCalcPts[TM],MATCH(TableRBVORP[[#This Row],[RK]],TableRBCalcPts[RK],0)),"")</f>
        <v/>
      </c>
      <c r="K175" s="120" t="str">
        <f>IFERROR(INDEX(TableRBCalcPts[BYE],MATCH(TableRBVORP[[#This Row],[RK]],TableRBCalcPts[RK],0)),"")</f>
        <v/>
      </c>
      <c r="L175" s="121" t="str">
        <f>IFERROR(INDEX(TableRBCalcPts[Custom],MATCH(TableRBVORP[[#This Row],[RK]],TableRBCalcPts[RK],0)),"")</f>
        <v/>
      </c>
      <c r="M175" s="122" t="str">
        <f>IFERROR((TableRBVORP[[#This Row],[FPS]]-INDEX(TableRBVORP[FPS],MATCH(RBVORPCalc,TableRBVORP[RK],0)))/INDEX(TableRBVORP[FPS],MATCH(RBVORPCalc,TableRBVORP[RK],0)),"")</f>
        <v/>
      </c>
      <c r="O175">
        <v>174</v>
      </c>
      <c r="P175" s="120" t="str">
        <f>IFERROR(INDEX(TableWRCalcPts[PLAYER],MATCH(TableWRVORP[[#This Row],[RK]],TableWRCalcPts[RK],0)),"")</f>
        <v/>
      </c>
      <c r="Q175" s="120" t="str">
        <f>IFERROR(INDEX(TableWRCalcPts[TM],MATCH(TableWRVORP[[#This Row],[RK]],TableWRCalcPts[RK],0)),"")</f>
        <v/>
      </c>
      <c r="R175" s="120" t="str">
        <f>IFERROR(INDEX(TableWRCalcPts[BYE],MATCH(TableWRVORP[[#This Row],[RK]],TableWRCalcPts[RK],0)),"")</f>
        <v/>
      </c>
      <c r="S175" s="121" t="str">
        <f>IFERROR(INDEX(TableWRCalcPts[Custom],MATCH(TableWRVORP[[#This Row],[RK]],TableWRCalcPts[RK],0)),"")</f>
        <v/>
      </c>
      <c r="T175" s="122" t="str">
        <f>IFERROR((TableWRVORP[[#This Row],[FPS]]-INDEX(TableWRVORP[FPS],MATCH(WRVORPCalc,TableWRVORP[RK],0)))/INDEX(TableWRVORP[FPS],MATCH(WRVORPCalc,TableWRVORP[RK],0)),"")</f>
        <v/>
      </c>
      <c r="AF175" t="s">
        <v>257</v>
      </c>
      <c r="AG175">
        <v>34</v>
      </c>
      <c r="AH175" s="86">
        <f>RANK(TableOverallMaster[[#This Row],[VORP]],TableOverallMaster[VORP])+COUNTIF($AM$2:AM175,AM175)-1</f>
        <v>80</v>
      </c>
      <c r="AI175" s="123" t="str">
        <f>IFERROR(INDEX(TableWRVORP[WIDE RECEIVER],MATCH(TableOverallMaster[[#This Row],[RK]],TableWRVORP[RK],0)),"")</f>
        <v>Brandon Aiyuk</v>
      </c>
      <c r="AJ175" s="123" t="str">
        <f t="shared" si="2"/>
        <v>WR34</v>
      </c>
      <c r="AK175" s="123">
        <f>IFERROR(INDEX(TableWRVORP[BYE],MATCH(TableOverallMaster[[#This Row],[RK]],TableWRVORP[RK],0)),"")</f>
        <v>9</v>
      </c>
      <c r="AL175" s="124">
        <f>IFERROR(INDEX(TableWRVORP[FPS],MATCH(TableOverallMaster[[#This Row],[RK]],TableWRVORP[RK],0)),"")</f>
        <v>165.73280716151041</v>
      </c>
      <c r="AM175" s="125">
        <f>IFERROR(INDEX(TableWRVORP[VORP],MATCH(TableOverallMaster[[#This Row],[RK]],TableWRVORP[RK],0)),"")</f>
        <v>0.27200972808127655</v>
      </c>
      <c r="AO175">
        <v>174</v>
      </c>
      <c r="AP175" s="126" t="str">
        <f>IFERROR(INDEX(TableOverallMaster[OVERALL PLAYER],MATCH(TableOverallRank[[#This Row],[RK]],TableOverallMaster[OVR RK],0)),"")</f>
        <v>Ryan Tannehill</v>
      </c>
      <c r="AQ175" s="127" t="str">
        <f>IFERROR(INDEX(TableOverallMaster[POS RK],MATCH(TableOverallRank[[#This Row],[OVERALL PLAYER]],TableOverallMaster[OVERALL PLAYER],0)),"")</f>
        <v>QB28</v>
      </c>
      <c r="AR175" s="128">
        <f>IFERROR(INDEX(TableOverallMaster[BYE],MATCH(TableOverallRank[[#This Row],[OVERALL PLAYER]],TableOverallMaster[OVERALL PLAYER],0)),"")</f>
        <v>7</v>
      </c>
      <c r="AS175" s="127">
        <f>IFERROR(INDEX(TableOverallMaster[Custom],MATCH(TableOverallRank[[#This Row],[OVERALL PLAYER]],TableOverallMaster[OVERALL PLAYER],0)),"")</f>
        <v>252.82656185119882</v>
      </c>
      <c r="AT175" s="129">
        <f>IFERROR(INDEX(TableOverallMaster[VORP],MATCH(TableOverallRank[[#This Row],[OVERALL PLAYER]],TableOverallMaster[OVERALL PLAYER],0)),"")</f>
        <v>-0.17552077060789623</v>
      </c>
      <c r="AV175">
        <v>174</v>
      </c>
      <c r="AW175" s="130" t="str">
        <f>IFERROR(INDEX(TableWRTECalcPts[PLAYER],MATCH(TableWRTERank[[#This Row],[RK]],TableWRTECalcPts[RK],0)),"")</f>
        <v>Julian Hill</v>
      </c>
      <c r="AX175" s="130" t="str">
        <f>IFERROR(INDEX(TableWRTECalcPts[POS RK],MATCH(TableWRTERank[[#This Row],[WR and TE COMBINED]],TableWRTECalcPts[PLAYER],0)),"")</f>
        <v>TE49</v>
      </c>
      <c r="AY175" s="130">
        <f>IFERROR(INDEX(TableWRTECalcPts[BYE],MATCH(TableWRTERank[[#This Row],[RK]],TableWRTECalcPts[RK],0)),"")</f>
        <v>10</v>
      </c>
      <c r="AZ175" s="131">
        <f>IFERROR(INDEX(TableWRTECalcPts[Custom],MATCH(TableWRTERank[[#This Row],[RK]],TableWRTECalcPts[RK],0)),"")</f>
        <v>31.534379794827011</v>
      </c>
      <c r="BA175" s="188">
        <f>IFERROR((TableWRTERank[[#This Row],[FPS]]-INDEX(TableWRTERank[FPS],MATCH(WRTEVORPCalc,TableWRTERank[RK],0)))/INDEX(TableWRTERank[FPS],MATCH(WRTEVORPCalc,TableWRTERank[RK],0)),"")</f>
        <v>-0.77213398843733927</v>
      </c>
      <c r="BC175" t="s">
        <v>257</v>
      </c>
      <c r="BD175">
        <v>174</v>
      </c>
      <c r="BE175" s="86" t="e">
        <f>RANK(TableWRTEMaster[[#This Row],[VORP]],TableWRTEMaster[VORP])+COUNTIF($BJ$2:BJ175,BJ175)-1</f>
        <v>#VALUE!</v>
      </c>
      <c r="BF175" s="123" t="str">
        <f>IFERROR(INDEX(TableWRVORP[WIDE RECEIVER],MATCH(TableWRTEMaster[[#This Row],[RK]],TableWRVORP[RK],0)),"")</f>
        <v/>
      </c>
      <c r="BG175" s="123" t="str">
        <f>_xlfn.CONCAT(TableWRTEMaster[[#This Row],[POS]],TableWRTEMaster[[#This Row],[RK]])</f>
        <v>WR174</v>
      </c>
      <c r="BH175" s="123" t="str">
        <f>IFERROR(INDEX(TableWRVORP[BYE],MATCH(TableWRTEMaster[[#This Row],[RK]],TableWRVORP[RK],0)),"")</f>
        <v/>
      </c>
      <c r="BI175" s="124" t="str">
        <f>IFERROR(INDEX(TableWRVORP[FPS],MATCH(TableWRTEMaster[[#This Row],[RK]],TableWRVORP[RK],0)),"")</f>
        <v/>
      </c>
      <c r="BJ175" s="125" t="str">
        <f>IFERROR(INDEX(TableWRVORP[VORP],MATCH(TableWRTEMaster[[#This Row],[RK]],TableWRVORP[RK],0)),"")</f>
        <v/>
      </c>
    </row>
    <row r="176" spans="8:62" x14ac:dyDescent="0.2">
      <c r="H176">
        <v>175</v>
      </c>
      <c r="I176" s="120" t="str">
        <f>IFERROR(INDEX(TableRBCalcPts[PLAYER],MATCH(TableRBVORP[[#This Row],[RK]],TableRBCalcPts[RK],0)),"")</f>
        <v/>
      </c>
      <c r="J176" s="120" t="str">
        <f>IFERROR(INDEX(TableRBCalcPts[TM],MATCH(TableRBVORP[[#This Row],[RK]],TableRBCalcPts[RK],0)),"")</f>
        <v/>
      </c>
      <c r="K176" s="120" t="str">
        <f>IFERROR(INDEX(TableRBCalcPts[BYE],MATCH(TableRBVORP[[#This Row],[RK]],TableRBCalcPts[RK],0)),"")</f>
        <v/>
      </c>
      <c r="L176" s="121" t="str">
        <f>IFERROR(INDEX(TableRBCalcPts[Custom],MATCH(TableRBVORP[[#This Row],[RK]],TableRBCalcPts[RK],0)),"")</f>
        <v/>
      </c>
      <c r="M176" s="122" t="str">
        <f>IFERROR((TableRBVORP[[#This Row],[FPS]]-INDEX(TableRBVORP[FPS],MATCH(RBVORPCalc,TableRBVORP[RK],0)))/INDEX(TableRBVORP[FPS],MATCH(RBVORPCalc,TableRBVORP[RK],0)),"")</f>
        <v/>
      </c>
      <c r="O176">
        <v>175</v>
      </c>
      <c r="P176" s="120" t="str">
        <f>IFERROR(INDEX(TableWRCalcPts[PLAYER],MATCH(TableWRVORP[[#This Row],[RK]],TableWRCalcPts[RK],0)),"")</f>
        <v/>
      </c>
      <c r="Q176" s="120" t="str">
        <f>IFERROR(INDEX(TableWRCalcPts[TM],MATCH(TableWRVORP[[#This Row],[RK]],TableWRCalcPts[RK],0)),"")</f>
        <v/>
      </c>
      <c r="R176" s="120" t="str">
        <f>IFERROR(INDEX(TableWRCalcPts[BYE],MATCH(TableWRVORP[[#This Row],[RK]],TableWRCalcPts[RK],0)),"")</f>
        <v/>
      </c>
      <c r="S176" s="121" t="str">
        <f>IFERROR(INDEX(TableWRCalcPts[Custom],MATCH(TableWRVORP[[#This Row],[RK]],TableWRCalcPts[RK],0)),"")</f>
        <v/>
      </c>
      <c r="T176" s="122" t="str">
        <f>IFERROR((TableWRVORP[[#This Row],[FPS]]-INDEX(TableWRVORP[FPS],MATCH(WRVORPCalc,TableWRVORP[RK],0)))/INDEX(TableWRVORP[FPS],MATCH(WRVORPCalc,TableWRVORP[RK],0)),"")</f>
        <v/>
      </c>
      <c r="AF176" t="s">
        <v>257</v>
      </c>
      <c r="AG176">
        <v>35</v>
      </c>
      <c r="AH176" s="86">
        <f>RANK(TableOverallMaster[[#This Row],[VORP]],TableOverallMaster[VORP])+COUNTIF($AM$2:AM176,AM176)-1</f>
        <v>81</v>
      </c>
      <c r="AI176" s="123" t="str">
        <f>IFERROR(INDEX(TableWRVORP[WIDE RECEIVER],MATCH(TableOverallMaster[[#This Row],[RK]],TableWRVORP[RK],0)),"")</f>
        <v>Drake London</v>
      </c>
      <c r="AJ176" s="123" t="str">
        <f t="shared" si="2"/>
        <v>WR35</v>
      </c>
      <c r="AK176" s="123">
        <f>IFERROR(INDEX(TableWRVORP[BYE],MATCH(TableOverallMaster[[#This Row],[RK]],TableWRVORP[RK],0)),"")</f>
        <v>11</v>
      </c>
      <c r="AL176" s="124">
        <f>IFERROR(INDEX(TableWRVORP[FPS],MATCH(TableOverallMaster[[#This Row],[RK]],TableWRVORP[RK],0)),"")</f>
        <v>164.56961695199593</v>
      </c>
      <c r="AM176" s="125">
        <f>IFERROR(INDEX(TableWRVORP[VORP],MATCH(TableOverallMaster[[#This Row],[RK]],TableWRVORP[RK],0)),"")</f>
        <v>0.26308216999876954</v>
      </c>
      <c r="AO176">
        <v>175</v>
      </c>
      <c r="AP176" s="126" t="str">
        <f>IFERROR(INDEX(TableOverallMaster[OVERALL PLAYER],MATCH(TableOverallRank[[#This Row],[RK]],TableOverallMaster[OVR RK],0)),"")</f>
        <v>Luke Musgrave</v>
      </c>
      <c r="AQ176" s="127" t="str">
        <f>IFERROR(INDEX(TableOverallMaster[POS RK],MATCH(TableOverallRank[[#This Row],[OVERALL PLAYER]],TableOverallMaster[OVERALL PLAYER],0)),"")</f>
        <v>TE23</v>
      </c>
      <c r="AR176" s="128">
        <f>IFERROR(INDEX(TableOverallMaster[BYE],MATCH(TableOverallRank[[#This Row],[OVERALL PLAYER]],TableOverallMaster[OVERALL PLAYER],0)),"")</f>
        <v>6</v>
      </c>
      <c r="AS176" s="127">
        <f>IFERROR(INDEX(TableOverallMaster[Custom],MATCH(TableOverallRank[[#This Row],[OVERALL PLAYER]],TableOverallMaster[OVERALL PLAYER],0)),"")</f>
        <v>97.802786851182233</v>
      </c>
      <c r="AT176" s="129">
        <f>IFERROR(INDEX(TableOverallMaster[VORP],MATCH(TableOverallRank[[#This Row],[OVERALL PLAYER]],TableOverallMaster[OVERALL PLAYER],0)),"")</f>
        <v>-0.1769533550834676</v>
      </c>
      <c r="AV176">
        <v>175</v>
      </c>
      <c r="AW176" s="130" t="str">
        <f>IFERROR(INDEX(TableWRTECalcPts[PLAYER],MATCH(TableWRTERank[[#This Row],[RK]],TableWRTECalcPts[RK],0)),"")</f>
        <v>Luke Schoonmaker</v>
      </c>
      <c r="AX176" s="130" t="str">
        <f>IFERROR(INDEX(TableWRTECalcPts[POS RK],MATCH(TableWRTERank[[#This Row],[WR and TE COMBINED]],TableWRTECalcPts[PLAYER],0)),"")</f>
        <v>TE50</v>
      </c>
      <c r="AY176" s="130">
        <f>IFERROR(INDEX(TableWRTECalcPts[BYE],MATCH(TableWRTERank[[#This Row],[RK]],TableWRTECalcPts[RK],0)),"")</f>
        <v>7</v>
      </c>
      <c r="AZ176" s="131">
        <f>IFERROR(INDEX(TableWRTECalcPts[Custom],MATCH(TableWRTERank[[#This Row],[RK]],TableWRTECalcPts[RK],0)),"")</f>
        <v>31.070588099084844</v>
      </c>
      <c r="BA176" s="188">
        <f>IFERROR((TableWRTERank[[#This Row],[FPS]]-INDEX(TableWRTERank[FPS],MATCH(WRTEVORPCalc,TableWRTERank[RK],0)))/INDEX(TableWRTERank[FPS],MATCH(WRTEVORPCalc,TableWRTERank[RK],0)),"")</f>
        <v>-0.77548532639268364</v>
      </c>
      <c r="BC176" t="s">
        <v>257</v>
      </c>
      <c r="BD176">
        <v>175</v>
      </c>
      <c r="BE176" s="86" t="e">
        <f>RANK(TableWRTEMaster[[#This Row],[VORP]],TableWRTEMaster[VORP])+COUNTIF($BJ$2:BJ176,BJ176)-1</f>
        <v>#VALUE!</v>
      </c>
      <c r="BF176" s="123" t="str">
        <f>IFERROR(INDEX(TableWRVORP[WIDE RECEIVER],MATCH(TableWRTEMaster[[#This Row],[RK]],TableWRVORP[RK],0)),"")</f>
        <v/>
      </c>
      <c r="BG176" s="123" t="str">
        <f>_xlfn.CONCAT(TableWRTEMaster[[#This Row],[POS]],TableWRTEMaster[[#This Row],[RK]])</f>
        <v>WR175</v>
      </c>
      <c r="BH176" s="123" t="str">
        <f>IFERROR(INDEX(TableWRVORP[BYE],MATCH(TableWRTEMaster[[#This Row],[RK]],TableWRVORP[RK],0)),"")</f>
        <v/>
      </c>
      <c r="BI176" s="124" t="str">
        <f>IFERROR(INDEX(TableWRVORP[FPS],MATCH(TableWRTEMaster[[#This Row],[RK]],TableWRVORP[RK],0)),"")</f>
        <v/>
      </c>
      <c r="BJ176" s="125" t="str">
        <f>IFERROR(INDEX(TableWRVORP[VORP],MATCH(TableWRTEMaster[[#This Row],[RK]],TableWRVORP[RK],0)),"")</f>
        <v/>
      </c>
    </row>
    <row r="177" spans="15:62" x14ac:dyDescent="0.2">
      <c r="O177">
        <v>176</v>
      </c>
      <c r="P177" s="120" t="str">
        <f>IFERROR(INDEX(TableWRCalcPts[PLAYER],MATCH(TableWRVORP[[#This Row],[RK]],TableWRCalcPts[RK],0)),"")</f>
        <v/>
      </c>
      <c r="Q177" s="120" t="str">
        <f>IFERROR(INDEX(TableWRCalcPts[TM],MATCH(TableWRVORP[[#This Row],[RK]],TableWRCalcPts[RK],0)),"")</f>
        <v/>
      </c>
      <c r="R177" s="120" t="str">
        <f>IFERROR(INDEX(TableWRCalcPts[BYE],MATCH(TableWRVORP[[#This Row],[RK]],TableWRCalcPts[RK],0)),"")</f>
        <v/>
      </c>
      <c r="S177" s="121" t="str">
        <f>IFERROR(INDEX(TableWRCalcPts[Custom],MATCH(TableWRVORP[[#This Row],[RK]],TableWRCalcPts[RK],0)),"")</f>
        <v/>
      </c>
      <c r="T177" s="122" t="str">
        <f>IFERROR((TableWRVORP[[#This Row],[FPS]]-INDEX(TableWRVORP[FPS],MATCH(WRVORPCalc,TableWRVORP[RK],0)))/INDEX(TableWRVORP[FPS],MATCH(WRVORPCalc,TableWRVORP[RK],0)),"")</f>
        <v/>
      </c>
      <c r="AF177" t="s">
        <v>257</v>
      </c>
      <c r="AG177">
        <v>36</v>
      </c>
      <c r="AH177" s="86">
        <f>RANK(TableOverallMaster[[#This Row],[VORP]],TableOverallMaster[VORP])+COUNTIF($AM$2:AM177,AM177)-1</f>
        <v>84</v>
      </c>
      <c r="AI177" s="123" t="str">
        <f>IFERROR(INDEX(TableWRVORP[WIDE RECEIVER],MATCH(TableOverallMaster[[#This Row],[RK]],TableWRVORP[RK],0)),"")</f>
        <v>Allen Lazard</v>
      </c>
      <c r="AJ177" s="123" t="str">
        <f t="shared" si="2"/>
        <v>WR36</v>
      </c>
      <c r="AK177" s="123">
        <f>IFERROR(INDEX(TableWRVORP[BYE],MATCH(TableOverallMaster[[#This Row],[RK]],TableWRVORP[RK],0)),"")</f>
        <v>7</v>
      </c>
      <c r="AL177" s="124">
        <f>IFERROR(INDEX(TableWRVORP[FPS],MATCH(TableOverallMaster[[#This Row],[RK]],TableWRVORP[RK],0)),"")</f>
        <v>162.96652371193738</v>
      </c>
      <c r="AM177" s="125">
        <f>IFERROR(INDEX(TableWRVORP[VORP],MATCH(TableOverallMaster[[#This Row],[RK]],TableWRVORP[RK],0)),"")</f>
        <v>0.25077832846431342</v>
      </c>
      <c r="AO177">
        <v>176</v>
      </c>
      <c r="AP177" s="126" t="str">
        <f>IFERROR(INDEX(TableOverallMaster[OVERALL PLAYER],MATCH(TableOverallRank[[#This Row],[RK]],TableOverallMaster[OVR RK],0)),"")</f>
        <v>Noah Fant</v>
      </c>
      <c r="AQ177" s="127" t="str">
        <f>IFERROR(INDEX(TableOverallMaster[POS RK],MATCH(TableOverallRank[[#This Row],[OVERALL PLAYER]],TableOverallMaster[OVERALL PLAYER],0)),"")</f>
        <v>TE24</v>
      </c>
      <c r="AR177" s="128">
        <f>IFERROR(INDEX(TableOverallMaster[BYE],MATCH(TableOverallRank[[#This Row],[OVERALL PLAYER]],TableOverallMaster[OVERALL PLAYER],0)),"")</f>
        <v>5</v>
      </c>
      <c r="AS177" s="127">
        <f>IFERROR(INDEX(TableOverallMaster[Custom],MATCH(TableOverallRank[[#This Row],[OVERALL PLAYER]],TableOverallMaster[OVERALL PLAYER],0)),"")</f>
        <v>96.734479211257991</v>
      </c>
      <c r="AT177" s="129">
        <f>IFERROR(INDEX(TableOverallMaster[VORP],MATCH(TableOverallRank[[#This Row],[OVERALL PLAYER]],TableOverallMaster[OVERALL PLAYER],0)),"")</f>
        <v>-0.18594355921861408</v>
      </c>
      <c r="AV177">
        <v>176</v>
      </c>
      <c r="AW177" s="130" t="str">
        <f>IFERROR(INDEX(TableWRTECalcPts[PLAYER],MATCH(TableWRTERank[[#This Row],[RK]],TableWRTECalcPts[RK],0)),"")</f>
        <v>Trevon Wesco</v>
      </c>
      <c r="AX177" s="130" t="str">
        <f>IFERROR(INDEX(TableWRTECalcPts[POS RK],MATCH(TableWRTERank[[#This Row],[WR and TE COMBINED]],TableWRTECalcPts[PLAYER],0)),"")</f>
        <v>TE51</v>
      </c>
      <c r="AY177" s="130">
        <f>IFERROR(INDEX(TableWRTECalcPts[BYE],MATCH(TableWRTERank[[#This Row],[RK]],TableWRTECalcPts[RK],0)),"")</f>
        <v>7</v>
      </c>
      <c r="AZ177" s="131">
        <f>IFERROR(INDEX(TableWRTECalcPts[Custom],MATCH(TableWRTERank[[#This Row],[RK]],TableWRTECalcPts[RK],0)),"")</f>
        <v>30.596001222191997</v>
      </c>
      <c r="BA177" s="188">
        <f>IFERROR((TableWRTERank[[#This Row],[FPS]]-INDEX(TableWRTERank[FPS],MATCH(WRTEVORPCalc,TableWRTERank[RK],0)))/INDEX(TableWRTERank[FPS],MATCH(WRTEVORPCalc,TableWRTERank[RK],0)),"")</f>
        <v>-0.77891466984199709</v>
      </c>
      <c r="BC177" t="s">
        <v>257</v>
      </c>
      <c r="BD177">
        <v>176</v>
      </c>
      <c r="BE177" s="86" t="e">
        <f>RANK(TableWRTEMaster[[#This Row],[VORP]],TableWRTEMaster[VORP])+COUNTIF($BJ$2:BJ177,BJ177)-1</f>
        <v>#VALUE!</v>
      </c>
      <c r="BF177" s="123" t="str">
        <f>IFERROR(INDEX(TableWRVORP[WIDE RECEIVER],MATCH(TableWRTEMaster[[#This Row],[RK]],TableWRVORP[RK],0)),"")</f>
        <v/>
      </c>
      <c r="BG177" s="123" t="str">
        <f>_xlfn.CONCAT(TableWRTEMaster[[#This Row],[POS]],TableWRTEMaster[[#This Row],[RK]])</f>
        <v>WR176</v>
      </c>
      <c r="BH177" s="123" t="str">
        <f>IFERROR(INDEX(TableWRVORP[BYE],MATCH(TableWRTEMaster[[#This Row],[RK]],TableWRVORP[RK],0)),"")</f>
        <v/>
      </c>
      <c r="BI177" s="124" t="str">
        <f>IFERROR(INDEX(TableWRVORP[FPS],MATCH(TableWRTEMaster[[#This Row],[RK]],TableWRVORP[RK],0)),"")</f>
        <v/>
      </c>
      <c r="BJ177" s="125" t="str">
        <f>IFERROR(INDEX(TableWRVORP[VORP],MATCH(TableWRTEMaster[[#This Row],[RK]],TableWRVORP[RK],0)),"")</f>
        <v/>
      </c>
    </row>
    <row r="178" spans="15:62" x14ac:dyDescent="0.2">
      <c r="O178">
        <v>177</v>
      </c>
      <c r="P178" s="120" t="str">
        <f>IFERROR(INDEX(TableWRCalcPts[PLAYER],MATCH(TableWRVORP[[#This Row],[RK]],TableWRCalcPts[RK],0)),"")</f>
        <v/>
      </c>
      <c r="Q178" s="120" t="str">
        <f>IFERROR(INDEX(TableWRCalcPts[TM],MATCH(TableWRVORP[[#This Row],[RK]],TableWRCalcPts[RK],0)),"")</f>
        <v/>
      </c>
      <c r="R178" s="120" t="str">
        <f>IFERROR(INDEX(TableWRCalcPts[BYE],MATCH(TableWRVORP[[#This Row],[RK]],TableWRCalcPts[RK],0)),"")</f>
        <v/>
      </c>
      <c r="S178" s="121" t="str">
        <f>IFERROR(INDEX(TableWRCalcPts[Custom],MATCH(TableWRVORP[[#This Row],[RK]],TableWRCalcPts[RK],0)),"")</f>
        <v/>
      </c>
      <c r="T178" s="122" t="str">
        <f>IFERROR((TableWRVORP[[#This Row],[FPS]]-INDEX(TableWRVORP[FPS],MATCH(WRVORPCalc,TableWRVORP[RK],0)))/INDEX(TableWRVORP[FPS],MATCH(WRVORPCalc,TableWRVORP[RK],0)),"")</f>
        <v/>
      </c>
      <c r="AF178" t="s">
        <v>257</v>
      </c>
      <c r="AG178">
        <v>37</v>
      </c>
      <c r="AH178" s="86">
        <f>RANK(TableOverallMaster[[#This Row],[VORP]],TableOverallMaster[VORP])+COUNTIF($AM$2:AM178,AM178)-1</f>
        <v>85</v>
      </c>
      <c r="AI178" s="123" t="str">
        <f>IFERROR(INDEX(TableWRVORP[WIDE RECEIVER],MATCH(TableOverallMaster[[#This Row],[RK]],TableWRVORP[RK],0)),"")</f>
        <v>Mike Evans</v>
      </c>
      <c r="AJ178" s="123" t="str">
        <f t="shared" si="2"/>
        <v>WR37</v>
      </c>
      <c r="AK178" s="123">
        <f>IFERROR(INDEX(TableWRVORP[BYE],MATCH(TableOverallMaster[[#This Row],[RK]],TableWRVORP[RK],0)),"")</f>
        <v>5</v>
      </c>
      <c r="AL178" s="124">
        <f>IFERROR(INDEX(TableWRVORP[FPS],MATCH(TableOverallMaster[[#This Row],[RK]],TableWRVORP[RK],0)),"")</f>
        <v>162.31074654216576</v>
      </c>
      <c r="AM178" s="125">
        <f>IFERROR(INDEX(TableWRVORP[VORP],MATCH(TableOverallMaster[[#This Row],[RK]],TableWRVORP[RK],0)),"")</f>
        <v>0.24574519740420769</v>
      </c>
      <c r="AO178">
        <v>177</v>
      </c>
      <c r="AP178" s="126" t="str">
        <f>IFERROR(INDEX(TableOverallMaster[OVERALL PLAYER],MATCH(TableOverallRank[[#This Row],[RK]],TableOverallMaster[OVR RK],0)),"")</f>
        <v>Jeff Wilson</v>
      </c>
      <c r="AQ178" s="127" t="str">
        <f>IFERROR(INDEX(TableOverallMaster[POS RK],MATCH(TableOverallRank[[#This Row],[OVERALL PLAYER]],TableOverallMaster[OVERALL PLAYER],0)),"")</f>
        <v>RB54</v>
      </c>
      <c r="AR178" s="128">
        <f>IFERROR(INDEX(TableOverallMaster[BYE],MATCH(TableOverallRank[[#This Row],[OVERALL PLAYER]],TableOverallMaster[OVERALL PLAYER],0)),"")</f>
        <v>10</v>
      </c>
      <c r="AS178" s="127">
        <f>IFERROR(INDEX(TableOverallMaster[Custom],MATCH(TableOverallRank[[#This Row],[OVERALL PLAYER]],TableOverallMaster[OVERALL PLAYER],0)),"")</f>
        <v>99.044586269217561</v>
      </c>
      <c r="AT178" s="129">
        <f>IFERROR(INDEX(TableOverallMaster[VORP],MATCH(TableOverallRank[[#This Row],[OVERALL PLAYER]],TableOverallMaster[OVERALL PLAYER],0)),"")</f>
        <v>-0.19122792532196822</v>
      </c>
      <c r="AV178">
        <v>177</v>
      </c>
      <c r="AW178" s="130" t="str">
        <f>IFERROR(INDEX(TableWRTECalcPts[PLAYER],MATCH(TableWRTERank[[#This Row],[RK]],TableWRTECalcPts[RK],0)),"")</f>
        <v>Scott Miller</v>
      </c>
      <c r="AX178" s="130" t="str">
        <f>IFERROR(INDEX(TableWRTECalcPts[POS RK],MATCH(TableWRTERank[[#This Row],[WR and TE COMBINED]],TableWRTECalcPts[PLAYER],0)),"")</f>
        <v>WR126</v>
      </c>
      <c r="AY178" s="130">
        <f>IFERROR(INDEX(TableWRTECalcPts[BYE],MATCH(TableWRTERank[[#This Row],[RK]],TableWRTECalcPts[RK],0)),"")</f>
        <v>11</v>
      </c>
      <c r="AZ178" s="131">
        <f>IFERROR(INDEX(TableWRTECalcPts[Custom],MATCH(TableWRTERank[[#This Row],[RK]],TableWRTECalcPts[RK],0)),"")</f>
        <v>30.037570986869504</v>
      </c>
      <c r="BA178" s="188">
        <f>IFERROR((TableWRTERank[[#This Row],[FPS]]-INDEX(TableWRTERank[FPS],MATCH(WRTEVORPCalc,TableWRTERank[RK],0)))/INDEX(TableWRTERank[FPS],MATCH(WRTEVORPCalc,TableWRTERank[RK],0)),"")</f>
        <v>-0.78294986163225422</v>
      </c>
      <c r="BC178" t="s">
        <v>257</v>
      </c>
      <c r="BD178">
        <v>177</v>
      </c>
      <c r="BE178" s="86" t="e">
        <f>RANK(TableWRTEMaster[[#This Row],[VORP]],TableWRTEMaster[VORP])+COUNTIF($BJ$2:BJ178,BJ178)-1</f>
        <v>#VALUE!</v>
      </c>
      <c r="BF178" s="123" t="str">
        <f>IFERROR(INDEX(TableWRVORP[WIDE RECEIVER],MATCH(TableWRTEMaster[[#This Row],[RK]],TableWRVORP[RK],0)),"")</f>
        <v/>
      </c>
      <c r="BG178" s="123" t="str">
        <f>_xlfn.CONCAT(TableWRTEMaster[[#This Row],[POS]],TableWRTEMaster[[#This Row],[RK]])</f>
        <v>WR177</v>
      </c>
      <c r="BH178" s="123" t="str">
        <f>IFERROR(INDEX(TableWRVORP[BYE],MATCH(TableWRTEMaster[[#This Row],[RK]],TableWRVORP[RK],0)),"")</f>
        <v/>
      </c>
      <c r="BI178" s="124" t="str">
        <f>IFERROR(INDEX(TableWRVORP[FPS],MATCH(TableWRTEMaster[[#This Row],[RK]],TableWRVORP[RK],0)),"")</f>
        <v/>
      </c>
      <c r="BJ178" s="125" t="str">
        <f>IFERROR(INDEX(TableWRVORP[VORP],MATCH(TableWRTEMaster[[#This Row],[RK]],TableWRVORP[RK],0)),"")</f>
        <v/>
      </c>
    </row>
    <row r="179" spans="15:62" x14ac:dyDescent="0.2">
      <c r="O179">
        <v>178</v>
      </c>
      <c r="P179" s="120" t="str">
        <f>IFERROR(INDEX(TableWRCalcPts[PLAYER],MATCH(TableWRVORP[[#This Row],[RK]],TableWRCalcPts[RK],0)),"")</f>
        <v/>
      </c>
      <c r="Q179" s="120" t="str">
        <f>IFERROR(INDEX(TableWRCalcPts[TM],MATCH(TableWRVORP[[#This Row],[RK]],TableWRCalcPts[RK],0)),"")</f>
        <v/>
      </c>
      <c r="R179" s="120" t="str">
        <f>IFERROR(INDEX(TableWRCalcPts[BYE],MATCH(TableWRVORP[[#This Row],[RK]],TableWRCalcPts[RK],0)),"")</f>
        <v/>
      </c>
      <c r="S179" s="121" t="str">
        <f>IFERROR(INDEX(TableWRCalcPts[Custom],MATCH(TableWRVORP[[#This Row],[RK]],TableWRCalcPts[RK],0)),"")</f>
        <v/>
      </c>
      <c r="T179" s="122" t="str">
        <f>IFERROR((TableWRVORP[[#This Row],[FPS]]-INDEX(TableWRVORP[FPS],MATCH(WRVORPCalc,TableWRVORP[RK],0)))/INDEX(TableWRVORP[FPS],MATCH(WRVORPCalc,TableWRVORP[RK],0)),"")</f>
        <v/>
      </c>
      <c r="AF179" t="s">
        <v>257</v>
      </c>
      <c r="AG179">
        <v>38</v>
      </c>
      <c r="AH179" s="86">
        <f>RANK(TableOverallMaster[[#This Row],[VORP]],TableOverallMaster[VORP])+COUNTIF($AM$2:AM179,AM179)-1</f>
        <v>86</v>
      </c>
      <c r="AI179" s="123" t="str">
        <f>IFERROR(INDEX(TableWRVORP[WIDE RECEIVER],MATCH(TableOverallMaster[[#This Row],[RK]],TableWRVORP[RK],0)),"")</f>
        <v>Chris Godwin</v>
      </c>
      <c r="AJ179" s="123" t="str">
        <f t="shared" si="2"/>
        <v>WR38</v>
      </c>
      <c r="AK179" s="123">
        <f>IFERROR(INDEX(TableWRVORP[BYE],MATCH(TableOverallMaster[[#This Row],[RK]],TableWRVORP[RK],0)),"")</f>
        <v>5</v>
      </c>
      <c r="AL179" s="124">
        <f>IFERROR(INDEX(TableWRVORP[FPS],MATCH(TableOverallMaster[[#This Row],[RK]],TableWRVORP[RK],0)),"")</f>
        <v>161.83878261451261</v>
      </c>
      <c r="AM179" s="125">
        <f>IFERROR(INDEX(TableWRVORP[VORP],MATCH(TableOverallMaster[[#This Row],[RK]],TableWRVORP[RK],0)),"")</f>
        <v>0.24212284454866712</v>
      </c>
      <c r="AO179">
        <v>178</v>
      </c>
      <c r="AP179" s="126" t="str">
        <f>IFERROR(INDEX(TableOverallMaster[OVERALL PLAYER],MATCH(TableOverallRank[[#This Row],[RK]],TableOverallMaster[OVR RK],0)),"")</f>
        <v>Joshua Kelley</v>
      </c>
      <c r="AQ179" s="127" t="str">
        <f>IFERROR(INDEX(TableOverallMaster[POS RK],MATCH(TableOverallRank[[#This Row],[OVERALL PLAYER]],TableOverallMaster[OVERALL PLAYER],0)),"")</f>
        <v>RB55</v>
      </c>
      <c r="AR179" s="128">
        <f>IFERROR(INDEX(TableOverallMaster[BYE],MATCH(TableOverallRank[[#This Row],[OVERALL PLAYER]],TableOverallMaster[OVERALL PLAYER],0)),"")</f>
        <v>5</v>
      </c>
      <c r="AS179" s="127">
        <f>IFERROR(INDEX(TableOverallMaster[Custom],MATCH(TableOverallRank[[#This Row],[OVERALL PLAYER]],TableOverallMaster[OVERALL PLAYER],0)),"")</f>
        <v>97.654269176520614</v>
      </c>
      <c r="AT179" s="129">
        <f>IFERROR(INDEX(TableOverallMaster[VORP],MATCH(TableOverallRank[[#This Row],[OVERALL PLAYER]],TableOverallMaster[OVERALL PLAYER],0)),"")</f>
        <v>-0.20258088949574365</v>
      </c>
      <c r="AV179">
        <v>178</v>
      </c>
      <c r="AW179" s="130" t="str">
        <f>IFERROR(INDEX(TableWRTECalcPts[PLAYER],MATCH(TableWRTERank[[#This Row],[RK]],TableWRTECalcPts[RK],0)),"")</f>
        <v>Jalen Tolbert</v>
      </c>
      <c r="AX179" s="130" t="str">
        <f>IFERROR(INDEX(TableWRTECalcPts[POS RK],MATCH(TableWRTERank[[#This Row],[WR and TE COMBINED]],TableWRTECalcPts[PLAYER],0)),"")</f>
        <v>WR127</v>
      </c>
      <c r="AY179" s="130">
        <f>IFERROR(INDEX(TableWRTECalcPts[BYE],MATCH(TableWRTERank[[#This Row],[RK]],TableWRTECalcPts[RK],0)),"")</f>
        <v>7</v>
      </c>
      <c r="AZ179" s="131">
        <f>IFERROR(INDEX(TableWRTECalcPts[Custom],MATCH(TableWRTERank[[#This Row],[RK]],TableWRTECalcPts[RK],0)),"")</f>
        <v>29.724437104205709</v>
      </c>
      <c r="BA179" s="188">
        <f>IFERROR((TableWRTERank[[#This Row],[FPS]]-INDEX(TableWRTERank[FPS],MATCH(WRTEVORPCalc,TableWRTERank[RK],0)))/INDEX(TableWRTERank[FPS],MATCH(WRTEVORPCalc,TableWRTERank[RK],0)),"")</f>
        <v>-0.78521255299932635</v>
      </c>
      <c r="BC179" t="s">
        <v>257</v>
      </c>
      <c r="BD179">
        <v>178</v>
      </c>
      <c r="BE179" s="86" t="e">
        <f>RANK(TableWRTEMaster[[#This Row],[VORP]],TableWRTEMaster[VORP])+COUNTIF($BJ$2:BJ179,BJ179)-1</f>
        <v>#VALUE!</v>
      </c>
      <c r="BF179" s="123" t="str">
        <f>IFERROR(INDEX(TableWRVORP[WIDE RECEIVER],MATCH(TableWRTEMaster[[#This Row],[RK]],TableWRVORP[RK],0)),"")</f>
        <v/>
      </c>
      <c r="BG179" s="123" t="str">
        <f>_xlfn.CONCAT(TableWRTEMaster[[#This Row],[POS]],TableWRTEMaster[[#This Row],[RK]])</f>
        <v>WR178</v>
      </c>
      <c r="BH179" s="123" t="str">
        <f>IFERROR(INDEX(TableWRVORP[BYE],MATCH(TableWRTEMaster[[#This Row],[RK]],TableWRVORP[RK],0)),"")</f>
        <v/>
      </c>
      <c r="BI179" s="124" t="str">
        <f>IFERROR(INDEX(TableWRVORP[FPS],MATCH(TableWRTEMaster[[#This Row],[RK]],TableWRVORP[RK],0)),"")</f>
        <v/>
      </c>
      <c r="BJ179" s="125" t="str">
        <f>IFERROR(INDEX(TableWRVORP[VORP],MATCH(TableWRTEMaster[[#This Row],[RK]],TableWRVORP[RK],0)),"")</f>
        <v/>
      </c>
    </row>
    <row r="180" spans="15:62" x14ac:dyDescent="0.2">
      <c r="O180">
        <v>179</v>
      </c>
      <c r="P180" s="120" t="str">
        <f>IFERROR(INDEX(TableWRCalcPts[PLAYER],MATCH(TableWRVORP[[#This Row],[RK]],TableWRCalcPts[RK],0)),"")</f>
        <v/>
      </c>
      <c r="Q180" s="120" t="str">
        <f>IFERROR(INDEX(TableWRCalcPts[TM],MATCH(TableWRVORP[[#This Row],[RK]],TableWRCalcPts[RK],0)),"")</f>
        <v/>
      </c>
      <c r="R180" s="120" t="str">
        <f>IFERROR(INDEX(TableWRCalcPts[BYE],MATCH(TableWRVORP[[#This Row],[RK]],TableWRCalcPts[RK],0)),"")</f>
        <v/>
      </c>
      <c r="S180" s="121" t="str">
        <f>IFERROR(INDEX(TableWRCalcPts[Custom],MATCH(TableWRVORP[[#This Row],[RK]],TableWRCalcPts[RK],0)),"")</f>
        <v/>
      </c>
      <c r="T180" s="122" t="str">
        <f>IFERROR((TableWRVORP[[#This Row],[FPS]]-INDEX(TableWRVORP[FPS],MATCH(WRVORPCalc,TableWRVORP[RK],0)))/INDEX(TableWRVORP[FPS],MATCH(WRVORPCalc,TableWRVORP[RK],0)),"")</f>
        <v/>
      </c>
      <c r="AF180" t="s">
        <v>257</v>
      </c>
      <c r="AG180">
        <v>39</v>
      </c>
      <c r="AH180" s="86">
        <f>RANK(TableOverallMaster[[#This Row],[VORP]],TableOverallMaster[VORP])+COUNTIF($AM$2:AM180,AM180)-1</f>
        <v>87</v>
      </c>
      <c r="AI180" s="123" t="str">
        <f>IFERROR(INDEX(TableWRVORP[WIDE RECEIVER],MATCH(TableOverallMaster[[#This Row],[RK]],TableWRVORP[RK],0)),"")</f>
        <v>Michael Thomas</v>
      </c>
      <c r="AJ180" s="123" t="str">
        <f t="shared" si="2"/>
        <v>WR39</v>
      </c>
      <c r="AK180" s="123">
        <f>IFERROR(INDEX(TableWRVORP[BYE],MATCH(TableOverallMaster[[#This Row],[RK]],TableWRVORP[RK],0)),"")</f>
        <v>11</v>
      </c>
      <c r="AL180" s="124">
        <f>IFERROR(INDEX(TableWRVORP[FPS],MATCH(TableOverallMaster[[#This Row],[RK]],TableWRVORP[RK],0)),"")</f>
        <v>161.64076617387752</v>
      </c>
      <c r="AM180" s="125">
        <f>IFERROR(INDEX(TableWRVORP[VORP],MATCH(TableOverallMaster[[#This Row],[RK]],TableWRVORP[RK],0)),"")</f>
        <v>0.24060305590137535</v>
      </c>
      <c r="AO180">
        <v>179</v>
      </c>
      <c r="AP180" s="126" t="str">
        <f>IFERROR(INDEX(TableOverallMaster[OVERALL PLAYER],MATCH(TableOverallRank[[#This Row],[RK]],TableOverallMaster[OVR RK],0)),"")</f>
        <v>Trey McBride</v>
      </c>
      <c r="AQ180" s="127" t="str">
        <f>IFERROR(INDEX(TableOverallMaster[POS RK],MATCH(TableOverallRank[[#This Row],[OVERALL PLAYER]],TableOverallMaster[OVERALL PLAYER],0)),"")</f>
        <v>TE25</v>
      </c>
      <c r="AR180" s="128">
        <f>IFERROR(INDEX(TableOverallMaster[BYE],MATCH(TableOverallRank[[#This Row],[OVERALL PLAYER]],TableOverallMaster[OVERALL PLAYER],0)),"")</f>
        <v>14</v>
      </c>
      <c r="AS180" s="127">
        <f>IFERROR(INDEX(TableOverallMaster[Custom],MATCH(TableOverallRank[[#This Row],[OVERALL PLAYER]],TableOverallMaster[OVERALL PLAYER],0)),"")</f>
        <v>93.404355072000016</v>
      </c>
      <c r="AT180" s="129">
        <f>IFERROR(INDEX(TableOverallMaster[VORP],MATCH(TableOverallRank[[#This Row],[OVERALL PLAYER]],TableOverallMaster[OVERALL PLAYER],0)),"")</f>
        <v>-0.2139677862188358</v>
      </c>
      <c r="AV180">
        <v>179</v>
      </c>
      <c r="AW180" s="130" t="str">
        <f>IFERROR(INDEX(TableWRTECalcPts[PLAYER],MATCH(TableWRTERank[[#This Row],[RK]],TableWRTECalcPts[RK],0)),"")</f>
        <v>James Mitchell</v>
      </c>
      <c r="AX180" s="130" t="str">
        <f>IFERROR(INDEX(TableWRTECalcPts[POS RK],MATCH(TableWRTERank[[#This Row],[WR and TE COMBINED]],TableWRTECalcPts[PLAYER],0)),"")</f>
        <v>TE52</v>
      </c>
      <c r="AY180" s="130">
        <f>IFERROR(INDEX(TableWRTECalcPts[BYE],MATCH(TableWRTERank[[#This Row],[RK]],TableWRTECalcPts[RK],0)),"")</f>
        <v>9</v>
      </c>
      <c r="AZ180" s="131">
        <f>IFERROR(INDEX(TableWRTECalcPts[Custom],MATCH(TableWRTERank[[#This Row],[RK]],TableWRTECalcPts[RK],0)),"")</f>
        <v>28.641318240820141</v>
      </c>
      <c r="BA180" s="188">
        <f>IFERROR((TableWRTERank[[#This Row],[FPS]]-INDEX(TableWRTERank[FPS],MATCH(WRTEVORPCalc,TableWRTERank[RK],0)))/INDEX(TableWRTERank[FPS],MATCH(WRTEVORPCalc,TableWRTERank[RK],0)),"")</f>
        <v>-0.7930391212417891</v>
      </c>
      <c r="BC180" t="s">
        <v>257</v>
      </c>
      <c r="BD180">
        <v>179</v>
      </c>
      <c r="BE180" s="86" t="e">
        <f>RANK(TableWRTEMaster[[#This Row],[VORP]],TableWRTEMaster[VORP])+COUNTIF($BJ$2:BJ180,BJ180)-1</f>
        <v>#VALUE!</v>
      </c>
      <c r="BF180" s="123" t="str">
        <f>IFERROR(INDEX(TableWRVORP[WIDE RECEIVER],MATCH(TableWRTEMaster[[#This Row],[RK]],TableWRVORP[RK],0)),"")</f>
        <v/>
      </c>
      <c r="BG180" s="123" t="str">
        <f>_xlfn.CONCAT(TableWRTEMaster[[#This Row],[POS]],TableWRTEMaster[[#This Row],[RK]])</f>
        <v>WR179</v>
      </c>
      <c r="BH180" s="123" t="str">
        <f>IFERROR(INDEX(TableWRVORP[BYE],MATCH(TableWRTEMaster[[#This Row],[RK]],TableWRVORP[RK],0)),"")</f>
        <v/>
      </c>
      <c r="BI180" s="124" t="str">
        <f>IFERROR(INDEX(TableWRVORP[FPS],MATCH(TableWRTEMaster[[#This Row],[RK]],TableWRVORP[RK],0)),"")</f>
        <v/>
      </c>
      <c r="BJ180" s="125" t="str">
        <f>IFERROR(INDEX(TableWRVORP[VORP],MATCH(TableWRTEMaster[[#This Row],[RK]],TableWRVORP[RK],0)),"")</f>
        <v/>
      </c>
    </row>
    <row r="181" spans="15:62" x14ac:dyDescent="0.2">
      <c r="O181">
        <v>180</v>
      </c>
      <c r="P181" s="120" t="str">
        <f>IFERROR(INDEX(TableWRCalcPts[PLAYER],MATCH(TableWRVORP[[#This Row],[RK]],TableWRCalcPts[RK],0)),"")</f>
        <v/>
      </c>
      <c r="Q181" s="120" t="str">
        <f>IFERROR(INDEX(TableWRCalcPts[TM],MATCH(TableWRVORP[[#This Row],[RK]],TableWRCalcPts[RK],0)),"")</f>
        <v/>
      </c>
      <c r="R181" s="120" t="str">
        <f>IFERROR(INDEX(TableWRCalcPts[BYE],MATCH(TableWRVORP[[#This Row],[RK]],TableWRCalcPts[RK],0)),"")</f>
        <v/>
      </c>
      <c r="S181" s="121" t="str">
        <f>IFERROR(INDEX(TableWRCalcPts[Custom],MATCH(TableWRVORP[[#This Row],[RK]],TableWRCalcPts[RK],0)),"")</f>
        <v/>
      </c>
      <c r="T181" s="122" t="str">
        <f>IFERROR((TableWRVORP[[#This Row],[FPS]]-INDEX(TableWRVORP[FPS],MATCH(WRVORPCalc,TableWRVORP[RK],0)))/INDEX(TableWRVORP[FPS],MATCH(WRVORPCalc,TableWRVORP[RK],0)),"")</f>
        <v/>
      </c>
      <c r="AF181" t="s">
        <v>257</v>
      </c>
      <c r="AG181">
        <v>40</v>
      </c>
      <c r="AH181" s="86">
        <f>RANK(TableOverallMaster[[#This Row],[VORP]],TableOverallMaster[VORP])+COUNTIF($AM$2:AM181,AM181)-1</f>
        <v>91</v>
      </c>
      <c r="AI181" s="123" t="str">
        <f>IFERROR(INDEX(TableWRVORP[WIDE RECEIVER],MATCH(TableOverallMaster[[#This Row],[RK]],TableWRVORP[RK],0)),"")</f>
        <v>Courtland Sutton</v>
      </c>
      <c r="AJ181" s="123" t="str">
        <f t="shared" si="2"/>
        <v>WR40</v>
      </c>
      <c r="AK181" s="123">
        <f>IFERROR(INDEX(TableWRVORP[BYE],MATCH(TableOverallMaster[[#This Row],[RK]],TableWRVORP[RK],0)),"")</f>
        <v>9</v>
      </c>
      <c r="AL181" s="124">
        <f>IFERROR(INDEX(TableWRVORP[FPS],MATCH(TableOverallMaster[[#This Row],[RK]],TableWRVORP[RK],0)),"")</f>
        <v>153.42312532599362</v>
      </c>
      <c r="AM181" s="125">
        <f>IFERROR(INDEX(TableWRVORP[VORP],MATCH(TableOverallMaster[[#This Row],[RK]],TableWRVORP[RK],0)),"")</f>
        <v>0.17753214508164983</v>
      </c>
      <c r="AO181">
        <v>180</v>
      </c>
      <c r="AP181" s="126" t="str">
        <f>IFERROR(INDEX(TableOverallMaster[OVERALL PLAYER],MATCH(TableOverallRank[[#This Row],[RK]],TableOverallMaster[OVR RK],0)),"")</f>
        <v>Mac Jones</v>
      </c>
      <c r="AQ181" s="127" t="str">
        <f>IFERROR(INDEX(TableOverallMaster[POS RK],MATCH(TableOverallRank[[#This Row],[OVERALL PLAYER]],TableOverallMaster[OVERALL PLAYER],0)),"")</f>
        <v>QB29</v>
      </c>
      <c r="AR181" s="128">
        <f>IFERROR(INDEX(TableOverallMaster[BYE],MATCH(TableOverallRank[[#This Row],[OVERALL PLAYER]],TableOverallMaster[OVERALL PLAYER],0)),"")</f>
        <v>11</v>
      </c>
      <c r="AS181" s="127">
        <f>IFERROR(INDEX(TableOverallMaster[Custom],MATCH(TableOverallRank[[#This Row],[OVERALL PLAYER]],TableOverallMaster[OVERALL PLAYER],0)),"")</f>
        <v>248.34398689298061</v>
      </c>
      <c r="AT181" s="129">
        <f>IFERROR(INDEX(TableOverallMaster[VORP],MATCH(TableOverallRank[[#This Row],[OVERALL PLAYER]],TableOverallMaster[OVERALL PLAYER],0)),"")</f>
        <v>-0.21808231627663743</v>
      </c>
      <c r="AV181">
        <v>180</v>
      </c>
      <c r="AW181" s="130" t="str">
        <f>IFERROR(INDEX(TableWRTECalcPts[PLAYER],MATCH(TableWRTERank[[#This Row],[RK]],TableWRTECalcPts[RK],0)),"")</f>
        <v>Peyton Hendershot</v>
      </c>
      <c r="AX181" s="130" t="str">
        <f>IFERROR(INDEX(TableWRTECalcPts[POS RK],MATCH(TableWRTERank[[#This Row],[WR and TE COMBINED]],TableWRTECalcPts[PLAYER],0)),"")</f>
        <v>TE53</v>
      </c>
      <c r="AY181" s="130">
        <f>IFERROR(INDEX(TableWRTECalcPts[BYE],MATCH(TableWRTERank[[#This Row],[RK]],TableWRTECalcPts[RK],0)),"")</f>
        <v>7</v>
      </c>
      <c r="AZ181" s="131">
        <f>IFERROR(INDEX(TableWRTECalcPts[Custom],MATCH(TableWRTERank[[#This Row],[RK]],TableWRTECalcPts[RK],0)),"")</f>
        <v>28.504394505953329</v>
      </c>
      <c r="BA181" s="188">
        <f>IFERROR((TableWRTERank[[#This Row],[FPS]]-INDEX(TableWRTERank[FPS],MATCH(WRTEVORPCalc,TableWRTERank[RK],0)))/INDEX(TableWRTERank[FPS],MATCH(WRTEVORPCalc,TableWRTERank[RK],0)),"")</f>
        <v>-0.79402852599797469</v>
      </c>
      <c r="BC181" t="s">
        <v>257</v>
      </c>
      <c r="BD181">
        <v>180</v>
      </c>
      <c r="BE181" s="86" t="e">
        <f>RANK(TableWRTEMaster[[#This Row],[VORP]],TableWRTEMaster[VORP])+COUNTIF($BJ$2:BJ181,BJ181)-1</f>
        <v>#VALUE!</v>
      </c>
      <c r="BF181" s="123" t="str">
        <f>IFERROR(INDEX(TableWRVORP[WIDE RECEIVER],MATCH(TableWRTEMaster[[#This Row],[RK]],TableWRVORP[RK],0)),"")</f>
        <v/>
      </c>
      <c r="BG181" s="123" t="str">
        <f>_xlfn.CONCAT(TableWRTEMaster[[#This Row],[POS]],TableWRTEMaster[[#This Row],[RK]])</f>
        <v>WR180</v>
      </c>
      <c r="BH181" s="123" t="str">
        <f>IFERROR(INDEX(TableWRVORP[BYE],MATCH(TableWRTEMaster[[#This Row],[RK]],TableWRVORP[RK],0)),"")</f>
        <v/>
      </c>
      <c r="BI181" s="124" t="str">
        <f>IFERROR(INDEX(TableWRVORP[FPS],MATCH(TableWRTEMaster[[#This Row],[RK]],TableWRVORP[RK],0)),"")</f>
        <v/>
      </c>
      <c r="BJ181" s="125" t="str">
        <f>IFERROR(INDEX(TableWRVORP[VORP],MATCH(TableWRTEMaster[[#This Row],[RK]],TableWRVORP[RK],0)),"")</f>
        <v/>
      </c>
    </row>
    <row r="182" spans="15:62" x14ac:dyDescent="0.2">
      <c r="O182">
        <v>181</v>
      </c>
      <c r="P182" s="120" t="str">
        <f>IFERROR(INDEX(TableWRCalcPts[PLAYER],MATCH(TableWRVORP[[#This Row],[RK]],TableWRCalcPts[RK],0)),"")</f>
        <v/>
      </c>
      <c r="Q182" s="120" t="str">
        <f>IFERROR(INDEX(TableWRCalcPts[TM],MATCH(TableWRVORP[[#This Row],[RK]],TableWRCalcPts[RK],0)),"")</f>
        <v/>
      </c>
      <c r="R182" s="120" t="str">
        <f>IFERROR(INDEX(TableWRCalcPts[BYE],MATCH(TableWRVORP[[#This Row],[RK]],TableWRCalcPts[RK],0)),"")</f>
        <v/>
      </c>
      <c r="S182" s="121" t="str">
        <f>IFERROR(INDEX(TableWRCalcPts[Custom],MATCH(TableWRVORP[[#This Row],[RK]],TableWRCalcPts[RK],0)),"")</f>
        <v/>
      </c>
      <c r="T182" s="122" t="str">
        <f>IFERROR((TableWRVORP[[#This Row],[FPS]]-INDEX(TableWRVORP[FPS],MATCH(WRVORPCalc,TableWRVORP[RK],0)))/INDEX(TableWRVORP[FPS],MATCH(WRVORPCalc,TableWRVORP[RK],0)),"")</f>
        <v/>
      </c>
      <c r="AF182" t="s">
        <v>257</v>
      </c>
      <c r="AG182">
        <v>41</v>
      </c>
      <c r="AH182" s="86">
        <f>RANK(TableOverallMaster[[#This Row],[VORP]],TableOverallMaster[VORP])+COUNTIF($AM$2:AM182,AM182)-1</f>
        <v>92</v>
      </c>
      <c r="AI182" s="123" t="str">
        <f>IFERROR(INDEX(TableWRVORP[WIDE RECEIVER],MATCH(TableOverallMaster[[#This Row],[RK]],TableWRVORP[RK],0)),"")</f>
        <v>Jaxon Smith-Njigba</v>
      </c>
      <c r="AJ182" s="123" t="str">
        <f t="shared" si="2"/>
        <v>WR41</v>
      </c>
      <c r="AK182" s="123">
        <f>IFERROR(INDEX(TableWRVORP[BYE],MATCH(TableOverallMaster[[#This Row],[RK]],TableWRVORP[RK],0)),"")</f>
        <v>5</v>
      </c>
      <c r="AL182" s="124">
        <f>IFERROR(INDEX(TableWRVORP[FPS],MATCH(TableOverallMaster[[#This Row],[RK]],TableWRVORP[RK],0)),"")</f>
        <v>153.39600212962807</v>
      </c>
      <c r="AM182" s="125">
        <f>IFERROR(INDEX(TableWRVORP[VORP],MATCH(TableOverallMaster[[#This Row],[RK]],TableWRVORP[RK],0)),"")</f>
        <v>0.1773239728421003</v>
      </c>
      <c r="AO182">
        <v>181</v>
      </c>
      <c r="AP182" s="126" t="str">
        <f>IFERROR(INDEX(TableOverallMaster[OVERALL PLAYER],MATCH(TableOverallRank[[#This Row],[RK]],TableOverallMaster[OVR RK],0)),"")</f>
        <v>Michael Mayer</v>
      </c>
      <c r="AQ182" s="127" t="str">
        <f>IFERROR(INDEX(TableOverallMaster[POS RK],MATCH(TableOverallRank[[#This Row],[OVERALL PLAYER]],TableOverallMaster[OVERALL PLAYER],0)),"")</f>
        <v>TE26</v>
      </c>
      <c r="AR182" s="128">
        <f>IFERROR(INDEX(TableOverallMaster[BYE],MATCH(TableOverallRank[[#This Row],[OVERALL PLAYER]],TableOverallMaster[OVERALL PLAYER],0)),"")</f>
        <v>13</v>
      </c>
      <c r="AS182" s="127">
        <f>IFERROR(INDEX(TableOverallMaster[Custom],MATCH(TableOverallRank[[#This Row],[OVERALL PLAYER]],TableOverallMaster[OVERALL PLAYER],0)),"")</f>
        <v>92.765919307287874</v>
      </c>
      <c r="AT182" s="129">
        <f>IFERROR(INDEX(TableOverallMaster[VORP],MATCH(TableOverallRank[[#This Row],[OVERALL PLAYER]],TableOverallMaster[OVERALL PLAYER],0)),"")</f>
        <v>-0.21934045944276548</v>
      </c>
      <c r="AV182">
        <v>181</v>
      </c>
      <c r="AW182" s="130" t="str">
        <f>IFERROR(INDEX(TableWRTECalcPts[PLAYER],MATCH(TableWRTERank[[#This Row],[RK]],TableWRTECalcPts[RK],0)),"")</f>
        <v>Brenton Strange</v>
      </c>
      <c r="AX182" s="130" t="str">
        <f>IFERROR(INDEX(TableWRTECalcPts[POS RK],MATCH(TableWRTERank[[#This Row],[WR and TE COMBINED]],TableWRTECalcPts[PLAYER],0)),"")</f>
        <v>TE54</v>
      </c>
      <c r="AY182" s="130">
        <f>IFERROR(INDEX(TableWRTECalcPts[BYE],MATCH(TableWRTERank[[#This Row],[RK]],TableWRTECalcPts[RK],0)),"")</f>
        <v>9</v>
      </c>
      <c r="AZ182" s="131">
        <f>IFERROR(INDEX(TableWRTECalcPts[Custom],MATCH(TableWRTERank[[#This Row],[RK]],TableWRTECalcPts[RK],0)),"")</f>
        <v>27.978221136532827</v>
      </c>
      <c r="BA182" s="188">
        <f>IFERROR((TableWRTERank[[#This Row],[FPS]]-INDEX(TableWRTERank[FPS],MATCH(WRTEVORPCalc,TableWRTERank[RK],0)))/INDEX(TableWRTERank[FPS],MATCH(WRTEVORPCalc,TableWRTERank[RK],0)),"")</f>
        <v>-0.79783063112451991</v>
      </c>
      <c r="BC182" t="s">
        <v>257</v>
      </c>
      <c r="BD182">
        <v>181</v>
      </c>
      <c r="BE182" s="86" t="e">
        <f>RANK(TableWRTEMaster[[#This Row],[VORP]],TableWRTEMaster[VORP])+COUNTIF($BJ$2:BJ182,BJ182)-1</f>
        <v>#VALUE!</v>
      </c>
      <c r="BF182" s="123" t="str">
        <f>IFERROR(INDEX(TableWRVORP[WIDE RECEIVER],MATCH(TableWRTEMaster[[#This Row],[RK]],TableWRVORP[RK],0)),"")</f>
        <v/>
      </c>
      <c r="BG182" s="123" t="str">
        <f>_xlfn.CONCAT(TableWRTEMaster[[#This Row],[POS]],TableWRTEMaster[[#This Row],[RK]])</f>
        <v>WR181</v>
      </c>
      <c r="BH182" s="123" t="str">
        <f>IFERROR(INDEX(TableWRVORP[BYE],MATCH(TableWRTEMaster[[#This Row],[RK]],TableWRVORP[RK],0)),"")</f>
        <v/>
      </c>
      <c r="BI182" s="124" t="str">
        <f>IFERROR(INDEX(TableWRVORP[FPS],MATCH(TableWRTEMaster[[#This Row],[RK]],TableWRVORP[RK],0)),"")</f>
        <v/>
      </c>
      <c r="BJ182" s="125" t="str">
        <f>IFERROR(INDEX(TableWRVORP[VORP],MATCH(TableWRTEMaster[[#This Row],[RK]],TableWRVORP[RK],0)),"")</f>
        <v/>
      </c>
    </row>
    <row r="183" spans="15:62" x14ac:dyDescent="0.2">
      <c r="O183">
        <v>182</v>
      </c>
      <c r="P183" s="120" t="str">
        <f>IFERROR(INDEX(TableWRCalcPts[PLAYER],MATCH(TableWRVORP[[#This Row],[RK]],TableWRCalcPts[RK],0)),"")</f>
        <v/>
      </c>
      <c r="Q183" s="120" t="str">
        <f>IFERROR(INDEX(TableWRCalcPts[TM],MATCH(TableWRVORP[[#This Row],[RK]],TableWRCalcPts[RK],0)),"")</f>
        <v/>
      </c>
      <c r="R183" s="120" t="str">
        <f>IFERROR(INDEX(TableWRCalcPts[BYE],MATCH(TableWRVORP[[#This Row],[RK]],TableWRCalcPts[RK],0)),"")</f>
        <v/>
      </c>
      <c r="S183" s="121" t="str">
        <f>IFERROR(INDEX(TableWRCalcPts[Custom],MATCH(TableWRVORP[[#This Row],[RK]],TableWRCalcPts[RK],0)),"")</f>
        <v/>
      </c>
      <c r="T183" s="122" t="str">
        <f>IFERROR((TableWRVORP[[#This Row],[FPS]]-INDEX(TableWRVORP[FPS],MATCH(WRVORPCalc,TableWRVORP[RK],0)))/INDEX(TableWRVORP[FPS],MATCH(WRVORPCalc,TableWRVORP[RK],0)),"")</f>
        <v/>
      </c>
      <c r="AF183" t="s">
        <v>257</v>
      </c>
      <c r="AG183">
        <v>42</v>
      </c>
      <c r="AH183" s="86">
        <f>RANK(TableOverallMaster[[#This Row],[VORP]],TableOverallMaster[VORP])+COUNTIF($AM$2:AM183,AM183)-1</f>
        <v>96</v>
      </c>
      <c r="AI183" s="123" t="str">
        <f>IFERROR(INDEX(TableWRVORP[WIDE RECEIVER],MATCH(TableOverallMaster[[#This Row],[RK]],TableWRVORP[RK],0)),"")</f>
        <v>Brandin Cooks</v>
      </c>
      <c r="AJ183" s="123" t="str">
        <f t="shared" si="2"/>
        <v>WR42</v>
      </c>
      <c r="AK183" s="123">
        <f>IFERROR(INDEX(TableWRVORP[BYE],MATCH(TableOverallMaster[[#This Row],[RK]],TableWRVORP[RK],0)),"")</f>
        <v>7</v>
      </c>
      <c r="AL183" s="124">
        <f>IFERROR(INDEX(TableWRVORP[FPS],MATCH(TableOverallMaster[[#This Row],[RK]],TableWRVORP[RK],0)),"")</f>
        <v>151.57421394837161</v>
      </c>
      <c r="AM183" s="125">
        <f>IFERROR(INDEX(TableWRVORP[VORP],MATCH(TableOverallMaster[[#This Row],[RK]],TableWRVORP[RK],0)),"")</f>
        <v>0.16334163386679154</v>
      </c>
      <c r="AO183">
        <v>182</v>
      </c>
      <c r="AP183" s="126" t="str">
        <f>IFERROR(INDEX(TableOverallMaster[OVERALL PLAYER],MATCH(TableOverallRank[[#This Row],[RK]],TableOverallMaster[OVR RK],0)),"")</f>
        <v>Tyjae Spears</v>
      </c>
      <c r="AQ183" s="127" t="str">
        <f>IFERROR(INDEX(TableOverallMaster[POS RK],MATCH(TableOverallRank[[#This Row],[OVERALL PLAYER]],TableOverallMaster[OVERALL PLAYER],0)),"")</f>
        <v>RB56</v>
      </c>
      <c r="AR183" s="128">
        <f>IFERROR(INDEX(TableOverallMaster[BYE],MATCH(TableOverallRank[[#This Row],[OVERALL PLAYER]],TableOverallMaster[OVERALL PLAYER],0)),"")</f>
        <v>7</v>
      </c>
      <c r="AS183" s="127">
        <f>IFERROR(INDEX(TableOverallMaster[Custom],MATCH(TableOverallRank[[#This Row],[OVERALL PLAYER]],TableOverallMaster[OVERALL PLAYER],0)),"")</f>
        <v>93.969165711551824</v>
      </c>
      <c r="AT183" s="129">
        <f>IFERROR(INDEX(TableOverallMaster[VORP],MATCH(TableOverallRank[[#This Row],[OVERALL PLAYER]],TableOverallMaster[OVERALL PLAYER],0)),"")</f>
        <v>-0.2326724763964636</v>
      </c>
      <c r="AV183">
        <v>182</v>
      </c>
      <c r="AW183" s="130" t="str">
        <f>IFERROR(INDEX(TableWRTECalcPts[PLAYER],MATCH(TableWRTERank[[#This Row],[RK]],TableWRTECalcPts[RK],0)),"")</f>
        <v>Zach Pascal</v>
      </c>
      <c r="AX183" s="130" t="str">
        <f>IFERROR(INDEX(TableWRTECalcPts[POS RK],MATCH(TableWRTERank[[#This Row],[WR and TE COMBINED]],TableWRTECalcPts[PLAYER],0)),"")</f>
        <v>WR128</v>
      </c>
      <c r="AY183" s="130">
        <f>IFERROR(INDEX(TableWRTECalcPts[BYE],MATCH(TableWRTERank[[#This Row],[RK]],TableWRTECalcPts[RK],0)),"")</f>
        <v>14</v>
      </c>
      <c r="AZ183" s="131">
        <f>IFERROR(INDEX(TableWRTECalcPts[Custom],MATCH(TableWRTERank[[#This Row],[RK]],TableWRTECalcPts[RK],0)),"")</f>
        <v>27.765618152580004</v>
      </c>
      <c r="BA183" s="188">
        <f>IFERROR((TableWRTERank[[#This Row],[FPS]]-INDEX(TableWRTERank[FPS],MATCH(WRTEVORPCalc,TableWRTERank[RK],0)))/INDEX(TableWRTERank[FPS],MATCH(WRTEVORPCalc,TableWRTERank[RK],0)),"")</f>
        <v>-0.79936689073434408</v>
      </c>
      <c r="BC183" t="s">
        <v>257</v>
      </c>
      <c r="BD183">
        <v>182</v>
      </c>
      <c r="BE183" s="86" t="e">
        <f>RANK(TableWRTEMaster[[#This Row],[VORP]],TableWRTEMaster[VORP])+COUNTIF($BJ$2:BJ183,BJ183)-1</f>
        <v>#VALUE!</v>
      </c>
      <c r="BF183" s="123" t="str">
        <f>IFERROR(INDEX(TableWRVORP[WIDE RECEIVER],MATCH(TableWRTEMaster[[#This Row],[RK]],TableWRVORP[RK],0)),"")</f>
        <v/>
      </c>
      <c r="BG183" s="123" t="str">
        <f>_xlfn.CONCAT(TableWRTEMaster[[#This Row],[POS]],TableWRTEMaster[[#This Row],[RK]])</f>
        <v>WR182</v>
      </c>
      <c r="BH183" s="123" t="str">
        <f>IFERROR(INDEX(TableWRVORP[BYE],MATCH(TableWRTEMaster[[#This Row],[RK]],TableWRVORP[RK],0)),"")</f>
        <v/>
      </c>
      <c r="BI183" s="124" t="str">
        <f>IFERROR(INDEX(TableWRVORP[FPS],MATCH(TableWRTEMaster[[#This Row],[RK]],TableWRVORP[RK],0)),"")</f>
        <v/>
      </c>
      <c r="BJ183" s="125" t="str">
        <f>IFERROR(INDEX(TableWRVORP[VORP],MATCH(TableWRTEMaster[[#This Row],[RK]],TableWRVORP[RK],0)),"")</f>
        <v/>
      </c>
    </row>
    <row r="184" spans="15:62" x14ac:dyDescent="0.2">
      <c r="O184">
        <v>183</v>
      </c>
      <c r="P184" s="120" t="str">
        <f>IFERROR(INDEX(TableWRCalcPts[PLAYER],MATCH(TableWRVORP[[#This Row],[RK]],TableWRCalcPts[RK],0)),"")</f>
        <v/>
      </c>
      <c r="Q184" s="120" t="str">
        <f>IFERROR(INDEX(TableWRCalcPts[TM],MATCH(TableWRVORP[[#This Row],[RK]],TableWRCalcPts[RK],0)),"")</f>
        <v/>
      </c>
      <c r="R184" s="120" t="str">
        <f>IFERROR(INDEX(TableWRCalcPts[BYE],MATCH(TableWRVORP[[#This Row],[RK]],TableWRCalcPts[RK],0)),"")</f>
        <v/>
      </c>
      <c r="S184" s="121" t="str">
        <f>IFERROR(INDEX(TableWRCalcPts[Custom],MATCH(TableWRVORP[[#This Row],[RK]],TableWRCalcPts[RK],0)),"")</f>
        <v/>
      </c>
      <c r="T184" s="122" t="str">
        <f>IFERROR((TableWRVORP[[#This Row],[FPS]]-INDEX(TableWRVORP[FPS],MATCH(WRVORPCalc,TableWRVORP[RK],0)))/INDEX(TableWRVORP[FPS],MATCH(WRVORPCalc,TableWRVORP[RK],0)),"")</f>
        <v/>
      </c>
      <c r="AF184" t="s">
        <v>257</v>
      </c>
      <c r="AG184">
        <v>43</v>
      </c>
      <c r="AH184" s="86">
        <f>RANK(TableOverallMaster[[#This Row],[VORP]],TableOverallMaster[VORP])+COUNTIF($AM$2:AM184,AM184)-1</f>
        <v>97</v>
      </c>
      <c r="AI184" s="123" t="str">
        <f>IFERROR(INDEX(TableWRVORP[WIDE RECEIVER],MATCH(TableOverallMaster[[#This Row],[RK]],TableWRVORP[RK],0)),"")</f>
        <v>Zay Jones</v>
      </c>
      <c r="AJ184" s="123" t="str">
        <f t="shared" si="2"/>
        <v>WR43</v>
      </c>
      <c r="AK184" s="123">
        <f>IFERROR(INDEX(TableWRVORP[BYE],MATCH(TableOverallMaster[[#This Row],[RK]],TableWRVORP[RK],0)),"")</f>
        <v>9</v>
      </c>
      <c r="AL184" s="124">
        <f>IFERROR(INDEX(TableWRVORP[FPS],MATCH(TableOverallMaster[[#This Row],[RK]],TableWRVORP[RK],0)),"")</f>
        <v>150.18755470457839</v>
      </c>
      <c r="AM184" s="125">
        <f>IFERROR(INDEX(TableWRVORP[VORP],MATCH(TableOverallMaster[[#This Row],[RK]],TableWRVORP[RK],0)),"")</f>
        <v>0.15269893687850064</v>
      </c>
      <c r="AO184">
        <v>183</v>
      </c>
      <c r="AP184" s="126" t="str">
        <f>IFERROR(INDEX(TableOverallMaster[OVERALL PLAYER],MATCH(TableOverallRank[[#This Row],[RK]],TableOverallMaster[OVR RK],0)),"")</f>
        <v>Rondale Moore</v>
      </c>
      <c r="AQ184" s="127" t="str">
        <f>IFERROR(INDEX(TableOverallMaster[POS RK],MATCH(TableOverallRank[[#This Row],[OVERALL PLAYER]],TableOverallMaster[OVERALL PLAYER],0)),"")</f>
        <v>WR72</v>
      </c>
      <c r="AR184" s="128">
        <f>IFERROR(INDEX(TableOverallMaster[BYE],MATCH(TableOverallRank[[#This Row],[OVERALL PLAYER]],TableOverallMaster[OVERALL PLAYER],0)),"")</f>
        <v>14</v>
      </c>
      <c r="AS184" s="127">
        <f>IFERROR(INDEX(TableOverallMaster[Custom],MATCH(TableOverallRank[[#This Row],[OVERALL PLAYER]],TableOverallMaster[OVERALL PLAYER],0)),"")</f>
        <v>98.677687369437947</v>
      </c>
      <c r="AT184" s="129">
        <f>IFERROR(INDEX(TableOverallMaster[VORP],MATCH(TableOverallRank[[#This Row],[OVERALL PLAYER]],TableOverallMaster[OVERALL PLAYER],0)),"")</f>
        <v>-0.24264253753834705</v>
      </c>
      <c r="AV184">
        <v>183</v>
      </c>
      <c r="AW184" s="130" t="str">
        <f>IFERROR(INDEX(TableWRTECalcPts[PLAYER],MATCH(TableWRTERank[[#This Row],[RK]],TableWRTECalcPts[RK],0)),"")</f>
        <v>Tre' McKitty</v>
      </c>
      <c r="AX184" s="130" t="str">
        <f>IFERROR(INDEX(TableWRTECalcPts[POS RK],MATCH(TableWRTERank[[#This Row],[WR and TE COMBINED]],TableWRTECalcPts[PLAYER],0)),"")</f>
        <v>TE55</v>
      </c>
      <c r="AY184" s="130">
        <f>IFERROR(INDEX(TableWRTECalcPts[BYE],MATCH(TableWRTERank[[#This Row],[RK]],TableWRTECalcPts[RK],0)),"")</f>
        <v>5</v>
      </c>
      <c r="AZ184" s="131">
        <f>IFERROR(INDEX(TableWRTECalcPts[Custom],MATCH(TableWRTERank[[#This Row],[RK]],TableWRTECalcPts[RK],0)),"")</f>
        <v>26.7579091087308</v>
      </c>
      <c r="BA184" s="188">
        <f>IFERROR((TableWRTERank[[#This Row],[FPS]]-INDEX(TableWRTERank[FPS],MATCH(WRTEVORPCalc,TableWRTERank[RK],0)))/INDEX(TableWRTERank[FPS],MATCH(WRTEVORPCalc,TableWRTERank[RK],0)),"")</f>
        <v>-0.80664855100898847</v>
      </c>
      <c r="BC184" t="s">
        <v>257</v>
      </c>
      <c r="BD184">
        <v>183</v>
      </c>
      <c r="BE184" s="86" t="e">
        <f>RANK(TableWRTEMaster[[#This Row],[VORP]],TableWRTEMaster[VORP])+COUNTIF($BJ$2:BJ184,BJ184)-1</f>
        <v>#VALUE!</v>
      </c>
      <c r="BF184" s="123" t="str">
        <f>IFERROR(INDEX(TableWRVORP[WIDE RECEIVER],MATCH(TableWRTEMaster[[#This Row],[RK]],TableWRVORP[RK],0)),"")</f>
        <v/>
      </c>
      <c r="BG184" s="123" t="str">
        <f>_xlfn.CONCAT(TableWRTEMaster[[#This Row],[POS]],TableWRTEMaster[[#This Row],[RK]])</f>
        <v>WR183</v>
      </c>
      <c r="BH184" s="123" t="str">
        <f>IFERROR(INDEX(TableWRVORP[BYE],MATCH(TableWRTEMaster[[#This Row],[RK]],TableWRVORP[RK],0)),"")</f>
        <v/>
      </c>
      <c r="BI184" s="124" t="str">
        <f>IFERROR(INDEX(TableWRVORP[FPS],MATCH(TableWRTEMaster[[#This Row],[RK]],TableWRVORP[RK],0)),"")</f>
        <v/>
      </c>
      <c r="BJ184" s="125" t="str">
        <f>IFERROR(INDEX(TableWRVORP[VORP],MATCH(TableWRTEMaster[[#This Row],[RK]],TableWRVORP[RK],0)),"")</f>
        <v/>
      </c>
    </row>
    <row r="185" spans="15:62" x14ac:dyDescent="0.2">
      <c r="O185">
        <v>184</v>
      </c>
      <c r="P185" s="120" t="str">
        <f>IFERROR(INDEX(TableWRCalcPts[PLAYER],MATCH(TableWRVORP[[#This Row],[RK]],TableWRCalcPts[RK],0)),"")</f>
        <v/>
      </c>
      <c r="Q185" s="120" t="str">
        <f>IFERROR(INDEX(TableWRCalcPts[TM],MATCH(TableWRVORP[[#This Row],[RK]],TableWRCalcPts[RK],0)),"")</f>
        <v/>
      </c>
      <c r="R185" s="120" t="str">
        <f>IFERROR(INDEX(TableWRCalcPts[BYE],MATCH(TableWRVORP[[#This Row],[RK]],TableWRCalcPts[RK],0)),"")</f>
        <v/>
      </c>
      <c r="S185" s="121" t="str">
        <f>IFERROR(INDEX(TableWRCalcPts[Custom],MATCH(TableWRVORP[[#This Row],[RK]],TableWRCalcPts[RK],0)),"")</f>
        <v/>
      </c>
      <c r="T185" s="122" t="str">
        <f>IFERROR((TableWRVORP[[#This Row],[FPS]]-INDEX(TableWRVORP[FPS],MATCH(WRVORPCalc,TableWRVORP[RK],0)))/INDEX(TableWRVORP[FPS],MATCH(WRVORPCalc,TableWRVORP[RK],0)),"")</f>
        <v/>
      </c>
      <c r="AF185" t="s">
        <v>257</v>
      </c>
      <c r="AG185">
        <v>44</v>
      </c>
      <c r="AH185" s="86">
        <f>RANK(TableOverallMaster[[#This Row],[VORP]],TableOverallMaster[VORP])+COUNTIF($AM$2:AM185,AM185)-1</f>
        <v>98</v>
      </c>
      <c r="AI185" s="123" t="str">
        <f>IFERROR(INDEX(TableWRVORP[WIDE RECEIVER],MATCH(TableOverallMaster[[#This Row],[RK]],TableWRVORP[RK],0)),"")</f>
        <v>Marquez Valdes-Scantling</v>
      </c>
      <c r="AJ185" s="123" t="str">
        <f t="shared" si="2"/>
        <v>WR44</v>
      </c>
      <c r="AK185" s="123">
        <f>IFERROR(INDEX(TableWRVORP[BYE],MATCH(TableOverallMaster[[#This Row],[RK]],TableWRVORP[RK],0)),"")</f>
        <v>10</v>
      </c>
      <c r="AL185" s="124">
        <f>IFERROR(INDEX(TableWRVORP[FPS],MATCH(TableOverallMaster[[#This Row],[RK]],TableWRVORP[RK],0)),"")</f>
        <v>149.61004613929302</v>
      </c>
      <c r="AM185" s="125">
        <f>IFERROR(INDEX(TableWRVORP[VORP],MATCH(TableOverallMaster[[#This Row],[RK]],TableWRVORP[RK],0)),"")</f>
        <v>0.14826652228494724</v>
      </c>
      <c r="AO185">
        <v>184</v>
      </c>
      <c r="AP185" s="126" t="str">
        <f>IFERROR(INDEX(TableOverallMaster[OVERALL PLAYER],MATCH(TableOverallRank[[#This Row],[RK]],TableOverallMaster[OVR RK],0)),"")</f>
        <v>Gerald Everett</v>
      </c>
      <c r="AQ185" s="127" t="str">
        <f>IFERROR(INDEX(TableOverallMaster[POS RK],MATCH(TableOverallRank[[#This Row],[OVERALL PLAYER]],TableOverallMaster[OVERALL PLAYER],0)),"")</f>
        <v>TE27</v>
      </c>
      <c r="AR185" s="128">
        <f>IFERROR(INDEX(TableOverallMaster[BYE],MATCH(TableOverallRank[[#This Row],[OVERALL PLAYER]],TableOverallMaster[OVERALL PLAYER],0)),"")</f>
        <v>5</v>
      </c>
      <c r="AS185" s="127">
        <f>IFERROR(INDEX(TableOverallMaster[Custom],MATCH(TableOverallRank[[#This Row],[OVERALL PLAYER]],TableOverallMaster[OVERALL PLAYER],0)),"")</f>
        <v>88.829688450900846</v>
      </c>
      <c r="AT185" s="129">
        <f>IFERROR(INDEX(TableOverallMaster[VORP],MATCH(TableOverallRank[[#This Row],[OVERALL PLAYER]],TableOverallMaster[OVERALL PLAYER],0)),"")</f>
        <v>-0.25246529876759821</v>
      </c>
      <c r="AV185">
        <v>184</v>
      </c>
      <c r="AW185" s="130" t="str">
        <f>IFERROR(INDEX(TableWRTECalcPts[PLAYER],MATCH(TableWRTERank[[#This Row],[RK]],TableWRTECalcPts[RK],0)),"")</f>
        <v>River Cracraft</v>
      </c>
      <c r="AX185" s="130" t="str">
        <f>IFERROR(INDEX(TableWRTECalcPts[POS RK],MATCH(TableWRTERank[[#This Row],[WR and TE COMBINED]],TableWRTECalcPts[PLAYER],0)),"")</f>
        <v>WR129</v>
      </c>
      <c r="AY185" s="130">
        <f>IFERROR(INDEX(TableWRTECalcPts[BYE],MATCH(TableWRTERank[[#This Row],[RK]],TableWRTECalcPts[RK],0)),"")</f>
        <v>10</v>
      </c>
      <c r="AZ185" s="131">
        <f>IFERROR(INDEX(TableWRTECalcPts[Custom],MATCH(TableWRTERank[[#This Row],[RK]],TableWRTECalcPts[RK],0)),"")</f>
        <v>26.416578674304006</v>
      </c>
      <c r="BA185" s="188">
        <f>IFERROR((TableWRTERank[[#This Row],[FPS]]-INDEX(TableWRTERank[FPS],MATCH(WRTEVORPCalc,TableWRTERank[RK],0)))/INDEX(TableWRTERank[FPS],MATCH(WRTEVORPCalc,TableWRTERank[RK],0)),"")</f>
        <v>-0.80911498939223336</v>
      </c>
      <c r="BC185" t="s">
        <v>257</v>
      </c>
      <c r="BD185">
        <v>184</v>
      </c>
      <c r="BE185" s="86" t="e">
        <f>RANK(TableWRTEMaster[[#This Row],[VORP]],TableWRTEMaster[VORP])+COUNTIF($BJ$2:BJ185,BJ185)-1</f>
        <v>#VALUE!</v>
      </c>
      <c r="BF185" s="123" t="str">
        <f>IFERROR(INDEX(TableWRVORP[WIDE RECEIVER],MATCH(TableWRTEMaster[[#This Row],[RK]],TableWRVORP[RK],0)),"")</f>
        <v/>
      </c>
      <c r="BG185" s="123" t="str">
        <f>_xlfn.CONCAT(TableWRTEMaster[[#This Row],[POS]],TableWRTEMaster[[#This Row],[RK]])</f>
        <v>WR184</v>
      </c>
      <c r="BH185" s="123" t="str">
        <f>IFERROR(INDEX(TableWRVORP[BYE],MATCH(TableWRTEMaster[[#This Row],[RK]],TableWRVORP[RK],0)),"")</f>
        <v/>
      </c>
      <c r="BI185" s="124" t="str">
        <f>IFERROR(INDEX(TableWRVORP[FPS],MATCH(TableWRTEMaster[[#This Row],[RK]],TableWRVORP[RK],0)),"")</f>
        <v/>
      </c>
      <c r="BJ185" s="125" t="str">
        <f>IFERROR(INDEX(TableWRVORP[VORP],MATCH(TableWRTEMaster[[#This Row],[RK]],TableWRVORP[RK],0)),"")</f>
        <v/>
      </c>
    </row>
    <row r="186" spans="15:62" x14ac:dyDescent="0.2">
      <c r="O186">
        <v>185</v>
      </c>
      <c r="P186" s="120" t="str">
        <f>IFERROR(INDEX(TableWRCalcPts[PLAYER],MATCH(TableWRVORP[[#This Row],[RK]],TableWRCalcPts[RK],0)),"")</f>
        <v/>
      </c>
      <c r="Q186" s="120" t="str">
        <f>IFERROR(INDEX(TableWRCalcPts[TM],MATCH(TableWRVORP[[#This Row],[RK]],TableWRCalcPts[RK],0)),"")</f>
        <v/>
      </c>
      <c r="R186" s="120" t="str">
        <f>IFERROR(INDEX(TableWRCalcPts[BYE],MATCH(TableWRVORP[[#This Row],[RK]],TableWRCalcPts[RK],0)),"")</f>
        <v/>
      </c>
      <c r="S186" s="121" t="str">
        <f>IFERROR(INDEX(TableWRCalcPts[Custom],MATCH(TableWRVORP[[#This Row],[RK]],TableWRCalcPts[RK],0)),"")</f>
        <v/>
      </c>
      <c r="T186" s="122" t="str">
        <f>IFERROR((TableWRVORP[[#This Row],[FPS]]-INDEX(TableWRVORP[FPS],MATCH(WRVORPCalc,TableWRVORP[RK],0)))/INDEX(TableWRVORP[FPS],MATCH(WRVORPCalc,TableWRVORP[RK],0)),"")</f>
        <v/>
      </c>
      <c r="AF186" t="s">
        <v>257</v>
      </c>
      <c r="AG186">
        <v>45</v>
      </c>
      <c r="AH186" s="86">
        <f>RANK(TableOverallMaster[[#This Row],[VORP]],TableOverallMaster[VORP])+COUNTIF($AM$2:AM186,AM186)-1</f>
        <v>99</v>
      </c>
      <c r="AI186" s="123" t="str">
        <f>IFERROR(INDEX(TableWRVORP[WIDE RECEIVER],MATCH(TableOverallMaster[[#This Row],[RK]],TableWRVORP[RK],0)),"")</f>
        <v>Michael Pittman</v>
      </c>
      <c r="AJ186" s="123" t="str">
        <f t="shared" si="2"/>
        <v>WR45</v>
      </c>
      <c r="AK186" s="123">
        <f>IFERROR(INDEX(TableWRVORP[BYE],MATCH(TableOverallMaster[[#This Row],[RK]],TableWRVORP[RK],0)),"")</f>
        <v>11</v>
      </c>
      <c r="AL186" s="124">
        <f>IFERROR(INDEX(TableWRVORP[FPS],MATCH(TableOverallMaster[[#This Row],[RK]],TableWRVORP[RK],0)),"")</f>
        <v>147.32864579569036</v>
      </c>
      <c r="AM186" s="125">
        <f>IFERROR(INDEX(TableWRVORP[VORP],MATCH(TableOverallMaster[[#This Row],[RK]],TableWRVORP[RK],0)),"")</f>
        <v>0.13075663103039006</v>
      </c>
      <c r="AO186">
        <v>185</v>
      </c>
      <c r="AP186" s="126" t="str">
        <f>IFERROR(INDEX(TableOverallMaster[OVERALL PLAYER],MATCH(TableOverallRank[[#This Row],[RK]],TableOverallMaster[OVR RK],0)),"")</f>
        <v>Jameson Williams</v>
      </c>
      <c r="AQ186" s="127" t="str">
        <f>IFERROR(INDEX(TableOverallMaster[POS RK],MATCH(TableOverallRank[[#This Row],[OVERALL PLAYER]],TableOverallMaster[OVERALL PLAYER],0)),"")</f>
        <v>WR73</v>
      </c>
      <c r="AR186" s="128">
        <f>IFERROR(INDEX(TableOverallMaster[BYE],MATCH(TableOverallRank[[#This Row],[OVERALL PLAYER]],TableOverallMaster[OVERALL PLAYER],0)),"")</f>
        <v>9</v>
      </c>
      <c r="AS186" s="127">
        <f>IFERROR(INDEX(TableOverallMaster[Custom],MATCH(TableOverallRank[[#This Row],[OVERALL PLAYER]],TableOverallMaster[OVERALL PLAYER],0)),"")</f>
        <v>96.934568288463439</v>
      </c>
      <c r="AT186" s="129">
        <f>IFERROR(INDEX(TableOverallMaster[VORP],MATCH(TableOverallRank[[#This Row],[OVERALL PLAYER]],TableOverallMaster[OVERALL PLAYER],0)),"")</f>
        <v>-0.2560210862166597</v>
      </c>
      <c r="AV186">
        <v>185</v>
      </c>
      <c r="AW186" s="130" t="str">
        <f>IFERROR(INDEX(TableWRTECalcPts[PLAYER],MATCH(TableWRTERank[[#This Row],[RK]],TableWRTECalcPts[RK],0)),"")</f>
        <v>Brandon Powell</v>
      </c>
      <c r="AX186" s="130" t="str">
        <f>IFERROR(INDEX(TableWRTECalcPts[POS RK],MATCH(TableWRTERank[[#This Row],[WR and TE COMBINED]],TableWRTECalcPts[PLAYER],0)),"")</f>
        <v>WR130</v>
      </c>
      <c r="AY186" s="130">
        <f>IFERROR(INDEX(TableWRTECalcPts[BYE],MATCH(TableWRTERank[[#This Row],[RK]],TableWRTECalcPts[RK],0)),"")</f>
        <v>13</v>
      </c>
      <c r="AZ186" s="131">
        <f>IFERROR(INDEX(TableWRTECalcPts[Custom],MATCH(TableWRTERank[[#This Row],[RK]],TableWRTECalcPts[RK],0)),"")</f>
        <v>26.324510102351994</v>
      </c>
      <c r="BA186" s="188">
        <f>IFERROR((TableWRTERank[[#This Row],[FPS]]-INDEX(TableWRTERank[FPS],MATCH(WRTEVORPCalc,TableWRTERank[RK],0)))/INDEX(TableWRTERank[FPS],MATCH(WRTEVORPCalc,TableWRTERank[RK],0)),"")</f>
        <v>-0.80978027275653208</v>
      </c>
      <c r="BC186" t="s">
        <v>257</v>
      </c>
      <c r="BD186">
        <v>185</v>
      </c>
      <c r="BE186" s="86" t="e">
        <f>RANK(TableWRTEMaster[[#This Row],[VORP]],TableWRTEMaster[VORP])+COUNTIF($BJ$2:BJ186,BJ186)-1</f>
        <v>#VALUE!</v>
      </c>
      <c r="BF186" s="123" t="str">
        <f>IFERROR(INDEX(TableWRVORP[WIDE RECEIVER],MATCH(TableWRTEMaster[[#This Row],[RK]],TableWRVORP[RK],0)),"")</f>
        <v/>
      </c>
      <c r="BG186" s="123" t="str">
        <f>_xlfn.CONCAT(TableWRTEMaster[[#This Row],[POS]],TableWRTEMaster[[#This Row],[RK]])</f>
        <v>WR185</v>
      </c>
      <c r="BH186" s="123" t="str">
        <f>IFERROR(INDEX(TableWRVORP[BYE],MATCH(TableWRTEMaster[[#This Row],[RK]],TableWRVORP[RK],0)),"")</f>
        <v/>
      </c>
      <c r="BI186" s="124" t="str">
        <f>IFERROR(INDEX(TableWRVORP[FPS],MATCH(TableWRTEMaster[[#This Row],[RK]],TableWRVORP[RK],0)),"")</f>
        <v/>
      </c>
      <c r="BJ186" s="125" t="str">
        <f>IFERROR(INDEX(TableWRVORP[VORP],MATCH(TableWRTEMaster[[#This Row],[RK]],TableWRVORP[RK],0)),"")</f>
        <v/>
      </c>
    </row>
    <row r="187" spans="15:62" x14ac:dyDescent="0.2">
      <c r="O187">
        <v>186</v>
      </c>
      <c r="P187" s="120" t="str">
        <f>IFERROR(INDEX(TableWRCalcPts[PLAYER],MATCH(TableWRVORP[[#This Row],[RK]],TableWRCalcPts[RK],0)),"")</f>
        <v/>
      </c>
      <c r="Q187" s="120" t="str">
        <f>IFERROR(INDEX(TableWRCalcPts[TM],MATCH(TableWRVORP[[#This Row],[RK]],TableWRCalcPts[RK],0)),"")</f>
        <v/>
      </c>
      <c r="R187" s="120" t="str">
        <f>IFERROR(INDEX(TableWRCalcPts[BYE],MATCH(TableWRVORP[[#This Row],[RK]],TableWRCalcPts[RK],0)),"")</f>
        <v/>
      </c>
      <c r="S187" s="121" t="str">
        <f>IFERROR(INDEX(TableWRCalcPts[Custom],MATCH(TableWRVORP[[#This Row],[RK]],TableWRCalcPts[RK],0)),"")</f>
        <v/>
      </c>
      <c r="T187" s="122" t="str">
        <f>IFERROR((TableWRVORP[[#This Row],[FPS]]-INDEX(TableWRVORP[FPS],MATCH(WRVORPCalc,TableWRVORP[RK],0)))/INDEX(TableWRVORP[FPS],MATCH(WRVORPCalc,TableWRVORP[RK],0)),"")</f>
        <v/>
      </c>
      <c r="AF187" t="s">
        <v>257</v>
      </c>
      <c r="AG187">
        <v>46</v>
      </c>
      <c r="AH187" s="86">
        <f>RANK(TableOverallMaster[[#This Row],[VORP]],TableOverallMaster[VORP])+COUNTIF($AM$2:AM187,AM187)-1</f>
        <v>100</v>
      </c>
      <c r="AI187" s="123" t="str">
        <f>IFERROR(INDEX(TableWRVORP[WIDE RECEIVER],MATCH(TableOverallMaster[[#This Row],[RK]],TableWRVORP[RK],0)),"")</f>
        <v>Jonathan Mingo</v>
      </c>
      <c r="AJ187" s="123" t="str">
        <f t="shared" si="2"/>
        <v>WR46</v>
      </c>
      <c r="AK187" s="123">
        <f>IFERROR(INDEX(TableWRVORP[BYE],MATCH(TableOverallMaster[[#This Row],[RK]],TableWRVORP[RK],0)),"")</f>
        <v>7</v>
      </c>
      <c r="AL187" s="124">
        <f>IFERROR(INDEX(TableWRVORP[FPS],MATCH(TableOverallMaster[[#This Row],[RK]],TableWRVORP[RK],0)),"")</f>
        <v>147.26314162241712</v>
      </c>
      <c r="AM187" s="125">
        <f>IFERROR(INDEX(TableWRVORP[VORP],MATCH(TableOverallMaster[[#This Row],[RK]],TableWRVORP[RK],0)),"")</f>
        <v>0.13025388237693677</v>
      </c>
      <c r="AO187">
        <v>186</v>
      </c>
      <c r="AP187" s="126" t="str">
        <f>IFERROR(INDEX(TableOverallMaster[OVERALL PLAYER],MATCH(TableOverallRank[[#This Row],[RK]],TableOverallMaster[OVR RK],0)),"")</f>
        <v>Darnell Mooney</v>
      </c>
      <c r="AQ187" s="127" t="str">
        <f>IFERROR(INDEX(TableOverallMaster[POS RK],MATCH(TableOverallRank[[#This Row],[OVERALL PLAYER]],TableOverallMaster[OVERALL PLAYER],0)),"")</f>
        <v>WR74</v>
      </c>
      <c r="AR187" s="128">
        <f>IFERROR(INDEX(TableOverallMaster[BYE],MATCH(TableOverallRank[[#This Row],[OVERALL PLAYER]],TableOverallMaster[OVERALL PLAYER],0)),"")</f>
        <v>13</v>
      </c>
      <c r="AS187" s="127">
        <f>IFERROR(INDEX(TableOverallMaster[Custom],MATCH(TableOverallRank[[#This Row],[OVERALL PLAYER]],TableOverallMaster[OVERALL PLAYER],0)),"")</f>
        <v>96.007529586463335</v>
      </c>
      <c r="AT187" s="129">
        <f>IFERROR(INDEX(TableOverallMaster[VORP],MATCH(TableOverallRank[[#This Row],[OVERALL PLAYER]],TableOverallMaster[OVERALL PLAYER],0)),"")</f>
        <v>-0.26313616661291955</v>
      </c>
      <c r="AV187">
        <v>186</v>
      </c>
      <c r="AW187" s="130" t="str">
        <f>IFERROR(INDEX(TableWRTECalcPts[PLAYER],MATCH(TableWRTERank[[#This Row],[RK]],TableWRTECalcPts[RK],0)),"")</f>
        <v>Jason Brownlee</v>
      </c>
      <c r="AX187" s="130" t="str">
        <f>IFERROR(INDEX(TableWRTECalcPts[POS RK],MATCH(TableWRTERank[[#This Row],[WR and TE COMBINED]],TableWRTECalcPts[PLAYER],0)),"")</f>
        <v>WR131</v>
      </c>
      <c r="AY187" s="130">
        <f>IFERROR(INDEX(TableWRTECalcPts[BYE],MATCH(TableWRTERank[[#This Row],[RK]],TableWRTECalcPts[RK],0)),"")</f>
        <v>7</v>
      </c>
      <c r="AZ187" s="131">
        <f>IFERROR(INDEX(TableWRTECalcPts[Custom],MATCH(TableWRTERank[[#This Row],[RK]],TableWRTECalcPts[RK],0)),"")</f>
        <v>26.314535347600497</v>
      </c>
      <c r="BA187" s="188">
        <f>IFERROR((TableWRTERank[[#This Row],[FPS]]-INDEX(TableWRTERank[FPS],MATCH(WRTEVORPCalc,TableWRTERank[RK],0)))/INDEX(TableWRTERank[FPS],MATCH(WRTEVORPCalc,TableWRTERank[RK],0)),"")</f>
        <v>-0.80985234988620225</v>
      </c>
      <c r="BC187" t="s">
        <v>257</v>
      </c>
      <c r="BD187">
        <v>186</v>
      </c>
      <c r="BE187" s="86" t="e">
        <f>RANK(TableWRTEMaster[[#This Row],[VORP]],TableWRTEMaster[VORP])+COUNTIF($BJ$2:BJ187,BJ187)-1</f>
        <v>#VALUE!</v>
      </c>
      <c r="BF187" s="123" t="str">
        <f>IFERROR(INDEX(TableWRVORP[WIDE RECEIVER],MATCH(TableWRTEMaster[[#This Row],[RK]],TableWRVORP[RK],0)),"")</f>
        <v/>
      </c>
      <c r="BG187" s="123" t="str">
        <f>_xlfn.CONCAT(TableWRTEMaster[[#This Row],[POS]],TableWRTEMaster[[#This Row],[RK]])</f>
        <v>WR186</v>
      </c>
      <c r="BH187" s="123" t="str">
        <f>IFERROR(INDEX(TableWRVORP[BYE],MATCH(TableWRTEMaster[[#This Row],[RK]],TableWRVORP[RK],0)),"")</f>
        <v/>
      </c>
      <c r="BI187" s="124" t="str">
        <f>IFERROR(INDEX(TableWRVORP[FPS],MATCH(TableWRTEMaster[[#This Row],[RK]],TableWRVORP[RK],0)),"")</f>
        <v/>
      </c>
      <c r="BJ187" s="125" t="str">
        <f>IFERROR(INDEX(TableWRVORP[VORP],MATCH(TableWRTEMaster[[#This Row],[RK]],TableWRVORP[RK],0)),"")</f>
        <v/>
      </c>
    </row>
    <row r="188" spans="15:62" x14ac:dyDescent="0.2">
      <c r="O188">
        <v>187</v>
      </c>
      <c r="P188" s="120" t="str">
        <f>IFERROR(INDEX(TableWRCalcPts[PLAYER],MATCH(TableWRVORP[[#This Row],[RK]],TableWRCalcPts[RK],0)),"")</f>
        <v/>
      </c>
      <c r="Q188" s="120" t="str">
        <f>IFERROR(INDEX(TableWRCalcPts[TM],MATCH(TableWRVORP[[#This Row],[RK]],TableWRCalcPts[RK],0)),"")</f>
        <v/>
      </c>
      <c r="R188" s="120" t="str">
        <f>IFERROR(INDEX(TableWRCalcPts[BYE],MATCH(TableWRVORP[[#This Row],[RK]],TableWRCalcPts[RK],0)),"")</f>
        <v/>
      </c>
      <c r="S188" s="121" t="str">
        <f>IFERROR(INDEX(TableWRCalcPts[Custom],MATCH(TableWRVORP[[#This Row],[RK]],TableWRCalcPts[RK],0)),"")</f>
        <v/>
      </c>
      <c r="T188" s="122" t="str">
        <f>IFERROR((TableWRVORP[[#This Row],[FPS]]-INDEX(TableWRVORP[FPS],MATCH(WRVORPCalc,TableWRVORP[RK],0)))/INDEX(TableWRVORP[FPS],MATCH(WRVORPCalc,TableWRVORP[RK],0)),"")</f>
        <v/>
      </c>
      <c r="AF188" t="s">
        <v>257</v>
      </c>
      <c r="AG188">
        <v>47</v>
      </c>
      <c r="AH188" s="86">
        <f>RANK(TableOverallMaster[[#This Row],[VORP]],TableOverallMaster[VORP])+COUNTIF($AM$2:AM188,AM188)-1</f>
        <v>101</v>
      </c>
      <c r="AI188" s="123" t="str">
        <f>IFERROR(INDEX(TableWRVORP[WIDE RECEIVER],MATCH(TableOverallMaster[[#This Row],[RK]],TableWRVORP[RK],0)),"")</f>
        <v>Adam Thielen</v>
      </c>
      <c r="AJ188" s="123" t="str">
        <f t="shared" si="2"/>
        <v>WR47</v>
      </c>
      <c r="AK188" s="123">
        <f>IFERROR(INDEX(TableWRVORP[BYE],MATCH(TableOverallMaster[[#This Row],[RK]],TableWRVORP[RK],0)),"")</f>
        <v>7</v>
      </c>
      <c r="AL188" s="124">
        <f>IFERROR(INDEX(TableWRVORP[FPS],MATCH(TableOverallMaster[[#This Row],[RK]],TableWRVORP[RK],0)),"")</f>
        <v>146.5873035192601</v>
      </c>
      <c r="AM188" s="125">
        <f>IFERROR(INDEX(TableWRVORP[VORP],MATCH(TableOverallMaster[[#This Row],[RK]],TableWRVORP[RK],0)),"")</f>
        <v>0.12506678239023372</v>
      </c>
      <c r="AO188">
        <v>187</v>
      </c>
      <c r="AP188" s="126" t="str">
        <f>IFERROR(INDEX(TableOverallMaster[OVERALL PLAYER],MATCH(TableOverallRank[[#This Row],[RK]],TableOverallMaster[OVR RK],0)),"")</f>
        <v>Rashod Bateman</v>
      </c>
      <c r="AQ188" s="127" t="str">
        <f>IFERROR(INDEX(TableOverallMaster[POS RK],MATCH(TableOverallRank[[#This Row],[OVERALL PLAYER]],TableOverallMaster[OVERALL PLAYER],0)),"")</f>
        <v>WR75</v>
      </c>
      <c r="AR188" s="128">
        <f>IFERROR(INDEX(TableOverallMaster[BYE],MATCH(TableOverallRank[[#This Row],[OVERALL PLAYER]],TableOverallMaster[OVERALL PLAYER],0)),"")</f>
        <v>13</v>
      </c>
      <c r="AS188" s="127">
        <f>IFERROR(INDEX(TableOverallMaster[Custom],MATCH(TableOverallRank[[#This Row],[OVERALL PLAYER]],TableOverallMaster[OVERALL PLAYER],0)),"")</f>
        <v>95.75240316946082</v>
      </c>
      <c r="AT188" s="129">
        <f>IFERROR(INDEX(TableOverallMaster[VORP],MATCH(TableOverallRank[[#This Row],[OVERALL PLAYER]],TableOverallMaster[OVERALL PLAYER],0)),"")</f>
        <v>-0.26509427792398582</v>
      </c>
      <c r="AV188">
        <v>187</v>
      </c>
      <c r="AW188" s="130" t="str">
        <f>IFERROR(INDEX(TableWRTECalcPts[PLAYER],MATCH(TableWRTERank[[#This Row],[RK]],TableWRTECalcPts[RK],0)),"")</f>
        <v>Samori Toure</v>
      </c>
      <c r="AX188" s="130" t="str">
        <f>IFERROR(INDEX(TableWRTECalcPts[POS RK],MATCH(TableWRTERank[[#This Row],[WR and TE COMBINED]],TableWRTECalcPts[PLAYER],0)),"")</f>
        <v>WR132</v>
      </c>
      <c r="AY188" s="130">
        <f>IFERROR(INDEX(TableWRTECalcPts[BYE],MATCH(TableWRTERank[[#This Row],[RK]],TableWRTECalcPts[RK],0)),"")</f>
        <v>6</v>
      </c>
      <c r="AZ188" s="131">
        <f>IFERROR(INDEX(TableWRTECalcPts[Custom],MATCH(TableWRTERank[[#This Row],[RK]],TableWRTECalcPts[RK],0)),"")</f>
        <v>25.989920188422406</v>
      </c>
      <c r="BA188" s="188">
        <f>IFERROR((TableWRTERank[[#This Row],[FPS]]-INDEX(TableWRTERank[FPS],MATCH(WRTEVORPCalc,TableWRTERank[RK],0)))/INDEX(TableWRTERank[FPS],MATCH(WRTEVORPCalc,TableWRTERank[RK],0)),"")</f>
        <v>-0.81219800444151469</v>
      </c>
      <c r="BC188" t="s">
        <v>257</v>
      </c>
      <c r="BD188">
        <v>187</v>
      </c>
      <c r="BE188" s="86" t="e">
        <f>RANK(TableWRTEMaster[[#This Row],[VORP]],TableWRTEMaster[VORP])+COUNTIF($BJ$2:BJ188,BJ188)-1</f>
        <v>#VALUE!</v>
      </c>
      <c r="BF188" s="123" t="str">
        <f>IFERROR(INDEX(TableWRVORP[WIDE RECEIVER],MATCH(TableWRTEMaster[[#This Row],[RK]],TableWRVORP[RK],0)),"")</f>
        <v/>
      </c>
      <c r="BG188" s="123" t="str">
        <f>_xlfn.CONCAT(TableWRTEMaster[[#This Row],[POS]],TableWRTEMaster[[#This Row],[RK]])</f>
        <v>WR187</v>
      </c>
      <c r="BH188" s="123" t="str">
        <f>IFERROR(INDEX(TableWRVORP[BYE],MATCH(TableWRTEMaster[[#This Row],[RK]],TableWRVORP[RK],0)),"")</f>
        <v/>
      </c>
      <c r="BI188" s="124" t="str">
        <f>IFERROR(INDEX(TableWRVORP[FPS],MATCH(TableWRTEMaster[[#This Row],[RK]],TableWRVORP[RK],0)),"")</f>
        <v/>
      </c>
      <c r="BJ188" s="125" t="str">
        <f>IFERROR(INDEX(TableWRVORP[VORP],MATCH(TableWRTEMaster[[#This Row],[RK]],TableWRVORP[RK],0)),"")</f>
        <v/>
      </c>
    </row>
    <row r="189" spans="15:62" x14ac:dyDescent="0.2">
      <c r="O189">
        <v>188</v>
      </c>
      <c r="P189" s="120" t="str">
        <f>IFERROR(INDEX(TableWRCalcPts[PLAYER],MATCH(TableWRVORP[[#This Row],[RK]],TableWRCalcPts[RK],0)),"")</f>
        <v/>
      </c>
      <c r="Q189" s="120" t="str">
        <f>IFERROR(INDEX(TableWRCalcPts[TM],MATCH(TableWRVORP[[#This Row],[RK]],TableWRCalcPts[RK],0)),"")</f>
        <v/>
      </c>
      <c r="R189" s="120" t="str">
        <f>IFERROR(INDEX(TableWRCalcPts[BYE],MATCH(TableWRVORP[[#This Row],[RK]],TableWRCalcPts[RK],0)),"")</f>
        <v/>
      </c>
      <c r="S189" s="121" t="str">
        <f>IFERROR(INDEX(TableWRCalcPts[Custom],MATCH(TableWRVORP[[#This Row],[RK]],TableWRCalcPts[RK],0)),"")</f>
        <v/>
      </c>
      <c r="T189" s="122" t="str">
        <f>IFERROR((TableWRVORP[[#This Row],[FPS]]-INDEX(TableWRVORP[FPS],MATCH(WRVORPCalc,TableWRVORP[RK],0)))/INDEX(TableWRVORP[FPS],MATCH(WRVORPCalc,TableWRVORP[RK],0)),"")</f>
        <v/>
      </c>
      <c r="AF189" t="s">
        <v>257</v>
      </c>
      <c r="AG189">
        <v>48</v>
      </c>
      <c r="AH189" s="86">
        <f>RANK(TableOverallMaster[[#This Row],[VORP]],TableOverallMaster[VORP])+COUNTIF($AM$2:AM189,AM189)-1</f>
        <v>102</v>
      </c>
      <c r="AI189" s="123" t="str">
        <f>IFERROR(INDEX(TableWRVORP[WIDE RECEIVER],MATCH(TableOverallMaster[[#This Row],[RK]],TableWRVORP[RK],0)),"")</f>
        <v>Treylon Burks</v>
      </c>
      <c r="AJ189" s="123" t="str">
        <f t="shared" si="2"/>
        <v>WR48</v>
      </c>
      <c r="AK189" s="123">
        <f>IFERROR(INDEX(TableWRVORP[BYE],MATCH(TableOverallMaster[[#This Row],[RK]],TableWRVORP[RK],0)),"")</f>
        <v>7</v>
      </c>
      <c r="AL189" s="124">
        <f>IFERROR(INDEX(TableWRVORP[FPS],MATCH(TableOverallMaster[[#This Row],[RK]],TableWRVORP[RK],0)),"")</f>
        <v>146.50792170981475</v>
      </c>
      <c r="AM189" s="125">
        <f>IFERROR(INDEX(TableWRVORP[VORP],MATCH(TableOverallMaster[[#This Row],[RK]],TableWRVORP[RK],0)),"")</f>
        <v>0.1244575220055425</v>
      </c>
      <c r="AO189">
        <v>188</v>
      </c>
      <c r="AP189" s="126" t="str">
        <f>IFERROR(INDEX(TableOverallMaster[OVERALL PLAYER],MATCH(TableOverallRank[[#This Row],[RK]],TableOverallMaster[OVR RK],0)),"")</f>
        <v>Greg Dulcich</v>
      </c>
      <c r="AQ189" s="127" t="str">
        <f>IFERROR(INDEX(TableOverallMaster[POS RK],MATCH(TableOverallRank[[#This Row],[OVERALL PLAYER]],TableOverallMaster[OVERALL PLAYER],0)),"")</f>
        <v>TE28</v>
      </c>
      <c r="AR189" s="128">
        <f>IFERROR(INDEX(TableOverallMaster[BYE],MATCH(TableOverallRank[[#This Row],[OVERALL PLAYER]],TableOverallMaster[OVERALL PLAYER],0)),"")</f>
        <v>9</v>
      </c>
      <c r="AS189" s="127">
        <f>IFERROR(INDEX(TableOverallMaster[Custom],MATCH(TableOverallRank[[#This Row],[OVERALL PLAYER]],TableOverallMaster[OVERALL PLAYER],0)),"")</f>
        <v>86.581473187303459</v>
      </c>
      <c r="AT189" s="129">
        <f>IFERROR(INDEX(TableOverallMaster[VORP],MATCH(TableOverallRank[[#This Row],[OVERALL PLAYER]],TableOverallMaster[OVERALL PLAYER],0)),"")</f>
        <v>-0.27138486220058639</v>
      </c>
      <c r="AV189">
        <v>188</v>
      </c>
      <c r="AW189" s="130" t="str">
        <f>IFERROR(INDEX(TableWRTECalcPts[PLAYER],MATCH(TableWRTERank[[#This Row],[RK]],TableWRTECalcPts[RK],0)),"")</f>
        <v>Nelson Agholor</v>
      </c>
      <c r="AX189" s="130" t="str">
        <f>IFERROR(INDEX(TableWRTECalcPts[POS RK],MATCH(TableWRTERank[[#This Row],[WR and TE COMBINED]],TableWRTECalcPts[PLAYER],0)),"")</f>
        <v>WR133</v>
      </c>
      <c r="AY189" s="130">
        <f>IFERROR(INDEX(TableWRTECalcPts[BYE],MATCH(TableWRTERank[[#This Row],[RK]],TableWRTECalcPts[RK],0)),"")</f>
        <v>13</v>
      </c>
      <c r="AZ189" s="131">
        <f>IFERROR(INDEX(TableWRTECalcPts[Custom],MATCH(TableWRTERank[[#This Row],[RK]],TableWRTECalcPts[RK],0)),"")</f>
        <v>24.648219082428216</v>
      </c>
      <c r="BA189" s="188">
        <f>IFERROR((TableWRTERank[[#This Row],[FPS]]-INDEX(TableWRTERank[FPS],MATCH(WRTEVORPCalc,TableWRTERank[RK],0)))/INDEX(TableWRTERank[FPS],MATCH(WRTEVORPCalc,TableWRTERank[RK],0)),"")</f>
        <v>-0.82189307635100761</v>
      </c>
      <c r="BC189" t="s">
        <v>257</v>
      </c>
      <c r="BD189">
        <v>188</v>
      </c>
      <c r="BE189" s="86" t="e">
        <f>RANK(TableWRTEMaster[[#This Row],[VORP]],TableWRTEMaster[VORP])+COUNTIF($BJ$2:BJ189,BJ189)-1</f>
        <v>#VALUE!</v>
      </c>
      <c r="BF189" s="123" t="str">
        <f>IFERROR(INDEX(TableWRVORP[WIDE RECEIVER],MATCH(TableWRTEMaster[[#This Row],[RK]],TableWRVORP[RK],0)),"")</f>
        <v/>
      </c>
      <c r="BG189" s="123" t="str">
        <f>_xlfn.CONCAT(TableWRTEMaster[[#This Row],[POS]],TableWRTEMaster[[#This Row],[RK]])</f>
        <v>WR188</v>
      </c>
      <c r="BH189" s="123" t="str">
        <f>IFERROR(INDEX(TableWRVORP[BYE],MATCH(TableWRTEMaster[[#This Row],[RK]],TableWRVORP[RK],0)),"")</f>
        <v/>
      </c>
      <c r="BI189" s="124" t="str">
        <f>IFERROR(INDEX(TableWRVORP[FPS],MATCH(TableWRTEMaster[[#This Row],[RK]],TableWRVORP[RK],0)),"")</f>
        <v/>
      </c>
      <c r="BJ189" s="125" t="str">
        <f>IFERROR(INDEX(TableWRVORP[VORP],MATCH(TableWRTEMaster[[#This Row],[RK]],TableWRVORP[RK],0)),"")</f>
        <v/>
      </c>
    </row>
    <row r="190" spans="15:62" x14ac:dyDescent="0.2">
      <c r="O190">
        <v>189</v>
      </c>
      <c r="P190" s="120" t="str">
        <f>IFERROR(INDEX(TableWRCalcPts[PLAYER],MATCH(TableWRVORP[[#This Row],[RK]],TableWRCalcPts[RK],0)),"")</f>
        <v/>
      </c>
      <c r="Q190" s="120" t="str">
        <f>IFERROR(INDEX(TableWRCalcPts[TM],MATCH(TableWRVORP[[#This Row],[RK]],TableWRCalcPts[RK],0)),"")</f>
        <v/>
      </c>
      <c r="R190" s="120" t="str">
        <f>IFERROR(INDEX(TableWRCalcPts[BYE],MATCH(TableWRVORP[[#This Row],[RK]],TableWRCalcPts[RK],0)),"")</f>
        <v/>
      </c>
      <c r="S190" s="121" t="str">
        <f>IFERROR(INDEX(TableWRCalcPts[Custom],MATCH(TableWRVORP[[#This Row],[RK]],TableWRCalcPts[RK],0)),"")</f>
        <v/>
      </c>
      <c r="T190" s="122" t="str">
        <f>IFERROR((TableWRVORP[[#This Row],[FPS]]-INDEX(TableWRVORP[FPS],MATCH(WRVORPCalc,TableWRVORP[RK],0)))/INDEX(TableWRVORP[FPS],MATCH(WRVORPCalc,TableWRVORP[RK],0)),"")</f>
        <v/>
      </c>
      <c r="AF190" t="s">
        <v>257</v>
      </c>
      <c r="AG190">
        <v>49</v>
      </c>
      <c r="AH190" s="86">
        <f>RANK(TableOverallMaster[[#This Row],[VORP]],TableOverallMaster[VORP])+COUNTIF($AM$2:AM190,AM190)-1</f>
        <v>103</v>
      </c>
      <c r="AI190" s="123" t="str">
        <f>IFERROR(INDEX(TableWRVORP[WIDE RECEIVER],MATCH(TableOverallMaster[[#This Row],[RK]],TableWRVORP[RK],0)),"")</f>
        <v>Quentin Johnston</v>
      </c>
      <c r="AJ190" s="123" t="str">
        <f t="shared" si="2"/>
        <v>WR49</v>
      </c>
      <c r="AK190" s="123">
        <f>IFERROR(INDEX(TableWRVORP[BYE],MATCH(TableOverallMaster[[#This Row],[RK]],TableWRVORP[RK],0)),"")</f>
        <v>5</v>
      </c>
      <c r="AL190" s="124">
        <f>IFERROR(INDEX(TableWRVORP[FPS],MATCH(TableOverallMaster[[#This Row],[RK]],TableWRVORP[RK],0)),"")</f>
        <v>146.30157488677921</v>
      </c>
      <c r="AM190" s="125">
        <f>IFERROR(INDEX(TableWRVORP[VORP],MATCH(TableOverallMaster[[#This Row],[RK]],TableWRVORP[RK],0)),"")</f>
        <v>0.12287379714891775</v>
      </c>
      <c r="AO190">
        <v>189</v>
      </c>
      <c r="AP190" s="126" t="str">
        <f>IFERROR(INDEX(TableOverallMaster[OVERALL PLAYER],MATCH(TableOverallRank[[#This Row],[RK]],TableOverallMaster[OVR RK],0)),"")</f>
        <v>Alec Pierce</v>
      </c>
      <c r="AQ190" s="127" t="str">
        <f>IFERROR(INDEX(TableOverallMaster[POS RK],MATCH(TableOverallRank[[#This Row],[OVERALL PLAYER]],TableOverallMaster[OVERALL PLAYER],0)),"")</f>
        <v>WR76</v>
      </c>
      <c r="AR190" s="128">
        <f>IFERROR(INDEX(TableOverallMaster[BYE],MATCH(TableOverallRank[[#This Row],[OVERALL PLAYER]],TableOverallMaster[OVERALL PLAYER],0)),"")</f>
        <v>11</v>
      </c>
      <c r="AS190" s="127">
        <f>IFERROR(INDEX(TableOverallMaster[Custom],MATCH(TableOverallRank[[#This Row],[OVERALL PLAYER]],TableOverallMaster[OVERALL PLAYER],0)),"")</f>
        <v>94.292158056808148</v>
      </c>
      <c r="AT190" s="129">
        <f>IFERROR(INDEX(TableOverallMaster[VORP],MATCH(TableOverallRank[[#This Row],[OVERALL PLAYER]],TableOverallMaster[OVERALL PLAYER],0)),"")</f>
        <v>-0.27630175108810845</v>
      </c>
      <c r="AV190">
        <v>189</v>
      </c>
      <c r="AW190" s="130" t="str">
        <f>IFERROR(INDEX(TableWRTECalcPts[PLAYER],MATCH(TableWRTERank[[#This Row],[RK]],TableWRTECalcPts[RK],0)),"")</f>
        <v>Connor Heyward</v>
      </c>
      <c r="AX190" s="130" t="str">
        <f>IFERROR(INDEX(TableWRTECalcPts[POS RK],MATCH(TableWRTERank[[#This Row],[WR and TE COMBINED]],TableWRTECalcPts[PLAYER],0)),"")</f>
        <v>TE56</v>
      </c>
      <c r="AY190" s="130">
        <f>IFERROR(INDEX(TableWRTECalcPts[BYE],MATCH(TableWRTERank[[#This Row],[RK]],TableWRTECalcPts[RK],0)),"")</f>
        <v>6</v>
      </c>
      <c r="AZ190" s="131">
        <f>IFERROR(INDEX(TableWRTECalcPts[Custom],MATCH(TableWRTERank[[#This Row],[RK]],TableWRTECalcPts[RK],0)),"")</f>
        <v>24.628471667553608</v>
      </c>
      <c r="BA190" s="188">
        <f>IFERROR((TableWRTERank[[#This Row],[FPS]]-INDEX(TableWRTERank[FPS],MATCH(WRTEVORPCalc,TableWRTERank[RK],0)))/INDEX(TableWRTERank[FPS],MATCH(WRTEVORPCalc,TableWRTERank[RK],0)),"")</f>
        <v>-0.82203577028364316</v>
      </c>
      <c r="BC190" t="s">
        <v>257</v>
      </c>
      <c r="BD190">
        <v>189</v>
      </c>
      <c r="BE190" s="86" t="e">
        <f>RANK(TableWRTEMaster[[#This Row],[VORP]],TableWRTEMaster[VORP])+COUNTIF($BJ$2:BJ190,BJ190)-1</f>
        <v>#VALUE!</v>
      </c>
      <c r="BF190" s="123" t="str">
        <f>IFERROR(INDEX(TableWRVORP[WIDE RECEIVER],MATCH(TableWRTEMaster[[#This Row],[RK]],TableWRVORP[RK],0)),"")</f>
        <v/>
      </c>
      <c r="BG190" s="123" t="str">
        <f>_xlfn.CONCAT(TableWRTEMaster[[#This Row],[POS]],TableWRTEMaster[[#This Row],[RK]])</f>
        <v>WR189</v>
      </c>
      <c r="BH190" s="123" t="str">
        <f>IFERROR(INDEX(TableWRVORP[BYE],MATCH(TableWRTEMaster[[#This Row],[RK]],TableWRVORP[RK],0)),"")</f>
        <v/>
      </c>
      <c r="BI190" s="124" t="str">
        <f>IFERROR(INDEX(TableWRVORP[FPS],MATCH(TableWRTEMaster[[#This Row],[RK]],TableWRVORP[RK],0)),"")</f>
        <v/>
      </c>
      <c r="BJ190" s="125" t="str">
        <f>IFERROR(INDEX(TableWRVORP[VORP],MATCH(TableWRTEMaster[[#This Row],[RK]],TableWRVORP[RK],0)),"")</f>
        <v/>
      </c>
    </row>
    <row r="191" spans="15:62" x14ac:dyDescent="0.2">
      <c r="O191">
        <v>190</v>
      </c>
      <c r="P191" s="120" t="str">
        <f>IFERROR(INDEX(TableWRCalcPts[PLAYER],MATCH(TableWRVORP[[#This Row],[RK]],TableWRCalcPts[RK],0)),"")</f>
        <v/>
      </c>
      <c r="Q191" s="120" t="str">
        <f>IFERROR(INDEX(TableWRCalcPts[TM],MATCH(TableWRVORP[[#This Row],[RK]],TableWRCalcPts[RK],0)),"")</f>
        <v/>
      </c>
      <c r="R191" s="120" t="str">
        <f>IFERROR(INDEX(TableWRCalcPts[BYE],MATCH(TableWRVORP[[#This Row],[RK]],TableWRCalcPts[RK],0)),"")</f>
        <v/>
      </c>
      <c r="S191" s="121" t="str">
        <f>IFERROR(INDEX(TableWRCalcPts[Custom],MATCH(TableWRVORP[[#This Row],[RK]],TableWRCalcPts[RK],0)),"")</f>
        <v/>
      </c>
      <c r="T191" s="122" t="str">
        <f>IFERROR((TableWRVORP[[#This Row],[FPS]]-INDEX(TableWRVORP[FPS],MATCH(WRVORPCalc,TableWRVORP[RK],0)))/INDEX(TableWRVORP[FPS],MATCH(WRVORPCalc,TableWRVORP[RK],0)),"")</f>
        <v/>
      </c>
      <c r="AF191" t="s">
        <v>257</v>
      </c>
      <c r="AG191">
        <v>50</v>
      </c>
      <c r="AH191" s="86">
        <f>RANK(TableOverallMaster[[#This Row],[VORP]],TableOverallMaster[VORP])+COUNTIF($AM$2:AM191,AM191)-1</f>
        <v>106</v>
      </c>
      <c r="AI191" s="123" t="str">
        <f>IFERROR(INDEX(TableWRVORP[WIDE RECEIVER],MATCH(TableOverallMaster[[#This Row],[RK]],TableWRVORP[RK],0)),"")</f>
        <v>Diontae Johnson</v>
      </c>
      <c r="AJ191" s="123" t="str">
        <f t="shared" si="2"/>
        <v>WR50</v>
      </c>
      <c r="AK191" s="123">
        <f>IFERROR(INDEX(TableWRVORP[BYE],MATCH(TableOverallMaster[[#This Row],[RK]],TableWRVORP[RK],0)),"")</f>
        <v>6</v>
      </c>
      <c r="AL191" s="124">
        <f>IFERROR(INDEX(TableWRVORP[FPS],MATCH(TableOverallMaster[[#This Row],[RK]],TableWRVORP[RK],0)),"")</f>
        <v>144.91414323693797</v>
      </c>
      <c r="AM191" s="125">
        <f>IFERROR(INDEX(TableWRVORP[VORP],MATCH(TableOverallMaster[[#This Row],[RK]],TableWRVORP[RK],0)),"")</f>
        <v>0.1122251718955843</v>
      </c>
      <c r="AO191">
        <v>190</v>
      </c>
      <c r="AP191" s="126" t="str">
        <f>IFERROR(INDEX(TableOverallMaster[OVERALL PLAYER],MATCH(TableOverallRank[[#This Row],[RK]],TableOverallMaster[OVR RK],0)),"")</f>
        <v>Michael Gallup</v>
      </c>
      <c r="AQ191" s="127" t="str">
        <f>IFERROR(INDEX(TableOverallMaster[POS RK],MATCH(TableOverallRank[[#This Row],[OVERALL PLAYER]],TableOverallMaster[OVERALL PLAYER],0)),"")</f>
        <v>WR77</v>
      </c>
      <c r="AR191" s="128">
        <f>IFERROR(INDEX(TableOverallMaster[BYE],MATCH(TableOverallRank[[#This Row],[OVERALL PLAYER]],TableOverallMaster[OVERALL PLAYER],0)),"")</f>
        <v>7</v>
      </c>
      <c r="AS191" s="127">
        <f>IFERROR(INDEX(TableOverallMaster[Custom],MATCH(TableOverallRank[[#This Row],[OVERALL PLAYER]],TableOverallMaster[OVERALL PLAYER],0)),"")</f>
        <v>93.431094692524141</v>
      </c>
      <c r="AT191" s="129">
        <f>IFERROR(INDEX(TableOverallMaster[VORP],MATCH(TableOverallRank[[#This Row],[OVERALL PLAYER]],TableOverallMaster[OVERALL PLAYER],0)),"")</f>
        <v>-0.28291046661415559</v>
      </c>
      <c r="AV191">
        <v>190</v>
      </c>
      <c r="AW191" s="130" t="str">
        <f>IFERROR(INDEX(TableWRTECalcPts[PLAYER],MATCH(TableWRTERank[[#This Row],[RK]],TableWRTECalcPts[RK],0)),"")</f>
        <v>A.T. Perry</v>
      </c>
      <c r="AX191" s="130" t="str">
        <f>IFERROR(INDEX(TableWRTECalcPts[POS RK],MATCH(TableWRTERank[[#This Row],[WR and TE COMBINED]],TableWRTECalcPts[PLAYER],0)),"")</f>
        <v>WR134</v>
      </c>
      <c r="AY191" s="130">
        <f>IFERROR(INDEX(TableWRTECalcPts[BYE],MATCH(TableWRTERank[[#This Row],[RK]],TableWRTECalcPts[RK],0)),"")</f>
        <v>11</v>
      </c>
      <c r="AZ191" s="131">
        <f>IFERROR(INDEX(TableWRTECalcPts[Custom],MATCH(TableWRTERank[[#This Row],[RK]],TableWRTECalcPts[RK],0)),"")</f>
        <v>24.507357616987889</v>
      </c>
      <c r="BA191" s="188">
        <f>IFERROR((TableWRTERank[[#This Row],[FPS]]-INDEX(TableWRTERank[FPS],MATCH(WRTEVORPCalc,TableWRTERank[RK],0)))/INDEX(TableWRTERank[FPS],MATCH(WRTEVORPCalc,TableWRTERank[RK],0)),"")</f>
        <v>-0.82291093497139578</v>
      </c>
      <c r="BC191" t="s">
        <v>257</v>
      </c>
      <c r="BD191">
        <v>190</v>
      </c>
      <c r="BE191" s="86" t="e">
        <f>RANK(TableWRTEMaster[[#This Row],[VORP]],TableWRTEMaster[VORP])+COUNTIF($BJ$2:BJ191,BJ191)-1</f>
        <v>#VALUE!</v>
      </c>
      <c r="BF191" s="123" t="str">
        <f>IFERROR(INDEX(TableWRVORP[WIDE RECEIVER],MATCH(TableWRTEMaster[[#This Row],[RK]],TableWRVORP[RK],0)),"")</f>
        <v/>
      </c>
      <c r="BG191" s="123" t="str">
        <f>_xlfn.CONCAT(TableWRTEMaster[[#This Row],[POS]],TableWRTEMaster[[#This Row],[RK]])</f>
        <v>WR190</v>
      </c>
      <c r="BH191" s="123" t="str">
        <f>IFERROR(INDEX(TableWRVORP[BYE],MATCH(TableWRTEMaster[[#This Row],[RK]],TableWRVORP[RK],0)),"")</f>
        <v/>
      </c>
      <c r="BI191" s="124" t="str">
        <f>IFERROR(INDEX(TableWRVORP[FPS],MATCH(TableWRTEMaster[[#This Row],[RK]],TableWRVORP[RK],0)),"")</f>
        <v/>
      </c>
      <c r="BJ191" s="125" t="str">
        <f>IFERROR(INDEX(TableWRVORP[VORP],MATCH(TableWRTEMaster[[#This Row],[RK]],TableWRVORP[RK],0)),"")</f>
        <v/>
      </c>
    </row>
    <row r="192" spans="15:62" x14ac:dyDescent="0.2">
      <c r="O192">
        <v>191</v>
      </c>
      <c r="P192" s="120" t="str">
        <f>IFERROR(INDEX(TableWRCalcPts[PLAYER],MATCH(TableWRVORP[[#This Row],[RK]],TableWRCalcPts[RK],0)),"")</f>
        <v/>
      </c>
      <c r="Q192" s="120" t="str">
        <f>IFERROR(INDEX(TableWRCalcPts[TM],MATCH(TableWRVORP[[#This Row],[RK]],TableWRCalcPts[RK],0)),"")</f>
        <v/>
      </c>
      <c r="R192" s="120" t="str">
        <f>IFERROR(INDEX(TableWRCalcPts[BYE],MATCH(TableWRVORP[[#This Row],[RK]],TableWRCalcPts[RK],0)),"")</f>
        <v/>
      </c>
      <c r="S192" s="121" t="str">
        <f>IFERROR(INDEX(TableWRCalcPts[Custom],MATCH(TableWRVORP[[#This Row],[RK]],TableWRCalcPts[RK],0)),"")</f>
        <v/>
      </c>
      <c r="T192" s="122" t="str">
        <f>IFERROR((TableWRVORP[[#This Row],[FPS]]-INDEX(TableWRVORP[FPS],MATCH(WRVORPCalc,TableWRVORP[RK],0)))/INDEX(TableWRVORP[FPS],MATCH(WRVORPCalc,TableWRVORP[RK],0)),"")</f>
        <v/>
      </c>
      <c r="AF192" t="s">
        <v>257</v>
      </c>
      <c r="AG192">
        <v>51</v>
      </c>
      <c r="AH192" s="86">
        <f>RANK(TableOverallMaster[[#This Row],[VORP]],TableOverallMaster[VORP])+COUNTIF($AM$2:AM192,AM192)-1</f>
        <v>108</v>
      </c>
      <c r="AI192" s="123" t="str">
        <f>IFERROR(INDEX(TableWRVORP[WIDE RECEIVER],MATCH(TableOverallMaster[[#This Row],[RK]],TableWRVORP[RK],0)),"")</f>
        <v>Jakobi Meyers</v>
      </c>
      <c r="AJ192" s="123" t="str">
        <f t="shared" si="2"/>
        <v>WR51</v>
      </c>
      <c r="AK192" s="123">
        <f>IFERROR(INDEX(TableWRVORP[BYE],MATCH(TableOverallMaster[[#This Row],[RK]],TableWRVORP[RK],0)),"")</f>
        <v>13</v>
      </c>
      <c r="AL192" s="124">
        <f>IFERROR(INDEX(TableWRVORP[FPS],MATCH(TableOverallMaster[[#This Row],[RK]],TableWRVORP[RK],0)),"")</f>
        <v>144.71799711264924</v>
      </c>
      <c r="AM192" s="125">
        <f>IFERROR(INDEX(TableWRVORP[VORP],MATCH(TableOverallMaster[[#This Row],[RK]],TableWRVORP[RK],0)),"")</f>
        <v>0.11071973804398989</v>
      </c>
      <c r="AO192">
        <v>191</v>
      </c>
      <c r="AP192" s="126" t="str">
        <f>IFERROR(INDEX(TableOverallMaster[OVERALL PLAYER],MATCH(TableOverallRank[[#This Row],[RK]],TableOverallMaster[OVR RK],0)),"")</f>
        <v>Gus Edwards</v>
      </c>
      <c r="AQ192" s="127" t="str">
        <f>IFERROR(INDEX(TableOverallMaster[POS RK],MATCH(TableOverallRank[[#This Row],[OVERALL PLAYER]],TableOverallMaster[OVERALL PLAYER],0)),"")</f>
        <v>RB57</v>
      </c>
      <c r="AR192" s="128">
        <f>IFERROR(INDEX(TableOverallMaster[BYE],MATCH(TableOverallRank[[#This Row],[OVERALL PLAYER]],TableOverallMaster[OVERALL PLAYER],0)),"")</f>
        <v>13</v>
      </c>
      <c r="AS192" s="127">
        <f>IFERROR(INDEX(TableOverallMaster[Custom],MATCH(TableOverallRank[[#This Row],[OVERALL PLAYER]],TableOverallMaster[OVERALL PLAYER],0)),"")</f>
        <v>87.245089713516052</v>
      </c>
      <c r="AT192" s="129">
        <f>IFERROR(INDEX(TableOverallMaster[VORP],MATCH(TableOverallRank[[#This Row],[OVERALL PLAYER]],TableOverallMaster[OVERALL PLAYER],0)),"")</f>
        <v>-0.28757951473213</v>
      </c>
      <c r="AV192">
        <v>191</v>
      </c>
      <c r="AW192" s="130" t="str">
        <f>IFERROR(INDEX(TableWRTECalcPts[PLAYER],MATCH(TableWRTERank[[#This Row],[RK]],TableWRTECalcPts[RK],0)),"")</f>
        <v>Dyami Brown</v>
      </c>
      <c r="AX192" s="130" t="str">
        <f>IFERROR(INDEX(TableWRTECalcPts[POS RK],MATCH(TableWRTERank[[#This Row],[WR and TE COMBINED]],TableWRTECalcPts[PLAYER],0)),"")</f>
        <v>WR135</v>
      </c>
      <c r="AY192" s="130">
        <f>IFERROR(INDEX(TableWRTECalcPts[BYE],MATCH(TableWRTERank[[#This Row],[RK]],TableWRTECalcPts[RK],0)),"")</f>
        <v>14</v>
      </c>
      <c r="AZ192" s="131">
        <f>IFERROR(INDEX(TableWRTECalcPts[Custom],MATCH(TableWRTERank[[#This Row],[RK]],TableWRTECalcPts[RK],0)),"")</f>
        <v>24.28852591635879</v>
      </c>
      <c r="BA192" s="188">
        <f>IFERROR((TableWRTERank[[#This Row],[FPS]]-INDEX(TableWRTERank[FPS],MATCH(WRTEVORPCalc,TableWRTERank[RK],0)))/INDEX(TableWRTERank[FPS],MATCH(WRTEVORPCalc,TableWRTERank[RK],0)),"")</f>
        <v>-0.82449220300806747</v>
      </c>
      <c r="BC192" t="s">
        <v>257</v>
      </c>
      <c r="BD192">
        <v>191</v>
      </c>
      <c r="BE192" s="86" t="e">
        <f>RANK(TableWRTEMaster[[#This Row],[VORP]],TableWRTEMaster[VORP])+COUNTIF($BJ$2:BJ192,BJ192)-1</f>
        <v>#VALUE!</v>
      </c>
      <c r="BF192" s="123" t="str">
        <f>IFERROR(INDEX(TableWRVORP[WIDE RECEIVER],MATCH(TableWRTEMaster[[#This Row],[RK]],TableWRVORP[RK],0)),"")</f>
        <v/>
      </c>
      <c r="BG192" s="123" t="str">
        <f>_xlfn.CONCAT(TableWRTEMaster[[#This Row],[POS]],TableWRTEMaster[[#This Row],[RK]])</f>
        <v>WR191</v>
      </c>
      <c r="BH192" s="123" t="str">
        <f>IFERROR(INDEX(TableWRVORP[BYE],MATCH(TableWRTEMaster[[#This Row],[RK]],TableWRVORP[RK],0)),"")</f>
        <v/>
      </c>
      <c r="BI192" s="124" t="str">
        <f>IFERROR(INDEX(TableWRVORP[FPS],MATCH(TableWRTEMaster[[#This Row],[RK]],TableWRVORP[RK],0)),"")</f>
        <v/>
      </c>
      <c r="BJ192" s="125" t="str">
        <f>IFERROR(INDEX(TableWRVORP[VORP],MATCH(TableWRTEMaster[[#This Row],[RK]],TableWRVORP[RK],0)),"")</f>
        <v/>
      </c>
    </row>
    <row r="193" spans="15:62" x14ac:dyDescent="0.2">
      <c r="O193">
        <v>192</v>
      </c>
      <c r="P193" s="120" t="str">
        <f>IFERROR(INDEX(TableWRCalcPts[PLAYER],MATCH(TableWRVORP[[#This Row],[RK]],TableWRCalcPts[RK],0)),"")</f>
        <v/>
      </c>
      <c r="Q193" s="120" t="str">
        <f>IFERROR(INDEX(TableWRCalcPts[TM],MATCH(TableWRVORP[[#This Row],[RK]],TableWRCalcPts[RK],0)),"")</f>
        <v/>
      </c>
      <c r="R193" s="120" t="str">
        <f>IFERROR(INDEX(TableWRCalcPts[BYE],MATCH(TableWRVORP[[#This Row],[RK]],TableWRCalcPts[RK],0)),"")</f>
        <v/>
      </c>
      <c r="S193" s="121" t="str">
        <f>IFERROR(INDEX(TableWRCalcPts[Custom],MATCH(TableWRVORP[[#This Row],[RK]],TableWRCalcPts[RK],0)),"")</f>
        <v/>
      </c>
      <c r="T193" s="122" t="str">
        <f>IFERROR((TableWRVORP[[#This Row],[FPS]]-INDEX(TableWRVORP[FPS],MATCH(WRVORPCalc,TableWRVORP[RK],0)))/INDEX(TableWRVORP[FPS],MATCH(WRVORPCalc,TableWRVORP[RK],0)),"")</f>
        <v/>
      </c>
      <c r="AF193" t="s">
        <v>257</v>
      </c>
      <c r="AG193">
        <v>52</v>
      </c>
      <c r="AH193" s="86">
        <f>RANK(TableOverallMaster[[#This Row],[VORP]],TableOverallMaster[VORP])+COUNTIF($AM$2:AM193,AM193)-1</f>
        <v>114</v>
      </c>
      <c r="AI193" s="123" t="str">
        <f>IFERROR(INDEX(TableWRVORP[WIDE RECEIVER],MATCH(TableOverallMaster[[#This Row],[RK]],TableWRVORP[RK],0)),"")</f>
        <v>Tyler Boyd</v>
      </c>
      <c r="AJ193" s="123" t="str">
        <f t="shared" si="2"/>
        <v>WR52</v>
      </c>
      <c r="AK193" s="123">
        <f>IFERROR(INDEX(TableWRVORP[BYE],MATCH(TableOverallMaster[[#This Row],[RK]],TableWRVORP[RK],0)),"")</f>
        <v>7</v>
      </c>
      <c r="AL193" s="124">
        <f>IFERROR(INDEX(TableWRVORP[FPS],MATCH(TableOverallMaster[[#This Row],[RK]],TableWRVORP[RK],0)),"")</f>
        <v>139.21511967372822</v>
      </c>
      <c r="AM193" s="125">
        <f>IFERROR(INDEX(TableWRVORP[VORP],MATCH(TableOverallMaster[[#This Row],[RK]],TableWRVORP[RK],0)),"")</f>
        <v>6.8484807286284602E-2</v>
      </c>
      <c r="AO193">
        <v>192</v>
      </c>
      <c r="AP193" s="126" t="str">
        <f>IFERROR(INDEX(TableOverallMaster[OVERALL PLAYER],MATCH(TableOverallRank[[#This Row],[RK]],TableOverallMaster[OVR RK],0)),"")</f>
        <v>Mike Gesicki</v>
      </c>
      <c r="AQ193" s="127" t="str">
        <f>IFERROR(INDEX(TableOverallMaster[POS RK],MATCH(TableOverallRank[[#This Row],[OVERALL PLAYER]],TableOverallMaster[OVERALL PLAYER],0)),"")</f>
        <v>TE29</v>
      </c>
      <c r="AR193" s="128">
        <f>IFERROR(INDEX(TableOverallMaster[BYE],MATCH(TableOverallRank[[#This Row],[OVERALL PLAYER]],TableOverallMaster[OVERALL PLAYER],0)),"")</f>
        <v>11</v>
      </c>
      <c r="AS193" s="127">
        <f>IFERROR(INDEX(TableOverallMaster[Custom],MATCH(TableOverallRank[[#This Row],[OVERALL PLAYER]],TableOverallMaster[OVERALL PLAYER],0)),"")</f>
        <v>84.395870962075392</v>
      </c>
      <c r="AT193" s="129">
        <f>IFERROR(INDEX(TableOverallMaster[VORP],MATCH(TableOverallRank[[#This Row],[OVERALL PLAYER]],TableOverallMaster[OVERALL PLAYER],0)),"")</f>
        <v>-0.28977751374469035</v>
      </c>
      <c r="AV193">
        <v>192</v>
      </c>
      <c r="AW193" s="130" t="str">
        <f>IFERROR(INDEX(TableWRTECalcPts[PLAYER],MATCH(TableWRTERank[[#This Row],[RK]],TableWRTECalcPts[RK],0)),"")</f>
        <v>Daniel Bellinger</v>
      </c>
      <c r="AX193" s="130" t="str">
        <f>IFERROR(INDEX(TableWRTECalcPts[POS RK],MATCH(TableWRTERank[[#This Row],[WR and TE COMBINED]],TableWRTECalcPts[PLAYER],0)),"")</f>
        <v>TE57</v>
      </c>
      <c r="AY193" s="130">
        <f>IFERROR(INDEX(TableWRTECalcPts[BYE],MATCH(TableWRTERank[[#This Row],[RK]],TableWRTECalcPts[RK],0)),"")</f>
        <v>13</v>
      </c>
      <c r="AZ193" s="131">
        <f>IFERROR(INDEX(TableWRTECalcPts[Custom],MATCH(TableWRTERank[[#This Row],[RK]],TableWRTECalcPts[RK],0)),"")</f>
        <v>23.798835293150606</v>
      </c>
      <c r="BA193" s="188">
        <f>IFERROR((TableWRTERank[[#This Row],[FPS]]-INDEX(TableWRTERank[FPS],MATCH(WRTEVORPCalc,TableWRTERank[RK],0)))/INDEX(TableWRTERank[FPS],MATCH(WRTEVORPCalc,TableWRTERank[RK],0)),"")</f>
        <v>-0.82803068544964664</v>
      </c>
      <c r="BC193" t="s">
        <v>257</v>
      </c>
      <c r="BD193">
        <v>192</v>
      </c>
      <c r="BE193" s="86" t="e">
        <f>RANK(TableWRTEMaster[[#This Row],[VORP]],TableWRTEMaster[VORP])+COUNTIF($BJ$2:BJ193,BJ193)-1</f>
        <v>#VALUE!</v>
      </c>
      <c r="BF193" s="123" t="str">
        <f>IFERROR(INDEX(TableWRVORP[WIDE RECEIVER],MATCH(TableWRTEMaster[[#This Row],[RK]],TableWRVORP[RK],0)),"")</f>
        <v/>
      </c>
      <c r="BG193" s="123" t="str">
        <f>_xlfn.CONCAT(TableWRTEMaster[[#This Row],[POS]],TableWRTEMaster[[#This Row],[RK]])</f>
        <v>WR192</v>
      </c>
      <c r="BH193" s="123" t="str">
        <f>IFERROR(INDEX(TableWRVORP[BYE],MATCH(TableWRTEMaster[[#This Row],[RK]],TableWRVORP[RK],0)),"")</f>
        <v/>
      </c>
      <c r="BI193" s="124" t="str">
        <f>IFERROR(INDEX(TableWRVORP[FPS],MATCH(TableWRTEMaster[[#This Row],[RK]],TableWRVORP[RK],0)),"")</f>
        <v/>
      </c>
      <c r="BJ193" s="125" t="str">
        <f>IFERROR(INDEX(TableWRVORP[VORP],MATCH(TableWRTEMaster[[#This Row],[RK]],TableWRVORP[RK],0)),"")</f>
        <v/>
      </c>
    </row>
    <row r="194" spans="15:62" x14ac:dyDescent="0.2">
      <c r="O194">
        <v>193</v>
      </c>
      <c r="P194" s="120" t="str">
        <f>IFERROR(INDEX(TableWRCalcPts[PLAYER],MATCH(TableWRVORP[[#This Row],[RK]],TableWRCalcPts[RK],0)),"")</f>
        <v/>
      </c>
      <c r="Q194" s="120" t="str">
        <f>IFERROR(INDEX(TableWRCalcPts[TM],MATCH(TableWRVORP[[#This Row],[RK]],TableWRCalcPts[RK],0)),"")</f>
        <v/>
      </c>
      <c r="R194" s="120" t="str">
        <f>IFERROR(INDEX(TableWRCalcPts[BYE],MATCH(TableWRVORP[[#This Row],[RK]],TableWRCalcPts[RK],0)),"")</f>
        <v/>
      </c>
      <c r="S194" s="121" t="str">
        <f>IFERROR(INDEX(TableWRCalcPts[Custom],MATCH(TableWRVORP[[#This Row],[RK]],TableWRCalcPts[RK],0)),"")</f>
        <v/>
      </c>
      <c r="T194" s="122" t="str">
        <f>IFERROR((TableWRVORP[[#This Row],[FPS]]-INDEX(TableWRVORP[FPS],MATCH(WRVORPCalc,TableWRVORP[RK],0)))/INDEX(TableWRVORP[FPS],MATCH(WRVORPCalc,TableWRVORP[RK],0)),"")</f>
        <v/>
      </c>
      <c r="AF194" t="s">
        <v>257</v>
      </c>
      <c r="AG194">
        <v>53</v>
      </c>
      <c r="AH194" s="86">
        <f>RANK(TableOverallMaster[[#This Row],[VORP]],TableOverallMaster[VORP])+COUNTIF($AM$2:AM194,AM194)-1</f>
        <v>117</v>
      </c>
      <c r="AI194" s="123" t="str">
        <f>IFERROR(INDEX(TableWRVORP[WIDE RECEIVER],MATCH(TableOverallMaster[[#This Row],[RK]],TableWRVORP[RK],0)),"")</f>
        <v>Odell Beckham</v>
      </c>
      <c r="AJ194" s="123" t="str">
        <f t="shared" ref="AJ194:AJ257" si="3">CONCATENATE(AF194,AG194)</f>
        <v>WR53</v>
      </c>
      <c r="AK194" s="123">
        <f>IFERROR(INDEX(TableWRVORP[BYE],MATCH(TableOverallMaster[[#This Row],[RK]],TableWRVORP[RK],0)),"")</f>
        <v>13</v>
      </c>
      <c r="AL194" s="124">
        <f>IFERROR(INDEX(TableWRVORP[FPS],MATCH(TableOverallMaster[[#This Row],[RK]],TableWRVORP[RK],0)),"")</f>
        <v>136.85398142950658</v>
      </c>
      <c r="AM194" s="125">
        <f>IFERROR(INDEX(TableWRVORP[VORP],MATCH(TableOverallMaster[[#This Row],[RK]],TableWRVORP[RK],0)),"")</f>
        <v>5.0362922624862007E-2</v>
      </c>
      <c r="AO194">
        <v>193</v>
      </c>
      <c r="AP194" s="126" t="str">
        <f>IFERROR(INDEX(TableOverallMaster[OVERALL PLAYER],MATCH(TableOverallRank[[#This Row],[RK]],TableOverallMaster[OVR RK],0)),"")</f>
        <v>Hayden Hurst</v>
      </c>
      <c r="AQ194" s="127" t="str">
        <f>IFERROR(INDEX(TableOverallMaster[POS RK],MATCH(TableOverallRank[[#This Row],[OVERALL PLAYER]],TableOverallMaster[OVERALL PLAYER],0)),"")</f>
        <v>TE30</v>
      </c>
      <c r="AR194" s="128">
        <f>IFERROR(INDEX(TableOverallMaster[BYE],MATCH(TableOverallRank[[#This Row],[OVERALL PLAYER]],TableOverallMaster[OVERALL PLAYER],0)),"")</f>
        <v>7</v>
      </c>
      <c r="AS194" s="127">
        <f>IFERROR(INDEX(TableOverallMaster[Custom],MATCH(TableOverallRank[[#This Row],[OVERALL PLAYER]],TableOverallMaster[OVERALL PLAYER],0)),"")</f>
        <v>84.191268201874024</v>
      </c>
      <c r="AT194" s="129">
        <f>IFERROR(INDEX(TableOverallMaster[VORP],MATCH(TableOverallRank[[#This Row],[OVERALL PLAYER]],TableOverallMaster[OVERALL PLAYER],0)),"")</f>
        <v>-0.29149932168847253</v>
      </c>
      <c r="AV194">
        <v>193</v>
      </c>
      <c r="AW194" s="130" t="str">
        <f>IFERROR(INDEX(TableWRTECalcPts[PLAYER],MATCH(TableWRTERank[[#This Row],[RK]],TableWRTECalcPts[RK],0)),"")</f>
        <v>Noah Gray</v>
      </c>
      <c r="AX194" s="130" t="str">
        <f>IFERROR(INDEX(TableWRTECalcPts[POS RK],MATCH(TableWRTERank[[#This Row],[WR and TE COMBINED]],TableWRTECalcPts[PLAYER],0)),"")</f>
        <v>TE58</v>
      </c>
      <c r="AY194" s="130">
        <f>IFERROR(INDEX(TableWRTECalcPts[BYE],MATCH(TableWRTERank[[#This Row],[RK]],TableWRTECalcPts[RK],0)),"")</f>
        <v>10</v>
      </c>
      <c r="AZ194" s="131">
        <f>IFERROR(INDEX(TableWRTECalcPts[Custom],MATCH(TableWRTERank[[#This Row],[RK]],TableWRTECalcPts[RK],0)),"")</f>
        <v>23.702476663268556</v>
      </c>
      <c r="BA194" s="188">
        <f>IFERROR((TableWRTERank[[#This Row],[FPS]]-INDEX(TableWRTERank[FPS],MATCH(WRTEVORPCalc,TableWRTERank[RK],0)))/INDEX(TableWRTERank[FPS],MATCH(WRTEVORPCalc,TableWRTERank[RK],0)),"")</f>
        <v>-0.82872696857979611</v>
      </c>
      <c r="BC194" t="s">
        <v>257</v>
      </c>
      <c r="BD194">
        <v>193</v>
      </c>
      <c r="BE194" s="86" t="e">
        <f>RANK(TableWRTEMaster[[#This Row],[VORP]],TableWRTEMaster[VORP])+COUNTIF($BJ$2:BJ194,BJ194)-1</f>
        <v>#VALUE!</v>
      </c>
      <c r="BF194" s="123" t="str">
        <f>IFERROR(INDEX(TableWRVORP[WIDE RECEIVER],MATCH(TableWRTEMaster[[#This Row],[RK]],TableWRVORP[RK],0)),"")</f>
        <v/>
      </c>
      <c r="BG194" s="123" t="str">
        <f>_xlfn.CONCAT(TableWRTEMaster[[#This Row],[POS]],TableWRTEMaster[[#This Row],[RK]])</f>
        <v>WR193</v>
      </c>
      <c r="BH194" s="123" t="str">
        <f>IFERROR(INDEX(TableWRVORP[BYE],MATCH(TableWRTEMaster[[#This Row],[RK]],TableWRVORP[RK],0)),"")</f>
        <v/>
      </c>
      <c r="BI194" s="124" t="str">
        <f>IFERROR(INDEX(TableWRVORP[FPS],MATCH(TableWRTEMaster[[#This Row],[RK]],TableWRVORP[RK],0)),"")</f>
        <v/>
      </c>
      <c r="BJ194" s="125" t="str">
        <f>IFERROR(INDEX(TableWRVORP[VORP],MATCH(TableWRTEMaster[[#This Row],[RK]],TableWRVORP[RK],0)),"")</f>
        <v/>
      </c>
    </row>
    <row r="195" spans="15:62" x14ac:dyDescent="0.2">
      <c r="O195">
        <v>194</v>
      </c>
      <c r="P195" s="120" t="str">
        <f>IFERROR(INDEX(TableWRCalcPts[PLAYER],MATCH(TableWRVORP[[#This Row],[RK]],TableWRCalcPts[RK],0)),"")</f>
        <v/>
      </c>
      <c r="Q195" s="120" t="str">
        <f>IFERROR(INDEX(TableWRCalcPts[TM],MATCH(TableWRVORP[[#This Row],[RK]],TableWRCalcPts[RK],0)),"")</f>
        <v/>
      </c>
      <c r="R195" s="120" t="str">
        <f>IFERROR(INDEX(TableWRCalcPts[BYE],MATCH(TableWRVORP[[#This Row],[RK]],TableWRCalcPts[RK],0)),"")</f>
        <v/>
      </c>
      <c r="S195" s="121" t="str">
        <f>IFERROR(INDEX(TableWRCalcPts[Custom],MATCH(TableWRVORP[[#This Row],[RK]],TableWRCalcPts[RK],0)),"")</f>
        <v/>
      </c>
      <c r="T195" s="122" t="str">
        <f>IFERROR((TableWRVORP[[#This Row],[FPS]]-INDEX(TableWRVORP[FPS],MATCH(WRVORPCalc,TableWRVORP[RK],0)))/INDEX(TableWRVORP[FPS],MATCH(WRVORPCalc,TableWRVORP[RK],0)),"")</f>
        <v/>
      </c>
      <c r="AF195" t="s">
        <v>257</v>
      </c>
      <c r="AG195">
        <v>54</v>
      </c>
      <c r="AH195" s="86">
        <f>RANK(TableOverallMaster[[#This Row],[VORP]],TableOverallMaster[VORP])+COUNTIF($AM$2:AM195,AM195)-1</f>
        <v>120</v>
      </c>
      <c r="AI195" s="123" t="str">
        <f>IFERROR(INDEX(TableWRVORP[WIDE RECEIVER],MATCH(TableOverallMaster[[#This Row],[RK]],TableWRVORP[RK],0)),"")</f>
        <v>Donovan Peoples-Jones</v>
      </c>
      <c r="AJ195" s="123" t="str">
        <f t="shared" si="3"/>
        <v>WR54</v>
      </c>
      <c r="AK195" s="123">
        <f>IFERROR(INDEX(TableWRVORP[BYE],MATCH(TableOverallMaster[[#This Row],[RK]],TableWRVORP[RK],0)),"")</f>
        <v>5</v>
      </c>
      <c r="AL195" s="124">
        <f>IFERROR(INDEX(TableWRVORP[FPS],MATCH(TableOverallMaster[[#This Row],[RK]],TableWRVORP[RK],0)),"")</f>
        <v>133.57256369839229</v>
      </c>
      <c r="AM195" s="125">
        <f>IFERROR(INDEX(TableWRVORP[VORP],MATCH(TableOverallMaster[[#This Row],[RK]],TableWRVORP[RK],0)),"")</f>
        <v>2.5177834968631629E-2</v>
      </c>
      <c r="AO195">
        <v>194</v>
      </c>
      <c r="AP195" s="126" t="str">
        <f>IFERROR(INDEX(TableOverallMaster[OVERALL PLAYER],MATCH(TableOverallRank[[#This Row],[RK]],TableOverallMaster[OVR RK],0)),"")</f>
        <v>Justyn Ross</v>
      </c>
      <c r="AQ195" s="127" t="str">
        <f>IFERROR(INDEX(TableOverallMaster[POS RK],MATCH(TableOverallRank[[#This Row],[OVERALL PLAYER]],TableOverallMaster[OVERALL PLAYER],0)),"")</f>
        <v>WR78</v>
      </c>
      <c r="AR195" s="128">
        <f>IFERROR(INDEX(TableOverallMaster[BYE],MATCH(TableOverallRank[[#This Row],[OVERALL PLAYER]],TableOverallMaster[OVERALL PLAYER],0)),"")</f>
        <v>10</v>
      </c>
      <c r="AS195" s="127">
        <f>IFERROR(INDEX(TableOverallMaster[Custom],MATCH(TableOverallRank[[#This Row],[OVERALL PLAYER]],TableOverallMaster[OVERALL PLAYER],0)),"")</f>
        <v>92.112339109190401</v>
      </c>
      <c r="AT195" s="129">
        <f>IFERROR(INDEX(TableOverallMaster[VORP],MATCH(TableOverallRank[[#This Row],[OVERALL PLAYER]],TableOverallMaster[OVERALL PLAYER],0)),"")</f>
        <v>-0.29303199873378766</v>
      </c>
      <c r="AV195">
        <v>194</v>
      </c>
      <c r="AW195" s="130" t="str">
        <f>IFERROR(INDEX(TableWRTECalcPts[PLAYER],MATCH(TableWRTERank[[#This Row],[RK]],TableWRTECalcPts[RK],0)),"")</f>
        <v>Robert Tonyan</v>
      </c>
      <c r="AX195" s="130" t="str">
        <f>IFERROR(INDEX(TableWRTECalcPts[POS RK],MATCH(TableWRTERank[[#This Row],[WR and TE COMBINED]],TableWRTECalcPts[PLAYER],0)),"")</f>
        <v>TE59</v>
      </c>
      <c r="AY195" s="130">
        <f>IFERROR(INDEX(TableWRTECalcPts[BYE],MATCH(TableWRTERank[[#This Row],[RK]],TableWRTECalcPts[RK],0)),"")</f>
        <v>13</v>
      </c>
      <c r="AZ195" s="131">
        <f>IFERROR(INDEX(TableWRTECalcPts[Custom],MATCH(TableWRTERank[[#This Row],[RK]],TableWRTECalcPts[RK],0)),"")</f>
        <v>23.028311172227735</v>
      </c>
      <c r="BA195" s="188">
        <f>IFERROR((TableWRTERank[[#This Row],[FPS]]-INDEX(TableWRTERank[FPS],MATCH(WRTEVORPCalc,TableWRTERank[RK],0)))/INDEX(TableWRTERank[FPS],MATCH(WRTEVORPCalc,TableWRTERank[RK],0)),"")</f>
        <v>-0.83359845812790689</v>
      </c>
      <c r="BC195" t="s">
        <v>257</v>
      </c>
      <c r="BD195">
        <v>194</v>
      </c>
      <c r="BE195" s="86" t="e">
        <f>RANK(TableWRTEMaster[[#This Row],[VORP]],TableWRTEMaster[VORP])+COUNTIF($BJ$2:BJ195,BJ195)-1</f>
        <v>#VALUE!</v>
      </c>
      <c r="BF195" s="123" t="str">
        <f>IFERROR(INDEX(TableWRVORP[WIDE RECEIVER],MATCH(TableWRTEMaster[[#This Row],[RK]],TableWRVORP[RK],0)),"")</f>
        <v/>
      </c>
      <c r="BG195" s="123" t="str">
        <f>_xlfn.CONCAT(TableWRTEMaster[[#This Row],[POS]],TableWRTEMaster[[#This Row],[RK]])</f>
        <v>WR194</v>
      </c>
      <c r="BH195" s="123" t="str">
        <f>IFERROR(INDEX(TableWRVORP[BYE],MATCH(TableWRTEMaster[[#This Row],[RK]],TableWRVORP[RK],0)),"")</f>
        <v/>
      </c>
      <c r="BI195" s="124" t="str">
        <f>IFERROR(INDEX(TableWRVORP[FPS],MATCH(TableWRTEMaster[[#This Row],[RK]],TableWRVORP[RK],0)),"")</f>
        <v/>
      </c>
      <c r="BJ195" s="125" t="str">
        <f>IFERROR(INDEX(TableWRVORP[VORP],MATCH(TableWRTEMaster[[#This Row],[RK]],TableWRVORP[RK],0)),"")</f>
        <v/>
      </c>
    </row>
    <row r="196" spans="15:62" x14ac:dyDescent="0.2">
      <c r="O196">
        <v>195</v>
      </c>
      <c r="P196" s="120" t="str">
        <f>IFERROR(INDEX(TableWRCalcPts[PLAYER],MATCH(TableWRVORP[[#This Row],[RK]],TableWRCalcPts[RK],0)),"")</f>
        <v/>
      </c>
      <c r="Q196" s="120" t="str">
        <f>IFERROR(INDEX(TableWRCalcPts[TM],MATCH(TableWRVORP[[#This Row],[RK]],TableWRCalcPts[RK],0)),"")</f>
        <v/>
      </c>
      <c r="R196" s="120" t="str">
        <f>IFERROR(INDEX(TableWRCalcPts[BYE],MATCH(TableWRVORP[[#This Row],[RK]],TableWRCalcPts[RK],0)),"")</f>
        <v/>
      </c>
      <c r="S196" s="121" t="str">
        <f>IFERROR(INDEX(TableWRCalcPts[Custom],MATCH(TableWRVORP[[#This Row],[RK]],TableWRCalcPts[RK],0)),"")</f>
        <v/>
      </c>
      <c r="T196" s="122" t="str">
        <f>IFERROR((TableWRVORP[[#This Row],[FPS]]-INDEX(TableWRVORP[FPS],MATCH(WRVORPCalc,TableWRVORP[RK],0)))/INDEX(TableWRVORP[FPS],MATCH(WRVORPCalc,TableWRVORP[RK],0)),"")</f>
        <v/>
      </c>
      <c r="AF196" t="s">
        <v>257</v>
      </c>
      <c r="AG196">
        <v>55</v>
      </c>
      <c r="AH196" s="86">
        <f>RANK(TableOverallMaster[[#This Row],[VORP]],TableOverallMaster[VORP])+COUNTIF($AM$2:AM196,AM196)-1</f>
        <v>124</v>
      </c>
      <c r="AI196" s="123" t="str">
        <f>IFERROR(INDEX(TableWRVORP[WIDE RECEIVER],MATCH(TableOverallMaster[[#This Row],[RK]],TableWRVORP[RK],0)),"")</f>
        <v>JuJu Smith-Schuster</v>
      </c>
      <c r="AJ196" s="123" t="str">
        <f t="shared" si="3"/>
        <v>WR55</v>
      </c>
      <c r="AK196" s="123">
        <f>IFERROR(INDEX(TableWRVORP[BYE],MATCH(TableOverallMaster[[#This Row],[RK]],TableWRVORP[RK],0)),"")</f>
        <v>11</v>
      </c>
      <c r="AL196" s="124">
        <f>IFERROR(INDEX(TableWRVORP[FPS],MATCH(TableOverallMaster[[#This Row],[RK]],TableWRVORP[RK],0)),"")</f>
        <v>132.92429779365278</v>
      </c>
      <c r="AM196" s="125">
        <f>IFERROR(INDEX(TableWRVORP[VORP],MATCH(TableOverallMaster[[#This Row],[RK]],TableWRVORP[RK],0)),"")</f>
        <v>2.0202353340492269E-2</v>
      </c>
      <c r="AO196">
        <v>195</v>
      </c>
      <c r="AP196" s="126" t="str">
        <f>IFERROR(INDEX(TableOverallMaster[OVERALL PLAYER],MATCH(TableOverallRank[[#This Row],[RK]],TableOverallMaster[OVR RK],0)),"")</f>
        <v>Allen Robinson</v>
      </c>
      <c r="AQ196" s="127" t="str">
        <f>IFERROR(INDEX(TableOverallMaster[POS RK],MATCH(TableOverallRank[[#This Row],[OVERALL PLAYER]],TableOverallMaster[OVERALL PLAYER],0)),"")</f>
        <v>WR79</v>
      </c>
      <c r="AR196" s="128">
        <f>IFERROR(INDEX(TableOverallMaster[BYE],MATCH(TableOverallRank[[#This Row],[OVERALL PLAYER]],TableOverallMaster[OVERALL PLAYER],0)),"")</f>
        <v>6</v>
      </c>
      <c r="AS196" s="127">
        <f>IFERROR(INDEX(TableOverallMaster[Custom],MATCH(TableOverallRank[[#This Row],[OVERALL PLAYER]],TableOverallMaster[OVERALL PLAYER],0)),"")</f>
        <v>92.066985387508694</v>
      </c>
      <c r="AT196" s="129">
        <f>IFERROR(INDEX(TableOverallMaster[VORP],MATCH(TableOverallRank[[#This Row],[OVERALL PLAYER]],TableOverallMaster[OVERALL PLAYER],0)),"")</f>
        <v>-0.29338009140277621</v>
      </c>
      <c r="AV196">
        <v>195</v>
      </c>
      <c r="AW196" s="130" t="str">
        <f>IFERROR(INDEX(TableWRTECalcPts[PLAYER],MATCH(TableWRTERank[[#This Row],[RK]],TableWRTECalcPts[RK],0)),"")</f>
        <v>Jordan Akins</v>
      </c>
      <c r="AX196" s="130" t="str">
        <f>IFERROR(INDEX(TableWRTECalcPts[POS RK],MATCH(TableWRTERank[[#This Row],[WR and TE COMBINED]],TableWRTECalcPts[PLAYER],0)),"")</f>
        <v>TE60</v>
      </c>
      <c r="AY196" s="130">
        <f>IFERROR(INDEX(TableWRTECalcPts[BYE],MATCH(TableWRTERank[[#This Row],[RK]],TableWRTECalcPts[RK],0)),"")</f>
        <v>5</v>
      </c>
      <c r="AZ196" s="131">
        <f>IFERROR(INDEX(TableWRTECalcPts[Custom],MATCH(TableWRTERank[[#This Row],[RK]],TableWRTECalcPts[RK],0)),"")</f>
        <v>22.879912683379221</v>
      </c>
      <c r="BA196" s="188">
        <f>IFERROR((TableWRTERank[[#This Row],[FPS]]-INDEX(TableWRTERank[FPS],MATCH(WRTEVORPCalc,TableWRTERank[RK],0)))/INDEX(TableWRTERank[FPS],MATCH(WRTEVORPCalc,TableWRTERank[RK],0)),"")</f>
        <v>-0.83467077894080532</v>
      </c>
      <c r="BC196" t="s">
        <v>257</v>
      </c>
      <c r="BD196">
        <v>195</v>
      </c>
      <c r="BE196" s="86" t="e">
        <f>RANK(TableWRTEMaster[[#This Row],[VORP]],TableWRTEMaster[VORP])+COUNTIF($BJ$2:BJ196,BJ196)-1</f>
        <v>#VALUE!</v>
      </c>
      <c r="BF196" s="123" t="str">
        <f>IFERROR(INDEX(TableWRVORP[WIDE RECEIVER],MATCH(TableWRTEMaster[[#This Row],[RK]],TableWRVORP[RK],0)),"")</f>
        <v/>
      </c>
      <c r="BG196" s="123" t="str">
        <f>_xlfn.CONCAT(TableWRTEMaster[[#This Row],[POS]],TableWRTEMaster[[#This Row],[RK]])</f>
        <v>WR195</v>
      </c>
      <c r="BH196" s="123" t="str">
        <f>IFERROR(INDEX(TableWRVORP[BYE],MATCH(TableWRTEMaster[[#This Row],[RK]],TableWRVORP[RK],0)),"")</f>
        <v/>
      </c>
      <c r="BI196" s="124" t="str">
        <f>IFERROR(INDEX(TableWRVORP[FPS],MATCH(TableWRTEMaster[[#This Row],[RK]],TableWRVORP[RK],0)),"")</f>
        <v/>
      </c>
      <c r="BJ196" s="125" t="str">
        <f>IFERROR(INDEX(TableWRVORP[VORP],MATCH(TableWRTEMaster[[#This Row],[RK]],TableWRVORP[RK],0)),"")</f>
        <v/>
      </c>
    </row>
    <row r="197" spans="15:62" x14ac:dyDescent="0.2">
      <c r="O197">
        <v>196</v>
      </c>
      <c r="P197" s="120" t="str">
        <f>IFERROR(INDEX(TableWRCalcPts[PLAYER],MATCH(TableWRVORP[[#This Row],[RK]],TableWRCalcPts[RK],0)),"")</f>
        <v/>
      </c>
      <c r="Q197" s="120" t="str">
        <f>IFERROR(INDEX(TableWRCalcPts[TM],MATCH(TableWRVORP[[#This Row],[RK]],TableWRCalcPts[RK],0)),"")</f>
        <v/>
      </c>
      <c r="R197" s="120" t="str">
        <f>IFERROR(INDEX(TableWRCalcPts[BYE],MATCH(TableWRVORP[[#This Row],[RK]],TableWRCalcPts[RK],0)),"")</f>
        <v/>
      </c>
      <c r="S197" s="121" t="str">
        <f>IFERROR(INDEX(TableWRCalcPts[Custom],MATCH(TableWRVORP[[#This Row],[RK]],TableWRCalcPts[RK],0)),"")</f>
        <v/>
      </c>
      <c r="T197" s="122" t="str">
        <f>IFERROR((TableWRVORP[[#This Row],[FPS]]-INDEX(TableWRVORP[FPS],MATCH(WRVORPCalc,TableWRVORP[RK],0)))/INDEX(TableWRVORP[FPS],MATCH(WRVORPCalc,TableWRVORP[RK],0)),"")</f>
        <v/>
      </c>
      <c r="AF197" t="s">
        <v>257</v>
      </c>
      <c r="AG197">
        <v>56</v>
      </c>
      <c r="AH197" s="86">
        <f>RANK(TableOverallMaster[[#This Row],[VORP]],TableOverallMaster[VORP])+COUNTIF($AM$2:AM197,AM197)-1</f>
        <v>126</v>
      </c>
      <c r="AI197" s="123" t="str">
        <f>IFERROR(INDEX(TableWRVORP[WIDE RECEIVER],MATCH(TableOverallMaster[[#This Row],[RK]],TableWRVORP[RK],0)),"")</f>
        <v>Romeo Doubs</v>
      </c>
      <c r="AJ197" s="123" t="str">
        <f t="shared" si="3"/>
        <v>WR56</v>
      </c>
      <c r="AK197" s="123">
        <f>IFERROR(INDEX(TableWRVORP[BYE],MATCH(TableOverallMaster[[#This Row],[RK]],TableWRVORP[RK],0)),"")</f>
        <v>6</v>
      </c>
      <c r="AL197" s="124">
        <f>IFERROR(INDEX(TableWRVORP[FPS],MATCH(TableOverallMaster[[#This Row],[RK]],TableWRVORP[RK],0)),"")</f>
        <v>131.5987978749377</v>
      </c>
      <c r="AM197" s="125">
        <f>IFERROR(INDEX(TableWRVORP[VORP],MATCH(TableOverallMaster[[#This Row],[RK]],TableWRVORP[RK],0)),"")</f>
        <v>1.0029058022242868E-2</v>
      </c>
      <c r="AO197">
        <v>196</v>
      </c>
      <c r="AP197" s="126" t="str">
        <f>IFERROR(INDEX(TableOverallMaster[OVERALL PLAYER],MATCH(TableOverallRank[[#This Row],[RK]],TableOverallMaster[OVR RK],0)),"")</f>
        <v>Marvin Jones</v>
      </c>
      <c r="AQ197" s="127" t="str">
        <f>IFERROR(INDEX(TableOverallMaster[POS RK],MATCH(TableOverallRank[[#This Row],[OVERALL PLAYER]],TableOverallMaster[OVERALL PLAYER],0)),"")</f>
        <v>WR80</v>
      </c>
      <c r="AR197" s="128">
        <f>IFERROR(INDEX(TableOverallMaster[BYE],MATCH(TableOverallRank[[#This Row],[OVERALL PLAYER]],TableOverallMaster[OVERALL PLAYER],0)),"")</f>
        <v>9</v>
      </c>
      <c r="AS197" s="127">
        <f>IFERROR(INDEX(TableOverallMaster[Custom],MATCH(TableOverallRank[[#This Row],[OVERALL PLAYER]],TableOverallMaster[OVERALL PLAYER],0)),"")</f>
        <v>91.94050662758977</v>
      </c>
      <c r="AT197" s="129">
        <f>IFERROR(INDEX(TableOverallMaster[VORP],MATCH(TableOverallRank[[#This Row],[OVERALL PLAYER]],TableOverallMaster[OVERALL PLAYER],0)),"")</f>
        <v>-0.29435082384717237</v>
      </c>
      <c r="AV197">
        <v>196</v>
      </c>
      <c r="AW197" s="130" t="str">
        <f>IFERROR(INDEX(TableWRTECalcPts[PLAYER],MATCH(TableWRTERank[[#This Row],[RK]],TableWRTECalcPts[RK],0)),"")</f>
        <v>Tyler Scott</v>
      </c>
      <c r="AX197" s="130" t="str">
        <f>IFERROR(INDEX(TableWRTECalcPts[POS RK],MATCH(TableWRTERank[[#This Row],[WR and TE COMBINED]],TableWRTECalcPts[PLAYER],0)),"")</f>
        <v>WR136</v>
      </c>
      <c r="AY197" s="130">
        <f>IFERROR(INDEX(TableWRTECalcPts[BYE],MATCH(TableWRTERank[[#This Row],[RK]],TableWRTECalcPts[RK],0)),"")</f>
        <v>13</v>
      </c>
      <c r="AZ197" s="131">
        <f>IFERROR(INDEX(TableWRTECalcPts[Custom],MATCH(TableWRTERank[[#This Row],[RK]],TableWRTECalcPts[RK],0)),"")</f>
        <v>22.848987911184629</v>
      </c>
      <c r="BA197" s="188">
        <f>IFERROR((TableWRTERank[[#This Row],[FPS]]-INDEX(TableWRTERank[FPS],MATCH(WRTEVORPCalc,TableWRTERank[RK],0)))/INDEX(TableWRTERank[FPS],MATCH(WRTEVORPCalc,TableWRTERank[RK],0)),"")</f>
        <v>-0.83489423995523826</v>
      </c>
      <c r="BC197" t="s">
        <v>257</v>
      </c>
      <c r="BD197">
        <v>196</v>
      </c>
      <c r="BE197" s="86" t="e">
        <f>RANK(TableWRTEMaster[[#This Row],[VORP]],TableWRTEMaster[VORP])+COUNTIF($BJ$2:BJ197,BJ197)-1</f>
        <v>#VALUE!</v>
      </c>
      <c r="BF197" s="123" t="str">
        <f>IFERROR(INDEX(TableWRVORP[WIDE RECEIVER],MATCH(TableWRTEMaster[[#This Row],[RK]],TableWRVORP[RK],0)),"")</f>
        <v/>
      </c>
      <c r="BG197" s="123" t="str">
        <f>_xlfn.CONCAT(TableWRTEMaster[[#This Row],[POS]],TableWRTEMaster[[#This Row],[RK]])</f>
        <v>WR196</v>
      </c>
      <c r="BH197" s="123" t="str">
        <f>IFERROR(INDEX(TableWRVORP[BYE],MATCH(TableWRTEMaster[[#This Row],[RK]],TableWRVORP[RK],0)),"")</f>
        <v/>
      </c>
      <c r="BI197" s="124" t="str">
        <f>IFERROR(INDEX(TableWRVORP[FPS],MATCH(TableWRTEMaster[[#This Row],[RK]],TableWRVORP[RK],0)),"")</f>
        <v/>
      </c>
      <c r="BJ197" s="125" t="str">
        <f>IFERROR(INDEX(TableWRVORP[VORP],MATCH(TableWRTEMaster[[#This Row],[RK]],TableWRVORP[RK],0)),"")</f>
        <v/>
      </c>
    </row>
    <row r="198" spans="15:62" x14ac:dyDescent="0.2">
      <c r="O198">
        <v>197</v>
      </c>
      <c r="P198" s="120" t="str">
        <f>IFERROR(INDEX(TableWRCalcPts[PLAYER],MATCH(TableWRVORP[[#This Row],[RK]],TableWRCalcPts[RK],0)),"")</f>
        <v/>
      </c>
      <c r="Q198" s="120" t="str">
        <f>IFERROR(INDEX(TableWRCalcPts[TM],MATCH(TableWRVORP[[#This Row],[RK]],TableWRCalcPts[RK],0)),"")</f>
        <v/>
      </c>
      <c r="R198" s="120" t="str">
        <f>IFERROR(INDEX(TableWRCalcPts[BYE],MATCH(TableWRVORP[[#This Row],[RK]],TableWRCalcPts[RK],0)),"")</f>
        <v/>
      </c>
      <c r="S198" s="121" t="str">
        <f>IFERROR(INDEX(TableWRCalcPts[Custom],MATCH(TableWRVORP[[#This Row],[RK]],TableWRCalcPts[RK],0)),"")</f>
        <v/>
      </c>
      <c r="T198" s="122" t="str">
        <f>IFERROR((TableWRVORP[[#This Row],[FPS]]-INDEX(TableWRVORP[FPS],MATCH(WRVORPCalc,TableWRVORP[RK],0)))/INDEX(TableWRVORP[FPS],MATCH(WRVORPCalc,TableWRVORP[RK],0)),"")</f>
        <v/>
      </c>
      <c r="AF198" t="s">
        <v>257</v>
      </c>
      <c r="AG198">
        <v>57</v>
      </c>
      <c r="AH198" s="86">
        <f>RANK(TableOverallMaster[[#This Row],[VORP]],TableOverallMaster[VORP])+COUNTIF($AM$2:AM198,AM198)-1</f>
        <v>128</v>
      </c>
      <c r="AI198" s="123" t="str">
        <f>IFERROR(INDEX(TableWRVORP[WIDE RECEIVER],MATCH(TableOverallMaster[[#This Row],[RK]],TableWRVORP[RK],0)),"")</f>
        <v>Zay Flowers</v>
      </c>
      <c r="AJ198" s="123" t="str">
        <f t="shared" si="3"/>
        <v>WR57</v>
      </c>
      <c r="AK198" s="123">
        <f>IFERROR(INDEX(TableWRVORP[BYE],MATCH(TableOverallMaster[[#This Row],[RK]],TableWRVORP[RK],0)),"")</f>
        <v>13</v>
      </c>
      <c r="AL198" s="124">
        <f>IFERROR(INDEX(TableWRVORP[FPS],MATCH(TableOverallMaster[[#This Row],[RK]],TableWRVORP[RK],0)),"")</f>
        <v>130.29209093511014</v>
      </c>
      <c r="AM198" s="125">
        <f>IFERROR(INDEX(TableWRVORP[VORP],MATCH(TableOverallMaster[[#This Row],[RK]],TableWRVORP[RK],0)),"")</f>
        <v>0</v>
      </c>
      <c r="AO198">
        <v>197</v>
      </c>
      <c r="AP198" s="126" t="str">
        <f>IFERROR(INDEX(TableOverallMaster[OVERALL PLAYER],MATCH(TableOverallRank[[#This Row],[RK]],TableOverallMaster[OVR RK],0)),"")</f>
        <v>Noah Brown</v>
      </c>
      <c r="AQ198" s="127" t="str">
        <f>IFERROR(INDEX(TableOverallMaster[POS RK],MATCH(TableOverallRank[[#This Row],[OVERALL PLAYER]],TableOverallMaster[OVERALL PLAYER],0)),"")</f>
        <v>WR81</v>
      </c>
      <c r="AR198" s="128">
        <f>IFERROR(INDEX(TableOverallMaster[BYE],MATCH(TableOverallRank[[#This Row],[OVERALL PLAYER]],TableOverallMaster[OVERALL PLAYER],0)),"")</f>
        <v>7</v>
      </c>
      <c r="AS198" s="127">
        <f>IFERROR(INDEX(TableOverallMaster[Custom],MATCH(TableOverallRank[[#This Row],[OVERALL PLAYER]],TableOverallMaster[OVERALL PLAYER],0)),"")</f>
        <v>90.783936841197601</v>
      </c>
      <c r="AT198" s="129">
        <f>IFERROR(INDEX(TableOverallMaster[VORP],MATCH(TableOverallRank[[#This Row],[OVERALL PLAYER]],TableOverallMaster[OVERALL PLAYER],0)),"")</f>
        <v>-0.30322756976545057</v>
      </c>
      <c r="AV198">
        <v>197</v>
      </c>
      <c r="AW198" s="130" t="str">
        <f>IFERROR(INDEX(TableWRTECalcPts[PLAYER],MATCH(TableWRTERank[[#This Row],[RK]],TableWRTECalcPts[RK],0)),"")</f>
        <v>Tre'Quan Smith</v>
      </c>
      <c r="AX198" s="130" t="str">
        <f>IFERROR(INDEX(TableWRTECalcPts[POS RK],MATCH(TableWRTERank[[#This Row],[WR and TE COMBINED]],TableWRTECalcPts[PLAYER],0)),"")</f>
        <v>WR137</v>
      </c>
      <c r="AY198" s="130">
        <f>IFERROR(INDEX(TableWRTECalcPts[BYE],MATCH(TableWRTERank[[#This Row],[RK]],TableWRTECalcPts[RK],0)),"")</f>
        <v>11</v>
      </c>
      <c r="AZ198" s="131">
        <f>IFERROR(INDEX(TableWRTECalcPts[Custom],MATCH(TableWRTERank[[#This Row],[RK]],TableWRTECalcPts[RK],0)),"")</f>
        <v>22.644639589571998</v>
      </c>
      <c r="BA198" s="188">
        <f>IFERROR((TableWRTERank[[#This Row],[FPS]]-INDEX(TableWRTERank[FPS],MATCH(WRTEVORPCalc,TableWRTERank[RK],0)))/INDEX(TableWRTERank[FPS],MATCH(WRTEVORPCalc,TableWRTERank[RK],0)),"")</f>
        <v>-0.83637085174587289</v>
      </c>
      <c r="BC198" t="s">
        <v>257</v>
      </c>
      <c r="BD198">
        <v>197</v>
      </c>
      <c r="BE198" s="86" t="e">
        <f>RANK(TableWRTEMaster[[#This Row],[VORP]],TableWRTEMaster[VORP])+COUNTIF($BJ$2:BJ198,BJ198)-1</f>
        <v>#VALUE!</v>
      </c>
      <c r="BF198" s="123" t="str">
        <f>IFERROR(INDEX(TableWRVORP[WIDE RECEIVER],MATCH(TableWRTEMaster[[#This Row],[RK]],TableWRVORP[RK],0)),"")</f>
        <v/>
      </c>
      <c r="BG198" s="123" t="str">
        <f>_xlfn.CONCAT(TableWRTEMaster[[#This Row],[POS]],TableWRTEMaster[[#This Row],[RK]])</f>
        <v>WR197</v>
      </c>
      <c r="BH198" s="123" t="str">
        <f>IFERROR(INDEX(TableWRVORP[BYE],MATCH(TableWRTEMaster[[#This Row],[RK]],TableWRVORP[RK],0)),"")</f>
        <v/>
      </c>
      <c r="BI198" s="124" t="str">
        <f>IFERROR(INDEX(TableWRVORP[FPS],MATCH(TableWRTEMaster[[#This Row],[RK]],TableWRVORP[RK],0)),"")</f>
        <v/>
      </c>
      <c r="BJ198" s="125" t="str">
        <f>IFERROR(INDEX(TableWRVORP[VORP],MATCH(TableWRTEMaster[[#This Row],[RK]],TableWRVORP[RK],0)),"")</f>
        <v/>
      </c>
    </row>
    <row r="199" spans="15:62" x14ac:dyDescent="0.2">
      <c r="O199">
        <v>198</v>
      </c>
      <c r="P199" s="120" t="str">
        <f>IFERROR(INDEX(TableWRCalcPts[PLAYER],MATCH(TableWRVORP[[#This Row],[RK]],TableWRCalcPts[RK],0)),"")</f>
        <v/>
      </c>
      <c r="Q199" s="120" t="str">
        <f>IFERROR(INDEX(TableWRCalcPts[TM],MATCH(TableWRVORP[[#This Row],[RK]],TableWRCalcPts[RK],0)),"")</f>
        <v/>
      </c>
      <c r="R199" s="120" t="str">
        <f>IFERROR(INDEX(TableWRCalcPts[BYE],MATCH(TableWRVORP[[#This Row],[RK]],TableWRCalcPts[RK],0)),"")</f>
        <v/>
      </c>
      <c r="S199" s="121" t="str">
        <f>IFERROR(INDEX(TableWRCalcPts[Custom],MATCH(TableWRVORP[[#This Row],[RK]],TableWRCalcPts[RK],0)),"")</f>
        <v/>
      </c>
      <c r="T199" s="122" t="str">
        <f>IFERROR((TableWRVORP[[#This Row],[FPS]]-INDEX(TableWRVORP[FPS],MATCH(WRVORPCalc,TableWRVORP[RK],0)))/INDEX(TableWRVORP[FPS],MATCH(WRVORPCalc,TableWRVORP[RK],0)),"")</f>
        <v/>
      </c>
      <c r="AF199" t="s">
        <v>257</v>
      </c>
      <c r="AG199">
        <v>58</v>
      </c>
      <c r="AH199" s="86">
        <f>RANK(TableOverallMaster[[#This Row],[VORP]],TableOverallMaster[VORP])+COUNTIF($AM$2:AM199,AM199)-1</f>
        <v>130</v>
      </c>
      <c r="AI199" s="123" t="str">
        <f>IFERROR(INDEX(TableWRVORP[WIDE RECEIVER],MATCH(TableOverallMaster[[#This Row],[RK]],TableWRVORP[RK],0)),"")</f>
        <v>Van Jefferson</v>
      </c>
      <c r="AJ199" s="123" t="str">
        <f t="shared" si="3"/>
        <v>WR58</v>
      </c>
      <c r="AK199" s="123">
        <f>IFERROR(INDEX(TableWRVORP[BYE],MATCH(TableOverallMaster[[#This Row],[RK]],TableWRVORP[RK],0)),"")</f>
        <v>10</v>
      </c>
      <c r="AL199" s="124">
        <f>IFERROR(INDEX(TableWRVORP[FPS],MATCH(TableOverallMaster[[#This Row],[RK]],TableWRVORP[RK],0)),"")</f>
        <v>130.16505343713359</v>
      </c>
      <c r="AM199" s="125">
        <f>IFERROR(INDEX(TableWRVORP[VORP],MATCH(TableOverallMaster[[#This Row],[RK]],TableWRVORP[RK],0)),"")</f>
        <v>-9.7502079416174174E-4</v>
      </c>
      <c r="AO199">
        <v>198</v>
      </c>
      <c r="AP199" s="126" t="str">
        <f>IFERROR(INDEX(TableOverallMaster[OVERALL PLAYER],MATCH(TableOverallRank[[#This Row],[RK]],TableOverallMaster[OVR RK],0)),"")</f>
        <v>Mecole Hardman</v>
      </c>
      <c r="AQ199" s="127" t="str">
        <f>IFERROR(INDEX(TableOverallMaster[POS RK],MATCH(TableOverallRank[[#This Row],[OVERALL PLAYER]],TableOverallMaster[OVERALL PLAYER],0)),"")</f>
        <v>WR82</v>
      </c>
      <c r="AR199" s="128">
        <f>IFERROR(INDEX(TableOverallMaster[BYE],MATCH(TableOverallRank[[#This Row],[OVERALL PLAYER]],TableOverallMaster[OVERALL PLAYER],0)),"")</f>
        <v>7</v>
      </c>
      <c r="AS199" s="127">
        <f>IFERROR(INDEX(TableOverallMaster[Custom],MATCH(TableOverallRank[[#This Row],[OVERALL PLAYER]],TableOverallMaster[OVERALL PLAYER],0)),"")</f>
        <v>90.344374723291807</v>
      </c>
      <c r="AT199" s="129">
        <f>IFERROR(INDEX(TableOverallMaster[VORP],MATCH(TableOverallRank[[#This Row],[OVERALL PLAYER]],TableOverallMaster[OVERALL PLAYER],0)),"")</f>
        <v>-0.30660123669144002</v>
      </c>
      <c r="AV199">
        <v>198</v>
      </c>
      <c r="AW199" s="130" t="str">
        <f>IFERROR(INDEX(TableWRTECalcPts[PLAYER],MATCH(TableWRTERank[[#This Row],[RK]],TableWRTECalcPts[RK],0)),"")</f>
        <v>Harrison Bryant</v>
      </c>
      <c r="AX199" s="130" t="str">
        <f>IFERROR(INDEX(TableWRTECalcPts[POS RK],MATCH(TableWRTERank[[#This Row],[WR and TE COMBINED]],TableWRTECalcPts[PLAYER],0)),"")</f>
        <v>TE61</v>
      </c>
      <c r="AY199" s="130">
        <f>IFERROR(INDEX(TableWRTECalcPts[BYE],MATCH(TableWRTERank[[#This Row],[RK]],TableWRTECalcPts[RK],0)),"")</f>
        <v>5</v>
      </c>
      <c r="AZ199" s="131">
        <f>IFERROR(INDEX(TableWRTECalcPts[Custom],MATCH(TableWRTERank[[#This Row],[RK]],TableWRTECalcPts[RK],0)),"")</f>
        <v>22.41543281140352</v>
      </c>
      <c r="BA199" s="188">
        <f>IFERROR((TableWRTERank[[#This Row],[FPS]]-INDEX(TableWRTERank[FPS],MATCH(WRTEVORPCalc,TableWRTERank[RK],0)))/INDEX(TableWRTERank[FPS],MATCH(WRTEVORPCalc,TableWRTERank[RK],0)),"")</f>
        <v>-0.83802708962669359</v>
      </c>
      <c r="BC199" t="s">
        <v>257</v>
      </c>
      <c r="BD199">
        <v>198</v>
      </c>
      <c r="BE199" s="86" t="e">
        <f>RANK(TableWRTEMaster[[#This Row],[VORP]],TableWRTEMaster[VORP])+COUNTIF($BJ$2:BJ199,BJ199)-1</f>
        <v>#VALUE!</v>
      </c>
      <c r="BF199" s="123" t="str">
        <f>IFERROR(INDEX(TableWRVORP[WIDE RECEIVER],MATCH(TableWRTEMaster[[#This Row],[RK]],TableWRVORP[RK],0)),"")</f>
        <v/>
      </c>
      <c r="BG199" s="123" t="str">
        <f>_xlfn.CONCAT(TableWRTEMaster[[#This Row],[POS]],TableWRTEMaster[[#This Row],[RK]])</f>
        <v>WR198</v>
      </c>
      <c r="BH199" s="123" t="str">
        <f>IFERROR(INDEX(TableWRVORP[BYE],MATCH(TableWRTEMaster[[#This Row],[RK]],TableWRVORP[RK],0)),"")</f>
        <v/>
      </c>
      <c r="BI199" s="124" t="str">
        <f>IFERROR(INDEX(TableWRVORP[FPS],MATCH(TableWRTEMaster[[#This Row],[RK]],TableWRVORP[RK],0)),"")</f>
        <v/>
      </c>
      <c r="BJ199" s="125" t="str">
        <f>IFERROR(INDEX(TableWRVORP[VORP],MATCH(TableWRTEMaster[[#This Row],[RK]],TableWRVORP[RK],0)),"")</f>
        <v/>
      </c>
    </row>
    <row r="200" spans="15:62" x14ac:dyDescent="0.2">
      <c r="O200">
        <v>199</v>
      </c>
      <c r="P200" s="120" t="str">
        <f>IFERROR(INDEX(TableWRCalcPts[PLAYER],MATCH(TableWRVORP[[#This Row],[RK]],TableWRCalcPts[RK],0)),"")</f>
        <v/>
      </c>
      <c r="Q200" s="120" t="str">
        <f>IFERROR(INDEX(TableWRCalcPts[TM],MATCH(TableWRVORP[[#This Row],[RK]],TableWRCalcPts[RK],0)),"")</f>
        <v/>
      </c>
      <c r="R200" s="120" t="str">
        <f>IFERROR(INDEX(TableWRCalcPts[BYE],MATCH(TableWRVORP[[#This Row],[RK]],TableWRCalcPts[RK],0)),"")</f>
        <v/>
      </c>
      <c r="S200" s="121" t="str">
        <f>IFERROR(INDEX(TableWRCalcPts[Custom],MATCH(TableWRVORP[[#This Row],[RK]],TableWRCalcPts[RK],0)),"")</f>
        <v/>
      </c>
      <c r="T200" s="122" t="str">
        <f>IFERROR((TableWRVORP[[#This Row],[FPS]]-INDEX(TableWRVORP[FPS],MATCH(WRVORPCalc,TableWRVORP[RK],0)))/INDEX(TableWRVORP[FPS],MATCH(WRVORPCalc,TableWRVORP[RK],0)),"")</f>
        <v/>
      </c>
      <c r="AF200" t="s">
        <v>257</v>
      </c>
      <c r="AG200">
        <v>59</v>
      </c>
      <c r="AH200" s="86">
        <f>RANK(TableOverallMaster[[#This Row],[VORP]],TableOverallMaster[VORP])+COUNTIF($AM$2:AM200,AM200)-1</f>
        <v>131</v>
      </c>
      <c r="AI200" s="123" t="str">
        <f>IFERROR(INDEX(TableWRVORP[WIDE RECEIVER],MATCH(TableOverallMaster[[#This Row],[RK]],TableWRVORP[RK],0)),"")</f>
        <v>Marvin Mims</v>
      </c>
      <c r="AJ200" s="123" t="str">
        <f t="shared" si="3"/>
        <v>WR59</v>
      </c>
      <c r="AK200" s="123">
        <f>IFERROR(INDEX(TableWRVORP[BYE],MATCH(TableOverallMaster[[#This Row],[RK]],TableWRVORP[RK],0)),"")</f>
        <v>9</v>
      </c>
      <c r="AL200" s="124">
        <f>IFERROR(INDEX(TableWRVORP[FPS],MATCH(TableOverallMaster[[#This Row],[RK]],TableWRVORP[RK],0)),"")</f>
        <v>129.2891470122569</v>
      </c>
      <c r="AM200" s="125">
        <f>IFERROR(INDEX(TableWRVORP[VORP],MATCH(TableOverallMaster[[#This Row],[RK]],TableWRVORP[RK],0)),"")</f>
        <v>-7.6976577446495496E-3</v>
      </c>
      <c r="AO200">
        <v>199</v>
      </c>
      <c r="AP200" s="126" t="str">
        <f>IFERROR(INDEX(TableOverallMaster[OVERALL PLAYER],MATCH(TableOverallRank[[#This Row],[RK]],TableOverallMaster[OVR RK],0)),"")</f>
        <v>Laviska Shenault</v>
      </c>
      <c r="AQ200" s="127" t="str">
        <f>IFERROR(INDEX(TableOverallMaster[POS RK],MATCH(TableOverallRank[[#This Row],[OVERALL PLAYER]],TableOverallMaster[OVERALL PLAYER],0)),"")</f>
        <v>WR83</v>
      </c>
      <c r="AR200" s="128">
        <f>IFERROR(INDEX(TableOverallMaster[BYE],MATCH(TableOverallRank[[#This Row],[OVERALL PLAYER]],TableOverallMaster[OVERALL PLAYER],0)),"")</f>
        <v>7</v>
      </c>
      <c r="AS200" s="127">
        <f>IFERROR(INDEX(TableOverallMaster[Custom],MATCH(TableOverallRank[[#This Row],[OVERALL PLAYER]],TableOverallMaster[OVERALL PLAYER],0)),"")</f>
        <v>90.290516206634649</v>
      </c>
      <c r="AT200" s="129">
        <f>IFERROR(INDEX(TableOverallMaster[VORP],MATCH(TableOverallRank[[#This Row],[OVERALL PLAYER]],TableOverallMaster[OVERALL PLAYER],0)),"")</f>
        <v>-0.30701460419725418</v>
      </c>
      <c r="AV200">
        <v>199</v>
      </c>
      <c r="AW200" s="130" t="str">
        <f>IFERROR(INDEX(TableWRTECalcPts[PLAYER],MATCH(TableWRTERank[[#This Row],[RK]],TableWRTECalcPts[RK],0)),"")</f>
        <v>Drew Sample</v>
      </c>
      <c r="AX200" s="130" t="str">
        <f>IFERROR(INDEX(TableWRTECalcPts[POS RK],MATCH(TableWRTERank[[#This Row],[WR and TE COMBINED]],TableWRTECalcPts[PLAYER],0)),"")</f>
        <v>TE62</v>
      </c>
      <c r="AY200" s="130">
        <f>IFERROR(INDEX(TableWRTECalcPts[BYE],MATCH(TableWRTERank[[#This Row],[RK]],TableWRTECalcPts[RK],0)),"")</f>
        <v>7</v>
      </c>
      <c r="AZ200" s="131">
        <f>IFERROR(INDEX(TableWRTECalcPts[Custom],MATCH(TableWRTERank[[#This Row],[RK]],TableWRTECalcPts[RK],0)),"")</f>
        <v>22.221847504079999</v>
      </c>
      <c r="BA200" s="188">
        <f>IFERROR((TableWRTERank[[#This Row],[FPS]]-INDEX(TableWRTERank[FPS],MATCH(WRTEVORPCalc,TableWRTERank[RK],0)))/INDEX(TableWRTERank[FPS],MATCH(WRTEVORPCalc,TableWRTERank[RK],0)),"")</f>
        <v>-0.83942592835965568</v>
      </c>
      <c r="BC200" t="s">
        <v>257</v>
      </c>
      <c r="BD200">
        <v>199</v>
      </c>
      <c r="BE200" s="86" t="e">
        <f>RANK(TableWRTEMaster[[#This Row],[VORP]],TableWRTEMaster[VORP])+COUNTIF($BJ$2:BJ200,BJ200)-1</f>
        <v>#VALUE!</v>
      </c>
      <c r="BF200" s="123" t="str">
        <f>IFERROR(INDEX(TableWRVORP[WIDE RECEIVER],MATCH(TableWRTEMaster[[#This Row],[RK]],TableWRVORP[RK],0)),"")</f>
        <v/>
      </c>
      <c r="BG200" s="123" t="str">
        <f>_xlfn.CONCAT(TableWRTEMaster[[#This Row],[POS]],TableWRTEMaster[[#This Row],[RK]])</f>
        <v>WR199</v>
      </c>
      <c r="BH200" s="123" t="str">
        <f>IFERROR(INDEX(TableWRVORP[BYE],MATCH(TableWRTEMaster[[#This Row],[RK]],TableWRVORP[RK],0)),"")</f>
        <v/>
      </c>
      <c r="BI200" s="124" t="str">
        <f>IFERROR(INDEX(TableWRVORP[FPS],MATCH(TableWRTEMaster[[#This Row],[RK]],TableWRVORP[RK],0)),"")</f>
        <v/>
      </c>
      <c r="BJ200" s="125" t="str">
        <f>IFERROR(INDEX(TableWRVORP[VORP],MATCH(TableWRTEMaster[[#This Row],[RK]],TableWRVORP[RK],0)),"")</f>
        <v/>
      </c>
    </row>
    <row r="201" spans="15:62" x14ac:dyDescent="0.2">
      <c r="O201">
        <v>200</v>
      </c>
      <c r="P201" s="120" t="str">
        <f>IFERROR(INDEX(TableWRCalcPts[PLAYER],MATCH(TableWRVORP[[#This Row],[RK]],TableWRCalcPts[RK],0)),"")</f>
        <v/>
      </c>
      <c r="Q201" s="120" t="str">
        <f>IFERROR(INDEX(TableWRCalcPts[TM],MATCH(TableWRVORP[[#This Row],[RK]],TableWRCalcPts[RK],0)),"")</f>
        <v/>
      </c>
      <c r="R201" s="120" t="str">
        <f>IFERROR(INDEX(TableWRCalcPts[BYE],MATCH(TableWRVORP[[#This Row],[RK]],TableWRCalcPts[RK],0)),"")</f>
        <v/>
      </c>
      <c r="S201" s="121" t="str">
        <f>IFERROR(INDEX(TableWRCalcPts[Custom],MATCH(TableWRVORP[[#This Row],[RK]],TableWRCalcPts[RK],0)),"")</f>
        <v/>
      </c>
      <c r="T201" s="122" t="str">
        <f>IFERROR((TableWRVORP[[#This Row],[FPS]]-INDEX(TableWRVORP[FPS],MATCH(WRVORPCalc,TableWRVORP[RK],0)))/INDEX(TableWRVORP[FPS],MATCH(WRVORPCalc,TableWRVORP[RK],0)),"")</f>
        <v/>
      </c>
      <c r="AF201" t="s">
        <v>257</v>
      </c>
      <c r="AG201">
        <v>60</v>
      </c>
      <c r="AH201" s="86">
        <f>RANK(TableOverallMaster[[#This Row],[VORP]],TableOverallMaster[VORP])+COUNTIF($AM$2:AM201,AM201)-1</f>
        <v>132</v>
      </c>
      <c r="AI201" s="123" t="str">
        <f>IFERROR(INDEX(TableWRVORP[WIDE RECEIVER],MATCH(TableOverallMaster[[#This Row],[RK]],TableWRVORP[RK],0)),"")</f>
        <v>Curtis Samuel</v>
      </c>
      <c r="AJ201" s="123" t="str">
        <f t="shared" si="3"/>
        <v>WR60</v>
      </c>
      <c r="AK201" s="123">
        <f>IFERROR(INDEX(TableWRVORP[BYE],MATCH(TableOverallMaster[[#This Row],[RK]],TableWRVORP[RK],0)),"")</f>
        <v>14</v>
      </c>
      <c r="AL201" s="124">
        <f>IFERROR(INDEX(TableWRVORP[FPS],MATCH(TableOverallMaster[[#This Row],[RK]],TableWRVORP[RK],0)),"")</f>
        <v>129.28583659160677</v>
      </c>
      <c r="AM201" s="125">
        <f>IFERROR(INDEX(TableWRVORP[VORP],MATCH(TableOverallMaster[[#This Row],[RK]],TableWRVORP[RK],0)),"")</f>
        <v>-7.7230654315350606E-3</v>
      </c>
      <c r="AO201">
        <v>200</v>
      </c>
      <c r="AP201" s="126" t="str">
        <f>IFERROR(INDEX(TableOverallMaster[OVERALL PLAYER],MATCH(TableOverallRank[[#This Row],[RK]],TableOverallMaster[OVR RK],0)),"")</f>
        <v>Cade Otton</v>
      </c>
      <c r="AQ201" s="127" t="str">
        <f>IFERROR(INDEX(TableOverallMaster[POS RK],MATCH(TableOverallRank[[#This Row],[OVERALL PLAYER]],TableOverallMaster[OVERALL PLAYER],0)),"")</f>
        <v>TE31</v>
      </c>
      <c r="AR201" s="128">
        <f>IFERROR(INDEX(TableOverallMaster[BYE],MATCH(TableOverallRank[[#This Row],[OVERALL PLAYER]],TableOverallMaster[OVERALL PLAYER],0)),"")</f>
        <v>5</v>
      </c>
      <c r="AS201" s="127">
        <f>IFERROR(INDEX(TableOverallMaster[Custom],MATCH(TableOverallRank[[#This Row],[OVERALL PLAYER]],TableOverallMaster[OVERALL PLAYER],0)),"")</f>
        <v>82.115765388526086</v>
      </c>
      <c r="AT201" s="129">
        <f>IFERROR(INDEX(TableOverallMaster[VORP],MATCH(TableOverallRank[[#This Row],[OVERALL PLAYER]],TableOverallMaster[OVERALL PLAYER],0)),"")</f>
        <v>-0.30896544593746877</v>
      </c>
      <c r="AV201">
        <v>200</v>
      </c>
      <c r="AW201" s="130" t="str">
        <f>IFERROR(INDEX(TableWRTECalcPts[PLAYER],MATCH(TableWRTERank[[#This Row],[RK]],TableWRTECalcPts[RK],0)),"")</f>
        <v>Jake Bobo</v>
      </c>
      <c r="AX201" s="130" t="str">
        <f>IFERROR(INDEX(TableWRTECalcPts[POS RK],MATCH(TableWRTERank[[#This Row],[WR and TE COMBINED]],TableWRTECalcPts[PLAYER],0)),"")</f>
        <v>WR138</v>
      </c>
      <c r="AY201" s="130">
        <f>IFERROR(INDEX(TableWRTECalcPts[BYE],MATCH(TableWRTERank[[#This Row],[RK]],TableWRTECalcPts[RK],0)),"")</f>
        <v>5</v>
      </c>
      <c r="AZ201" s="131">
        <f>IFERROR(INDEX(TableWRTECalcPts[Custom],MATCH(TableWRTERank[[#This Row],[RK]],TableWRTECalcPts[RK],0)),"")</f>
        <v>21.473156859376324</v>
      </c>
      <c r="BA201" s="188">
        <f>IFERROR((TableWRTERank[[#This Row],[FPS]]-INDEX(TableWRTERank[FPS],MATCH(WRTEVORPCalc,TableWRTERank[RK],0)))/INDEX(TableWRTERank[FPS],MATCH(WRTEVORPCalc,TableWRTERank[RK],0)),"")</f>
        <v>-0.84483593331973073</v>
      </c>
      <c r="BC201" t="s">
        <v>257</v>
      </c>
      <c r="BD201">
        <v>200</v>
      </c>
      <c r="BE201" s="86" t="e">
        <f>RANK(TableWRTEMaster[[#This Row],[VORP]],TableWRTEMaster[VORP])+COUNTIF($BJ$2:BJ201,BJ201)-1</f>
        <v>#VALUE!</v>
      </c>
      <c r="BF201" s="123" t="str">
        <f>IFERROR(INDEX(TableWRVORP[WIDE RECEIVER],MATCH(TableWRTEMaster[[#This Row],[RK]],TableWRVORP[RK],0)),"")</f>
        <v/>
      </c>
      <c r="BG201" s="123" t="str">
        <f>_xlfn.CONCAT(TableWRTEMaster[[#This Row],[POS]],TableWRTEMaster[[#This Row],[RK]])</f>
        <v>WR200</v>
      </c>
      <c r="BH201" s="123" t="str">
        <f>IFERROR(INDEX(TableWRVORP[BYE],MATCH(TableWRTEMaster[[#This Row],[RK]],TableWRVORP[RK],0)),"")</f>
        <v/>
      </c>
      <c r="BI201" s="124" t="str">
        <f>IFERROR(INDEX(TableWRVORP[FPS],MATCH(TableWRTEMaster[[#This Row],[RK]],TableWRVORP[RK],0)),"")</f>
        <v/>
      </c>
      <c r="BJ201" s="125" t="str">
        <f>IFERROR(INDEX(TableWRVORP[VORP],MATCH(TableWRTEMaster[[#This Row],[RK]],TableWRVORP[RK],0)),"")</f>
        <v/>
      </c>
    </row>
    <row r="202" spans="15:62" x14ac:dyDescent="0.2">
      <c r="O202">
        <v>201</v>
      </c>
      <c r="P202" s="120" t="str">
        <f>IFERROR(INDEX(TableWRCalcPts[PLAYER],MATCH(TableWRVORP[[#This Row],[RK]],TableWRCalcPts[RK],0)),"")</f>
        <v/>
      </c>
      <c r="Q202" s="120" t="str">
        <f>IFERROR(INDEX(TableWRCalcPts[TM],MATCH(TableWRVORP[[#This Row],[RK]],TableWRCalcPts[RK],0)),"")</f>
        <v/>
      </c>
      <c r="R202" s="120" t="str">
        <f>IFERROR(INDEX(TableWRCalcPts[BYE],MATCH(TableWRVORP[[#This Row],[RK]],TableWRCalcPts[RK],0)),"")</f>
        <v/>
      </c>
      <c r="S202" s="121" t="str">
        <f>IFERROR(INDEX(TableWRCalcPts[Custom],MATCH(TableWRVORP[[#This Row],[RK]],TableWRCalcPts[RK],0)),"")</f>
        <v/>
      </c>
      <c r="T202" s="122" t="str">
        <f>IFERROR((TableWRVORP[[#This Row],[FPS]]-INDEX(TableWRVORP[FPS],MATCH(WRVORPCalc,TableWRVORP[RK],0)))/INDEX(TableWRVORP[FPS],MATCH(WRVORPCalc,TableWRVORP[RK],0)),"")</f>
        <v/>
      </c>
      <c r="AF202" t="s">
        <v>257</v>
      </c>
      <c r="AG202">
        <v>61</v>
      </c>
      <c r="AH202" s="86">
        <f>RANK(TableOverallMaster[[#This Row],[VORP]],TableOverallMaster[VORP])+COUNTIF($AM$2:AM202,AM202)-1</f>
        <v>143</v>
      </c>
      <c r="AI202" s="123" t="str">
        <f>IFERROR(INDEX(TableWRVORP[WIDE RECEIVER],MATCH(TableOverallMaster[[#This Row],[RK]],TableWRVORP[RK],0)),"")</f>
        <v>Darius Slayton</v>
      </c>
      <c r="AJ202" s="123" t="str">
        <f t="shared" si="3"/>
        <v>WR61</v>
      </c>
      <c r="AK202" s="123">
        <f>IFERROR(INDEX(TableWRVORP[BYE],MATCH(TableOverallMaster[[#This Row],[RK]],TableWRVORP[RK],0)),"")</f>
        <v>13</v>
      </c>
      <c r="AL202" s="124">
        <f>IFERROR(INDEX(TableWRVORP[FPS],MATCH(TableOverallMaster[[#This Row],[RK]],TableWRVORP[RK],0)),"")</f>
        <v>121.11123240350437</v>
      </c>
      <c r="AM202" s="125">
        <f>IFERROR(INDEX(TableWRVORP[VORP],MATCH(TableOverallMaster[[#This Row],[RK]],TableWRVORP[RK],0)),"")</f>
        <v>-7.0463667178218378E-2</v>
      </c>
      <c r="AO202">
        <v>201</v>
      </c>
      <c r="AP202" s="126" t="str">
        <f>IFERROR(INDEX(TableOverallMaster[OVERALL PLAYER],MATCH(TableOverallRank[[#This Row],[RK]],TableOverallMaster[OVR RK],0)),"")</f>
        <v>Devin Singletary</v>
      </c>
      <c r="AQ202" s="127" t="str">
        <f>IFERROR(INDEX(TableOverallMaster[POS RK],MATCH(TableOverallRank[[#This Row],[OVERALL PLAYER]],TableOverallMaster[OVERALL PLAYER],0)),"")</f>
        <v>RB58</v>
      </c>
      <c r="AR202" s="128">
        <f>IFERROR(INDEX(TableOverallMaster[BYE],MATCH(TableOverallRank[[#This Row],[OVERALL PLAYER]],TableOverallMaster[OVERALL PLAYER],0)),"")</f>
        <v>7</v>
      </c>
      <c r="AS202" s="127">
        <f>IFERROR(INDEX(TableOverallMaster[Custom],MATCH(TableOverallRank[[#This Row],[OVERALL PLAYER]],TableOverallMaster[OVERALL PLAYER],0)),"")</f>
        <v>83.837635517984992</v>
      </c>
      <c r="AT202" s="129">
        <f>IFERROR(INDEX(TableOverallMaster[VORP],MATCH(TableOverallRank[[#This Row],[OVERALL PLAYER]],TableOverallMaster[OVERALL PLAYER],0)),"")</f>
        <v>-0.31540389063087132</v>
      </c>
      <c r="AV202">
        <v>201</v>
      </c>
      <c r="AW202" s="130" t="str">
        <f>IFERROR(INDEX(TableWRTECalcPts[PLAYER],MATCH(TableWRTERank[[#This Row],[RK]],TableWRTECalcPts[RK],0)),"")</f>
        <v>Parker Washington</v>
      </c>
      <c r="AX202" s="130" t="str">
        <f>IFERROR(INDEX(TableWRTECalcPts[POS RK],MATCH(TableWRTERank[[#This Row],[WR and TE COMBINED]],TableWRTECalcPts[PLAYER],0)),"")</f>
        <v>WR139</v>
      </c>
      <c r="AY202" s="130">
        <f>IFERROR(INDEX(TableWRTECalcPts[BYE],MATCH(TableWRTERank[[#This Row],[RK]],TableWRTECalcPts[RK],0)),"")</f>
        <v>9</v>
      </c>
      <c r="AZ202" s="131">
        <f>IFERROR(INDEX(TableWRTECalcPts[Custom],MATCH(TableWRTERank[[#This Row],[RK]],TableWRTECalcPts[RK],0)),"")</f>
        <v>21.3997226771328</v>
      </c>
      <c r="BA202" s="188">
        <f>IFERROR((TableWRTERank[[#This Row],[FPS]]-INDEX(TableWRTERank[FPS],MATCH(WRTEVORPCalc,TableWRTERank[RK],0)))/INDEX(TableWRTERank[FPS],MATCH(WRTEVORPCalc,TableWRTERank[RK],0)),"")</f>
        <v>-0.84536656542123612</v>
      </c>
      <c r="BC202" t="s">
        <v>10</v>
      </c>
      <c r="BD202">
        <v>1</v>
      </c>
      <c r="BE202" s="86">
        <f>RANK(TableWRTEMaster[[#This Row],[VORP]],TableWRTEMaster[VORP])+COUNTIF($BJ$2:BJ202,BJ202)-1</f>
        <v>6</v>
      </c>
      <c r="BF202" s="123" t="str">
        <f>IFERROR(INDEX(TableTEVORP[TIGHT END],MATCH(TableWRTEMaster[[#This Row],[RK]],TableTEVORP[RK],0)),"")</f>
        <v>Travis Kelce</v>
      </c>
      <c r="BG202" s="123" t="str">
        <f>_xlfn.CONCAT(TableWRTEMaster[[#This Row],[POS]],TableWRTEMaster[[#This Row],[RK]])</f>
        <v>TE1</v>
      </c>
      <c r="BH202" s="123">
        <f>IFERROR(INDEX(TableTEVORP[BYE],MATCH(TableWRTEMaster[[#This Row],[RK]],TableTEVORP[RK],0)),"")</f>
        <v>10</v>
      </c>
      <c r="BI202" s="124">
        <f>IFERROR(INDEX(TableTEVORP[FPS],MATCH(TableWRTEMaster[[#This Row],[RK]],TableTEVORP[RK],0)),"")</f>
        <v>224.5527577004236</v>
      </c>
      <c r="BJ202" s="125">
        <f>IFERROR(INDEX(TableTEVORP[VORP],MATCH(TableWRTEMaster[[#This Row],[RK]],TableTEVORP[RK],0)),"")</f>
        <v>0.88969455556832755</v>
      </c>
    </row>
    <row r="203" spans="15:62" x14ac:dyDescent="0.2">
      <c r="O203">
        <v>202</v>
      </c>
      <c r="P203" s="120" t="str">
        <f>IFERROR(INDEX(TableWRCalcPts[PLAYER],MATCH(TableWRVORP[[#This Row],[RK]],TableWRCalcPts[RK],0)),"")</f>
        <v/>
      </c>
      <c r="Q203" s="120" t="str">
        <f>IFERROR(INDEX(TableWRCalcPts[TM],MATCH(TableWRVORP[[#This Row],[RK]],TableWRCalcPts[RK],0)),"")</f>
        <v/>
      </c>
      <c r="R203" s="120" t="str">
        <f>IFERROR(INDEX(TableWRCalcPts[BYE],MATCH(TableWRVORP[[#This Row],[RK]],TableWRCalcPts[RK],0)),"")</f>
        <v/>
      </c>
      <c r="S203" s="121" t="str">
        <f>IFERROR(INDEX(TableWRCalcPts[Custom],MATCH(TableWRVORP[[#This Row],[RK]],TableWRCalcPts[RK],0)),"")</f>
        <v/>
      </c>
      <c r="T203" s="122" t="str">
        <f>IFERROR((TableWRVORP[[#This Row],[FPS]]-INDEX(TableWRVORP[FPS],MATCH(WRVORPCalc,TableWRVORP[RK],0)))/INDEX(TableWRVORP[FPS],MATCH(WRVORPCalc,TableWRVORP[RK],0)),"")</f>
        <v/>
      </c>
      <c r="AF203" t="s">
        <v>257</v>
      </c>
      <c r="AG203">
        <v>62</v>
      </c>
      <c r="AH203" s="86">
        <f>RANK(TableOverallMaster[[#This Row],[VORP]],TableOverallMaster[VORP])+COUNTIF($AM$2:AM203,AM203)-1</f>
        <v>145</v>
      </c>
      <c r="AI203" s="123" t="str">
        <f>IFERROR(INDEX(TableWRVORP[WIDE RECEIVER],MATCH(TableOverallMaster[[#This Row],[RK]],TableWRVORP[RK],0)),"")</f>
        <v>Michael Wilson</v>
      </c>
      <c r="AJ203" s="123" t="str">
        <f t="shared" si="3"/>
        <v>WR62</v>
      </c>
      <c r="AK203" s="123">
        <f>IFERROR(INDEX(TableWRVORP[BYE],MATCH(TableOverallMaster[[#This Row],[RK]],TableWRVORP[RK],0)),"")</f>
        <v>14</v>
      </c>
      <c r="AL203" s="124">
        <f>IFERROR(INDEX(TableWRVORP[FPS],MATCH(TableOverallMaster[[#This Row],[RK]],TableWRVORP[RK],0)),"")</f>
        <v>119.77105166565002</v>
      </c>
      <c r="AM203" s="125">
        <f>IFERROR(INDEX(TableWRVORP[VORP],MATCH(TableOverallMaster[[#This Row],[RK]],TableWRVORP[RK],0)),"")</f>
        <v>-8.0749638707540206E-2</v>
      </c>
      <c r="AO203">
        <v>202</v>
      </c>
      <c r="AP203" s="126" t="str">
        <f>IFERROR(INDEX(TableOverallMaster[OVERALL PLAYER],MATCH(TableOverallRank[[#This Row],[RK]],TableOverallMaster[OVR RK],0)),"")</f>
        <v>Isaiah Hodgins</v>
      </c>
      <c r="AQ203" s="127" t="str">
        <f>IFERROR(INDEX(TableOverallMaster[POS RK],MATCH(TableOverallRank[[#This Row],[OVERALL PLAYER]],TableOverallMaster[OVERALL PLAYER],0)),"")</f>
        <v>WR84</v>
      </c>
      <c r="AR203" s="128">
        <f>IFERROR(INDEX(TableOverallMaster[BYE],MATCH(TableOverallRank[[#This Row],[OVERALL PLAYER]],TableOverallMaster[OVERALL PLAYER],0)),"")</f>
        <v>13</v>
      </c>
      <c r="AS203" s="127">
        <f>IFERROR(INDEX(TableOverallMaster[Custom],MATCH(TableOverallRank[[#This Row],[OVERALL PLAYER]],TableOverallMaster[OVERALL PLAYER],0)),"")</f>
        <v>88.794501254683098</v>
      </c>
      <c r="AT203" s="129">
        <f>IFERROR(INDEX(TableOverallMaster[VORP],MATCH(TableOverallRank[[#This Row],[OVERALL PLAYER]],TableOverallMaster[OVERALL PLAYER],0)),"")</f>
        <v>-0.31849661312975813</v>
      </c>
      <c r="AV203">
        <v>202</v>
      </c>
      <c r="AW203" s="130" t="str">
        <f>IFERROR(INDEX(TableWRTECalcPts[PLAYER],MATCH(TableWRTERank[[#This Row],[RK]],TableWRTECalcPts[RK],0)),"")</f>
        <v>Ross Dwelley</v>
      </c>
      <c r="AX203" s="130" t="str">
        <f>IFERROR(INDEX(TableWRTECalcPts[POS RK],MATCH(TableWRTERank[[#This Row],[WR and TE COMBINED]],TableWRTECalcPts[PLAYER],0)),"")</f>
        <v>TE63</v>
      </c>
      <c r="AY203" s="130">
        <f>IFERROR(INDEX(TableWRTECalcPts[BYE],MATCH(TableWRTERank[[#This Row],[RK]],TableWRTECalcPts[RK],0)),"")</f>
        <v>9</v>
      </c>
      <c r="AZ203" s="131">
        <f>IFERROR(INDEX(TableWRTECalcPts[Custom],MATCH(TableWRTERank[[#This Row],[RK]],TableWRTECalcPts[RK],0)),"")</f>
        <v>21.379160225181359</v>
      </c>
      <c r="BA203" s="188">
        <f>IFERROR((TableWRTERank[[#This Row],[FPS]]-INDEX(TableWRTERank[FPS],MATCH(WRTEVORPCalc,TableWRTERank[RK],0)))/INDEX(TableWRTERank[FPS],MATCH(WRTEVORPCalc,TableWRTERank[RK],0)),"")</f>
        <v>-0.84551514877516953</v>
      </c>
      <c r="BC203" t="s">
        <v>10</v>
      </c>
      <c r="BD203">
        <v>2</v>
      </c>
      <c r="BE203" s="86">
        <f>RANK(TableWRTEMaster[[#This Row],[VORP]],TableWRTEMaster[VORP])+COUNTIF($BJ$2:BJ203,BJ203)-1</f>
        <v>15</v>
      </c>
      <c r="BF203" s="123" t="str">
        <f>IFERROR(INDEX(TableTEVORP[TIGHT END],MATCH(TableWRTEMaster[[#This Row],[RK]],TableTEVORP[RK],0)),"")</f>
        <v>Mark Andrews</v>
      </c>
      <c r="BG203" s="123" t="str">
        <f>_xlfn.CONCAT(TableWRTEMaster[[#This Row],[POS]],TableWRTEMaster[[#This Row],[RK]])</f>
        <v>TE2</v>
      </c>
      <c r="BH203" s="123">
        <f>IFERROR(INDEX(TableTEVORP[BYE],MATCH(TableWRTEMaster[[#This Row],[RK]],TableTEVORP[RK],0)),"")</f>
        <v>13</v>
      </c>
      <c r="BI203" s="124">
        <f>IFERROR(INDEX(TableTEVORP[FPS],MATCH(TableWRTEMaster[[#This Row],[RK]],TableTEVORP[RK],0)),"")</f>
        <v>182.44202704799619</v>
      </c>
      <c r="BJ203" s="125">
        <f>IFERROR(INDEX(TableTEVORP[VORP],MATCH(TableWRTEMaster[[#This Row],[RK]],TableTEVORP[RK],0)),"")</f>
        <v>0.5353171733450397</v>
      </c>
    </row>
    <row r="204" spans="15:62" x14ac:dyDescent="0.2">
      <c r="O204">
        <v>203</v>
      </c>
      <c r="P204" s="120" t="str">
        <f>IFERROR(INDEX(TableWRCalcPts[PLAYER],MATCH(TableWRVORP[[#This Row],[RK]],TableWRCalcPts[RK],0)),"")</f>
        <v/>
      </c>
      <c r="Q204" s="120" t="str">
        <f>IFERROR(INDEX(TableWRCalcPts[TM],MATCH(TableWRVORP[[#This Row],[RK]],TableWRCalcPts[RK],0)),"")</f>
        <v/>
      </c>
      <c r="R204" s="120" t="str">
        <f>IFERROR(INDEX(TableWRCalcPts[BYE],MATCH(TableWRVORP[[#This Row],[RK]],TableWRCalcPts[RK],0)),"")</f>
        <v/>
      </c>
      <c r="S204" s="121" t="str">
        <f>IFERROR(INDEX(TableWRCalcPts[Custom],MATCH(TableWRVORP[[#This Row],[RK]],TableWRCalcPts[RK],0)),"")</f>
        <v/>
      </c>
      <c r="T204" s="122" t="str">
        <f>IFERROR((TableWRVORP[[#This Row],[FPS]]-INDEX(TableWRVORP[FPS],MATCH(WRVORPCalc,TableWRVORP[RK],0)))/INDEX(TableWRVORP[FPS],MATCH(WRVORPCalc,TableWRVORP[RK],0)),"")</f>
        <v/>
      </c>
      <c r="AF204" t="s">
        <v>257</v>
      </c>
      <c r="AG204">
        <v>63</v>
      </c>
      <c r="AH204" s="86">
        <f>RANK(TableOverallMaster[[#This Row],[VORP]],TableOverallMaster[VORP])+COUNTIF($AM$2:AM204,AM204)-1</f>
        <v>146</v>
      </c>
      <c r="AI204" s="123" t="str">
        <f>IFERROR(INDEX(TableWRVORP[WIDE RECEIVER],MATCH(TableOverallMaster[[#This Row],[RK]],TableWRVORP[RK],0)),"")</f>
        <v>Jayden Reed</v>
      </c>
      <c r="AJ204" s="123" t="str">
        <f t="shared" si="3"/>
        <v>WR63</v>
      </c>
      <c r="AK204" s="123">
        <f>IFERROR(INDEX(TableWRVORP[BYE],MATCH(TableOverallMaster[[#This Row],[RK]],TableWRVORP[RK],0)),"")</f>
        <v>6</v>
      </c>
      <c r="AL204" s="124">
        <f>IFERROR(INDEX(TableWRVORP[FPS],MATCH(TableOverallMaster[[#This Row],[RK]],TableWRVORP[RK],0)),"")</f>
        <v>119.06544448157086</v>
      </c>
      <c r="AM204" s="125">
        <f>IFERROR(INDEX(TableWRVORP[VORP],MATCH(TableOverallMaster[[#This Row],[RK]],TableWRVORP[RK],0)),"")</f>
        <v>-8.6165218264326757E-2</v>
      </c>
      <c r="AO204">
        <v>203</v>
      </c>
      <c r="AP204" s="126" t="str">
        <f>IFERROR(INDEX(TableOverallMaster[OVERALL PLAYER],MATCH(TableOverallRank[[#This Row],[RK]],TableOverallMaster[OVR RK],0)),"")</f>
        <v>Desmond Ridder</v>
      </c>
      <c r="AQ204" s="127" t="str">
        <f>IFERROR(INDEX(TableOverallMaster[POS RK],MATCH(TableOverallRank[[#This Row],[OVERALL PLAYER]],TableOverallMaster[OVERALL PLAYER],0)),"")</f>
        <v>QB30</v>
      </c>
      <c r="AR204" s="128">
        <f>IFERROR(INDEX(TableOverallMaster[BYE],MATCH(TableOverallRank[[#This Row],[OVERALL PLAYER]],TableOverallMaster[OVERALL PLAYER],0)),"")</f>
        <v>11</v>
      </c>
      <c r="AS204" s="127">
        <f>IFERROR(INDEX(TableOverallMaster[Custom],MATCH(TableOverallRank[[#This Row],[OVERALL PLAYER]],TableOverallMaster[OVERALL PLAYER],0)),"")</f>
        <v>211.34298839932205</v>
      </c>
      <c r="AT204" s="129">
        <f>IFERROR(INDEX(TableOverallMaster[VORP],MATCH(TableOverallRank[[#This Row],[OVERALL PLAYER]],TableOverallMaster[OVERALL PLAYER],0)),"")</f>
        <v>-0.31955331262967457</v>
      </c>
      <c r="AV204">
        <v>203</v>
      </c>
      <c r="AW204" s="130" t="str">
        <f>IFERROR(INDEX(TableWRTECalcPts[PLAYER],MATCH(TableWRTERank[[#This Row],[RK]],TableWRTECalcPts[RK],0)),"")</f>
        <v>Chris Moore</v>
      </c>
      <c r="AX204" s="130" t="str">
        <f>IFERROR(INDEX(TableWRTECalcPts[POS RK],MATCH(TableWRTERank[[#This Row],[WR and TE COMBINED]],TableWRTECalcPts[PLAYER],0)),"")</f>
        <v>WR140</v>
      </c>
      <c r="AY204" s="130">
        <f>IFERROR(INDEX(TableWRTECalcPts[BYE],MATCH(TableWRTERank[[#This Row],[RK]],TableWRTECalcPts[RK],0)),"")</f>
        <v>7</v>
      </c>
      <c r="AZ204" s="131">
        <f>IFERROR(INDEX(TableWRTECalcPts[Custom],MATCH(TableWRTERank[[#This Row],[RK]],TableWRTECalcPts[RK],0)),"")</f>
        <v>21.260022568135398</v>
      </c>
      <c r="BA204" s="188">
        <f>IFERROR((TableWRTERank[[#This Row],[FPS]]-INDEX(TableWRTERank[FPS],MATCH(WRTEVORPCalc,TableWRTERank[RK],0)))/INDEX(TableWRTERank[FPS],MATCH(WRTEVORPCalc,TableWRTERank[RK],0)),"")</f>
        <v>-0.84637603213214729</v>
      </c>
      <c r="BC204" t="s">
        <v>10</v>
      </c>
      <c r="BD204">
        <v>3</v>
      </c>
      <c r="BE204" s="86">
        <f>RANK(TableWRTEMaster[[#This Row],[VORP]],TableWRTEMaster[VORP])+COUNTIF($BJ$2:BJ204,BJ204)-1</f>
        <v>16</v>
      </c>
      <c r="BF204" s="123" t="str">
        <f>IFERROR(INDEX(TableTEVORP[TIGHT END],MATCH(TableWRTEMaster[[#This Row],[RK]],TableTEVORP[RK],0)),"")</f>
        <v>Darren Waller</v>
      </c>
      <c r="BG204" s="123" t="str">
        <f>_xlfn.CONCAT(TableWRTEMaster[[#This Row],[POS]],TableWRTEMaster[[#This Row],[RK]])</f>
        <v>TE3</v>
      </c>
      <c r="BH204" s="123">
        <f>IFERROR(INDEX(TableTEVORP[BYE],MATCH(TableWRTEMaster[[#This Row],[RK]],TableTEVORP[RK],0)),"")</f>
        <v>13</v>
      </c>
      <c r="BI204" s="124">
        <f>IFERROR(INDEX(TableTEVORP[FPS],MATCH(TableWRTEMaster[[#This Row],[RK]],TableTEVORP[RK],0)),"")</f>
        <v>181.80931561622648</v>
      </c>
      <c r="BJ204" s="125">
        <f>IFERROR(INDEX(TableTEVORP[VORP],MATCH(TableWRTEMaster[[#This Row],[RK]],TableTEVORP[RK],0)),"")</f>
        <v>0.52999267250120607</v>
      </c>
    </row>
    <row r="205" spans="15:62" x14ac:dyDescent="0.2">
      <c r="O205">
        <v>204</v>
      </c>
      <c r="P205" s="120" t="str">
        <f>IFERROR(INDEX(TableWRCalcPts[PLAYER],MATCH(TableWRVORP[[#This Row],[RK]],TableWRCalcPts[RK],0)),"")</f>
        <v/>
      </c>
      <c r="Q205" s="120" t="str">
        <f>IFERROR(INDEX(TableWRCalcPts[TM],MATCH(TableWRVORP[[#This Row],[RK]],TableWRCalcPts[RK],0)),"")</f>
        <v/>
      </c>
      <c r="R205" s="120" t="str">
        <f>IFERROR(INDEX(TableWRCalcPts[BYE],MATCH(TableWRVORP[[#This Row],[RK]],TableWRCalcPts[RK],0)),"")</f>
        <v/>
      </c>
      <c r="S205" s="121" t="str">
        <f>IFERROR(INDEX(TableWRCalcPts[Custom],MATCH(TableWRVORP[[#This Row],[RK]],TableWRCalcPts[RK],0)),"")</f>
        <v/>
      </c>
      <c r="T205" s="122" t="str">
        <f>IFERROR((TableWRVORP[[#This Row],[FPS]]-INDEX(TableWRVORP[FPS],MATCH(WRVORPCalc,TableWRVORP[RK],0)))/INDEX(TableWRVORP[FPS],MATCH(WRVORPCalc,TableWRVORP[RK],0)),"")</f>
        <v/>
      </c>
      <c r="AF205" t="s">
        <v>257</v>
      </c>
      <c r="AG205">
        <v>64</v>
      </c>
      <c r="AH205" s="86">
        <f>RANK(TableOverallMaster[[#This Row],[VORP]],TableOverallMaster[VORP])+COUNTIF($AM$2:AM205,AM205)-1</f>
        <v>147</v>
      </c>
      <c r="AI205" s="123" t="str">
        <f>IFERROR(INDEX(TableWRVORP[WIDE RECEIVER],MATCH(TableOverallMaster[[#This Row],[RK]],TableWRVORP[RK],0)),"")</f>
        <v>Elijah Moore</v>
      </c>
      <c r="AJ205" s="123" t="str">
        <f t="shared" si="3"/>
        <v>WR64</v>
      </c>
      <c r="AK205" s="123">
        <f>IFERROR(INDEX(TableWRVORP[BYE],MATCH(TableOverallMaster[[#This Row],[RK]],TableWRVORP[RK],0)),"")</f>
        <v>5</v>
      </c>
      <c r="AL205" s="124">
        <f>IFERROR(INDEX(TableWRVORP[FPS],MATCH(TableOverallMaster[[#This Row],[RK]],TableWRVORP[RK],0)),"")</f>
        <v>118.66713195414852</v>
      </c>
      <c r="AM205" s="125">
        <f>IFERROR(INDEX(TableWRVORP[VORP],MATCH(TableOverallMaster[[#This Row],[RK]],TableWRVORP[RK],0)),"")</f>
        <v>-8.9222291986635199E-2</v>
      </c>
      <c r="AO205">
        <v>204</v>
      </c>
      <c r="AP205" s="126" t="str">
        <f>IFERROR(INDEX(TableOverallMaster[OVERALL PLAYER],MATCH(TableOverallRank[[#This Row],[RK]],TableOverallMaster[OVR RK],0)),"")</f>
        <v>Tyler Conklin</v>
      </c>
      <c r="AQ205" s="127" t="str">
        <f>IFERROR(INDEX(TableOverallMaster[POS RK],MATCH(TableOverallRank[[#This Row],[OVERALL PLAYER]],TableOverallMaster[OVERALL PLAYER],0)),"")</f>
        <v>TE32</v>
      </c>
      <c r="AR205" s="128">
        <f>IFERROR(INDEX(TableOverallMaster[BYE],MATCH(TableOverallRank[[#This Row],[OVERALL PLAYER]],TableOverallMaster[OVERALL PLAYER],0)),"")</f>
        <v>7</v>
      </c>
      <c r="AS205" s="127">
        <f>IFERROR(INDEX(TableOverallMaster[Custom],MATCH(TableOverallRank[[#This Row],[OVERALL PLAYER]],TableOverallMaster[OVERALL PLAYER],0)),"")</f>
        <v>80.821451672672566</v>
      </c>
      <c r="AT205" s="129">
        <f>IFERROR(INDEX(TableOverallMaster[VORP],MATCH(TableOverallRank[[#This Row],[OVERALL PLAYER]],TableOverallMaster[OVERALL PLAYER],0)),"")</f>
        <v>-0.31985757483890415</v>
      </c>
      <c r="AV205">
        <v>204</v>
      </c>
      <c r="AW205" s="130" t="str">
        <f>IFERROR(INDEX(TableWRTECalcPts[PLAYER],MATCH(TableWRTERank[[#This Row],[RK]],TableWRTECalcPts[RK],0)),"")</f>
        <v>Josh Ali</v>
      </c>
      <c r="AX205" s="130" t="str">
        <f>IFERROR(INDEX(TableWRTECalcPts[POS RK],MATCH(TableWRTERank[[#This Row],[WR and TE COMBINED]],TableWRTECalcPts[PLAYER],0)),"")</f>
        <v>WR141</v>
      </c>
      <c r="AY205" s="130">
        <f>IFERROR(INDEX(TableWRTECalcPts[BYE],MATCH(TableWRTERank[[#This Row],[RK]],TableWRTECalcPts[RK],0)),"")</f>
        <v>11</v>
      </c>
      <c r="AZ205" s="131">
        <f>IFERROR(INDEX(TableWRTECalcPts[Custom],MATCH(TableWRTERank[[#This Row],[RK]],TableWRTECalcPts[RK],0)),"")</f>
        <v>21.123903027513649</v>
      </c>
      <c r="BA205" s="188">
        <f>IFERROR((TableWRTERank[[#This Row],[FPS]]-INDEX(TableWRTERank[FPS],MATCH(WRTEVORPCalc,TableWRTERank[RK],0)))/INDEX(TableWRTERank[FPS],MATCH(WRTEVORPCalc,TableWRTERank[RK],0)),"")</f>
        <v>-0.84735962581685031</v>
      </c>
      <c r="BC205" t="s">
        <v>10</v>
      </c>
      <c r="BD205">
        <v>4</v>
      </c>
      <c r="BE205" s="86">
        <f>RANK(TableWRTEMaster[[#This Row],[VORP]],TableWRTEMaster[VORP])+COUNTIF($BJ$2:BJ205,BJ205)-1</f>
        <v>20</v>
      </c>
      <c r="BF205" s="123" t="str">
        <f>IFERROR(INDEX(TableTEVORP[TIGHT END],MATCH(TableWRTEMaster[[#This Row],[RK]],TableTEVORP[RK],0)),"")</f>
        <v>T.J. Hockenson</v>
      </c>
      <c r="BG205" s="123" t="str">
        <f>_xlfn.CONCAT(TableWRTEMaster[[#This Row],[POS]],TableWRTEMaster[[#This Row],[RK]])</f>
        <v>TE4</v>
      </c>
      <c r="BH205" s="123">
        <f>IFERROR(INDEX(TableTEVORP[BYE],MATCH(TableWRTEMaster[[#This Row],[RK]],TableTEVORP[RK],0)),"")</f>
        <v>13</v>
      </c>
      <c r="BI205" s="124">
        <f>IFERROR(INDEX(TableTEVORP[FPS],MATCH(TableWRTEMaster[[#This Row],[RK]],TableTEVORP[RK],0)),"")</f>
        <v>173.66456609490382</v>
      </c>
      <c r="BJ205" s="125">
        <f>IFERROR(INDEX(TableTEVORP[VORP],MATCH(TableWRTEMaster[[#This Row],[RK]],TableTEVORP[RK],0)),"")</f>
        <v>0.46145159117792761</v>
      </c>
    </row>
    <row r="206" spans="15:62" x14ac:dyDescent="0.2">
      <c r="O206">
        <v>205</v>
      </c>
      <c r="P206" s="120" t="str">
        <f>IFERROR(INDEX(TableWRCalcPts[PLAYER],MATCH(TableWRVORP[[#This Row],[RK]],TableWRCalcPts[RK],0)),"")</f>
        <v/>
      </c>
      <c r="Q206" s="120" t="str">
        <f>IFERROR(INDEX(TableWRCalcPts[TM],MATCH(TableWRVORP[[#This Row],[RK]],TableWRCalcPts[RK],0)),"")</f>
        <v/>
      </c>
      <c r="R206" s="120" t="str">
        <f>IFERROR(INDEX(TableWRCalcPts[BYE],MATCH(TableWRVORP[[#This Row],[RK]],TableWRCalcPts[RK],0)),"")</f>
        <v/>
      </c>
      <c r="S206" s="121" t="str">
        <f>IFERROR(INDEX(TableWRCalcPts[Custom],MATCH(TableWRVORP[[#This Row],[RK]],TableWRCalcPts[RK],0)),"")</f>
        <v/>
      </c>
      <c r="T206" s="122" t="str">
        <f>IFERROR((TableWRVORP[[#This Row],[FPS]]-INDEX(TableWRVORP[FPS],MATCH(WRVORPCalc,TableWRVORP[RK],0)))/INDEX(TableWRVORP[FPS],MATCH(WRVORPCalc,TableWRVORP[RK],0)),"")</f>
        <v/>
      </c>
      <c r="AF206" t="s">
        <v>257</v>
      </c>
      <c r="AG206">
        <v>65</v>
      </c>
      <c r="AH206" s="86">
        <f>RANK(TableOverallMaster[[#This Row],[VORP]],TableOverallMaster[VORP])+COUNTIF($AM$2:AM206,AM206)-1</f>
        <v>151</v>
      </c>
      <c r="AI206" s="123" t="str">
        <f>IFERROR(INDEX(TableWRVORP[WIDE RECEIVER],MATCH(TableOverallMaster[[#This Row],[RK]],TableWRVORP[RK],0)),"")</f>
        <v>Kadarius Toney</v>
      </c>
      <c r="AJ206" s="123" t="str">
        <f t="shared" si="3"/>
        <v>WR65</v>
      </c>
      <c r="AK206" s="123">
        <f>IFERROR(INDEX(TableWRVORP[BYE],MATCH(TableOverallMaster[[#This Row],[RK]],TableWRVORP[RK],0)),"")</f>
        <v>10</v>
      </c>
      <c r="AL206" s="124">
        <f>IFERROR(INDEX(TableWRVORP[FPS],MATCH(TableOverallMaster[[#This Row],[RK]],TableWRVORP[RK],0)),"")</f>
        <v>115.6532121174868</v>
      </c>
      <c r="AM206" s="125">
        <f>IFERROR(INDEX(TableWRVORP[VORP],MATCH(TableOverallMaster[[#This Row],[RK]],TableWRVORP[RK],0)),"")</f>
        <v>-0.11235431646356794</v>
      </c>
      <c r="AO206">
        <v>205</v>
      </c>
      <c r="AP206" s="126" t="str">
        <f>IFERROR(INDEX(TableOverallMaster[OVERALL PLAYER],MATCH(TableOverallRank[[#This Row],[RK]],TableOverallMaster[OVR RK],0)),"")</f>
        <v>Parris Campbell</v>
      </c>
      <c r="AQ206" s="127" t="str">
        <f>IFERROR(INDEX(TableOverallMaster[POS RK],MATCH(TableOverallRank[[#This Row],[OVERALL PLAYER]],TableOverallMaster[OVERALL PLAYER],0)),"")</f>
        <v>WR85</v>
      </c>
      <c r="AR206" s="128">
        <f>IFERROR(INDEX(TableOverallMaster[BYE],MATCH(TableOverallRank[[#This Row],[OVERALL PLAYER]],TableOverallMaster[OVERALL PLAYER],0)),"")</f>
        <v>13</v>
      </c>
      <c r="AS206" s="127">
        <f>IFERROR(INDEX(TableOverallMaster[Custom],MATCH(TableOverallRank[[#This Row],[OVERALL PLAYER]],TableOverallMaster[OVERALL PLAYER],0)),"")</f>
        <v>87.537493843607933</v>
      </c>
      <c r="AT206" s="129">
        <f>IFERROR(INDEX(TableOverallMaster[VORP],MATCH(TableOverallRank[[#This Row],[OVERALL PLAYER]],TableOverallMaster[OVERALL PLAYER],0)),"")</f>
        <v>-0.32814422414017008</v>
      </c>
      <c r="AV206">
        <v>205</v>
      </c>
      <c r="AW206" s="130" t="str">
        <f>IFERROR(INDEX(TableWRTECalcPts[PLAYER],MATCH(TableWRTERank[[#This Row],[RK]],TableWRTECalcPts[RK],0)),"")</f>
        <v>Tommy Tremble</v>
      </c>
      <c r="AX206" s="130" t="str">
        <f>IFERROR(INDEX(TableWRTECalcPts[POS RK],MATCH(TableWRTERank[[#This Row],[WR and TE COMBINED]],TableWRTECalcPts[PLAYER],0)),"")</f>
        <v>TE64</v>
      </c>
      <c r="AY206" s="130">
        <f>IFERROR(INDEX(TableWRTECalcPts[BYE],MATCH(TableWRTERank[[#This Row],[RK]],TableWRTECalcPts[RK],0)),"")</f>
        <v>7</v>
      </c>
      <c r="AZ206" s="131">
        <f>IFERROR(INDEX(TableWRTECalcPts[Custom],MATCH(TableWRTERank[[#This Row],[RK]],TableWRTECalcPts[RK],0)),"")</f>
        <v>21.056662527364388</v>
      </c>
      <c r="BA206" s="188">
        <f>IFERROR((TableWRTERank[[#This Row],[FPS]]-INDEX(TableWRTERank[FPS],MATCH(WRTEVORPCalc,TableWRTERank[RK],0)))/INDEX(TableWRTERank[FPS],MATCH(WRTEVORPCalc,TableWRTERank[RK],0)),"")</f>
        <v>-0.84784550264982372</v>
      </c>
      <c r="BC206" t="s">
        <v>10</v>
      </c>
      <c r="BD206">
        <v>5</v>
      </c>
      <c r="BE206" s="86">
        <f>RANK(TableWRTEMaster[[#This Row],[VORP]],TableWRTEMaster[VORP])+COUNTIF($BJ$2:BJ206,BJ206)-1</f>
        <v>33</v>
      </c>
      <c r="BF206" s="123" t="str">
        <f>IFERROR(INDEX(TableTEVORP[TIGHT END],MATCH(TableWRTEMaster[[#This Row],[RK]],TableTEVORP[RK],0)),"")</f>
        <v>George Kittle</v>
      </c>
      <c r="BG206" s="123" t="str">
        <f>_xlfn.CONCAT(TableWRTEMaster[[#This Row],[POS]],TableWRTEMaster[[#This Row],[RK]])</f>
        <v>TE5</v>
      </c>
      <c r="BH206" s="123">
        <f>IFERROR(INDEX(TableTEVORP[BYE],MATCH(TableWRTEMaster[[#This Row],[RK]],TableTEVORP[RK],0)),"")</f>
        <v>9</v>
      </c>
      <c r="BI206" s="124">
        <f>IFERROR(INDEX(TableTEVORP[FPS],MATCH(TableWRTEMaster[[#This Row],[RK]],TableTEVORP[RK],0)),"")</f>
        <v>160.72749918287673</v>
      </c>
      <c r="BJ206" s="125">
        <f>IFERROR(INDEX(TableTEVORP[VORP],MATCH(TableWRTEMaster[[#This Row],[RK]],TableTEVORP[RK],0)),"")</f>
        <v>0.35258138553433588</v>
      </c>
    </row>
    <row r="207" spans="15:62" x14ac:dyDescent="0.2">
      <c r="O207">
        <v>206</v>
      </c>
      <c r="P207" s="120" t="str">
        <f>IFERROR(INDEX(TableWRCalcPts[PLAYER],MATCH(TableWRVORP[[#This Row],[RK]],TableWRCalcPts[RK],0)),"")</f>
        <v/>
      </c>
      <c r="Q207" s="120" t="str">
        <f>IFERROR(INDEX(TableWRCalcPts[TM],MATCH(TableWRVORP[[#This Row],[RK]],TableWRCalcPts[RK],0)),"")</f>
        <v/>
      </c>
      <c r="R207" s="120" t="str">
        <f>IFERROR(INDEX(TableWRCalcPts[BYE],MATCH(TableWRVORP[[#This Row],[RK]],TableWRCalcPts[RK],0)),"")</f>
        <v/>
      </c>
      <c r="S207" s="121" t="str">
        <f>IFERROR(INDEX(TableWRCalcPts[Custom],MATCH(TableWRVORP[[#This Row],[RK]],TableWRCalcPts[RK],0)),"")</f>
        <v/>
      </c>
      <c r="T207" s="122" t="str">
        <f>IFERROR((TableWRVORP[[#This Row],[FPS]]-INDEX(TableWRVORP[FPS],MATCH(WRVORPCalc,TableWRVORP[RK],0)))/INDEX(TableWRVORP[FPS],MATCH(WRVORPCalc,TableWRVORP[RK],0)),"")</f>
        <v/>
      </c>
      <c r="AF207" t="s">
        <v>257</v>
      </c>
      <c r="AG207">
        <v>66</v>
      </c>
      <c r="AH207" s="86">
        <f>RANK(TableOverallMaster[[#This Row],[VORP]],TableOverallMaster[VORP])+COUNTIF($AM$2:AM207,AM207)-1</f>
        <v>153</v>
      </c>
      <c r="AI207" s="123" t="str">
        <f>IFERROR(INDEX(TableWRVORP[WIDE RECEIVER],MATCH(TableOverallMaster[[#This Row],[RK]],TableWRVORP[RK],0)),"")</f>
        <v>Nico Collins</v>
      </c>
      <c r="AJ207" s="123" t="str">
        <f t="shared" si="3"/>
        <v>WR66</v>
      </c>
      <c r="AK207" s="123">
        <f>IFERROR(INDEX(TableWRVORP[BYE],MATCH(TableOverallMaster[[#This Row],[RK]],TableWRVORP[RK],0)),"")</f>
        <v>7</v>
      </c>
      <c r="AL207" s="124">
        <f>IFERROR(INDEX(TableWRVORP[FPS],MATCH(TableOverallMaster[[#This Row],[RK]],TableWRVORP[RK],0)),"")</f>
        <v>114.84809106865067</v>
      </c>
      <c r="AM207" s="125">
        <f>IFERROR(INDEX(TableWRVORP[VORP],MATCH(TableOverallMaster[[#This Row],[RK]],TableWRVORP[RK],0)),"")</f>
        <v>-0.11853367119690401</v>
      </c>
      <c r="AO207">
        <v>206</v>
      </c>
      <c r="AP207" s="126" t="str">
        <f>IFERROR(INDEX(TableOverallMaster[OVERALL PLAYER],MATCH(TableOverallRank[[#This Row],[RK]],TableOverallMaster[OVR RK],0)),"")</f>
        <v>Kendrick Bourne</v>
      </c>
      <c r="AQ207" s="127" t="str">
        <f>IFERROR(INDEX(TableOverallMaster[POS RK],MATCH(TableOverallRank[[#This Row],[OVERALL PLAYER]],TableOverallMaster[OVERALL PLAYER],0)),"")</f>
        <v>WR86</v>
      </c>
      <c r="AR207" s="128">
        <f>IFERROR(INDEX(TableOverallMaster[BYE],MATCH(TableOverallRank[[#This Row],[OVERALL PLAYER]],TableOverallMaster[OVERALL PLAYER],0)),"")</f>
        <v>11</v>
      </c>
      <c r="AS207" s="127">
        <f>IFERROR(INDEX(TableOverallMaster[Custom],MATCH(TableOverallRank[[#This Row],[OVERALL PLAYER]],TableOverallMaster[OVERALL PLAYER],0)),"")</f>
        <v>87.486076024099162</v>
      </c>
      <c r="AT207" s="129">
        <f>IFERROR(INDEX(TableOverallMaster[VORP],MATCH(TableOverallRank[[#This Row],[OVERALL PLAYER]],TableOverallMaster[OVERALL PLAYER],0)),"")</f>
        <v>-0.32853885914172504</v>
      </c>
      <c r="AV207">
        <v>206</v>
      </c>
      <c r="AW207" s="130" t="str">
        <f>IFERROR(INDEX(TableWRTECalcPts[PLAYER],MATCH(TableWRTERank[[#This Row],[RK]],TableWRTECalcPts[RK],0)),"")</f>
        <v>Ko Kieft</v>
      </c>
      <c r="AX207" s="130" t="str">
        <f>IFERROR(INDEX(TableWRTECalcPts[POS RK],MATCH(TableWRTERank[[#This Row],[WR and TE COMBINED]],TableWRTECalcPts[PLAYER],0)),"")</f>
        <v>TE65</v>
      </c>
      <c r="AY207" s="130">
        <f>IFERROR(INDEX(TableWRTECalcPts[BYE],MATCH(TableWRTERank[[#This Row],[RK]],TableWRTECalcPts[RK],0)),"")</f>
        <v>5</v>
      </c>
      <c r="AZ207" s="131">
        <f>IFERROR(INDEX(TableWRTECalcPts[Custom],MATCH(TableWRTERank[[#This Row],[RK]],TableWRTECalcPts[RK],0)),"")</f>
        <v>20.890689470209896</v>
      </c>
      <c r="BA207" s="188">
        <f>IFERROR((TableWRTERank[[#This Row],[FPS]]-INDEX(TableWRTERank[FPS],MATCH(WRTEVORPCalc,TableWRTERank[RK],0)))/INDEX(TableWRTERank[FPS],MATCH(WRTEVORPCalc,TableWRTERank[RK],0)),"")</f>
        <v>-0.84904481650367858</v>
      </c>
      <c r="BC207" t="s">
        <v>10</v>
      </c>
      <c r="BD207">
        <v>6</v>
      </c>
      <c r="BE207" s="86">
        <f>RANK(TableWRTEMaster[[#This Row],[VORP]],TableWRTEMaster[VORP])+COUNTIF($BJ$2:BJ207,BJ207)-1</f>
        <v>45</v>
      </c>
      <c r="BF207" s="123" t="str">
        <f>IFERROR(INDEX(TableTEVORP[TIGHT END],MATCH(TableWRTEMaster[[#This Row],[RK]],TableTEVORP[RK],0)),"")</f>
        <v>Dallas Goedert</v>
      </c>
      <c r="BG207" s="123" t="str">
        <f>_xlfn.CONCAT(TableWRTEMaster[[#This Row],[POS]],TableWRTEMaster[[#This Row],[RK]])</f>
        <v>TE6</v>
      </c>
      <c r="BH207" s="123">
        <f>IFERROR(INDEX(TableTEVORP[BYE],MATCH(TableWRTEMaster[[#This Row],[RK]],TableTEVORP[RK],0)),"")</f>
        <v>10</v>
      </c>
      <c r="BI207" s="124">
        <f>IFERROR(INDEX(TableTEVORP[FPS],MATCH(TableWRTEMaster[[#This Row],[RK]],TableTEVORP[RK],0)),"")</f>
        <v>140.56778839078723</v>
      </c>
      <c r="BJ207" s="125">
        <f>IFERROR(INDEX(TableTEVORP[VORP],MATCH(TableWRTEMaster[[#This Row],[RK]],TableTEVORP[RK],0)),"")</f>
        <v>0.18292995877934967</v>
      </c>
    </row>
    <row r="208" spans="15:62" x14ac:dyDescent="0.2">
      <c r="O208">
        <v>207</v>
      </c>
      <c r="P208" s="120" t="str">
        <f>IFERROR(INDEX(TableWRCalcPts[PLAYER],MATCH(TableWRVORP[[#This Row],[RK]],TableWRCalcPts[RK],0)),"")</f>
        <v/>
      </c>
      <c r="Q208" s="120" t="str">
        <f>IFERROR(INDEX(TableWRCalcPts[TM],MATCH(TableWRVORP[[#This Row],[RK]],TableWRCalcPts[RK],0)),"")</f>
        <v/>
      </c>
      <c r="R208" s="120" t="str">
        <f>IFERROR(INDEX(TableWRCalcPts[BYE],MATCH(TableWRVORP[[#This Row],[RK]],TableWRCalcPts[RK],0)),"")</f>
        <v/>
      </c>
      <c r="S208" s="121" t="str">
        <f>IFERROR(INDEX(TableWRCalcPts[Custom],MATCH(TableWRVORP[[#This Row],[RK]],TableWRCalcPts[RK],0)),"")</f>
        <v/>
      </c>
      <c r="T208" s="122" t="str">
        <f>IFERROR((TableWRVORP[[#This Row],[FPS]]-INDEX(TableWRVORP[FPS],MATCH(WRVORPCalc,TableWRVORP[RK],0)))/INDEX(TableWRVORP[FPS],MATCH(WRVORPCalc,TableWRVORP[RK],0)),"")</f>
        <v/>
      </c>
      <c r="AF208" t="s">
        <v>257</v>
      </c>
      <c r="AG208">
        <v>67</v>
      </c>
      <c r="AH208" s="86">
        <f>RANK(TableOverallMaster[[#This Row],[VORP]],TableOverallMaster[VORP])+COUNTIF($AM$2:AM208,AM208)-1</f>
        <v>155</v>
      </c>
      <c r="AI208" s="123" t="str">
        <f>IFERROR(INDEX(TableWRVORP[WIDE RECEIVER],MATCH(TableOverallMaster[[#This Row],[RK]],TableWRVORP[RK],0)),"")</f>
        <v>K.J. Osborn</v>
      </c>
      <c r="AJ208" s="123" t="str">
        <f t="shared" si="3"/>
        <v>WR67</v>
      </c>
      <c r="AK208" s="123">
        <f>IFERROR(INDEX(TableWRVORP[BYE],MATCH(TableOverallMaster[[#This Row],[RK]],TableWRVORP[RK],0)),"")</f>
        <v>13</v>
      </c>
      <c r="AL208" s="124">
        <f>IFERROR(INDEX(TableWRVORP[FPS],MATCH(TableOverallMaster[[#This Row],[RK]],TableWRVORP[RK],0)),"")</f>
        <v>113.8911756591277</v>
      </c>
      <c r="AM208" s="125">
        <f>IFERROR(INDEX(TableWRVORP[VORP],MATCH(TableOverallMaster[[#This Row],[RK]],TableWRVORP[RK],0)),"")</f>
        <v>-0.12587805720418327</v>
      </c>
      <c r="AO208">
        <v>207</v>
      </c>
      <c r="AP208" s="126" t="str">
        <f>IFERROR(INDEX(TableOverallMaster[OVERALL PLAYER],MATCH(TableOverallRank[[#This Row],[RK]],TableOverallMaster[OVR RK],0)),"")</f>
        <v>Trey Palmer</v>
      </c>
      <c r="AQ208" s="127" t="str">
        <f>IFERROR(INDEX(TableOverallMaster[POS RK],MATCH(TableOverallRank[[#This Row],[OVERALL PLAYER]],TableOverallMaster[OVERALL PLAYER],0)),"")</f>
        <v>WR87</v>
      </c>
      <c r="AR208" s="128">
        <f>IFERROR(INDEX(TableOverallMaster[BYE],MATCH(TableOverallRank[[#This Row],[OVERALL PLAYER]],TableOverallMaster[OVERALL PLAYER],0)),"")</f>
        <v>5</v>
      </c>
      <c r="AS208" s="127">
        <f>IFERROR(INDEX(TableOverallMaster[Custom],MATCH(TableOverallRank[[#This Row],[OVERALL PLAYER]],TableOverallMaster[OVERALL PLAYER],0)),"")</f>
        <v>87.342060412734071</v>
      </c>
      <c r="AT208" s="129">
        <f>IFERROR(INDEX(TableOverallMaster[VORP],MATCH(TableOverallRank[[#This Row],[OVERALL PLAYER]],TableOverallMaster[OVERALL PLAYER],0)),"")</f>
        <v>-0.32964418802494033</v>
      </c>
      <c r="AV208">
        <v>207</v>
      </c>
      <c r="AW208" s="130" t="str">
        <f>IFERROR(INDEX(TableWRTECalcPts[PLAYER],MATCH(TableWRTERank[[#This Row],[RK]],TableWRTECalcPts[RK],0)),"")</f>
        <v>Brock Wright</v>
      </c>
      <c r="AX208" s="130" t="str">
        <f>IFERROR(INDEX(TableWRTECalcPts[POS RK],MATCH(TableWRTERank[[#This Row],[WR and TE COMBINED]],TableWRTECalcPts[PLAYER],0)),"")</f>
        <v>TE66</v>
      </c>
      <c r="AY208" s="130">
        <f>IFERROR(INDEX(TableWRTECalcPts[BYE],MATCH(TableWRTERank[[#This Row],[RK]],TableWRTECalcPts[RK],0)),"")</f>
        <v>9</v>
      </c>
      <c r="AZ208" s="131">
        <f>IFERROR(INDEX(TableWRTECalcPts[Custom],MATCH(TableWRTERank[[#This Row],[RK]],TableWRTECalcPts[RK],0)),"")</f>
        <v>20.420866563743786</v>
      </c>
      <c r="BA208" s="188">
        <f>IFERROR((TableWRTERank[[#This Row],[FPS]]-INDEX(TableWRTERank[FPS],MATCH(WRTEVORPCalc,TableWRTERank[RK],0)))/INDEX(TableWRTERank[FPS],MATCH(WRTEVORPCalc,TableWRTERank[RK],0)),"")</f>
        <v>-0.85243973571673282</v>
      </c>
      <c r="BC208" t="s">
        <v>10</v>
      </c>
      <c r="BD208">
        <v>7</v>
      </c>
      <c r="BE208" s="86">
        <f>RANK(TableWRTEMaster[[#This Row],[VORP]],TableWRTEMaster[VORP])+COUNTIF($BJ$2:BJ208,BJ208)-1</f>
        <v>48</v>
      </c>
      <c r="BF208" s="123" t="str">
        <f>IFERROR(INDEX(TableTEVORP[TIGHT END],MATCH(TableWRTEMaster[[#This Row],[RK]],TableTEVORP[RK],0)),"")</f>
        <v>Kyle Pitts</v>
      </c>
      <c r="BG208" s="123" t="str">
        <f>_xlfn.CONCAT(TableWRTEMaster[[#This Row],[POS]],TableWRTEMaster[[#This Row],[RK]])</f>
        <v>TE7</v>
      </c>
      <c r="BH208" s="123">
        <f>IFERROR(INDEX(TableTEVORP[BYE],MATCH(TableWRTEMaster[[#This Row],[RK]],TableTEVORP[RK],0)),"")</f>
        <v>11</v>
      </c>
      <c r="BI208" s="124">
        <f>IFERROR(INDEX(TableTEVORP[FPS],MATCH(TableWRTEMaster[[#This Row],[RK]],TableTEVORP[RK],0)),"")</f>
        <v>138.52950994352989</v>
      </c>
      <c r="BJ208" s="125">
        <f>IFERROR(INDEX(TableTEVORP[VORP],MATCH(TableWRTEMaster[[#This Row],[RK]],TableTEVORP[RK],0)),"")</f>
        <v>0.16577709134650764</v>
      </c>
    </row>
    <row r="209" spans="15:62" x14ac:dyDescent="0.2">
      <c r="O209">
        <v>208</v>
      </c>
      <c r="P209" s="120" t="str">
        <f>IFERROR(INDEX(TableWRCalcPts[PLAYER],MATCH(TableWRVORP[[#This Row],[RK]],TableWRCalcPts[RK],0)),"")</f>
        <v/>
      </c>
      <c r="Q209" s="120" t="str">
        <f>IFERROR(INDEX(TableWRCalcPts[TM],MATCH(TableWRVORP[[#This Row],[RK]],TableWRCalcPts[RK],0)),"")</f>
        <v/>
      </c>
      <c r="R209" s="120" t="str">
        <f>IFERROR(INDEX(TableWRCalcPts[BYE],MATCH(TableWRVORP[[#This Row],[RK]],TableWRCalcPts[RK],0)),"")</f>
        <v/>
      </c>
      <c r="S209" s="121" t="str">
        <f>IFERROR(INDEX(TableWRCalcPts[Custom],MATCH(TableWRVORP[[#This Row],[RK]],TableWRCalcPts[RK],0)),"")</f>
        <v/>
      </c>
      <c r="T209" s="122" t="str">
        <f>IFERROR((TableWRVORP[[#This Row],[FPS]]-INDEX(TableWRVORP[FPS],MATCH(WRVORPCalc,TableWRVORP[RK],0)))/INDEX(TableWRVORP[FPS],MATCH(WRVORPCalc,TableWRVORP[RK],0)),"")</f>
        <v/>
      </c>
      <c r="AF209" t="s">
        <v>257</v>
      </c>
      <c r="AG209">
        <v>68</v>
      </c>
      <c r="AH209" s="86">
        <f>RANK(TableOverallMaster[[#This Row],[VORP]],TableOverallMaster[VORP])+COUNTIF($AM$2:AM209,AM209)-1</f>
        <v>156</v>
      </c>
      <c r="AI209" s="123" t="str">
        <f>IFERROR(INDEX(TableWRVORP[WIDE RECEIVER],MATCH(TableOverallMaster[[#This Row],[RK]],TableWRVORP[RK],0)),"")</f>
        <v>Josh Downs</v>
      </c>
      <c r="AJ209" s="123" t="str">
        <f t="shared" si="3"/>
        <v>WR68</v>
      </c>
      <c r="AK209" s="123">
        <f>IFERROR(INDEX(TableWRVORP[BYE],MATCH(TableOverallMaster[[#This Row],[RK]],TableWRVORP[RK],0)),"")</f>
        <v>11</v>
      </c>
      <c r="AL209" s="124">
        <f>IFERROR(INDEX(TableWRVORP[FPS],MATCH(TableOverallMaster[[#This Row],[RK]],TableWRVORP[RK],0)),"")</f>
        <v>113.73967041881546</v>
      </c>
      <c r="AM209" s="125">
        <f>IFERROR(INDEX(TableWRVORP[VORP],MATCH(TableOverallMaster[[#This Row],[RK]],TableWRVORP[RK],0)),"")</f>
        <v>-0.1270408694610507</v>
      </c>
      <c r="AO209">
        <v>208</v>
      </c>
      <c r="AP209" s="126" t="str">
        <f>IFERROR(INDEX(TableOverallMaster[OVERALL PLAYER],MATCH(TableOverallRank[[#This Row],[RK]],TableOverallMaster[OVR RK],0)),"")</f>
        <v>Zamir White</v>
      </c>
      <c r="AQ209" s="127" t="str">
        <f>IFERROR(INDEX(TableOverallMaster[POS RK],MATCH(TableOverallRank[[#This Row],[OVERALL PLAYER]],TableOverallMaster[OVERALL PLAYER],0)),"")</f>
        <v>RB59</v>
      </c>
      <c r="AR209" s="128">
        <f>IFERROR(INDEX(TableOverallMaster[BYE],MATCH(TableOverallRank[[#This Row],[OVERALL PLAYER]],TableOverallMaster[OVERALL PLAYER],0)),"")</f>
        <v>13</v>
      </c>
      <c r="AS209" s="127">
        <f>IFERROR(INDEX(TableOverallMaster[Custom],MATCH(TableOverallRank[[#This Row],[OVERALL PLAYER]],TableOverallMaster[OVERALL PLAYER],0)),"")</f>
        <v>81.180405652583815</v>
      </c>
      <c r="AT209" s="129">
        <f>IFERROR(INDEX(TableOverallMaster[VORP],MATCH(TableOverallRank[[#This Row],[OVERALL PLAYER]],TableOverallMaster[OVERALL PLAYER],0)),"")</f>
        <v>-0.337102131716915</v>
      </c>
      <c r="AV209">
        <v>208</v>
      </c>
      <c r="AW209" s="130" t="str">
        <f>IFERROR(INDEX(TableWRTECalcPts[PLAYER],MATCH(TableWRTERank[[#This Row],[RK]],TableWRTECalcPts[RK],0)),"")</f>
        <v>Calvin Austin</v>
      </c>
      <c r="AX209" s="130" t="str">
        <f>IFERROR(INDEX(TableWRTECalcPts[POS RK],MATCH(TableWRTERank[[#This Row],[WR and TE COMBINED]],TableWRTECalcPts[PLAYER],0)),"")</f>
        <v>WR142</v>
      </c>
      <c r="AY209" s="130">
        <f>IFERROR(INDEX(TableWRTECalcPts[BYE],MATCH(TableWRTERank[[#This Row],[RK]],TableWRTECalcPts[RK],0)),"")</f>
        <v>6</v>
      </c>
      <c r="AZ209" s="131">
        <f>IFERROR(INDEX(TableWRTECalcPts[Custom],MATCH(TableWRTERank[[#This Row],[RK]],TableWRTECalcPts[RK],0)),"")</f>
        <v>20.161777129038061</v>
      </c>
      <c r="BA209" s="188">
        <f>IFERROR((TableWRTERank[[#This Row],[FPS]]-INDEX(TableWRTERank[FPS],MATCH(WRTEVORPCalc,TableWRTERank[RK],0)))/INDEX(TableWRTERank[FPS],MATCH(WRTEVORPCalc,TableWRTERank[RK],0)),"")</f>
        <v>-0.85431190433106863</v>
      </c>
      <c r="BC209" t="s">
        <v>10</v>
      </c>
      <c r="BD209">
        <v>8</v>
      </c>
      <c r="BE209" s="86">
        <f>RANK(TableWRTEMaster[[#This Row],[VORP]],TableWRTEMaster[VORP])+COUNTIF($BJ$2:BJ209,BJ209)-1</f>
        <v>49</v>
      </c>
      <c r="BF209" s="123" t="str">
        <f>IFERROR(INDEX(TableTEVORP[TIGHT END],MATCH(TableWRTEMaster[[#This Row],[RK]],TableTEVORP[RK],0)),"")</f>
        <v>Tyler Higbee</v>
      </c>
      <c r="BG209" s="123" t="str">
        <f>_xlfn.CONCAT(TableWRTEMaster[[#This Row],[POS]],TableWRTEMaster[[#This Row],[RK]])</f>
        <v>TE8</v>
      </c>
      <c r="BH209" s="123">
        <f>IFERROR(INDEX(TableTEVORP[BYE],MATCH(TableWRTEMaster[[#This Row],[RK]],TableTEVORP[RK],0)),"")</f>
        <v>10</v>
      </c>
      <c r="BI209" s="124">
        <f>IFERROR(INDEX(TableTEVORP[FPS],MATCH(TableWRTEMaster[[#This Row],[RK]],TableTEVORP[RK],0)),"")</f>
        <v>138.39001077242881</v>
      </c>
      <c r="BJ209" s="125">
        <f>IFERROR(INDEX(TableTEVORP[VORP],MATCH(TableWRTEMaster[[#This Row],[RK]],TableTEVORP[RK],0)),"")</f>
        <v>0.16460315419768096</v>
      </c>
    </row>
    <row r="210" spans="15:62" x14ac:dyDescent="0.2">
      <c r="O210">
        <v>209</v>
      </c>
      <c r="P210" s="120" t="str">
        <f>IFERROR(INDEX(TableWRCalcPts[PLAYER],MATCH(TableWRVORP[[#This Row],[RK]],TableWRCalcPts[RK],0)),"")</f>
        <v/>
      </c>
      <c r="Q210" s="120" t="str">
        <f>IFERROR(INDEX(TableWRCalcPts[TM],MATCH(TableWRVORP[[#This Row],[RK]],TableWRCalcPts[RK],0)),"")</f>
        <v/>
      </c>
      <c r="R210" s="120" t="str">
        <f>IFERROR(INDEX(TableWRCalcPts[BYE],MATCH(TableWRVORP[[#This Row],[RK]],TableWRCalcPts[RK],0)),"")</f>
        <v/>
      </c>
      <c r="S210" s="121" t="str">
        <f>IFERROR(INDEX(TableWRCalcPts[Custom],MATCH(TableWRVORP[[#This Row],[RK]],TableWRCalcPts[RK],0)),"")</f>
        <v/>
      </c>
      <c r="T210" s="122" t="str">
        <f>IFERROR((TableWRVORP[[#This Row],[FPS]]-INDEX(TableWRVORP[FPS],MATCH(WRVORPCalc,TableWRVORP[RK],0)))/INDEX(TableWRVORP[FPS],MATCH(WRVORPCalc,TableWRVORP[RK],0)),"")</f>
        <v/>
      </c>
      <c r="AF210" t="s">
        <v>257</v>
      </c>
      <c r="AG210">
        <v>69</v>
      </c>
      <c r="AH210" s="86">
        <f>RANK(TableOverallMaster[[#This Row],[VORP]],TableOverallMaster[VORP])+COUNTIF($AM$2:AM210,AM210)-1</f>
        <v>157</v>
      </c>
      <c r="AI210" s="123" t="str">
        <f>IFERROR(INDEX(TableWRVORP[WIDE RECEIVER],MATCH(TableOverallMaster[[#This Row],[RK]],TableWRVORP[RK],0)),"")</f>
        <v>DJ Chark</v>
      </c>
      <c r="AJ210" s="123" t="str">
        <f t="shared" si="3"/>
        <v>WR69</v>
      </c>
      <c r="AK210" s="123">
        <f>IFERROR(INDEX(TableWRVORP[BYE],MATCH(TableOverallMaster[[#This Row],[RK]],TableWRVORP[RK],0)),"")</f>
        <v>7</v>
      </c>
      <c r="AL210" s="124">
        <f>IFERROR(INDEX(TableWRVORP[FPS],MATCH(TableOverallMaster[[#This Row],[RK]],TableWRVORP[RK],0)),"")</f>
        <v>113.20957392716396</v>
      </c>
      <c r="AM210" s="125">
        <f>IFERROR(INDEX(TableWRVORP[VORP],MATCH(TableOverallMaster[[#This Row],[RK]],TableWRVORP[RK],0)),"")</f>
        <v>-0.13110939340480651</v>
      </c>
      <c r="AO210">
        <v>209</v>
      </c>
      <c r="AP210" s="126" t="str">
        <f>IFERROR(INDEX(TableOverallMaster[OVERALL PLAYER],MATCH(TableOverallRank[[#This Row],[RK]],TableOverallMaster[OVR RK],0)),"")</f>
        <v>Puka Nacua</v>
      </c>
      <c r="AQ210" s="127" t="str">
        <f>IFERROR(INDEX(TableOverallMaster[POS RK],MATCH(TableOverallRank[[#This Row],[OVERALL PLAYER]],TableOverallMaster[OVERALL PLAYER],0)),"")</f>
        <v>WR88</v>
      </c>
      <c r="AR210" s="128">
        <f>IFERROR(INDEX(TableOverallMaster[BYE],MATCH(TableOverallRank[[#This Row],[OVERALL PLAYER]],TableOverallMaster[OVERALL PLAYER],0)),"")</f>
        <v>10</v>
      </c>
      <c r="AS210" s="127">
        <f>IFERROR(INDEX(TableOverallMaster[Custom],MATCH(TableOverallRank[[#This Row],[OVERALL PLAYER]],TableOverallMaster[OVERALL PLAYER],0)),"")</f>
        <v>85.054259195136012</v>
      </c>
      <c r="AT210" s="129">
        <f>IFERROR(INDEX(TableOverallMaster[VORP],MATCH(TableOverallRank[[#This Row],[OVERALL PLAYER]],TableOverallMaster[OVERALL PLAYER],0)),"")</f>
        <v>-0.3472032063903564</v>
      </c>
      <c r="AV210">
        <v>209</v>
      </c>
      <c r="AW210" s="130" t="str">
        <f>IFERROR(INDEX(TableWRTECalcPts[PLAYER],MATCH(TableWRTERank[[#This Row],[RK]],TableWRTECalcPts[RK],0)),"")</f>
        <v>Hunter Long</v>
      </c>
      <c r="AX210" s="130" t="str">
        <f>IFERROR(INDEX(TableWRTECalcPts[POS RK],MATCH(TableWRTERank[[#This Row],[WR and TE COMBINED]],TableWRTECalcPts[PLAYER],0)),"")</f>
        <v>TE67</v>
      </c>
      <c r="AY210" s="130">
        <f>IFERROR(INDEX(TableWRTECalcPts[BYE],MATCH(TableWRTERank[[#This Row],[RK]],TableWRTECalcPts[RK],0)),"")</f>
        <v>10</v>
      </c>
      <c r="AZ210" s="131">
        <f>IFERROR(INDEX(TableWRTECalcPts[Custom],MATCH(TableWRTERank[[#This Row],[RK]],TableWRTECalcPts[RK],0)),"")</f>
        <v>20.068881155988553</v>
      </c>
      <c r="BA210" s="188">
        <f>IFERROR((TableWRTERank[[#This Row],[FPS]]-INDEX(TableWRTERank[FPS],MATCH(WRTEVORPCalc,TableWRTERank[RK],0)))/INDEX(TableWRTERank[FPS],MATCH(WRTEVORPCalc,TableWRTERank[RK],0)),"")</f>
        <v>-0.85498316645852279</v>
      </c>
      <c r="BC210" t="s">
        <v>10</v>
      </c>
      <c r="BD210">
        <v>9</v>
      </c>
      <c r="BE210" s="86">
        <f>RANK(TableWRTEMaster[[#This Row],[VORP]],TableWRTEMaster[VORP])+COUNTIF($BJ$2:BJ210,BJ210)-1</f>
        <v>58</v>
      </c>
      <c r="BF210" s="123" t="str">
        <f>IFERROR(INDEX(TableTEVORP[TIGHT END],MATCH(TableWRTEMaster[[#This Row],[RK]],TableTEVORP[RK],0)),"")</f>
        <v>David Njoku</v>
      </c>
      <c r="BG210" s="123" t="str">
        <f>_xlfn.CONCAT(TableWRTEMaster[[#This Row],[POS]],TableWRTEMaster[[#This Row],[RK]])</f>
        <v>TE9</v>
      </c>
      <c r="BH210" s="123">
        <f>IFERROR(INDEX(TableTEVORP[BYE],MATCH(TableWRTEMaster[[#This Row],[RK]],TableTEVORP[RK],0)),"")</f>
        <v>5</v>
      </c>
      <c r="BI210" s="124">
        <f>IFERROR(INDEX(TableTEVORP[FPS],MATCH(TableWRTEMaster[[#This Row],[RK]],TableTEVORP[RK],0)),"")</f>
        <v>132.8430292226715</v>
      </c>
      <c r="BJ210" s="125">
        <f>IFERROR(INDEX(TableTEVORP[VORP],MATCH(TableWRTEMaster[[#This Row],[RK]],TableTEVORP[RK],0)),"")</f>
        <v>0.11792325170279136</v>
      </c>
    </row>
    <row r="211" spans="15:62" x14ac:dyDescent="0.2">
      <c r="O211">
        <v>210</v>
      </c>
      <c r="P211" s="120" t="str">
        <f>IFERROR(INDEX(TableWRCalcPts[PLAYER],MATCH(TableWRVORP[[#This Row],[RK]],TableWRCalcPts[RK],0)),"")</f>
        <v/>
      </c>
      <c r="Q211" s="120" t="str">
        <f>IFERROR(INDEX(TableWRCalcPts[TM],MATCH(TableWRVORP[[#This Row],[RK]],TableWRCalcPts[RK],0)),"")</f>
        <v/>
      </c>
      <c r="R211" s="120" t="str">
        <f>IFERROR(INDEX(TableWRCalcPts[BYE],MATCH(TableWRVORP[[#This Row],[RK]],TableWRCalcPts[RK],0)),"")</f>
        <v/>
      </c>
      <c r="S211" s="121" t="str">
        <f>IFERROR(INDEX(TableWRCalcPts[Custom],MATCH(TableWRVORP[[#This Row],[RK]],TableWRCalcPts[RK],0)),"")</f>
        <v/>
      </c>
      <c r="T211" s="122" t="str">
        <f>IFERROR((TableWRVORP[[#This Row],[FPS]]-INDEX(TableWRVORP[FPS],MATCH(WRVORPCalc,TableWRVORP[RK],0)))/INDEX(TableWRVORP[FPS],MATCH(WRVORPCalc,TableWRVORP[RK],0)),"")</f>
        <v/>
      </c>
      <c r="AF211" t="s">
        <v>257</v>
      </c>
      <c r="AG211">
        <v>70</v>
      </c>
      <c r="AH211" s="86">
        <f>RANK(TableOverallMaster[[#This Row],[VORP]],TableOverallMaster[VORP])+COUNTIF($AM$2:AM211,AM211)-1</f>
        <v>162</v>
      </c>
      <c r="AI211" s="123" t="str">
        <f>IFERROR(INDEX(TableWRVORP[WIDE RECEIVER],MATCH(TableOverallMaster[[#This Row],[RK]],TableWRVORP[RK],0)),"")</f>
        <v>DeVante Parker</v>
      </c>
      <c r="AJ211" s="123" t="str">
        <f t="shared" si="3"/>
        <v>WR70</v>
      </c>
      <c r="AK211" s="123">
        <f>IFERROR(INDEX(TableWRVORP[BYE],MATCH(TableOverallMaster[[#This Row],[RK]],TableWRVORP[RK],0)),"")</f>
        <v>11</v>
      </c>
      <c r="AL211" s="124">
        <f>IFERROR(INDEX(TableWRVORP[FPS],MATCH(TableOverallMaster[[#This Row],[RK]],TableWRVORP[RK],0)),"")</f>
        <v>111.97896938137993</v>
      </c>
      <c r="AM211" s="125">
        <f>IFERROR(INDEX(TableWRVORP[VORP],MATCH(TableOverallMaster[[#This Row],[RK]],TableWRVORP[RK],0)),"")</f>
        <v>-0.140554360762011</v>
      </c>
      <c r="AO211">
        <v>210</v>
      </c>
      <c r="AP211" s="126" t="str">
        <f>IFERROR(INDEX(TableOverallMaster[OVERALL PLAYER],MATCH(TableOverallRank[[#This Row],[RK]],TableOverallMaster[OVR RK],0)),"")</f>
        <v>Chuba Hubbard</v>
      </c>
      <c r="AQ211" s="127" t="str">
        <f>IFERROR(INDEX(TableOverallMaster[POS RK],MATCH(TableOverallRank[[#This Row],[OVERALL PLAYER]],TableOverallMaster[OVERALL PLAYER],0)),"")</f>
        <v>RB60</v>
      </c>
      <c r="AR211" s="128">
        <f>IFERROR(INDEX(TableOverallMaster[BYE],MATCH(TableOverallRank[[#This Row],[OVERALL PLAYER]],TableOverallMaster[OVERALL PLAYER],0)),"")</f>
        <v>7</v>
      </c>
      <c r="AS211" s="127">
        <f>IFERROR(INDEX(TableOverallMaster[Custom],MATCH(TableOverallRank[[#This Row],[OVERALL PLAYER]],TableOverallMaster[OVERALL PLAYER],0)),"")</f>
        <v>79.540807738711649</v>
      </c>
      <c r="AT211" s="129">
        <f>IFERROR(INDEX(TableOverallMaster[VORP],MATCH(TableOverallRank[[#This Row],[OVERALL PLAYER]],TableOverallMaster[OVERALL PLAYER],0)),"")</f>
        <v>-0.35049065759591397</v>
      </c>
      <c r="AV211">
        <v>210</v>
      </c>
      <c r="AW211" s="130" t="str">
        <f>IFERROR(INDEX(TableWRTECalcPts[PLAYER],MATCH(TableWRTERank[[#This Row],[RK]],TableWRTECalcPts[RK],0)),"")</f>
        <v>Malik Heath</v>
      </c>
      <c r="AX211" s="130" t="str">
        <f>IFERROR(INDEX(TableWRTECalcPts[POS RK],MATCH(TableWRTERank[[#This Row],[WR and TE COMBINED]],TableWRTECalcPts[PLAYER],0)),"")</f>
        <v>WR143</v>
      </c>
      <c r="AY211" s="130">
        <f>IFERROR(INDEX(TableWRTECalcPts[BYE],MATCH(TableWRTERank[[#This Row],[RK]],TableWRTECalcPts[RK],0)),"")</f>
        <v>6</v>
      </c>
      <c r="AZ211" s="131">
        <f>IFERROR(INDEX(TableWRTECalcPts[Custom],MATCH(TableWRTERank[[#This Row],[RK]],TableWRTECalcPts[RK],0)),"")</f>
        <v>18.534319168668365</v>
      </c>
      <c r="BA211" s="188">
        <f>IFERROR((TableWRTERank[[#This Row],[FPS]]-INDEX(TableWRTERank[FPS],MATCH(WRTEVORPCalc,TableWRTERank[RK],0)))/INDEX(TableWRTERank[FPS],MATCH(WRTEVORPCalc,TableWRTERank[RK],0)),"")</f>
        <v>-0.866071842431268</v>
      </c>
      <c r="BC211" t="s">
        <v>10</v>
      </c>
      <c r="BD211">
        <v>10</v>
      </c>
      <c r="BE211" s="86">
        <f>RANK(TableWRTEMaster[[#This Row],[VORP]],TableWRTEMaster[VORP])+COUNTIF($BJ$2:BJ211,BJ211)-1</f>
        <v>60</v>
      </c>
      <c r="BF211" s="123" t="str">
        <f>IFERROR(INDEX(TableTEVORP[TIGHT END],MATCH(TableWRTEMaster[[#This Row],[RK]],TableTEVORP[RK],0)),"")</f>
        <v>Evan Engram</v>
      </c>
      <c r="BG211" s="123" t="str">
        <f>_xlfn.CONCAT(TableWRTEMaster[[#This Row],[POS]],TableWRTEMaster[[#This Row],[RK]])</f>
        <v>TE10</v>
      </c>
      <c r="BH211" s="123">
        <f>IFERROR(INDEX(TableTEVORP[BYE],MATCH(TableWRTEMaster[[#This Row],[RK]],TableTEVORP[RK],0)),"")</f>
        <v>9</v>
      </c>
      <c r="BI211" s="124">
        <f>IFERROR(INDEX(TableTEVORP[FPS],MATCH(TableWRTEMaster[[#This Row],[RK]],TableTEVORP[RK],0)),"")</f>
        <v>132.11341947692489</v>
      </c>
      <c r="BJ211" s="125">
        <f>IFERROR(INDEX(TableTEVORP[VORP],MATCH(TableWRTEMaster[[#This Row],[RK]],TableTEVORP[RK],0)),"")</f>
        <v>0.11178331568799367</v>
      </c>
    </row>
    <row r="212" spans="15:62" x14ac:dyDescent="0.2">
      <c r="O212">
        <v>211</v>
      </c>
      <c r="P212" s="120" t="str">
        <f>IFERROR(INDEX(TableWRCalcPts[PLAYER],MATCH(TableWRVORP[[#This Row],[RK]],TableWRCalcPts[RK],0)),"")</f>
        <v/>
      </c>
      <c r="Q212" s="120" t="str">
        <f>IFERROR(INDEX(TableWRCalcPts[TM],MATCH(TableWRVORP[[#This Row],[RK]],TableWRCalcPts[RK],0)),"")</f>
        <v/>
      </c>
      <c r="R212" s="120" t="str">
        <f>IFERROR(INDEX(TableWRCalcPts[BYE],MATCH(TableWRVORP[[#This Row],[RK]],TableWRCalcPts[RK],0)),"")</f>
        <v/>
      </c>
      <c r="S212" s="121" t="str">
        <f>IFERROR(INDEX(TableWRCalcPts[Custom],MATCH(TableWRVORP[[#This Row],[RK]],TableWRCalcPts[RK],0)),"")</f>
        <v/>
      </c>
      <c r="T212" s="122" t="str">
        <f>IFERROR((TableWRVORP[[#This Row],[FPS]]-INDEX(TableWRVORP[FPS],MATCH(WRVORPCalc,TableWRVORP[RK],0)))/INDEX(TableWRVORP[FPS],MATCH(WRVORPCalc,TableWRVORP[RK],0)),"")</f>
        <v/>
      </c>
      <c r="AF212" t="s">
        <v>257</v>
      </c>
      <c r="AG212">
        <v>71</v>
      </c>
      <c r="AH212" s="86">
        <f>RANK(TableOverallMaster[[#This Row],[VORP]],TableOverallMaster[VORP])+COUNTIF($AM$2:AM212,AM212)-1</f>
        <v>167</v>
      </c>
      <c r="AI212" s="123" t="str">
        <f>IFERROR(INDEX(TableWRVORP[WIDE RECEIVER],MATCH(TableOverallMaster[[#This Row],[RK]],TableWRVORP[RK],0)),"")</f>
        <v>Robert Woods</v>
      </c>
      <c r="AJ212" s="123" t="str">
        <f t="shared" si="3"/>
        <v>WR71</v>
      </c>
      <c r="AK212" s="123">
        <f>IFERROR(INDEX(TableWRVORP[BYE],MATCH(TableOverallMaster[[#This Row],[RK]],TableWRVORP[RK],0)),"")</f>
        <v>7</v>
      </c>
      <c r="AL212" s="124">
        <f>IFERROR(INDEX(TableWRVORP[FPS],MATCH(TableOverallMaster[[#This Row],[RK]],TableWRVORP[RK],0)),"")</f>
        <v>109.84140305335866</v>
      </c>
      <c r="AM212" s="125">
        <f>IFERROR(INDEX(TableWRVORP[VORP],MATCH(TableOverallMaster[[#This Row],[RK]],TableWRVORP[RK],0)),"")</f>
        <v>-0.15696031689242451</v>
      </c>
      <c r="AO212">
        <v>211</v>
      </c>
      <c r="AP212" s="126" t="str">
        <f>IFERROR(INDEX(TableOverallMaster[OVERALL PLAYER],MATCH(TableOverallRank[[#This Row],[RK]],TableOverallMaster[OVR RK],0)),"")</f>
        <v>Hunter Renfrow</v>
      </c>
      <c r="AQ212" s="127" t="str">
        <f>IFERROR(INDEX(TableOverallMaster[POS RK],MATCH(TableOverallRank[[#This Row],[OVERALL PLAYER]],TableOverallMaster[OVERALL PLAYER],0)),"")</f>
        <v>WR89</v>
      </c>
      <c r="AR212" s="128">
        <f>IFERROR(INDEX(TableOverallMaster[BYE],MATCH(TableOverallRank[[#This Row],[OVERALL PLAYER]],TableOverallMaster[OVERALL PLAYER],0)),"")</f>
        <v>13</v>
      </c>
      <c r="AS212" s="127">
        <f>IFERROR(INDEX(TableOverallMaster[Custom],MATCH(TableOverallRank[[#This Row],[OVERALL PLAYER]],TableOverallMaster[OVERALL PLAYER],0)),"")</f>
        <v>84.554260335667863</v>
      </c>
      <c r="AT212" s="129">
        <f>IFERROR(INDEX(TableOverallMaster[VORP],MATCH(TableOverallRank[[#This Row],[OVERALL PLAYER]],TableOverallMaster[OVERALL PLAYER],0)),"")</f>
        <v>-0.35104072911241602</v>
      </c>
      <c r="AV212">
        <v>211</v>
      </c>
      <c r="AW212" s="130" t="str">
        <f>IFERROR(INDEX(TableWRTECalcPts[PLAYER],MATCH(TableWRTERank[[#This Row],[RK]],TableWRTECalcPts[RK],0)),"")</f>
        <v>Dareke Young</v>
      </c>
      <c r="AX212" s="130" t="str">
        <f>IFERROR(INDEX(TableWRTECalcPts[POS RK],MATCH(TableWRTERank[[#This Row],[WR and TE COMBINED]],TableWRTECalcPts[PLAYER],0)),"")</f>
        <v>WR144</v>
      </c>
      <c r="AY212" s="130">
        <f>IFERROR(INDEX(TableWRTECalcPts[BYE],MATCH(TableWRTERank[[#This Row],[RK]],TableWRTECalcPts[RK],0)),"")</f>
        <v>5</v>
      </c>
      <c r="AZ212" s="131">
        <f>IFERROR(INDEX(TableWRTECalcPts[Custom],MATCH(TableWRTERank[[#This Row],[RK]],TableWRTECalcPts[RK],0)),"")</f>
        <v>18.109175132318295</v>
      </c>
      <c r="BA212" s="188">
        <f>IFERROR((TableWRTERank[[#This Row],[FPS]]-INDEX(TableWRTERank[FPS],MATCH(WRTEVORPCalc,TableWRTERank[RK],0)))/INDEX(TableWRTERank[FPS],MATCH(WRTEVORPCalc,TableWRTERank[RK],0)),"")</f>
        <v>-0.86914391413627845</v>
      </c>
      <c r="BC212" t="s">
        <v>10</v>
      </c>
      <c r="BD212">
        <v>11</v>
      </c>
      <c r="BE212" s="86">
        <f>RANK(TableWRTEMaster[[#This Row],[VORP]],TableWRTEMaster[VORP])+COUNTIF($BJ$2:BJ212,BJ212)-1</f>
        <v>65</v>
      </c>
      <c r="BF212" s="123" t="str">
        <f>IFERROR(INDEX(TableTEVORP[TIGHT END],MATCH(TableWRTEMaster[[#This Row],[RK]],TableTEVORP[RK],0)),"")</f>
        <v>Pat Freiermuth</v>
      </c>
      <c r="BG212" s="123" t="str">
        <f>_xlfn.CONCAT(TableWRTEMaster[[#This Row],[POS]],TableWRTEMaster[[#This Row],[RK]])</f>
        <v>TE11</v>
      </c>
      <c r="BH212" s="123">
        <f>IFERROR(INDEX(TableTEVORP[BYE],MATCH(TableWRTEMaster[[#This Row],[RK]],TableTEVORP[RK],0)),"")</f>
        <v>6</v>
      </c>
      <c r="BI212" s="124">
        <f>IFERROR(INDEX(TableTEVORP[FPS],MATCH(TableWRTEMaster[[#This Row],[RK]],TableTEVORP[RK],0)),"")</f>
        <v>121.31963431833421</v>
      </c>
      <c r="BJ212" s="125">
        <f>IFERROR(INDEX(TableTEVORP[VORP],MATCH(TableWRTEMaster[[#This Row],[RK]],TableTEVORP[RK],0)),"")</f>
        <v>2.094961915697776E-2</v>
      </c>
    </row>
    <row r="213" spans="15:62" x14ac:dyDescent="0.2">
      <c r="O213">
        <v>212</v>
      </c>
      <c r="P213" s="120" t="str">
        <f>IFERROR(INDEX(TableWRCalcPts[PLAYER],MATCH(TableWRVORP[[#This Row],[RK]],TableWRCalcPts[RK],0)),"")</f>
        <v/>
      </c>
      <c r="Q213" s="120" t="str">
        <f>IFERROR(INDEX(TableWRCalcPts[TM],MATCH(TableWRVORP[[#This Row],[RK]],TableWRCalcPts[RK],0)),"")</f>
        <v/>
      </c>
      <c r="R213" s="120" t="str">
        <f>IFERROR(INDEX(TableWRCalcPts[BYE],MATCH(TableWRVORP[[#This Row],[RK]],TableWRCalcPts[RK],0)),"")</f>
        <v/>
      </c>
      <c r="S213" s="121" t="str">
        <f>IFERROR(INDEX(TableWRCalcPts[Custom],MATCH(TableWRVORP[[#This Row],[RK]],TableWRCalcPts[RK],0)),"")</f>
        <v/>
      </c>
      <c r="T213" s="122" t="str">
        <f>IFERROR((TableWRVORP[[#This Row],[FPS]]-INDEX(TableWRVORP[FPS],MATCH(WRVORPCalc,TableWRVORP[RK],0)))/INDEX(TableWRVORP[FPS],MATCH(WRVORPCalc,TableWRVORP[RK],0)),"")</f>
        <v/>
      </c>
      <c r="AF213" t="s">
        <v>257</v>
      </c>
      <c r="AG213">
        <v>72</v>
      </c>
      <c r="AH213" s="86">
        <f>RANK(TableOverallMaster[[#This Row],[VORP]],TableOverallMaster[VORP])+COUNTIF($AM$2:AM213,AM213)-1</f>
        <v>183</v>
      </c>
      <c r="AI213" s="123" t="str">
        <f>IFERROR(INDEX(TableWRVORP[WIDE RECEIVER],MATCH(TableOverallMaster[[#This Row],[RK]],TableWRVORP[RK],0)),"")</f>
        <v>Rondale Moore</v>
      </c>
      <c r="AJ213" s="123" t="str">
        <f t="shared" si="3"/>
        <v>WR72</v>
      </c>
      <c r="AK213" s="123">
        <f>IFERROR(INDEX(TableWRVORP[BYE],MATCH(TableOverallMaster[[#This Row],[RK]],TableWRVORP[RK],0)),"")</f>
        <v>14</v>
      </c>
      <c r="AL213" s="124">
        <f>IFERROR(INDEX(TableWRVORP[FPS],MATCH(TableOverallMaster[[#This Row],[RK]],TableWRVORP[RK],0)),"")</f>
        <v>98.677687369437947</v>
      </c>
      <c r="AM213" s="125">
        <f>IFERROR(INDEX(TableWRVORP[VORP],MATCH(TableOverallMaster[[#This Row],[RK]],TableWRVORP[RK],0)),"")</f>
        <v>-0.24264253753834705</v>
      </c>
      <c r="AO213">
        <v>212</v>
      </c>
      <c r="AP213" s="126" t="str">
        <f>IFERROR(INDEX(TableOverallMaster[OVERALL PLAYER],MATCH(TableOverallRank[[#This Row],[RK]],TableOverallMaster[OVR RK],0)),"")</f>
        <v>Baker Mayfield</v>
      </c>
      <c r="AQ213" s="127" t="str">
        <f>IFERROR(INDEX(TableOverallMaster[POS RK],MATCH(TableOverallRank[[#This Row],[OVERALL PLAYER]],TableOverallMaster[OVERALL PLAYER],0)),"")</f>
        <v>QB31</v>
      </c>
      <c r="AR213" s="128">
        <f>IFERROR(INDEX(TableOverallMaster[BYE],MATCH(TableOverallRank[[#This Row],[OVERALL PLAYER]],TableOverallMaster[OVERALL PLAYER],0)),"")</f>
        <v>5</v>
      </c>
      <c r="AS213" s="127">
        <f>IFERROR(INDEX(TableOverallMaster[Custom],MATCH(TableOverallRank[[#This Row],[OVERALL PLAYER]],TableOverallMaster[OVERALL PLAYER],0)),"")</f>
        <v>197.81334754120857</v>
      </c>
      <c r="AT213" s="129">
        <f>IFERROR(INDEX(TableOverallMaster[VORP],MATCH(TableOverallRank[[#This Row],[OVERALL PLAYER]],TableOverallMaster[OVERALL PLAYER],0)),"")</f>
        <v>-0.35574200639246722</v>
      </c>
      <c r="AV213">
        <v>212</v>
      </c>
      <c r="AW213" s="130" t="str">
        <f>IFERROR(INDEX(TableWRTECalcPts[PLAYER],MATCH(TableWRTERank[[#This Row],[RK]],TableWRTECalcPts[RK],0)),"")</f>
        <v>Grant Calcaterra</v>
      </c>
      <c r="AX213" s="130" t="str">
        <f>IFERROR(INDEX(TableWRTECalcPts[POS RK],MATCH(TableWRTERank[[#This Row],[WR and TE COMBINED]],TableWRTECalcPts[PLAYER],0)),"")</f>
        <v>TE68</v>
      </c>
      <c r="AY213" s="130">
        <f>IFERROR(INDEX(TableWRTECalcPts[BYE],MATCH(TableWRTERank[[#This Row],[RK]],TableWRTECalcPts[RK],0)),"")</f>
        <v>10</v>
      </c>
      <c r="AZ213" s="131">
        <f>IFERROR(INDEX(TableWRTECalcPts[Custom],MATCH(TableWRTERank[[#This Row],[RK]],TableWRTECalcPts[RK],0)),"")</f>
        <v>17.356951041360002</v>
      </c>
      <c r="BA213" s="188">
        <f>IFERROR((TableWRTERank[[#This Row],[FPS]]-INDEX(TableWRTERank[FPS],MATCH(WRTEVORPCalc,TableWRTERank[RK],0)))/INDEX(TableWRTERank[FPS],MATCH(WRTEVORPCalc,TableWRTERank[RK],0)),"")</f>
        <v>-0.8745794516202321</v>
      </c>
      <c r="BC213" t="s">
        <v>10</v>
      </c>
      <c r="BD213">
        <v>12</v>
      </c>
      <c r="BE213" s="86">
        <f>RANK(TableWRTEMaster[[#This Row],[VORP]],TableWRTEMaster[VORP])+COUNTIF($BJ$2:BJ213,BJ213)-1</f>
        <v>69</v>
      </c>
      <c r="BF213" s="123" t="str">
        <f>IFERROR(INDEX(TableTEVORP[TIGHT END],MATCH(TableWRTEMaster[[#This Row],[RK]],TableTEVORP[RK],0)),"")</f>
        <v>Chigoziem Okonkwo</v>
      </c>
      <c r="BG213" s="123" t="str">
        <f>_xlfn.CONCAT(TableWRTEMaster[[#This Row],[POS]],TableWRTEMaster[[#This Row],[RK]])</f>
        <v>TE12</v>
      </c>
      <c r="BH213" s="123">
        <f>IFERROR(INDEX(TableTEVORP[BYE],MATCH(TableWRTEMaster[[#This Row],[RK]],TableTEVORP[RK],0)),"")</f>
        <v>7</v>
      </c>
      <c r="BI213" s="124">
        <f>IFERROR(INDEX(TableTEVORP[FPS],MATCH(TableWRTEMaster[[#This Row],[RK]],TableTEVORP[RK],0)),"")</f>
        <v>118.83018715312387</v>
      </c>
      <c r="BJ213" s="125">
        <f>IFERROR(INDEX(TableTEVORP[VORP],MATCH(TableWRTEMaster[[#This Row],[RK]],TableTEVORP[RK],0)),"")</f>
        <v>0</v>
      </c>
    </row>
    <row r="214" spans="15:62" x14ac:dyDescent="0.2">
      <c r="O214">
        <v>213</v>
      </c>
      <c r="P214" s="120" t="str">
        <f>IFERROR(INDEX(TableWRCalcPts[PLAYER],MATCH(TableWRVORP[[#This Row],[RK]],TableWRCalcPts[RK],0)),"")</f>
        <v/>
      </c>
      <c r="Q214" s="120" t="str">
        <f>IFERROR(INDEX(TableWRCalcPts[TM],MATCH(TableWRVORP[[#This Row],[RK]],TableWRCalcPts[RK],0)),"")</f>
        <v/>
      </c>
      <c r="R214" s="120" t="str">
        <f>IFERROR(INDEX(TableWRCalcPts[BYE],MATCH(TableWRVORP[[#This Row],[RK]],TableWRCalcPts[RK],0)),"")</f>
        <v/>
      </c>
      <c r="S214" s="121" t="str">
        <f>IFERROR(INDEX(TableWRCalcPts[Custom],MATCH(TableWRVORP[[#This Row],[RK]],TableWRCalcPts[RK],0)),"")</f>
        <v/>
      </c>
      <c r="T214" s="122" t="str">
        <f>IFERROR((TableWRVORP[[#This Row],[FPS]]-INDEX(TableWRVORP[FPS],MATCH(WRVORPCalc,TableWRVORP[RK],0)))/INDEX(TableWRVORP[FPS],MATCH(WRVORPCalc,TableWRVORP[RK],0)),"")</f>
        <v/>
      </c>
      <c r="AF214" t="s">
        <v>257</v>
      </c>
      <c r="AG214">
        <v>73</v>
      </c>
      <c r="AH214" s="86">
        <f>RANK(TableOverallMaster[[#This Row],[VORP]],TableOverallMaster[VORP])+COUNTIF($AM$2:AM214,AM214)-1</f>
        <v>185</v>
      </c>
      <c r="AI214" s="123" t="str">
        <f>IFERROR(INDEX(TableWRVORP[WIDE RECEIVER],MATCH(TableOverallMaster[[#This Row],[RK]],TableWRVORP[RK],0)),"")</f>
        <v>Jameson Williams</v>
      </c>
      <c r="AJ214" s="123" t="str">
        <f t="shared" si="3"/>
        <v>WR73</v>
      </c>
      <c r="AK214" s="123">
        <f>IFERROR(INDEX(TableWRVORP[BYE],MATCH(TableOverallMaster[[#This Row],[RK]],TableWRVORP[RK],0)),"")</f>
        <v>9</v>
      </c>
      <c r="AL214" s="124">
        <f>IFERROR(INDEX(TableWRVORP[FPS],MATCH(TableOverallMaster[[#This Row],[RK]],TableWRVORP[RK],0)),"")</f>
        <v>96.934568288463439</v>
      </c>
      <c r="AM214" s="125">
        <f>IFERROR(INDEX(TableWRVORP[VORP],MATCH(TableOverallMaster[[#This Row],[RK]],TableWRVORP[RK],0)),"")</f>
        <v>-0.2560210862166597</v>
      </c>
      <c r="AO214">
        <v>213</v>
      </c>
      <c r="AP214" s="126" t="str">
        <f>IFERROR(INDEX(TableOverallMaster[OVERALL PLAYER],MATCH(TableOverallRank[[#This Row],[RK]],TableOverallMaster[OVR RK],0)),"")</f>
        <v>Austin Hooper</v>
      </c>
      <c r="AQ214" s="127" t="str">
        <f>IFERROR(INDEX(TableOverallMaster[POS RK],MATCH(TableOverallRank[[#This Row],[OVERALL PLAYER]],TableOverallMaster[OVERALL PLAYER],0)),"")</f>
        <v>TE33</v>
      </c>
      <c r="AR214" s="128">
        <f>IFERROR(INDEX(TableOverallMaster[BYE],MATCH(TableOverallRank[[#This Row],[OVERALL PLAYER]],TableOverallMaster[OVERALL PLAYER],0)),"")</f>
        <v>13</v>
      </c>
      <c r="AS214" s="127">
        <f>IFERROR(INDEX(TableOverallMaster[Custom],MATCH(TableOverallRank[[#This Row],[OVERALL PLAYER]],TableOverallMaster[OVERALL PLAYER],0)),"")</f>
        <v>74.709928956497578</v>
      </c>
      <c r="AT214" s="129">
        <f>IFERROR(INDEX(TableOverallMaster[VORP],MATCH(TableOverallRank[[#This Row],[OVERALL PLAYER]],TableOverallMaster[OVERALL PLAYER],0)),"")</f>
        <v>-0.37128830016713843</v>
      </c>
      <c r="AV214">
        <v>213</v>
      </c>
      <c r="AW214" s="130" t="str">
        <f>IFERROR(INDEX(TableWRTECalcPts[PLAYER],MATCH(TableWRTERank[[#This Row],[RK]],TableWRTECalcPts[RK],0)),"")</f>
        <v>Olamide Zaccheaus</v>
      </c>
      <c r="AX214" s="130" t="str">
        <f>IFERROR(INDEX(TableWRTECalcPts[POS RK],MATCH(TableWRTERank[[#This Row],[WR and TE COMBINED]],TableWRTECalcPts[PLAYER],0)),"")</f>
        <v>WR145</v>
      </c>
      <c r="AY214" s="130">
        <f>IFERROR(INDEX(TableWRTECalcPts[BYE],MATCH(TableWRTERank[[#This Row],[RK]],TableWRTECalcPts[RK],0)),"")</f>
        <v>10</v>
      </c>
      <c r="AZ214" s="131">
        <f>IFERROR(INDEX(TableWRTECalcPts[Custom],MATCH(TableWRTERank[[#This Row],[RK]],TableWRTECalcPts[RK],0)),"")</f>
        <v>17.304445098071039</v>
      </c>
      <c r="BA214" s="188">
        <f>IFERROR((TableWRTERank[[#This Row],[FPS]]-INDEX(TableWRTERank[FPS],MATCH(WRTEVORPCalc,TableWRTERank[RK],0)))/INDEX(TableWRTERank[FPS],MATCH(WRTEVORPCalc,TableWRTERank[RK],0)),"")</f>
        <v>-0.87495885720735433</v>
      </c>
      <c r="BC214" t="s">
        <v>10</v>
      </c>
      <c r="BD214">
        <v>13</v>
      </c>
      <c r="BE214" s="86">
        <f>RANK(TableWRTEMaster[[#This Row],[VORP]],TableWRTEMaster[VORP])+COUNTIF($BJ$2:BJ214,BJ214)-1</f>
        <v>73</v>
      </c>
      <c r="BF214" s="123" t="str">
        <f>IFERROR(INDEX(TableTEVORP[TIGHT END],MATCH(TableWRTEMaster[[#This Row],[RK]],TableTEVORP[RK],0)),"")</f>
        <v>Hunter Henry</v>
      </c>
      <c r="BG214" s="123" t="str">
        <f>_xlfn.CONCAT(TableWRTEMaster[[#This Row],[POS]],TableWRTEMaster[[#This Row],[RK]])</f>
        <v>TE13</v>
      </c>
      <c r="BH214" s="123">
        <f>IFERROR(INDEX(TableTEVORP[BYE],MATCH(TableWRTEMaster[[#This Row],[RK]],TableTEVORP[RK],0)),"")</f>
        <v>11</v>
      </c>
      <c r="BI214" s="124">
        <f>IFERROR(INDEX(TableTEVORP[FPS],MATCH(TableWRTEMaster[[#This Row],[RK]],TableTEVORP[RK],0)),"")</f>
        <v>112.32468213400713</v>
      </c>
      <c r="BJ214" s="125">
        <f>IFERROR(INDEX(TableTEVORP[VORP],MATCH(TableWRTEMaster[[#This Row],[RK]],TableTEVORP[RK],0)),"")</f>
        <v>-5.4746232207257106E-2</v>
      </c>
    </row>
    <row r="215" spans="15:62" x14ac:dyDescent="0.2">
      <c r="O215">
        <v>214</v>
      </c>
      <c r="P215" s="120" t="str">
        <f>IFERROR(INDEX(TableWRCalcPts[PLAYER],MATCH(TableWRVORP[[#This Row],[RK]],TableWRCalcPts[RK],0)),"")</f>
        <v/>
      </c>
      <c r="Q215" s="120" t="str">
        <f>IFERROR(INDEX(TableWRCalcPts[TM],MATCH(TableWRVORP[[#This Row],[RK]],TableWRCalcPts[RK],0)),"")</f>
        <v/>
      </c>
      <c r="R215" s="120" t="str">
        <f>IFERROR(INDEX(TableWRCalcPts[BYE],MATCH(TableWRVORP[[#This Row],[RK]],TableWRCalcPts[RK],0)),"")</f>
        <v/>
      </c>
      <c r="S215" s="121" t="str">
        <f>IFERROR(INDEX(TableWRCalcPts[Custom],MATCH(TableWRVORP[[#This Row],[RK]],TableWRCalcPts[RK],0)),"")</f>
        <v/>
      </c>
      <c r="T215" s="122" t="str">
        <f>IFERROR((TableWRVORP[[#This Row],[FPS]]-INDEX(TableWRVORP[FPS],MATCH(WRVORPCalc,TableWRVORP[RK],0)))/INDEX(TableWRVORP[FPS],MATCH(WRVORPCalc,TableWRVORP[RK],0)),"")</f>
        <v/>
      </c>
      <c r="AF215" t="s">
        <v>257</v>
      </c>
      <c r="AG215">
        <v>74</v>
      </c>
      <c r="AH215" s="86">
        <f>RANK(TableOverallMaster[[#This Row],[VORP]],TableOverallMaster[VORP])+COUNTIF($AM$2:AM215,AM215)-1</f>
        <v>186</v>
      </c>
      <c r="AI215" s="123" t="str">
        <f>IFERROR(INDEX(TableWRVORP[WIDE RECEIVER],MATCH(TableOverallMaster[[#This Row],[RK]],TableWRVORP[RK],0)),"")</f>
        <v>Darnell Mooney</v>
      </c>
      <c r="AJ215" s="123" t="str">
        <f t="shared" si="3"/>
        <v>WR74</v>
      </c>
      <c r="AK215" s="123">
        <f>IFERROR(INDEX(TableWRVORP[BYE],MATCH(TableOverallMaster[[#This Row],[RK]],TableWRVORP[RK],0)),"")</f>
        <v>13</v>
      </c>
      <c r="AL215" s="124">
        <f>IFERROR(INDEX(TableWRVORP[FPS],MATCH(TableOverallMaster[[#This Row],[RK]],TableWRVORP[RK],0)),"")</f>
        <v>96.007529586463335</v>
      </c>
      <c r="AM215" s="125">
        <f>IFERROR(INDEX(TableWRVORP[VORP],MATCH(TableOverallMaster[[#This Row],[RK]],TableWRVORP[RK],0)),"")</f>
        <v>-0.26313616661291955</v>
      </c>
      <c r="AO215">
        <v>214</v>
      </c>
      <c r="AP215" s="126" t="str">
        <f>IFERROR(INDEX(TableOverallMaster[OVERALL PLAYER],MATCH(TableOverallRank[[#This Row],[RK]],TableOverallMaster[OVR RK],0)),"")</f>
        <v>Cordarrelle Patterson</v>
      </c>
      <c r="AQ215" s="127" t="str">
        <f>IFERROR(INDEX(TableOverallMaster[POS RK],MATCH(TableOverallRank[[#This Row],[OVERALL PLAYER]],TableOverallMaster[OVERALL PLAYER],0)),"")</f>
        <v>RB61</v>
      </c>
      <c r="AR215" s="128">
        <f>IFERROR(INDEX(TableOverallMaster[BYE],MATCH(TableOverallRank[[#This Row],[OVERALL PLAYER]],TableOverallMaster[OVERALL PLAYER],0)),"")</f>
        <v>11</v>
      </c>
      <c r="AS215" s="127">
        <f>IFERROR(INDEX(TableOverallMaster[Custom],MATCH(TableOverallRank[[#This Row],[OVERALL PLAYER]],TableOverallMaster[OVERALL PLAYER],0)),"")</f>
        <v>75.105777315267275</v>
      </c>
      <c r="AT215" s="129">
        <f>IFERROR(INDEX(TableOverallMaster[VORP],MATCH(TableOverallRank[[#This Row],[OVERALL PLAYER]],TableOverallMaster[OVERALL PLAYER],0)),"")</f>
        <v>-0.38670595105051536</v>
      </c>
      <c r="AV215">
        <v>214</v>
      </c>
      <c r="AW215" s="130" t="str">
        <f>IFERROR(INDEX(TableWRTECalcPts[PLAYER],MATCH(TableWRTERank[[#This Row],[RK]],TableWRTECalcPts[RK],0)),"")</f>
        <v>Justin Shorter</v>
      </c>
      <c r="AX215" s="130" t="str">
        <f>IFERROR(INDEX(TableWRTECalcPts[POS RK],MATCH(TableWRTERank[[#This Row],[WR and TE COMBINED]],TableWRTECalcPts[PLAYER],0)),"")</f>
        <v>WR146</v>
      </c>
      <c r="AY215" s="130">
        <f>IFERROR(INDEX(TableWRTECalcPts[BYE],MATCH(TableWRTERank[[#This Row],[RK]],TableWRTECalcPts[RK],0)),"")</f>
        <v>13</v>
      </c>
      <c r="AZ215" s="131">
        <f>IFERROR(INDEX(TableWRTECalcPts[Custom],MATCH(TableWRTERank[[#This Row],[RK]],TableWRTECalcPts[RK],0)),"")</f>
        <v>17.103082196199999</v>
      </c>
      <c r="BA215" s="188">
        <f>IFERROR((TableWRTERank[[#This Row],[FPS]]-INDEX(TableWRTERank[FPS],MATCH(WRTEVORPCalc,TableWRTERank[RK],0)))/INDEX(TableWRTERank[FPS],MATCH(WRTEVORPCalc,TableWRTERank[RK],0)),"")</f>
        <v>-0.87641389648907075</v>
      </c>
      <c r="BC215" t="s">
        <v>10</v>
      </c>
      <c r="BD215">
        <v>14</v>
      </c>
      <c r="BE215" s="86">
        <f>RANK(TableWRTEMaster[[#This Row],[VORP]],TableWRTEMaster[VORP])+COUNTIF($BJ$2:BJ215,BJ215)-1</f>
        <v>74</v>
      </c>
      <c r="BF215" s="123" t="str">
        <f>IFERROR(INDEX(TableTEVORP[TIGHT END],MATCH(TableWRTEMaster[[#This Row],[RK]],TableTEVORP[RK],0)),"")</f>
        <v>Cole Kmet</v>
      </c>
      <c r="BG215" s="123" t="str">
        <f>_xlfn.CONCAT(TableWRTEMaster[[#This Row],[POS]],TableWRTEMaster[[#This Row],[RK]])</f>
        <v>TE14</v>
      </c>
      <c r="BH215" s="123">
        <f>IFERROR(INDEX(TableTEVORP[BYE],MATCH(TableWRTEMaster[[#This Row],[RK]],TableTEVORP[RK],0)),"")</f>
        <v>13</v>
      </c>
      <c r="BI215" s="124">
        <f>IFERROR(INDEX(TableTEVORP[FPS],MATCH(TableWRTEMaster[[#This Row],[RK]],TableTEVORP[RK],0)),"")</f>
        <v>112.27012334528251</v>
      </c>
      <c r="BJ215" s="125">
        <f>IFERROR(INDEX(TableTEVORP[VORP],MATCH(TableWRTEMaster[[#This Row],[RK]],TableTEVORP[RK],0)),"")</f>
        <v>-5.5205364604770844E-2</v>
      </c>
    </row>
    <row r="216" spans="15:62" x14ac:dyDescent="0.2">
      <c r="O216">
        <v>215</v>
      </c>
      <c r="P216" s="120" t="str">
        <f>IFERROR(INDEX(TableWRCalcPts[PLAYER],MATCH(TableWRVORP[[#This Row],[RK]],TableWRCalcPts[RK],0)),"")</f>
        <v/>
      </c>
      <c r="Q216" s="120" t="str">
        <f>IFERROR(INDEX(TableWRCalcPts[TM],MATCH(TableWRVORP[[#This Row],[RK]],TableWRCalcPts[RK],0)),"")</f>
        <v/>
      </c>
      <c r="R216" s="120" t="str">
        <f>IFERROR(INDEX(TableWRCalcPts[BYE],MATCH(TableWRVORP[[#This Row],[RK]],TableWRCalcPts[RK],0)),"")</f>
        <v/>
      </c>
      <c r="S216" s="121" t="str">
        <f>IFERROR(INDEX(TableWRCalcPts[Custom],MATCH(TableWRVORP[[#This Row],[RK]],TableWRCalcPts[RK],0)),"")</f>
        <v/>
      </c>
      <c r="T216" s="122" t="str">
        <f>IFERROR((TableWRVORP[[#This Row],[FPS]]-INDEX(TableWRVORP[FPS],MATCH(WRVORPCalc,TableWRVORP[RK],0)))/INDEX(TableWRVORP[FPS],MATCH(WRVORPCalc,TableWRVORP[RK],0)),"")</f>
        <v/>
      </c>
      <c r="AF216" t="s">
        <v>257</v>
      </c>
      <c r="AG216">
        <v>75</v>
      </c>
      <c r="AH216" s="86">
        <f>RANK(TableOverallMaster[[#This Row],[VORP]],TableOverallMaster[VORP])+COUNTIF($AM$2:AM216,AM216)-1</f>
        <v>187</v>
      </c>
      <c r="AI216" s="123" t="str">
        <f>IFERROR(INDEX(TableWRVORP[WIDE RECEIVER],MATCH(TableOverallMaster[[#This Row],[RK]],TableWRVORP[RK],0)),"")</f>
        <v>Rashod Bateman</v>
      </c>
      <c r="AJ216" s="123" t="str">
        <f t="shared" si="3"/>
        <v>WR75</v>
      </c>
      <c r="AK216" s="123">
        <f>IFERROR(INDEX(TableWRVORP[BYE],MATCH(TableOverallMaster[[#This Row],[RK]],TableWRVORP[RK],0)),"")</f>
        <v>13</v>
      </c>
      <c r="AL216" s="124">
        <f>IFERROR(INDEX(TableWRVORP[FPS],MATCH(TableOverallMaster[[#This Row],[RK]],TableWRVORP[RK],0)),"")</f>
        <v>95.75240316946082</v>
      </c>
      <c r="AM216" s="125">
        <f>IFERROR(INDEX(TableWRVORP[VORP],MATCH(TableOverallMaster[[#This Row],[RK]],TableWRVORP[RK],0)),"")</f>
        <v>-0.26509427792398582</v>
      </c>
      <c r="AO216">
        <v>215</v>
      </c>
      <c r="AP216" s="126" t="str">
        <f>IFERROR(INDEX(TableOverallMaster[OVERALL PLAYER],MATCH(TableOverallRank[[#This Row],[RK]],TableOverallMaster[OVR RK],0)),"")</f>
        <v>Terrace Marshall</v>
      </c>
      <c r="AQ216" s="127" t="str">
        <f>IFERROR(INDEX(TableOverallMaster[POS RK],MATCH(TableOverallRank[[#This Row],[OVERALL PLAYER]],TableOverallMaster[OVERALL PLAYER],0)),"")</f>
        <v>WR90</v>
      </c>
      <c r="AR216" s="128">
        <f>IFERROR(INDEX(TableOverallMaster[BYE],MATCH(TableOverallRank[[#This Row],[OVERALL PLAYER]],TableOverallMaster[OVERALL PLAYER],0)),"")</f>
        <v>7</v>
      </c>
      <c r="AS216" s="127">
        <f>IFERROR(INDEX(TableOverallMaster[Custom],MATCH(TableOverallRank[[#This Row],[OVERALL PLAYER]],TableOverallMaster[OVERALL PLAYER],0)),"")</f>
        <v>79.745267232922856</v>
      </c>
      <c r="AT216" s="129">
        <f>IFERROR(INDEX(TableOverallMaster[VORP],MATCH(TableOverallRank[[#This Row],[OVERALL PLAYER]],TableOverallMaster[OVERALL PLAYER],0)),"")</f>
        <v>-0.38795005390896142</v>
      </c>
      <c r="AV216">
        <v>215</v>
      </c>
      <c r="AW216" s="130" t="str">
        <f>IFERROR(INDEX(TableWRTECalcPts[PLAYER],MATCH(TableWRTERank[[#This Row],[RK]],TableWRTECalcPts[RK],0)),"")</f>
        <v>Chris Manhertz</v>
      </c>
      <c r="AX216" s="130" t="str">
        <f>IFERROR(INDEX(TableWRTECalcPts[POS RK],MATCH(TableWRTERank[[#This Row],[WR and TE COMBINED]],TableWRTECalcPts[PLAYER],0)),"")</f>
        <v>TE69</v>
      </c>
      <c r="AY216" s="130">
        <f>IFERROR(INDEX(TableWRTECalcPts[BYE],MATCH(TableWRTERank[[#This Row],[RK]],TableWRTECalcPts[RK],0)),"")</f>
        <v>9</v>
      </c>
      <c r="AZ216" s="131">
        <f>IFERROR(INDEX(TableWRTECalcPts[Custom],MATCH(TableWRTERank[[#This Row],[RK]],TableWRTECalcPts[RK],0)),"")</f>
        <v>16.832874630670773</v>
      </c>
      <c r="BA216" s="188">
        <f>IFERROR((TableWRTERank[[#This Row],[FPS]]-INDEX(TableWRTERank[FPS],MATCH(WRTEVORPCalc,TableWRTERank[RK],0)))/INDEX(TableWRTERank[FPS],MATCH(WRTEVORPCalc,TableWRTERank[RK],0)),"")</f>
        <v>-0.87836640421720125</v>
      </c>
      <c r="BC216" t="s">
        <v>10</v>
      </c>
      <c r="BD216">
        <v>15</v>
      </c>
      <c r="BE216" s="86">
        <f>RANK(TableWRTEMaster[[#This Row],[VORP]],TableWRTEMaster[VORP])+COUNTIF($BJ$2:BJ216,BJ216)-1</f>
        <v>75</v>
      </c>
      <c r="BF216" s="123" t="str">
        <f>IFERROR(INDEX(TableTEVORP[TIGHT END],MATCH(TableWRTEMaster[[#This Row],[RK]],TableTEVORP[RK],0)),"")</f>
        <v>Dalton Kincaid</v>
      </c>
      <c r="BG216" s="123" t="str">
        <f>_xlfn.CONCAT(TableWRTEMaster[[#This Row],[POS]],TableWRTEMaster[[#This Row],[RK]])</f>
        <v>TE15</v>
      </c>
      <c r="BH216" s="123">
        <f>IFERROR(INDEX(TableTEVORP[BYE],MATCH(TableWRTEMaster[[#This Row],[RK]],TableTEVORP[RK],0)),"")</f>
        <v>13</v>
      </c>
      <c r="BI216" s="124">
        <f>IFERROR(INDEX(TableTEVORP[FPS],MATCH(TableWRTEMaster[[#This Row],[RK]],TableTEVORP[RK],0)),"")</f>
        <v>111.19421970139238</v>
      </c>
      <c r="BJ216" s="125">
        <f>IFERROR(INDEX(TableTEVORP[VORP],MATCH(TableWRTEMaster[[#This Row],[RK]],TableTEVORP[RK],0)),"")</f>
        <v>-6.4259491924319082E-2</v>
      </c>
    </row>
    <row r="217" spans="15:62" x14ac:dyDescent="0.2">
      <c r="O217">
        <v>216</v>
      </c>
      <c r="P217" s="120" t="str">
        <f>IFERROR(INDEX(TableWRCalcPts[PLAYER],MATCH(TableWRVORP[[#This Row],[RK]],TableWRCalcPts[RK],0)),"")</f>
        <v/>
      </c>
      <c r="Q217" s="120" t="str">
        <f>IFERROR(INDEX(TableWRCalcPts[TM],MATCH(TableWRVORP[[#This Row],[RK]],TableWRCalcPts[RK],0)),"")</f>
        <v/>
      </c>
      <c r="R217" s="120" t="str">
        <f>IFERROR(INDEX(TableWRCalcPts[BYE],MATCH(TableWRVORP[[#This Row],[RK]],TableWRCalcPts[RK],0)),"")</f>
        <v/>
      </c>
      <c r="S217" s="121" t="str">
        <f>IFERROR(INDEX(TableWRCalcPts[Custom],MATCH(TableWRVORP[[#This Row],[RK]],TableWRCalcPts[RK],0)),"")</f>
        <v/>
      </c>
      <c r="T217" s="122" t="str">
        <f>IFERROR((TableWRVORP[[#This Row],[FPS]]-INDEX(TableWRVORP[FPS],MATCH(WRVORPCalc,TableWRVORP[RK],0)))/INDEX(TableWRVORP[FPS],MATCH(WRVORPCalc,TableWRVORP[RK],0)),"")</f>
        <v/>
      </c>
      <c r="AF217" t="s">
        <v>257</v>
      </c>
      <c r="AG217">
        <v>76</v>
      </c>
      <c r="AH217" s="86">
        <f>RANK(TableOverallMaster[[#This Row],[VORP]],TableOverallMaster[VORP])+COUNTIF($AM$2:AM217,AM217)-1</f>
        <v>189</v>
      </c>
      <c r="AI217" s="123" t="str">
        <f>IFERROR(INDEX(TableWRVORP[WIDE RECEIVER],MATCH(TableOverallMaster[[#This Row],[RK]],TableWRVORP[RK],0)),"")</f>
        <v>Alec Pierce</v>
      </c>
      <c r="AJ217" s="123" t="str">
        <f t="shared" si="3"/>
        <v>WR76</v>
      </c>
      <c r="AK217" s="123">
        <f>IFERROR(INDEX(TableWRVORP[BYE],MATCH(TableOverallMaster[[#This Row],[RK]],TableWRVORP[RK],0)),"")</f>
        <v>11</v>
      </c>
      <c r="AL217" s="124">
        <f>IFERROR(INDEX(TableWRVORP[FPS],MATCH(TableOverallMaster[[#This Row],[RK]],TableWRVORP[RK],0)),"")</f>
        <v>94.292158056808148</v>
      </c>
      <c r="AM217" s="125">
        <f>IFERROR(INDEX(TableWRVORP[VORP],MATCH(TableOverallMaster[[#This Row],[RK]],TableWRVORP[RK],0)),"")</f>
        <v>-0.27630175108810845</v>
      </c>
      <c r="AO217">
        <v>216</v>
      </c>
      <c r="AP217" s="126" t="str">
        <f>IFERROR(INDEX(TableOverallMaster[OVERALL PLAYER],MATCH(TableOverallRank[[#This Row],[RK]],TableOverallMaster[OVR RK],0)),"")</f>
        <v>Taysom Hill</v>
      </c>
      <c r="AQ217" s="127" t="str">
        <f>IFERROR(INDEX(TableOverallMaster[POS RK],MATCH(TableOverallRank[[#This Row],[OVERALL PLAYER]],TableOverallMaster[OVERALL PLAYER],0)),"")</f>
        <v>TE34</v>
      </c>
      <c r="AR217" s="128">
        <f>IFERROR(INDEX(TableOverallMaster[BYE],MATCH(TableOverallRank[[#This Row],[OVERALL PLAYER]],TableOverallMaster[OVERALL PLAYER],0)),"")</f>
        <v>11</v>
      </c>
      <c r="AS217" s="127">
        <f>IFERROR(INDEX(TableOverallMaster[Custom],MATCH(TableOverallRank[[#This Row],[OVERALL PLAYER]],TableOverallMaster[OVERALL PLAYER],0)),"")</f>
        <v>71.977671055054685</v>
      </c>
      <c r="AT217" s="129">
        <f>IFERROR(INDEX(TableOverallMaster[VORP],MATCH(TableOverallRank[[#This Row],[OVERALL PLAYER]],TableOverallMaster[OVERALL PLAYER],0)),"")</f>
        <v>-0.39428126152570403</v>
      </c>
      <c r="AV217">
        <v>216</v>
      </c>
      <c r="AW217" s="130" t="str">
        <f>IFERROR(INDEX(TableWRTECalcPts[PLAYER],MATCH(TableWRTERank[[#This Row],[RK]],TableWRTECalcPts[RK],0)),"")</f>
        <v>Josh Whyle</v>
      </c>
      <c r="AX217" s="130" t="str">
        <f>IFERROR(INDEX(TableWRTECalcPts[POS RK],MATCH(TableWRTERank[[#This Row],[WR and TE COMBINED]],TableWRTECalcPts[PLAYER],0)),"")</f>
        <v>TE70</v>
      </c>
      <c r="AY217" s="130">
        <f>IFERROR(INDEX(TableWRTECalcPts[BYE],MATCH(TableWRTERank[[#This Row],[RK]],TableWRTECalcPts[RK],0)),"")</f>
        <v>7</v>
      </c>
      <c r="AZ217" s="131">
        <f>IFERROR(INDEX(TableWRTECalcPts[Custom],MATCH(TableWRTERank[[#This Row],[RK]],TableWRTECalcPts[RK],0)),"")</f>
        <v>16.71059312879585</v>
      </c>
      <c r="BA217" s="188">
        <f>IFERROR((TableWRTERank[[#This Row],[FPS]]-INDEX(TableWRTERank[FPS],MATCH(WRTEVORPCalc,TableWRTERank[RK],0)))/INDEX(TableWRTERank[FPS],MATCH(WRTEVORPCalc,TableWRTERank[RK],0)),"")</f>
        <v>-0.87925000485566063</v>
      </c>
      <c r="BC217" t="s">
        <v>10</v>
      </c>
      <c r="BD217">
        <v>16</v>
      </c>
      <c r="BE217" s="86">
        <f>RANK(TableWRTEMaster[[#This Row],[VORP]],TableWRTEMaster[VORP])+COUNTIF($BJ$2:BJ217,BJ217)-1</f>
        <v>80</v>
      </c>
      <c r="BF217" s="123" t="str">
        <f>IFERROR(INDEX(TableTEVORP[TIGHT END],MATCH(TableWRTEMaster[[#This Row],[RK]],TableTEVORP[RK],0)),"")</f>
        <v>Dalton Schultz</v>
      </c>
      <c r="BG217" s="123" t="str">
        <f>_xlfn.CONCAT(TableWRTEMaster[[#This Row],[POS]],TableWRTEMaster[[#This Row],[RK]])</f>
        <v>TE16</v>
      </c>
      <c r="BH217" s="123">
        <f>IFERROR(INDEX(TableTEVORP[BYE],MATCH(TableWRTEMaster[[#This Row],[RK]],TableTEVORP[RK],0)),"")</f>
        <v>7</v>
      </c>
      <c r="BI217" s="124">
        <f>IFERROR(INDEX(TableTEVORP[FPS],MATCH(TableWRTEMaster[[#This Row],[RK]],TableTEVORP[RK],0)),"")</f>
        <v>107.78710020429105</v>
      </c>
      <c r="BJ217" s="125">
        <f>IFERROR(INDEX(TableTEVORP[VORP],MATCH(TableWRTEMaster[[#This Row],[RK]],TableTEVORP[RK],0)),"")</f>
        <v>-9.2931663354217958E-2</v>
      </c>
    </row>
    <row r="218" spans="15:62" x14ac:dyDescent="0.2">
      <c r="O218">
        <v>217</v>
      </c>
      <c r="P218" s="120" t="str">
        <f>IFERROR(INDEX(TableWRCalcPts[PLAYER],MATCH(TableWRVORP[[#This Row],[RK]],TableWRCalcPts[RK],0)),"")</f>
        <v/>
      </c>
      <c r="Q218" s="120" t="str">
        <f>IFERROR(INDEX(TableWRCalcPts[TM],MATCH(TableWRVORP[[#This Row],[RK]],TableWRCalcPts[RK],0)),"")</f>
        <v/>
      </c>
      <c r="R218" s="120" t="str">
        <f>IFERROR(INDEX(TableWRCalcPts[BYE],MATCH(TableWRVORP[[#This Row],[RK]],TableWRCalcPts[RK],0)),"")</f>
        <v/>
      </c>
      <c r="S218" s="121" t="str">
        <f>IFERROR(INDEX(TableWRCalcPts[Custom],MATCH(TableWRVORP[[#This Row],[RK]],TableWRCalcPts[RK],0)),"")</f>
        <v/>
      </c>
      <c r="T218" s="122" t="str">
        <f>IFERROR((TableWRVORP[[#This Row],[FPS]]-INDEX(TableWRVORP[FPS],MATCH(WRVORPCalc,TableWRVORP[RK],0)))/INDEX(TableWRVORP[FPS],MATCH(WRVORPCalc,TableWRVORP[RK],0)),"")</f>
        <v/>
      </c>
      <c r="AF218" t="s">
        <v>257</v>
      </c>
      <c r="AG218">
        <v>77</v>
      </c>
      <c r="AH218" s="86">
        <f>RANK(TableOverallMaster[[#This Row],[VORP]],TableOverallMaster[VORP])+COUNTIF($AM$2:AM218,AM218)-1</f>
        <v>190</v>
      </c>
      <c r="AI218" s="123" t="str">
        <f>IFERROR(INDEX(TableWRVORP[WIDE RECEIVER],MATCH(TableOverallMaster[[#This Row],[RK]],TableWRVORP[RK],0)),"")</f>
        <v>Michael Gallup</v>
      </c>
      <c r="AJ218" s="123" t="str">
        <f t="shared" si="3"/>
        <v>WR77</v>
      </c>
      <c r="AK218" s="123">
        <f>IFERROR(INDEX(TableWRVORP[BYE],MATCH(TableOverallMaster[[#This Row],[RK]],TableWRVORP[RK],0)),"")</f>
        <v>7</v>
      </c>
      <c r="AL218" s="124">
        <f>IFERROR(INDEX(TableWRVORP[FPS],MATCH(TableOverallMaster[[#This Row],[RK]],TableWRVORP[RK],0)),"")</f>
        <v>93.431094692524141</v>
      </c>
      <c r="AM218" s="125">
        <f>IFERROR(INDEX(TableWRVORP[VORP],MATCH(TableOverallMaster[[#This Row],[RK]],TableWRVORP[RK],0)),"")</f>
        <v>-0.28291046661415559</v>
      </c>
      <c r="AO218">
        <v>217</v>
      </c>
      <c r="AP218" s="126" t="str">
        <f>IFERROR(INDEX(TableOverallMaster[OVERALL PLAYER],MATCH(TableOverallRank[[#This Row],[RK]],TableOverallMaster[OVR RK],0)),"")</f>
        <v>Tyler Allgeier</v>
      </c>
      <c r="AQ218" s="127" t="str">
        <f>IFERROR(INDEX(TableOverallMaster[POS RK],MATCH(TableOverallRank[[#This Row],[OVERALL PLAYER]],TableOverallMaster[OVERALL PLAYER],0)),"")</f>
        <v>RB62</v>
      </c>
      <c r="AR218" s="128">
        <f>IFERROR(INDEX(TableOverallMaster[BYE],MATCH(TableOverallRank[[#This Row],[OVERALL PLAYER]],TableOverallMaster[OVERALL PLAYER],0)),"")</f>
        <v>11</v>
      </c>
      <c r="AS218" s="127">
        <f>IFERROR(INDEX(TableOverallMaster[Custom],MATCH(TableOverallRank[[#This Row],[OVERALL PLAYER]],TableOverallMaster[OVERALL PLAYER],0)),"")</f>
        <v>74.172152182090741</v>
      </c>
      <c r="AT218" s="129">
        <f>IFERROR(INDEX(TableOverallMaster[VORP],MATCH(TableOverallRank[[#This Row],[OVERALL PLAYER]],TableOverallMaster[OVERALL PLAYER],0)),"")</f>
        <v>-0.39432968864560503</v>
      </c>
      <c r="AV218">
        <v>217</v>
      </c>
      <c r="AW218" s="130" t="str">
        <f>IFERROR(INDEX(TableWRTECalcPts[PLAYER],MATCH(TableWRTERank[[#This Row],[RK]],TableWRTECalcPts[RK],0)),"")</f>
        <v>DeAndre Carter</v>
      </c>
      <c r="AX218" s="130" t="str">
        <f>IFERROR(INDEX(TableWRTECalcPts[POS RK],MATCH(TableWRTERank[[#This Row],[WR and TE COMBINED]],TableWRTECalcPts[PLAYER],0)),"")</f>
        <v>WR147</v>
      </c>
      <c r="AY218" s="130">
        <f>IFERROR(INDEX(TableWRTECalcPts[BYE],MATCH(TableWRTERank[[#This Row],[RK]],TableWRTECalcPts[RK],0)),"")</f>
        <v>13</v>
      </c>
      <c r="AZ218" s="131">
        <f>IFERROR(INDEX(TableWRTECalcPts[Custom],MATCH(TableWRTERank[[#This Row],[RK]],TableWRTECalcPts[RK],0)),"")</f>
        <v>16.591250282286047</v>
      </c>
      <c r="BA218" s="188">
        <f>IFERROR((TableWRTERank[[#This Row],[FPS]]-INDEX(TableWRTERank[FPS],MATCH(WRTEVORPCalc,TableWRTERank[RK],0)))/INDEX(TableWRTERank[FPS],MATCH(WRTEVORPCalc,TableWRTERank[RK],0)),"")</f>
        <v>-0.88011237090248506</v>
      </c>
      <c r="BC218" t="s">
        <v>10</v>
      </c>
      <c r="BD218">
        <v>17</v>
      </c>
      <c r="BE218" s="86">
        <f>RANK(TableWRTEMaster[[#This Row],[VORP]],TableWRTEMaster[VORP])+COUNTIF($BJ$2:BJ218,BJ218)-1</f>
        <v>86</v>
      </c>
      <c r="BF218" s="123" t="str">
        <f>IFERROR(INDEX(TableTEVORP[TIGHT END],MATCH(TableWRTEMaster[[#This Row],[RK]],TableTEVORP[RK],0)),"")</f>
        <v>Zach Ertz</v>
      </c>
      <c r="BG218" s="123" t="str">
        <f>_xlfn.CONCAT(TableWRTEMaster[[#This Row],[POS]],TableWRTEMaster[[#This Row],[RK]])</f>
        <v>TE17</v>
      </c>
      <c r="BH218" s="123">
        <f>IFERROR(INDEX(TableTEVORP[BYE],MATCH(TableWRTEMaster[[#This Row],[RK]],TableTEVORP[RK],0)),"")</f>
        <v>14</v>
      </c>
      <c r="BI218" s="124">
        <f>IFERROR(INDEX(TableTEVORP[FPS],MATCH(TableWRTEMaster[[#This Row],[RK]],TableTEVORP[RK],0)),"")</f>
        <v>102.28849844849999</v>
      </c>
      <c r="BJ218" s="125">
        <f>IFERROR(INDEX(TableTEVORP[VORP],MATCH(TableWRTEMaster[[#This Row],[RK]],TableTEVORP[RK],0)),"")</f>
        <v>-0.1392044319791263</v>
      </c>
    </row>
    <row r="219" spans="15:62" x14ac:dyDescent="0.2">
      <c r="O219">
        <v>218</v>
      </c>
      <c r="P219" s="120" t="str">
        <f>IFERROR(INDEX(TableWRCalcPts[PLAYER],MATCH(TableWRVORP[[#This Row],[RK]],TableWRCalcPts[RK],0)),"")</f>
        <v/>
      </c>
      <c r="Q219" s="120" t="str">
        <f>IFERROR(INDEX(TableWRCalcPts[TM],MATCH(TableWRVORP[[#This Row],[RK]],TableWRCalcPts[RK],0)),"")</f>
        <v/>
      </c>
      <c r="R219" s="120" t="str">
        <f>IFERROR(INDEX(TableWRCalcPts[BYE],MATCH(TableWRVORP[[#This Row],[RK]],TableWRCalcPts[RK],0)),"")</f>
        <v/>
      </c>
      <c r="S219" s="121" t="str">
        <f>IFERROR(INDEX(TableWRCalcPts[Custom],MATCH(TableWRVORP[[#This Row],[RK]],TableWRCalcPts[RK],0)),"")</f>
        <v/>
      </c>
      <c r="T219" s="122" t="str">
        <f>IFERROR((TableWRVORP[[#This Row],[FPS]]-INDEX(TableWRVORP[FPS],MATCH(WRVORPCalc,TableWRVORP[RK],0)))/INDEX(TableWRVORP[FPS],MATCH(WRVORPCalc,TableWRVORP[RK],0)),"")</f>
        <v/>
      </c>
      <c r="AF219" t="s">
        <v>257</v>
      </c>
      <c r="AG219">
        <v>78</v>
      </c>
      <c r="AH219" s="86">
        <f>RANK(TableOverallMaster[[#This Row],[VORP]],TableOverallMaster[VORP])+COUNTIF($AM$2:AM219,AM219)-1</f>
        <v>194</v>
      </c>
      <c r="AI219" s="123" t="str">
        <f>IFERROR(INDEX(TableWRVORP[WIDE RECEIVER],MATCH(TableOverallMaster[[#This Row],[RK]],TableWRVORP[RK],0)),"")</f>
        <v>Justyn Ross</v>
      </c>
      <c r="AJ219" s="123" t="str">
        <f t="shared" si="3"/>
        <v>WR78</v>
      </c>
      <c r="AK219" s="123">
        <f>IFERROR(INDEX(TableWRVORP[BYE],MATCH(TableOverallMaster[[#This Row],[RK]],TableWRVORP[RK],0)),"")</f>
        <v>10</v>
      </c>
      <c r="AL219" s="124">
        <f>IFERROR(INDEX(TableWRVORP[FPS],MATCH(TableOverallMaster[[#This Row],[RK]],TableWRVORP[RK],0)),"")</f>
        <v>92.112339109190401</v>
      </c>
      <c r="AM219" s="125">
        <f>IFERROR(INDEX(TableWRVORP[VORP],MATCH(TableOverallMaster[[#This Row],[RK]],TableWRVORP[RK],0)),"")</f>
        <v>-0.29303199873378766</v>
      </c>
      <c r="AO219">
        <v>218</v>
      </c>
      <c r="AP219" s="126" t="str">
        <f>IFERROR(INDEX(TableOverallMaster[OVERALL PLAYER],MATCH(TableOverallRank[[#This Row],[RK]],TableOverallMaster[OVR RK],0)),"")</f>
        <v>Chase Claypool</v>
      </c>
      <c r="AQ219" s="127" t="str">
        <f>IFERROR(INDEX(TableOverallMaster[POS RK],MATCH(TableOverallRank[[#This Row],[OVERALL PLAYER]],TableOverallMaster[OVERALL PLAYER],0)),"")</f>
        <v>WR91</v>
      </c>
      <c r="AR219" s="128">
        <f>IFERROR(INDEX(TableOverallMaster[BYE],MATCH(TableOverallRank[[#This Row],[OVERALL PLAYER]],TableOverallMaster[OVERALL PLAYER],0)),"")</f>
        <v>13</v>
      </c>
      <c r="AS219" s="127">
        <f>IFERROR(INDEX(TableOverallMaster[Custom],MATCH(TableOverallRank[[#This Row],[OVERALL PLAYER]],TableOverallMaster[OVERALL PLAYER],0)),"")</f>
        <v>78.131442847366372</v>
      </c>
      <c r="AT219" s="129">
        <f>IFERROR(INDEX(TableOverallMaster[VORP],MATCH(TableOverallRank[[#This Row],[OVERALL PLAYER]],TableOverallMaster[OVERALL PLAYER],0)),"")</f>
        <v>-0.40033625766065517</v>
      </c>
      <c r="AV219">
        <v>218</v>
      </c>
      <c r="AW219" s="130" t="str">
        <f>IFERROR(INDEX(TableWRTECalcPts[PLAYER],MATCH(TableWRTERank[[#This Row],[RK]],TableWRTECalcPts[RK],0)),"")</f>
        <v>Johnny Mundt</v>
      </c>
      <c r="AX219" s="130" t="str">
        <f>IFERROR(INDEX(TableWRTECalcPts[POS RK],MATCH(TableWRTERank[[#This Row],[WR and TE COMBINED]],TableWRTECalcPts[PLAYER],0)),"")</f>
        <v>TE71</v>
      </c>
      <c r="AY219" s="130">
        <f>IFERROR(INDEX(TableWRTECalcPts[BYE],MATCH(TableWRTERank[[#This Row],[RK]],TableWRTECalcPts[RK],0)),"")</f>
        <v>13</v>
      </c>
      <c r="AZ219" s="131">
        <f>IFERROR(INDEX(TableWRTECalcPts[Custom],MATCH(TableWRTERank[[#This Row],[RK]],TableWRTECalcPts[RK],0)),"")</f>
        <v>16.388591751839996</v>
      </c>
      <c r="BA219" s="188">
        <f>IFERROR((TableWRTERank[[#This Row],[FPS]]-INDEX(TableWRTERank[FPS],MATCH(WRTEVORPCalc,TableWRTERank[RK],0)))/INDEX(TableWRTERank[FPS],MATCH(WRTEVORPCalc,TableWRTERank[RK],0)),"")</f>
        <v>-0.88157677233807208</v>
      </c>
      <c r="BC219" t="s">
        <v>10</v>
      </c>
      <c r="BD219">
        <v>18</v>
      </c>
      <c r="BE219" s="86">
        <f>RANK(TableWRTEMaster[[#This Row],[VORP]],TableWRTEMaster[VORP])+COUNTIF($BJ$2:BJ219,BJ219)-1</f>
        <v>88</v>
      </c>
      <c r="BF219" s="123" t="str">
        <f>IFERROR(INDEX(TableTEVORP[TIGHT END],MATCH(TableWRTEMaster[[#This Row],[RK]],TableTEVORP[RK],0)),"")</f>
        <v>Dawson Knox</v>
      </c>
      <c r="BG219" s="123" t="str">
        <f>_xlfn.CONCAT(TableWRTEMaster[[#This Row],[POS]],TableWRTEMaster[[#This Row],[RK]])</f>
        <v>TE18</v>
      </c>
      <c r="BH219" s="123">
        <f>IFERROR(INDEX(TableTEVORP[BYE],MATCH(TableWRTEMaster[[#This Row],[RK]],TableTEVORP[RK],0)),"")</f>
        <v>13</v>
      </c>
      <c r="BI219" s="124">
        <f>IFERROR(INDEX(TableTEVORP[FPS],MATCH(TableWRTEMaster[[#This Row],[RK]],TableTEVORP[RK],0)),"")</f>
        <v>101.98897439520259</v>
      </c>
      <c r="BJ219" s="125">
        <f>IFERROR(INDEX(TableTEVORP[VORP],MATCH(TableWRTEMaster[[#This Row],[RK]],TableTEVORP[RK],0)),"")</f>
        <v>-0.14172503773153025</v>
      </c>
    </row>
    <row r="220" spans="15:62" x14ac:dyDescent="0.2">
      <c r="O220">
        <v>219</v>
      </c>
      <c r="P220" s="120" t="str">
        <f>IFERROR(INDEX(TableWRCalcPts[PLAYER],MATCH(TableWRVORP[[#This Row],[RK]],TableWRCalcPts[RK],0)),"")</f>
        <v/>
      </c>
      <c r="Q220" s="120" t="str">
        <f>IFERROR(INDEX(TableWRCalcPts[TM],MATCH(TableWRVORP[[#This Row],[RK]],TableWRCalcPts[RK],0)),"")</f>
        <v/>
      </c>
      <c r="R220" s="120" t="str">
        <f>IFERROR(INDEX(TableWRCalcPts[BYE],MATCH(TableWRVORP[[#This Row],[RK]],TableWRCalcPts[RK],0)),"")</f>
        <v/>
      </c>
      <c r="S220" s="121" t="str">
        <f>IFERROR(INDEX(TableWRCalcPts[Custom],MATCH(TableWRVORP[[#This Row],[RK]],TableWRCalcPts[RK],0)),"")</f>
        <v/>
      </c>
      <c r="T220" s="122" t="str">
        <f>IFERROR((TableWRVORP[[#This Row],[FPS]]-INDEX(TableWRVORP[FPS],MATCH(WRVORPCalc,TableWRVORP[RK],0)))/INDEX(TableWRVORP[FPS],MATCH(WRVORPCalc,TableWRVORP[RK],0)),"")</f>
        <v/>
      </c>
      <c r="AF220" t="s">
        <v>257</v>
      </c>
      <c r="AG220">
        <v>79</v>
      </c>
      <c r="AH220" s="86">
        <f>RANK(TableOverallMaster[[#This Row],[VORP]],TableOverallMaster[VORP])+COUNTIF($AM$2:AM220,AM220)-1</f>
        <v>195</v>
      </c>
      <c r="AI220" s="123" t="str">
        <f>IFERROR(INDEX(TableWRVORP[WIDE RECEIVER],MATCH(TableOverallMaster[[#This Row],[RK]],TableWRVORP[RK],0)),"")</f>
        <v>Allen Robinson</v>
      </c>
      <c r="AJ220" s="123" t="str">
        <f t="shared" si="3"/>
        <v>WR79</v>
      </c>
      <c r="AK220" s="123">
        <f>IFERROR(INDEX(TableWRVORP[BYE],MATCH(TableOverallMaster[[#This Row],[RK]],TableWRVORP[RK],0)),"")</f>
        <v>6</v>
      </c>
      <c r="AL220" s="124">
        <f>IFERROR(INDEX(TableWRVORP[FPS],MATCH(TableOverallMaster[[#This Row],[RK]],TableWRVORP[RK],0)),"")</f>
        <v>92.066985387508694</v>
      </c>
      <c r="AM220" s="125">
        <f>IFERROR(INDEX(TableWRVORP[VORP],MATCH(TableOverallMaster[[#This Row],[RK]],TableWRVORP[RK],0)),"")</f>
        <v>-0.29338009140277621</v>
      </c>
      <c r="AO220">
        <v>219</v>
      </c>
      <c r="AP220" s="126" t="str">
        <f>IFERROR(INDEX(TableOverallMaster[OVERALL PLAYER],MATCH(TableOverallRank[[#This Row],[RK]],TableOverallMaster[OVR RK],0)),"")</f>
        <v>Rashid Shaheed</v>
      </c>
      <c r="AQ220" s="127" t="str">
        <f>IFERROR(INDEX(TableOverallMaster[POS RK],MATCH(TableOverallRank[[#This Row],[OVERALL PLAYER]],TableOverallMaster[OVERALL PLAYER],0)),"")</f>
        <v>WR92</v>
      </c>
      <c r="AR220" s="128">
        <f>IFERROR(INDEX(TableOverallMaster[BYE],MATCH(TableOverallRank[[#This Row],[OVERALL PLAYER]],TableOverallMaster[OVERALL PLAYER],0)),"")</f>
        <v>11</v>
      </c>
      <c r="AS220" s="127">
        <f>IFERROR(INDEX(TableOverallMaster[Custom],MATCH(TableOverallRank[[#This Row],[OVERALL PLAYER]],TableOverallMaster[OVERALL PLAYER],0)),"")</f>
        <v>77.226919676598641</v>
      </c>
      <c r="AT220" s="129">
        <f>IFERROR(INDEX(TableOverallMaster[VORP],MATCH(TableOverallRank[[#This Row],[OVERALL PLAYER]],TableOverallMaster[OVERALL PLAYER],0)),"")</f>
        <v>-0.40727852993732172</v>
      </c>
      <c r="AV220">
        <v>219</v>
      </c>
      <c r="AW220" s="130" t="str">
        <f>IFERROR(INDEX(TableWRTECalcPts[PLAYER],MATCH(TableWRTERank[[#This Row],[RK]],TableWRTECalcPts[RK],0)),"")</f>
        <v>Tre Tucker</v>
      </c>
      <c r="AX220" s="130" t="str">
        <f>IFERROR(INDEX(TableWRTECalcPts[POS RK],MATCH(TableWRTERank[[#This Row],[WR and TE COMBINED]],TableWRTECalcPts[PLAYER],0)),"")</f>
        <v>WR148</v>
      </c>
      <c r="AY220" s="130">
        <f>IFERROR(INDEX(TableWRTECalcPts[BYE],MATCH(TableWRTERank[[#This Row],[RK]],TableWRTECalcPts[RK],0)),"")</f>
        <v>13</v>
      </c>
      <c r="AZ220" s="131">
        <f>IFERROR(INDEX(TableWRTECalcPts[Custom],MATCH(TableWRTERank[[#This Row],[RK]],TableWRTECalcPts[RK],0)),"")</f>
        <v>16.305184102292177</v>
      </c>
      <c r="BA220" s="188">
        <f>IFERROR((TableWRTERank[[#This Row],[FPS]]-INDEX(TableWRTERank[FPS],MATCH(WRTEVORPCalc,TableWRTERank[RK],0)))/INDEX(TableWRTERank[FPS],MATCH(WRTEVORPCalc,TableWRTERank[RK],0)),"")</f>
        <v>-0.88217947226621196</v>
      </c>
      <c r="BC220" t="s">
        <v>10</v>
      </c>
      <c r="BD220">
        <v>19</v>
      </c>
      <c r="BE220" s="86">
        <f>RANK(TableWRTEMaster[[#This Row],[VORP]],TableWRTEMaster[VORP])+COUNTIF($BJ$2:BJ220,BJ220)-1</f>
        <v>89</v>
      </c>
      <c r="BF220" s="123" t="str">
        <f>IFERROR(INDEX(TableTEVORP[TIGHT END],MATCH(TableWRTEMaster[[#This Row],[RK]],TableTEVORP[RK],0)),"")</f>
        <v>Jake Ferguson</v>
      </c>
      <c r="BG220" s="123" t="str">
        <f>_xlfn.CONCAT(TableWRTEMaster[[#This Row],[POS]],TableWRTEMaster[[#This Row],[RK]])</f>
        <v>TE19</v>
      </c>
      <c r="BH220" s="123">
        <f>IFERROR(INDEX(TableTEVORP[BYE],MATCH(TableWRTEMaster[[#This Row],[RK]],TableTEVORP[RK],0)),"")</f>
        <v>7</v>
      </c>
      <c r="BI220" s="124">
        <f>IFERROR(INDEX(TableTEVORP[FPS],MATCH(TableWRTEMaster[[#This Row],[RK]],TableTEVORP[RK],0)),"")</f>
        <v>100.82096199922665</v>
      </c>
      <c r="BJ220" s="125">
        <f>IFERROR(INDEX(TableTEVORP[VORP],MATCH(TableWRTEMaster[[#This Row],[RK]],TableTEVORP[RK],0)),"")</f>
        <v>-0.15155429428627121</v>
      </c>
    </row>
    <row r="221" spans="15:62" x14ac:dyDescent="0.2">
      <c r="O221">
        <v>220</v>
      </c>
      <c r="P221" s="120" t="str">
        <f>IFERROR(INDEX(TableWRCalcPts[PLAYER],MATCH(TableWRVORP[[#This Row],[RK]],TableWRCalcPts[RK],0)),"")</f>
        <v/>
      </c>
      <c r="Q221" s="120" t="str">
        <f>IFERROR(INDEX(TableWRCalcPts[TM],MATCH(TableWRVORP[[#This Row],[RK]],TableWRCalcPts[RK],0)),"")</f>
        <v/>
      </c>
      <c r="R221" s="120" t="str">
        <f>IFERROR(INDEX(TableWRCalcPts[BYE],MATCH(TableWRVORP[[#This Row],[RK]],TableWRCalcPts[RK],0)),"")</f>
        <v/>
      </c>
      <c r="S221" s="121" t="str">
        <f>IFERROR(INDEX(TableWRCalcPts[Custom],MATCH(TableWRVORP[[#This Row],[RK]],TableWRCalcPts[RK],0)),"")</f>
        <v/>
      </c>
      <c r="T221" s="122" t="str">
        <f>IFERROR((TableWRVORP[[#This Row],[FPS]]-INDEX(TableWRVORP[FPS],MATCH(WRVORPCalc,TableWRVORP[RK],0)))/INDEX(TableWRVORP[FPS],MATCH(WRVORPCalc,TableWRVORP[RK],0)),"")</f>
        <v/>
      </c>
      <c r="AF221" t="s">
        <v>257</v>
      </c>
      <c r="AG221">
        <v>80</v>
      </c>
      <c r="AH221" s="86">
        <f>RANK(TableOverallMaster[[#This Row],[VORP]],TableOverallMaster[VORP])+COUNTIF($AM$2:AM221,AM221)-1</f>
        <v>196</v>
      </c>
      <c r="AI221" s="123" t="str">
        <f>IFERROR(INDEX(TableWRVORP[WIDE RECEIVER],MATCH(TableOverallMaster[[#This Row],[RK]],TableWRVORP[RK],0)),"")</f>
        <v>Marvin Jones</v>
      </c>
      <c r="AJ221" s="123" t="str">
        <f t="shared" si="3"/>
        <v>WR80</v>
      </c>
      <c r="AK221" s="123">
        <f>IFERROR(INDEX(TableWRVORP[BYE],MATCH(TableOverallMaster[[#This Row],[RK]],TableWRVORP[RK],0)),"")</f>
        <v>9</v>
      </c>
      <c r="AL221" s="124">
        <f>IFERROR(INDEX(TableWRVORP[FPS],MATCH(TableOverallMaster[[#This Row],[RK]],TableWRVORP[RK],0)),"")</f>
        <v>91.94050662758977</v>
      </c>
      <c r="AM221" s="125">
        <f>IFERROR(INDEX(TableWRVORP[VORP],MATCH(TableOverallMaster[[#This Row],[RK]],TableWRVORP[RK],0)),"")</f>
        <v>-0.29435082384717237</v>
      </c>
      <c r="AO221">
        <v>220</v>
      </c>
      <c r="AP221" s="126" t="str">
        <f>IFERROR(INDEX(TableOverallMaster[OVERALL PLAYER],MATCH(TableOverallRank[[#This Row],[RK]],TableOverallMaster[OVR RK],0)),"")</f>
        <v>Mack Hollins</v>
      </c>
      <c r="AQ221" s="127" t="str">
        <f>IFERROR(INDEX(TableOverallMaster[POS RK],MATCH(TableOverallRank[[#This Row],[OVERALL PLAYER]],TableOverallMaster[OVERALL PLAYER],0)),"")</f>
        <v>WR93</v>
      </c>
      <c r="AR221" s="128">
        <f>IFERROR(INDEX(TableOverallMaster[BYE],MATCH(TableOverallRank[[#This Row],[OVERALL PLAYER]],TableOverallMaster[OVERALL PLAYER],0)),"")</f>
        <v>11</v>
      </c>
      <c r="AS221" s="127">
        <f>IFERROR(INDEX(TableOverallMaster[Custom],MATCH(TableOverallRank[[#This Row],[OVERALL PLAYER]],TableOverallMaster[OVERALL PLAYER],0)),"")</f>
        <v>77.189576272085475</v>
      </c>
      <c r="AT221" s="129">
        <f>IFERROR(INDEX(TableOverallMaster[VORP],MATCH(TableOverallRank[[#This Row],[OVERALL PLAYER]],TableOverallMaster[OVERALL PLAYER],0)),"")</f>
        <v>-0.40756514291778084</v>
      </c>
      <c r="AV221">
        <v>220</v>
      </c>
      <c r="AW221" s="130" t="str">
        <f>IFERROR(INDEX(TableWRTECalcPts[PLAYER],MATCH(TableWRTERank[[#This Row],[RK]],TableWRTECalcPts[RK],0)),"")</f>
        <v>David Bell</v>
      </c>
      <c r="AX221" s="130" t="str">
        <f>IFERROR(INDEX(TableWRTECalcPts[POS RK],MATCH(TableWRTERank[[#This Row],[WR and TE COMBINED]],TableWRTECalcPts[PLAYER],0)),"")</f>
        <v>WR149</v>
      </c>
      <c r="AY221" s="130">
        <f>IFERROR(INDEX(TableWRTECalcPts[BYE],MATCH(TableWRTERank[[#This Row],[RK]],TableWRTECalcPts[RK],0)),"")</f>
        <v>5</v>
      </c>
      <c r="AZ221" s="131">
        <f>IFERROR(INDEX(TableWRTECalcPts[Custom],MATCH(TableWRTERank[[#This Row],[RK]],TableWRTECalcPts[RK],0)),"")</f>
        <v>16.274309090837527</v>
      </c>
      <c r="BA221" s="188">
        <f>IFERROR((TableWRTERank[[#This Row],[FPS]]-INDEX(TableWRTERank[FPS],MATCH(WRTEVORPCalc,TableWRTERank[RK],0)))/INDEX(TableWRTERank[FPS],MATCH(WRTEVORPCalc,TableWRTERank[RK],0)),"")</f>
        <v>-0.88240257371177377</v>
      </c>
      <c r="BC221" t="s">
        <v>10</v>
      </c>
      <c r="BD221">
        <v>20</v>
      </c>
      <c r="BE221" s="86">
        <f>RANK(TableWRTEMaster[[#This Row],[VORP]],TableWRTEMaster[VORP])+COUNTIF($BJ$2:BJ221,BJ221)-1</f>
        <v>91</v>
      </c>
      <c r="BF221" s="123" t="str">
        <f>IFERROR(INDEX(TableTEVORP[TIGHT END],MATCH(TableWRTEMaster[[#This Row],[RK]],TableTEVORP[RK],0)),"")</f>
        <v>Sam LaPorta</v>
      </c>
      <c r="BG221" s="123" t="str">
        <f>_xlfn.CONCAT(TableWRTEMaster[[#This Row],[POS]],TableWRTEMaster[[#This Row],[RK]])</f>
        <v>TE20</v>
      </c>
      <c r="BH221" s="123">
        <f>IFERROR(INDEX(TableTEVORP[BYE],MATCH(TableWRTEMaster[[#This Row],[RK]],TableTEVORP[RK],0)),"")</f>
        <v>9</v>
      </c>
      <c r="BI221" s="124">
        <f>IFERROR(INDEX(TableTEVORP[FPS],MATCH(TableWRTEMaster[[#This Row],[RK]],TableTEVORP[RK],0)),"")</f>
        <v>99.61112532514457</v>
      </c>
      <c r="BJ221" s="125">
        <f>IFERROR(INDEX(TableTEVORP[VORP],MATCH(TableWRTEMaster[[#This Row],[RK]],TableTEVORP[RK],0)),"")</f>
        <v>-0.16173551761905192</v>
      </c>
    </row>
    <row r="222" spans="15:62" x14ac:dyDescent="0.2">
      <c r="O222">
        <v>221</v>
      </c>
      <c r="P222" s="120" t="str">
        <f>IFERROR(INDEX(TableWRCalcPts[PLAYER],MATCH(TableWRVORP[[#This Row],[RK]],TableWRCalcPts[RK],0)),"")</f>
        <v/>
      </c>
      <c r="Q222" s="120" t="str">
        <f>IFERROR(INDEX(TableWRCalcPts[TM],MATCH(TableWRVORP[[#This Row],[RK]],TableWRCalcPts[RK],0)),"")</f>
        <v/>
      </c>
      <c r="R222" s="120" t="str">
        <f>IFERROR(INDEX(TableWRCalcPts[BYE],MATCH(TableWRVORP[[#This Row],[RK]],TableWRCalcPts[RK],0)),"")</f>
        <v/>
      </c>
      <c r="S222" s="121" t="str">
        <f>IFERROR(INDEX(TableWRCalcPts[Custom],MATCH(TableWRVORP[[#This Row],[RK]],TableWRCalcPts[RK],0)),"")</f>
        <v/>
      </c>
      <c r="T222" s="122" t="str">
        <f>IFERROR((TableWRVORP[[#This Row],[FPS]]-INDEX(TableWRVORP[FPS],MATCH(WRVORPCalc,TableWRVORP[RK],0)))/INDEX(TableWRVORP[FPS],MATCH(WRVORPCalc,TableWRVORP[RK],0)),"")</f>
        <v/>
      </c>
      <c r="AF222" t="s">
        <v>257</v>
      </c>
      <c r="AG222">
        <v>81</v>
      </c>
      <c r="AH222" s="86">
        <f>RANK(TableOverallMaster[[#This Row],[VORP]],TableOverallMaster[VORP])+COUNTIF($AM$2:AM222,AM222)-1</f>
        <v>197</v>
      </c>
      <c r="AI222" s="123" t="str">
        <f>IFERROR(INDEX(TableWRVORP[WIDE RECEIVER],MATCH(TableOverallMaster[[#This Row],[RK]],TableWRVORP[RK],0)),"")</f>
        <v>Noah Brown</v>
      </c>
      <c r="AJ222" s="123" t="str">
        <f t="shared" si="3"/>
        <v>WR81</v>
      </c>
      <c r="AK222" s="123">
        <f>IFERROR(INDEX(TableWRVORP[BYE],MATCH(TableOverallMaster[[#This Row],[RK]],TableWRVORP[RK],0)),"")</f>
        <v>7</v>
      </c>
      <c r="AL222" s="124">
        <f>IFERROR(INDEX(TableWRVORP[FPS],MATCH(TableOverallMaster[[#This Row],[RK]],TableWRVORP[RK],0)),"")</f>
        <v>90.783936841197601</v>
      </c>
      <c r="AM222" s="125">
        <f>IFERROR(INDEX(TableWRVORP[VORP],MATCH(TableOverallMaster[[#This Row],[RK]],TableWRVORP[RK],0)),"")</f>
        <v>-0.30322756976545057</v>
      </c>
      <c r="AO222">
        <v>221</v>
      </c>
      <c r="AP222" s="126" t="str">
        <f>IFERROR(INDEX(TableOverallMaster[OVERALL PLAYER],MATCH(TableOverallRank[[#This Row],[RK]],TableOverallMaster[OVR RK],0)),"")</f>
        <v>Rico Dowdle</v>
      </c>
      <c r="AQ222" s="127" t="str">
        <f>IFERROR(INDEX(TableOverallMaster[POS RK],MATCH(TableOverallRank[[#This Row],[OVERALL PLAYER]],TableOverallMaster[OVERALL PLAYER],0)),"")</f>
        <v>RB63</v>
      </c>
      <c r="AR222" s="128">
        <f>IFERROR(INDEX(TableOverallMaster[BYE],MATCH(TableOverallRank[[#This Row],[OVERALL PLAYER]],TableOverallMaster[OVERALL PLAYER],0)),"")</f>
        <v>7</v>
      </c>
      <c r="AS222" s="127">
        <f>IFERROR(INDEX(TableOverallMaster[Custom],MATCH(TableOverallRank[[#This Row],[OVERALL PLAYER]],TableOverallMaster[OVERALL PLAYER],0)),"")</f>
        <v>72.49002424290903</v>
      </c>
      <c r="AT222" s="129">
        <f>IFERROR(INDEX(TableOverallMaster[VORP],MATCH(TableOverallRank[[#This Row],[OVERALL PLAYER]],TableOverallMaster[OVERALL PLAYER],0)),"")</f>
        <v>-0.40806550353959586</v>
      </c>
      <c r="AV222">
        <v>221</v>
      </c>
      <c r="AW222" s="130" t="str">
        <f>IFERROR(INDEX(TableWRTECalcPts[PLAYER],MATCH(TableWRTERank[[#This Row],[RK]],TableWRTECalcPts[RK],0)),"")</f>
        <v>Jeremy Ruckert</v>
      </c>
      <c r="AX222" s="130" t="str">
        <f>IFERROR(INDEX(TableWRTECalcPts[POS RK],MATCH(TableWRTERank[[#This Row],[WR and TE COMBINED]],TableWRTECalcPts[PLAYER],0)),"")</f>
        <v>TE72</v>
      </c>
      <c r="AY222" s="130">
        <f>IFERROR(INDEX(TableWRTECalcPts[BYE],MATCH(TableWRTERank[[#This Row],[RK]],TableWRTECalcPts[RK],0)),"")</f>
        <v>7</v>
      </c>
      <c r="AZ222" s="131">
        <f>IFERROR(INDEX(TableWRTECalcPts[Custom],MATCH(TableWRTERank[[#This Row],[RK]],TableWRTECalcPts[RK],0)),"")</f>
        <v>16.080363280799997</v>
      </c>
      <c r="BA222" s="188">
        <f>IFERROR((TableWRTERank[[#This Row],[FPS]]-INDEX(TableWRTERank[FPS],MATCH(WRTEVORPCalc,TableWRTERank[RK],0)))/INDEX(TableWRTERank[FPS],MATCH(WRTEVORPCalc,TableWRTERank[RK],0)),"")</f>
        <v>-0.88380401742115</v>
      </c>
      <c r="BC222" t="s">
        <v>10</v>
      </c>
      <c r="BD222">
        <v>21</v>
      </c>
      <c r="BE222" s="86">
        <f>RANK(TableWRTEMaster[[#This Row],[VORP]],TableWRTEMaster[VORP])+COUNTIF($BJ$2:BJ222,BJ222)-1</f>
        <v>92</v>
      </c>
      <c r="BF222" s="123" t="str">
        <f>IFERROR(INDEX(TableTEVORP[TIGHT END],MATCH(TableWRTEMaster[[#This Row],[RK]],TableTEVORP[RK],0)),"")</f>
        <v>Juwan Johnson</v>
      </c>
      <c r="BG222" s="123" t="str">
        <f>_xlfn.CONCAT(TableWRTEMaster[[#This Row],[POS]],TableWRTEMaster[[#This Row],[RK]])</f>
        <v>TE21</v>
      </c>
      <c r="BH222" s="123">
        <f>IFERROR(INDEX(TableTEVORP[BYE],MATCH(TableWRTEMaster[[#This Row],[RK]],TableTEVORP[RK],0)),"")</f>
        <v>11</v>
      </c>
      <c r="BI222" s="124">
        <f>IFERROR(INDEX(TableTEVORP[FPS],MATCH(TableWRTEMaster[[#This Row],[RK]],TableTEVORP[RK],0)),"")</f>
        <v>98.079881682801982</v>
      </c>
      <c r="BJ222" s="125">
        <f>IFERROR(INDEX(TableTEVORP[VORP],MATCH(TableWRTEMaster[[#This Row],[RK]],TableTEVORP[RK],0)),"")</f>
        <v>-0.17462149953179129</v>
      </c>
    </row>
    <row r="223" spans="15:62" x14ac:dyDescent="0.2">
      <c r="O223">
        <v>222</v>
      </c>
      <c r="P223" s="120" t="str">
        <f>IFERROR(INDEX(TableWRCalcPts[PLAYER],MATCH(TableWRVORP[[#This Row],[RK]],TableWRCalcPts[RK],0)),"")</f>
        <v/>
      </c>
      <c r="Q223" s="120" t="str">
        <f>IFERROR(INDEX(TableWRCalcPts[TM],MATCH(TableWRVORP[[#This Row],[RK]],TableWRCalcPts[RK],0)),"")</f>
        <v/>
      </c>
      <c r="R223" s="120" t="str">
        <f>IFERROR(INDEX(TableWRCalcPts[BYE],MATCH(TableWRVORP[[#This Row],[RK]],TableWRCalcPts[RK],0)),"")</f>
        <v/>
      </c>
      <c r="S223" s="121" t="str">
        <f>IFERROR(INDEX(TableWRCalcPts[Custom],MATCH(TableWRVORP[[#This Row],[RK]],TableWRCalcPts[RK],0)),"")</f>
        <v/>
      </c>
      <c r="T223" s="122" t="str">
        <f>IFERROR((TableWRVORP[[#This Row],[FPS]]-INDEX(TableWRVORP[FPS],MATCH(WRVORPCalc,TableWRVORP[RK],0)))/INDEX(TableWRVORP[FPS],MATCH(WRVORPCalc,TableWRVORP[RK],0)),"")</f>
        <v/>
      </c>
      <c r="AF223" t="s">
        <v>257</v>
      </c>
      <c r="AG223">
        <v>82</v>
      </c>
      <c r="AH223" s="86">
        <f>RANK(TableOverallMaster[[#This Row],[VORP]],TableOverallMaster[VORP])+COUNTIF($AM$2:AM223,AM223)-1</f>
        <v>198</v>
      </c>
      <c r="AI223" s="123" t="str">
        <f>IFERROR(INDEX(TableWRVORP[WIDE RECEIVER],MATCH(TableOverallMaster[[#This Row],[RK]],TableWRVORP[RK],0)),"")</f>
        <v>Mecole Hardman</v>
      </c>
      <c r="AJ223" s="123" t="str">
        <f t="shared" si="3"/>
        <v>WR82</v>
      </c>
      <c r="AK223" s="123">
        <f>IFERROR(INDEX(TableWRVORP[BYE],MATCH(TableOverallMaster[[#This Row],[RK]],TableWRVORP[RK],0)),"")</f>
        <v>7</v>
      </c>
      <c r="AL223" s="124">
        <f>IFERROR(INDEX(TableWRVORP[FPS],MATCH(TableOverallMaster[[#This Row],[RK]],TableWRVORP[RK],0)),"")</f>
        <v>90.344374723291807</v>
      </c>
      <c r="AM223" s="125">
        <f>IFERROR(INDEX(TableWRVORP[VORP],MATCH(TableOverallMaster[[#This Row],[RK]],TableWRVORP[RK],0)),"")</f>
        <v>-0.30660123669144002</v>
      </c>
      <c r="AO223">
        <v>222</v>
      </c>
      <c r="AP223" s="126" t="str">
        <f>IFERROR(INDEX(TableOverallMaster[OVERALL PLAYER],MATCH(TableOverallRank[[#This Row],[RK]],TableOverallMaster[OVR RK],0)),"")</f>
        <v>Sean Tucker</v>
      </c>
      <c r="AQ223" s="127" t="str">
        <f>IFERROR(INDEX(TableOverallMaster[POS RK],MATCH(TableOverallRank[[#This Row],[OVERALL PLAYER]],TableOverallMaster[OVERALL PLAYER],0)),"")</f>
        <v>RB64</v>
      </c>
      <c r="AR223" s="128">
        <f>IFERROR(INDEX(TableOverallMaster[BYE],MATCH(TableOverallRank[[#This Row],[OVERALL PLAYER]],TableOverallMaster[OVERALL PLAYER],0)),"")</f>
        <v>5</v>
      </c>
      <c r="AS223" s="127">
        <f>IFERROR(INDEX(TableOverallMaster[Custom],MATCH(TableOverallRank[[#This Row],[OVERALL PLAYER]],TableOverallMaster[OVERALL PLAYER],0)),"")</f>
        <v>71.283273128167366</v>
      </c>
      <c r="AT223" s="129">
        <f>IFERROR(INDEX(TableOverallMaster[VORP],MATCH(TableOverallRank[[#This Row],[OVERALL PLAYER]],TableOverallMaster[OVERALL PLAYER],0)),"")</f>
        <v>-0.41791951615606304</v>
      </c>
      <c r="AV223">
        <v>222</v>
      </c>
      <c r="AW223" s="130" t="str">
        <f>IFERROR(INDEX(TableWRTECalcPts[PLAYER],MATCH(TableWRTERank[[#This Row],[RK]],TableWRTECalcPts[RK],0)),"")</f>
        <v>Andrei Iosivas</v>
      </c>
      <c r="AX223" s="130" t="str">
        <f>IFERROR(INDEX(TableWRTECalcPts[POS RK],MATCH(TableWRTERank[[#This Row],[WR and TE COMBINED]],TableWRTECalcPts[PLAYER],0)),"")</f>
        <v>WR150</v>
      </c>
      <c r="AY223" s="130">
        <f>IFERROR(INDEX(TableWRTECalcPts[BYE],MATCH(TableWRTERank[[#This Row],[RK]],TableWRTECalcPts[RK],0)),"")</f>
        <v>7</v>
      </c>
      <c r="AZ223" s="131">
        <f>IFERROR(INDEX(TableWRTECalcPts[Custom],MATCH(TableWRTERank[[#This Row],[RK]],TableWRTECalcPts[RK],0)),"")</f>
        <v>15.523537206239999</v>
      </c>
      <c r="BA223" s="188">
        <f>IFERROR((TableWRTERank[[#This Row],[FPS]]-INDEX(TableWRTERank[FPS],MATCH(WRTEVORPCalc,TableWRTERank[RK],0)))/INDEX(TableWRTERank[FPS],MATCH(WRTEVORPCalc,TableWRTERank[RK],0)),"")</f>
        <v>-0.88782761761781204</v>
      </c>
      <c r="BC223" t="s">
        <v>10</v>
      </c>
      <c r="BD223">
        <v>22</v>
      </c>
      <c r="BE223" s="86">
        <f>RANK(TableWRTEMaster[[#This Row],[VORP]],TableWRTEMaster[VORP])+COUNTIF($BJ$2:BJ223,BJ223)-1</f>
        <v>93</v>
      </c>
      <c r="BF223" s="123" t="str">
        <f>IFERROR(INDEX(TableTEVORP[TIGHT END],MATCH(TableWRTEMaster[[#This Row],[RK]],TableTEVORP[RK],0)),"")</f>
        <v>Irv Smith</v>
      </c>
      <c r="BG223" s="123" t="str">
        <f>_xlfn.CONCAT(TableWRTEMaster[[#This Row],[POS]],TableWRTEMaster[[#This Row],[RK]])</f>
        <v>TE22</v>
      </c>
      <c r="BH223" s="123">
        <f>IFERROR(INDEX(TableTEVORP[BYE],MATCH(TableWRTEMaster[[#This Row],[RK]],TableTEVORP[RK],0)),"")</f>
        <v>7</v>
      </c>
      <c r="BI223" s="124">
        <f>IFERROR(INDEX(TableTEVORP[FPS],MATCH(TableWRTEMaster[[#This Row],[RK]],TableTEVORP[RK],0)),"")</f>
        <v>98.061359137818485</v>
      </c>
      <c r="BJ223" s="125">
        <f>IFERROR(INDEX(TableTEVORP[VORP],MATCH(TableWRTEMaster[[#This Row],[RK]],TableTEVORP[RK],0)),"")</f>
        <v>-0.17477737360240625</v>
      </c>
    </row>
    <row r="224" spans="15:62" x14ac:dyDescent="0.2">
      <c r="O224">
        <v>223</v>
      </c>
      <c r="P224" s="120" t="str">
        <f>IFERROR(INDEX(TableWRCalcPts[PLAYER],MATCH(TableWRVORP[[#This Row],[RK]],TableWRCalcPts[RK],0)),"")</f>
        <v/>
      </c>
      <c r="Q224" s="120" t="str">
        <f>IFERROR(INDEX(TableWRCalcPts[TM],MATCH(TableWRVORP[[#This Row],[RK]],TableWRCalcPts[RK],0)),"")</f>
        <v/>
      </c>
      <c r="R224" s="120" t="str">
        <f>IFERROR(INDEX(TableWRCalcPts[BYE],MATCH(TableWRVORP[[#This Row],[RK]],TableWRCalcPts[RK],0)),"")</f>
        <v/>
      </c>
      <c r="S224" s="121" t="str">
        <f>IFERROR(INDEX(TableWRCalcPts[Custom],MATCH(TableWRVORP[[#This Row],[RK]],TableWRCalcPts[RK],0)),"")</f>
        <v/>
      </c>
      <c r="T224" s="122" t="str">
        <f>IFERROR((TableWRVORP[[#This Row],[FPS]]-INDEX(TableWRVORP[FPS],MATCH(WRVORPCalc,TableWRVORP[RK],0)))/INDEX(TableWRVORP[FPS],MATCH(WRVORPCalc,TableWRVORP[RK],0)),"")</f>
        <v/>
      </c>
      <c r="AF224" t="s">
        <v>257</v>
      </c>
      <c r="AG224">
        <v>83</v>
      </c>
      <c r="AH224" s="86">
        <f>RANK(TableOverallMaster[[#This Row],[VORP]],TableOverallMaster[VORP])+COUNTIF($AM$2:AM224,AM224)-1</f>
        <v>199</v>
      </c>
      <c r="AI224" s="123" t="str">
        <f>IFERROR(INDEX(TableWRVORP[WIDE RECEIVER],MATCH(TableOverallMaster[[#This Row],[RK]],TableWRVORP[RK],0)),"")</f>
        <v>Laviska Shenault</v>
      </c>
      <c r="AJ224" s="123" t="str">
        <f t="shared" si="3"/>
        <v>WR83</v>
      </c>
      <c r="AK224" s="123">
        <f>IFERROR(INDEX(TableWRVORP[BYE],MATCH(TableOverallMaster[[#This Row],[RK]],TableWRVORP[RK],0)),"")</f>
        <v>7</v>
      </c>
      <c r="AL224" s="124">
        <f>IFERROR(INDEX(TableWRVORP[FPS],MATCH(TableOverallMaster[[#This Row],[RK]],TableWRVORP[RK],0)),"")</f>
        <v>90.290516206634649</v>
      </c>
      <c r="AM224" s="125">
        <f>IFERROR(INDEX(TableWRVORP[VORP],MATCH(TableOverallMaster[[#This Row],[RK]],TableWRVORP[RK],0)),"")</f>
        <v>-0.30701460419725418</v>
      </c>
      <c r="AO224">
        <v>223</v>
      </c>
      <c r="AP224" s="126" t="str">
        <f>IFERROR(INDEX(TableOverallMaster[OVERALL PLAYER],MATCH(TableOverallRank[[#This Row],[RK]],TableOverallMaster[OVR RK],0)),"")</f>
        <v>Chris Evans</v>
      </c>
      <c r="AQ224" s="127" t="str">
        <f>IFERROR(INDEX(TableOverallMaster[POS RK],MATCH(TableOverallRank[[#This Row],[OVERALL PLAYER]],TableOverallMaster[OVERALL PLAYER],0)),"")</f>
        <v>RB65</v>
      </c>
      <c r="AR224" s="128">
        <f>IFERROR(INDEX(TableOverallMaster[BYE],MATCH(TableOverallRank[[#This Row],[OVERALL PLAYER]],TableOverallMaster[OVERALL PLAYER],0)),"")</f>
        <v>7</v>
      </c>
      <c r="AS224" s="127">
        <f>IFERROR(INDEX(TableOverallMaster[Custom],MATCH(TableOverallRank[[#This Row],[OVERALL PLAYER]],TableOverallMaster[OVERALL PLAYER],0)),"")</f>
        <v>71.100773257316817</v>
      </c>
      <c r="AT224" s="129">
        <f>IFERROR(INDEX(TableOverallMaster[VORP],MATCH(TableOverallRank[[#This Row],[OVERALL PLAYER]],TableOverallMaster[OVERALL PLAYER],0)),"")</f>
        <v>-0.41940976216279652</v>
      </c>
      <c r="AV224">
        <v>223</v>
      </c>
      <c r="AW224" s="130" t="str">
        <f>IFERROR(INDEX(TableWRTECalcPts[PLAYER],MATCH(TableWRTERank[[#This Row],[RK]],TableWRTECalcPts[RK],0)),"")</f>
        <v>Jack Stoll</v>
      </c>
      <c r="AX224" s="130" t="str">
        <f>IFERROR(INDEX(TableWRTECalcPts[POS RK],MATCH(TableWRTERank[[#This Row],[WR and TE COMBINED]],TableWRTECalcPts[PLAYER],0)),"")</f>
        <v>TE73</v>
      </c>
      <c r="AY224" s="130">
        <f>IFERROR(INDEX(TableWRTECalcPts[BYE],MATCH(TableWRTERank[[#This Row],[RK]],TableWRTECalcPts[RK],0)),"")</f>
        <v>10</v>
      </c>
      <c r="AZ224" s="131">
        <f>IFERROR(INDEX(TableWRTECalcPts[Custom],MATCH(TableWRTERank[[#This Row],[RK]],TableWRTECalcPts[RK],0)),"")</f>
        <v>15.309824690277596</v>
      </c>
      <c r="BA224" s="188">
        <f>IFERROR((TableWRTERank[[#This Row],[FPS]]-INDEX(TableWRTERank[FPS],MATCH(WRTEVORPCalc,TableWRTERank[RK],0)))/INDEX(TableWRTERank[FPS],MATCH(WRTEVORPCalc,TableWRTERank[RK],0)),"")</f>
        <v>-0.88937189465608635</v>
      </c>
      <c r="BC224" t="s">
        <v>10</v>
      </c>
      <c r="BD224">
        <v>23</v>
      </c>
      <c r="BE224" s="86">
        <f>RANK(TableWRTEMaster[[#This Row],[VORP]],TableWRTEMaster[VORP])+COUNTIF($BJ$2:BJ224,BJ224)-1</f>
        <v>94</v>
      </c>
      <c r="BF224" s="123" t="str">
        <f>IFERROR(INDEX(TableTEVORP[TIGHT END],MATCH(TableWRTEMaster[[#This Row],[RK]],TableTEVORP[RK],0)),"")</f>
        <v>Luke Musgrave</v>
      </c>
      <c r="BG224" s="123" t="str">
        <f>_xlfn.CONCAT(TableWRTEMaster[[#This Row],[POS]],TableWRTEMaster[[#This Row],[RK]])</f>
        <v>TE23</v>
      </c>
      <c r="BH224" s="123">
        <f>IFERROR(INDEX(TableTEVORP[BYE],MATCH(TableWRTEMaster[[#This Row],[RK]],TableTEVORP[RK],0)),"")</f>
        <v>6</v>
      </c>
      <c r="BI224" s="124">
        <f>IFERROR(INDEX(TableTEVORP[FPS],MATCH(TableWRTEMaster[[#This Row],[RK]],TableTEVORP[RK],0)),"")</f>
        <v>97.802786851182233</v>
      </c>
      <c r="BJ224" s="125">
        <f>IFERROR(INDEX(TableTEVORP[VORP],MATCH(TableWRTEMaster[[#This Row],[RK]],TableTEVORP[RK],0)),"")</f>
        <v>-0.1769533550834676</v>
      </c>
    </row>
    <row r="225" spans="15:62" x14ac:dyDescent="0.2">
      <c r="O225">
        <v>224</v>
      </c>
      <c r="P225" s="120" t="str">
        <f>IFERROR(INDEX(TableWRCalcPts[PLAYER],MATCH(TableWRVORP[[#This Row],[RK]],TableWRCalcPts[RK],0)),"")</f>
        <v/>
      </c>
      <c r="Q225" s="120" t="str">
        <f>IFERROR(INDEX(TableWRCalcPts[TM],MATCH(TableWRVORP[[#This Row],[RK]],TableWRCalcPts[RK],0)),"")</f>
        <v/>
      </c>
      <c r="R225" s="120" t="str">
        <f>IFERROR(INDEX(TableWRCalcPts[BYE],MATCH(TableWRVORP[[#This Row],[RK]],TableWRCalcPts[RK],0)),"")</f>
        <v/>
      </c>
      <c r="S225" s="121" t="str">
        <f>IFERROR(INDEX(TableWRCalcPts[Custom],MATCH(TableWRVORP[[#This Row],[RK]],TableWRCalcPts[RK],0)),"")</f>
        <v/>
      </c>
      <c r="T225" s="122" t="str">
        <f>IFERROR((TableWRVORP[[#This Row],[FPS]]-INDEX(TableWRVORP[FPS],MATCH(WRVORPCalc,TableWRVORP[RK],0)))/INDEX(TableWRVORP[FPS],MATCH(WRVORPCalc,TableWRVORP[RK],0)),"")</f>
        <v/>
      </c>
      <c r="AF225" t="s">
        <v>257</v>
      </c>
      <c r="AG225">
        <v>84</v>
      </c>
      <c r="AH225" s="86">
        <f>RANK(TableOverallMaster[[#This Row],[VORP]],TableOverallMaster[VORP])+COUNTIF($AM$2:AM225,AM225)-1</f>
        <v>202</v>
      </c>
      <c r="AI225" s="123" t="str">
        <f>IFERROR(INDEX(TableWRVORP[WIDE RECEIVER],MATCH(TableOverallMaster[[#This Row],[RK]],TableWRVORP[RK],0)),"")</f>
        <v>Isaiah Hodgins</v>
      </c>
      <c r="AJ225" s="123" t="str">
        <f t="shared" si="3"/>
        <v>WR84</v>
      </c>
      <c r="AK225" s="123">
        <f>IFERROR(INDEX(TableWRVORP[BYE],MATCH(TableOverallMaster[[#This Row],[RK]],TableWRVORP[RK],0)),"")</f>
        <v>13</v>
      </c>
      <c r="AL225" s="124">
        <f>IFERROR(INDEX(TableWRVORP[FPS],MATCH(TableOverallMaster[[#This Row],[RK]],TableWRVORP[RK],0)),"")</f>
        <v>88.794501254683098</v>
      </c>
      <c r="AM225" s="125">
        <f>IFERROR(INDEX(TableWRVORP[VORP],MATCH(TableOverallMaster[[#This Row],[RK]],TableWRVORP[RK],0)),"")</f>
        <v>-0.31849661312975813</v>
      </c>
      <c r="AO225">
        <v>224</v>
      </c>
      <c r="AP225" s="126" t="str">
        <f>IFERROR(INDEX(TableOverallMaster[OVERALL PLAYER],MATCH(TableOverallRank[[#This Row],[RK]],TableOverallMaster[OVR RK],0)),"")</f>
        <v>Deon Jackson</v>
      </c>
      <c r="AQ225" s="127" t="str">
        <f>IFERROR(INDEX(TableOverallMaster[POS RK],MATCH(TableOverallRank[[#This Row],[OVERALL PLAYER]],TableOverallMaster[OVERALL PLAYER],0)),"")</f>
        <v>RB66</v>
      </c>
      <c r="AR225" s="128">
        <f>IFERROR(INDEX(TableOverallMaster[BYE],MATCH(TableOverallRank[[#This Row],[OVERALL PLAYER]],TableOverallMaster[OVERALL PLAYER],0)),"")</f>
        <v>11</v>
      </c>
      <c r="AS225" s="127">
        <f>IFERROR(INDEX(TableOverallMaster[Custom],MATCH(TableOverallRank[[#This Row],[OVERALL PLAYER]],TableOverallMaster[OVERALL PLAYER],0)),"")</f>
        <v>71.005509132096009</v>
      </c>
      <c r="AT225" s="129">
        <f>IFERROR(INDEX(TableOverallMaster[VORP],MATCH(TableOverallRank[[#This Row],[OVERALL PLAYER]],TableOverallMaster[OVERALL PLAYER],0)),"")</f>
        <v>-0.42018766398559576</v>
      </c>
      <c r="AV225">
        <v>224</v>
      </c>
      <c r="AW225" s="130" t="str">
        <f>IFERROR(INDEX(TableWRTECalcPts[PLAYER],MATCH(TableWRTERank[[#This Row],[RK]],TableWRTECalcPts[RK],0)),"")</f>
        <v>Devin Duvernay</v>
      </c>
      <c r="AX225" s="130" t="str">
        <f>IFERROR(INDEX(TableWRTECalcPts[POS RK],MATCH(TableWRTERank[[#This Row],[WR and TE COMBINED]],TableWRTECalcPts[PLAYER],0)),"")</f>
        <v>WR151</v>
      </c>
      <c r="AY225" s="130">
        <f>IFERROR(INDEX(TableWRTECalcPts[BYE],MATCH(TableWRTERank[[#This Row],[RK]],TableWRTECalcPts[RK],0)),"")</f>
        <v>13</v>
      </c>
      <c r="AZ225" s="131">
        <f>IFERROR(INDEX(TableWRTECalcPts[Custom],MATCH(TableWRTERank[[#This Row],[RK]],TableWRTECalcPts[RK],0)),"")</f>
        <v>14.822361132585366</v>
      </c>
      <c r="BA225" s="188">
        <f>IFERROR((TableWRTERank[[#This Row],[FPS]]-INDEX(TableWRTERank[FPS],MATCH(WRTEVORPCalc,TableWRTERank[RK],0)))/INDEX(TableWRTERank[FPS],MATCH(WRTEVORPCalc,TableWRTERank[RK],0)),"")</f>
        <v>-0.89289428442230889</v>
      </c>
      <c r="BC225" t="s">
        <v>10</v>
      </c>
      <c r="BD225">
        <v>24</v>
      </c>
      <c r="BE225" s="86">
        <f>RANK(TableWRTEMaster[[#This Row],[VORP]],TableWRTEMaster[VORP])+COUNTIF($BJ$2:BJ225,BJ225)-1</f>
        <v>95</v>
      </c>
      <c r="BF225" s="123" t="str">
        <f>IFERROR(INDEX(TableTEVORP[TIGHT END],MATCH(TableWRTEMaster[[#This Row],[RK]],TableTEVORP[RK],0)),"")</f>
        <v>Noah Fant</v>
      </c>
      <c r="BG225" s="123" t="str">
        <f>_xlfn.CONCAT(TableWRTEMaster[[#This Row],[POS]],TableWRTEMaster[[#This Row],[RK]])</f>
        <v>TE24</v>
      </c>
      <c r="BH225" s="123">
        <f>IFERROR(INDEX(TableTEVORP[BYE],MATCH(TableWRTEMaster[[#This Row],[RK]],TableTEVORP[RK],0)),"")</f>
        <v>5</v>
      </c>
      <c r="BI225" s="124">
        <f>IFERROR(INDEX(TableTEVORP[FPS],MATCH(TableWRTEMaster[[#This Row],[RK]],TableTEVORP[RK],0)),"")</f>
        <v>96.734479211257991</v>
      </c>
      <c r="BJ225" s="125">
        <f>IFERROR(INDEX(TableTEVORP[VORP],MATCH(TableWRTEMaster[[#This Row],[RK]],TableTEVORP[RK],0)),"")</f>
        <v>-0.18594355921861408</v>
      </c>
    </row>
    <row r="226" spans="15:62" x14ac:dyDescent="0.2">
      <c r="O226">
        <v>225</v>
      </c>
      <c r="P226" s="120" t="str">
        <f>IFERROR(INDEX(TableWRCalcPts[PLAYER],MATCH(TableWRVORP[[#This Row],[RK]],TableWRCalcPts[RK],0)),"")</f>
        <v/>
      </c>
      <c r="Q226" s="120" t="str">
        <f>IFERROR(INDEX(TableWRCalcPts[TM],MATCH(TableWRVORP[[#This Row],[RK]],TableWRCalcPts[RK],0)),"")</f>
        <v/>
      </c>
      <c r="R226" s="120" t="str">
        <f>IFERROR(INDEX(TableWRCalcPts[BYE],MATCH(TableWRVORP[[#This Row],[RK]],TableWRCalcPts[RK],0)),"")</f>
        <v/>
      </c>
      <c r="S226" s="121" t="str">
        <f>IFERROR(INDEX(TableWRCalcPts[Custom],MATCH(TableWRVORP[[#This Row],[RK]],TableWRCalcPts[RK],0)),"")</f>
        <v/>
      </c>
      <c r="T226" s="122" t="str">
        <f>IFERROR((TableWRVORP[[#This Row],[FPS]]-INDEX(TableWRVORP[FPS],MATCH(WRVORPCalc,TableWRVORP[RK],0)))/INDEX(TableWRVORP[FPS],MATCH(WRVORPCalc,TableWRVORP[RK],0)),"")</f>
        <v/>
      </c>
      <c r="AF226" t="s">
        <v>257</v>
      </c>
      <c r="AG226">
        <v>85</v>
      </c>
      <c r="AH226" s="86">
        <f>RANK(TableOverallMaster[[#This Row],[VORP]],TableOverallMaster[VORP])+COUNTIF($AM$2:AM226,AM226)-1</f>
        <v>205</v>
      </c>
      <c r="AI226" s="123" t="str">
        <f>IFERROR(INDEX(TableWRVORP[WIDE RECEIVER],MATCH(TableOverallMaster[[#This Row],[RK]],TableWRVORP[RK],0)),"")</f>
        <v>Parris Campbell</v>
      </c>
      <c r="AJ226" s="123" t="str">
        <f t="shared" si="3"/>
        <v>WR85</v>
      </c>
      <c r="AK226" s="123">
        <f>IFERROR(INDEX(TableWRVORP[BYE],MATCH(TableOverallMaster[[#This Row],[RK]],TableWRVORP[RK],0)),"")</f>
        <v>13</v>
      </c>
      <c r="AL226" s="124">
        <f>IFERROR(INDEX(TableWRVORP[FPS],MATCH(TableOverallMaster[[#This Row],[RK]],TableWRVORP[RK],0)),"")</f>
        <v>87.537493843607933</v>
      </c>
      <c r="AM226" s="125">
        <f>IFERROR(INDEX(TableWRVORP[VORP],MATCH(TableOverallMaster[[#This Row],[RK]],TableWRVORP[RK],0)),"")</f>
        <v>-0.32814422414017008</v>
      </c>
      <c r="AO226">
        <v>225</v>
      </c>
      <c r="AP226" s="126" t="str">
        <f>IFERROR(INDEX(TableOverallMaster[OVERALL PLAYER],MATCH(TableOverallRank[[#This Row],[RK]],TableOverallMaster[OVR RK],0)),"")</f>
        <v>Logan Thomas</v>
      </c>
      <c r="AQ226" s="127" t="str">
        <f>IFERROR(INDEX(TableOverallMaster[POS RK],MATCH(TableOverallRank[[#This Row],[OVERALL PLAYER]],TableOverallMaster[OVERALL PLAYER],0)),"")</f>
        <v>TE35</v>
      </c>
      <c r="AR226" s="128">
        <f>IFERROR(INDEX(TableOverallMaster[BYE],MATCH(TableOverallRank[[#This Row],[OVERALL PLAYER]],TableOverallMaster[OVERALL PLAYER],0)),"")</f>
        <v>14</v>
      </c>
      <c r="AS226" s="127">
        <f>IFERROR(INDEX(TableOverallMaster[Custom],MATCH(TableOverallRank[[#This Row],[OVERALL PLAYER]],TableOverallMaster[OVERALL PLAYER],0)),"")</f>
        <v>66.78321520699437</v>
      </c>
      <c r="AT226" s="129">
        <f>IFERROR(INDEX(TableOverallMaster[VORP],MATCH(TableOverallRank[[#This Row],[OVERALL PLAYER]],TableOverallMaster[OVERALL PLAYER],0)),"")</f>
        <v>-0.43799452978275699</v>
      </c>
      <c r="AV226">
        <v>225</v>
      </c>
      <c r="AW226" s="130" t="str">
        <f>IFERROR(INDEX(TableWRTECalcPts[PLAYER],MATCH(TableWRTERank[[#This Row],[RK]],TableWRTECalcPts[RK],0)),"")</f>
        <v>Darnell Washington</v>
      </c>
      <c r="AX226" s="130" t="str">
        <f>IFERROR(INDEX(TableWRTECalcPts[POS RK],MATCH(TableWRTERank[[#This Row],[WR and TE COMBINED]],TableWRTECalcPts[PLAYER],0)),"")</f>
        <v>TE74</v>
      </c>
      <c r="AY226" s="130">
        <f>IFERROR(INDEX(TableWRTECalcPts[BYE],MATCH(TableWRTERank[[#This Row],[RK]],TableWRTECalcPts[RK],0)),"")</f>
        <v>6</v>
      </c>
      <c r="AZ226" s="131">
        <f>IFERROR(INDEX(TableWRTECalcPts[Custom],MATCH(TableWRTERank[[#This Row],[RK]],TableWRTECalcPts[RK],0)),"")</f>
        <v>14.404509715954163</v>
      </c>
      <c r="BA226" s="188">
        <f>IFERROR((TableWRTERank[[#This Row],[FPS]]-INDEX(TableWRTERank[FPS],MATCH(WRTEVORPCalc,TableWRTERank[RK],0)))/INDEX(TableWRTERank[FPS],MATCH(WRTEVORPCalc,TableWRTERank[RK],0)),"")</f>
        <v>-0.89591365998488715</v>
      </c>
      <c r="BC226" t="s">
        <v>10</v>
      </c>
      <c r="BD226">
        <v>25</v>
      </c>
      <c r="BE226" s="86">
        <f>RANK(TableWRTEMaster[[#This Row],[VORP]],TableWRTEMaster[VORP])+COUNTIF($BJ$2:BJ226,BJ226)-1</f>
        <v>96</v>
      </c>
      <c r="BF226" s="123" t="str">
        <f>IFERROR(INDEX(TableTEVORP[TIGHT END],MATCH(TableWRTEMaster[[#This Row],[RK]],TableTEVORP[RK],0)),"")</f>
        <v>Trey McBride</v>
      </c>
      <c r="BG226" s="123" t="str">
        <f>_xlfn.CONCAT(TableWRTEMaster[[#This Row],[POS]],TableWRTEMaster[[#This Row],[RK]])</f>
        <v>TE25</v>
      </c>
      <c r="BH226" s="123">
        <f>IFERROR(INDEX(TableTEVORP[BYE],MATCH(TableWRTEMaster[[#This Row],[RK]],TableTEVORP[RK],0)),"")</f>
        <v>14</v>
      </c>
      <c r="BI226" s="124">
        <f>IFERROR(INDEX(TableTEVORP[FPS],MATCH(TableWRTEMaster[[#This Row],[RK]],TableTEVORP[RK],0)),"")</f>
        <v>93.404355072000016</v>
      </c>
      <c r="BJ226" s="125">
        <f>IFERROR(INDEX(TableTEVORP[VORP],MATCH(TableWRTEMaster[[#This Row],[RK]],TableTEVORP[RK],0)),"")</f>
        <v>-0.2139677862188358</v>
      </c>
    </row>
    <row r="227" spans="15:62" x14ac:dyDescent="0.2">
      <c r="AF227" t="s">
        <v>257</v>
      </c>
      <c r="AG227">
        <v>86</v>
      </c>
      <c r="AH227" s="86">
        <f>RANK(TableOverallMaster[[#This Row],[VORP]],TableOverallMaster[VORP])+COUNTIF($AM$2:AM227,AM227)-1</f>
        <v>206</v>
      </c>
      <c r="AI227" s="123" t="str">
        <f>IFERROR(INDEX(TableWRVORP[WIDE RECEIVER],MATCH(TableOverallMaster[[#This Row],[RK]],TableWRVORP[RK],0)),"")</f>
        <v>Kendrick Bourne</v>
      </c>
      <c r="AJ227" s="123" t="str">
        <f t="shared" si="3"/>
        <v>WR86</v>
      </c>
      <c r="AK227" s="123">
        <f>IFERROR(INDEX(TableWRVORP[BYE],MATCH(TableOverallMaster[[#This Row],[RK]],TableWRVORP[RK],0)),"")</f>
        <v>11</v>
      </c>
      <c r="AL227" s="124">
        <f>IFERROR(INDEX(TableWRVORP[FPS],MATCH(TableOverallMaster[[#This Row],[RK]],TableWRVORP[RK],0)),"")</f>
        <v>87.486076024099162</v>
      </c>
      <c r="AM227" s="125">
        <f>IFERROR(INDEX(TableWRVORP[VORP],MATCH(TableOverallMaster[[#This Row],[RK]],TableWRVORP[RK],0)),"")</f>
        <v>-0.32853885914172504</v>
      </c>
      <c r="AO227">
        <v>226</v>
      </c>
      <c r="AP227" s="126" t="str">
        <f>IFERROR(INDEX(TableOverallMaster[OVERALL PLAYER],MATCH(TableOverallRank[[#This Row],[RK]],TableOverallMaster[OVR RK],0)),"")</f>
        <v>John Metchie</v>
      </c>
      <c r="AQ227" s="127" t="str">
        <f>IFERROR(INDEX(TableOverallMaster[POS RK],MATCH(TableOverallRank[[#This Row],[OVERALL PLAYER]],TableOverallMaster[OVERALL PLAYER],0)),"")</f>
        <v>WR94</v>
      </c>
      <c r="AR227" s="128">
        <f>IFERROR(INDEX(TableOverallMaster[BYE],MATCH(TableOverallRank[[#This Row],[OVERALL PLAYER]],TableOverallMaster[OVERALL PLAYER],0)),"")</f>
        <v>7</v>
      </c>
      <c r="AS227" s="127">
        <f>IFERROR(INDEX(TableOverallMaster[Custom],MATCH(TableOverallRank[[#This Row],[OVERALL PLAYER]],TableOverallMaster[OVERALL PLAYER],0)),"")</f>
        <v>73.182013035648367</v>
      </c>
      <c r="AT227" s="129">
        <f>IFERROR(INDEX(TableOverallMaster[VORP],MATCH(TableOverallRank[[#This Row],[OVERALL PLAYER]],TableOverallMaster[OVERALL PLAYER],0)),"")</f>
        <v>-0.43832344303925952</v>
      </c>
      <c r="AV227">
        <v>226</v>
      </c>
      <c r="AW227" s="130" t="str">
        <f>IFERROR(INDEX(TableWRTECalcPts[PLAYER],MATCH(TableWRTERank[[#This Row],[RK]],TableWRTECalcPts[RK],0)),"")</f>
        <v>Mitchell Wilcox</v>
      </c>
      <c r="AX227" s="130" t="str">
        <f>IFERROR(INDEX(TableWRTECalcPts[POS RK],MATCH(TableWRTERank[[#This Row],[WR and TE COMBINED]],TableWRTECalcPts[PLAYER],0)),"")</f>
        <v>TE75</v>
      </c>
      <c r="AY227" s="130">
        <f>IFERROR(INDEX(TableWRTECalcPts[BYE],MATCH(TableWRTERank[[#This Row],[RK]],TableWRTECalcPts[RK],0)),"")</f>
        <v>7</v>
      </c>
      <c r="AZ227" s="131">
        <f>IFERROR(INDEX(TableWRTECalcPts[Custom],MATCH(TableWRTERank[[#This Row],[RK]],TableWRTECalcPts[RK],0)),"")</f>
        <v>14.109268348510804</v>
      </c>
      <c r="BA227" s="188">
        <f>IFERROR((TableWRTERank[[#This Row],[FPS]]-INDEX(TableWRTERank[FPS],MATCH(WRTEVORPCalc,TableWRTERank[RK],0)))/INDEX(TableWRTERank[FPS],MATCH(WRTEVORPCalc,TableWRTERank[RK],0)),"")</f>
        <v>-0.89804706084088426</v>
      </c>
      <c r="BC227" t="s">
        <v>10</v>
      </c>
      <c r="BD227">
        <v>26</v>
      </c>
      <c r="BE227" s="86">
        <f>RANK(TableWRTEMaster[[#This Row],[VORP]],TableWRTEMaster[VORP])+COUNTIF($BJ$2:BJ227,BJ227)-1</f>
        <v>97</v>
      </c>
      <c r="BF227" s="123" t="str">
        <f>IFERROR(INDEX(TableTEVORP[TIGHT END],MATCH(TableWRTEMaster[[#This Row],[RK]],TableTEVORP[RK],0)),"")</f>
        <v>Michael Mayer</v>
      </c>
      <c r="BG227" s="123" t="str">
        <f>_xlfn.CONCAT(TableWRTEMaster[[#This Row],[POS]],TableWRTEMaster[[#This Row],[RK]])</f>
        <v>TE26</v>
      </c>
      <c r="BH227" s="123">
        <f>IFERROR(INDEX(TableTEVORP[BYE],MATCH(TableWRTEMaster[[#This Row],[RK]],TableTEVORP[RK],0)),"")</f>
        <v>13</v>
      </c>
      <c r="BI227" s="124">
        <f>IFERROR(INDEX(TableTEVORP[FPS],MATCH(TableWRTEMaster[[#This Row],[RK]],TableTEVORP[RK],0)),"")</f>
        <v>92.765919307287874</v>
      </c>
      <c r="BJ227" s="125">
        <f>IFERROR(INDEX(TableTEVORP[VORP],MATCH(TableWRTEMaster[[#This Row],[RK]],TableTEVORP[RK],0)),"")</f>
        <v>-0.21934045944276548</v>
      </c>
    </row>
    <row r="228" spans="15:62" x14ac:dyDescent="0.2">
      <c r="AF228" t="s">
        <v>257</v>
      </c>
      <c r="AG228">
        <v>87</v>
      </c>
      <c r="AH228" s="86">
        <f>RANK(TableOverallMaster[[#This Row],[VORP]],TableOverallMaster[VORP])+COUNTIF($AM$2:AM228,AM228)-1</f>
        <v>207</v>
      </c>
      <c r="AI228" s="123" t="str">
        <f>IFERROR(INDEX(TableWRVORP[WIDE RECEIVER],MATCH(TableOverallMaster[[#This Row],[RK]],TableWRVORP[RK],0)),"")</f>
        <v>Trey Palmer</v>
      </c>
      <c r="AJ228" s="123" t="str">
        <f t="shared" si="3"/>
        <v>WR87</v>
      </c>
      <c r="AK228" s="123">
        <f>IFERROR(INDEX(TableWRVORP[BYE],MATCH(TableOverallMaster[[#This Row],[RK]],TableWRVORP[RK],0)),"")</f>
        <v>5</v>
      </c>
      <c r="AL228" s="124">
        <f>IFERROR(INDEX(TableWRVORP[FPS],MATCH(TableOverallMaster[[#This Row],[RK]],TableWRVORP[RK],0)),"")</f>
        <v>87.342060412734071</v>
      </c>
      <c r="AM228" s="125">
        <f>IFERROR(INDEX(TableWRVORP[VORP],MATCH(TableOverallMaster[[#This Row],[RK]],TableWRVORP[RK],0)),"")</f>
        <v>-0.32964418802494033</v>
      </c>
      <c r="AO228">
        <v>227</v>
      </c>
      <c r="AP228" s="126" t="str">
        <f>IFERROR(INDEX(TableOverallMaster[OVERALL PLAYER],MATCH(TableOverallRank[[#This Row],[RK]],TableOverallMaster[OVR RK],0)),"")</f>
        <v>Adam Trautman</v>
      </c>
      <c r="AQ228" s="127" t="str">
        <f>IFERROR(INDEX(TableOverallMaster[POS RK],MATCH(TableOverallRank[[#This Row],[OVERALL PLAYER]],TableOverallMaster[OVERALL PLAYER],0)),"")</f>
        <v>TE36</v>
      </c>
      <c r="AR228" s="128">
        <f>IFERROR(INDEX(TableOverallMaster[BYE],MATCH(TableOverallRank[[#This Row],[OVERALL PLAYER]],TableOverallMaster[OVERALL PLAYER],0)),"")</f>
        <v>9</v>
      </c>
      <c r="AS228" s="127">
        <f>IFERROR(INDEX(TableOverallMaster[Custom],MATCH(TableOverallRank[[#This Row],[OVERALL PLAYER]],TableOverallMaster[OVERALL PLAYER],0)),"")</f>
        <v>66.361537245636754</v>
      </c>
      <c r="AT228" s="129">
        <f>IFERROR(INDEX(TableOverallMaster[VORP],MATCH(TableOverallRank[[#This Row],[OVERALL PLAYER]],TableOverallMaster[OVERALL PLAYER],0)),"")</f>
        <v>-0.44154310587659285</v>
      </c>
      <c r="AV228">
        <v>227</v>
      </c>
      <c r="AW228" s="130" t="str">
        <f>IFERROR(INDEX(TableWRTECalcPts[PLAYER],MATCH(TableWRTERank[[#This Row],[RK]],TableWRTECalcPts[RK],0)),"")</f>
        <v>Dax Milne</v>
      </c>
      <c r="AX228" s="130" t="str">
        <f>IFERROR(INDEX(TableWRTECalcPts[POS RK],MATCH(TableWRTERank[[#This Row],[WR and TE COMBINED]],TableWRTECalcPts[PLAYER],0)),"")</f>
        <v>WR152</v>
      </c>
      <c r="AY228" s="130">
        <f>IFERROR(INDEX(TableWRTECalcPts[BYE],MATCH(TableWRTERank[[#This Row],[RK]],TableWRTECalcPts[RK],0)),"")</f>
        <v>14</v>
      </c>
      <c r="AZ228" s="131">
        <f>IFERROR(INDEX(TableWRTECalcPts[Custom],MATCH(TableWRTERank[[#This Row],[RK]],TableWRTECalcPts[RK],0)),"")</f>
        <v>13.829966895396961</v>
      </c>
      <c r="BA228" s="188">
        <f>IFERROR((TableWRTERank[[#This Row],[FPS]]-INDEX(TableWRTERank[FPS],MATCH(WRTEVORPCalc,TableWRTERank[RK],0)))/INDEX(TableWRTERank[FPS],MATCH(WRTEVORPCalc,TableWRTERank[RK],0)),"")</f>
        <v>-0.90006528059211421</v>
      </c>
      <c r="BC228" t="s">
        <v>10</v>
      </c>
      <c r="BD228">
        <v>27</v>
      </c>
      <c r="BE228" s="86">
        <f>RANK(TableWRTEMaster[[#This Row],[VORP]],TableWRTEMaster[VORP])+COUNTIF($BJ$2:BJ228,BJ228)-1</f>
        <v>99</v>
      </c>
      <c r="BF228" s="123" t="str">
        <f>IFERROR(INDEX(TableTEVORP[TIGHT END],MATCH(TableWRTEMaster[[#This Row],[RK]],TableTEVORP[RK],0)),"")</f>
        <v>Gerald Everett</v>
      </c>
      <c r="BG228" s="123" t="str">
        <f>_xlfn.CONCAT(TableWRTEMaster[[#This Row],[POS]],TableWRTEMaster[[#This Row],[RK]])</f>
        <v>TE27</v>
      </c>
      <c r="BH228" s="123">
        <f>IFERROR(INDEX(TableTEVORP[BYE],MATCH(TableWRTEMaster[[#This Row],[RK]],TableTEVORP[RK],0)),"")</f>
        <v>5</v>
      </c>
      <c r="BI228" s="124">
        <f>IFERROR(INDEX(TableTEVORP[FPS],MATCH(TableWRTEMaster[[#This Row],[RK]],TableTEVORP[RK],0)),"")</f>
        <v>88.829688450900846</v>
      </c>
      <c r="BJ228" s="125">
        <f>IFERROR(INDEX(TableTEVORP[VORP],MATCH(TableWRTEMaster[[#This Row],[RK]],TableTEVORP[RK],0)),"")</f>
        <v>-0.25246529876759821</v>
      </c>
    </row>
    <row r="229" spans="15:62" x14ac:dyDescent="0.2">
      <c r="AF229" t="s">
        <v>257</v>
      </c>
      <c r="AG229">
        <v>88</v>
      </c>
      <c r="AH229" s="86">
        <f>RANK(TableOverallMaster[[#This Row],[VORP]],TableOverallMaster[VORP])+COUNTIF($AM$2:AM229,AM229)-1</f>
        <v>209</v>
      </c>
      <c r="AI229" s="123" t="str">
        <f>IFERROR(INDEX(TableWRVORP[WIDE RECEIVER],MATCH(TableOverallMaster[[#This Row],[RK]],TableWRVORP[RK],0)),"")</f>
        <v>Puka Nacua</v>
      </c>
      <c r="AJ229" s="123" t="str">
        <f t="shared" si="3"/>
        <v>WR88</v>
      </c>
      <c r="AK229" s="123">
        <f>IFERROR(INDEX(TableWRVORP[BYE],MATCH(TableOverallMaster[[#This Row],[RK]],TableWRVORP[RK],0)),"")</f>
        <v>10</v>
      </c>
      <c r="AL229" s="124">
        <f>IFERROR(INDEX(TableWRVORP[FPS],MATCH(TableOverallMaster[[#This Row],[RK]],TableWRVORP[RK],0)),"")</f>
        <v>85.054259195136012</v>
      </c>
      <c r="AM229" s="125">
        <f>IFERROR(INDEX(TableWRVORP[VORP],MATCH(TableOverallMaster[[#This Row],[RK]],TableWRVORP[RK],0)),"")</f>
        <v>-0.3472032063903564</v>
      </c>
      <c r="AO229">
        <v>228</v>
      </c>
      <c r="AP229" s="126" t="str">
        <f>IFERROR(INDEX(TableOverallMaster[OVERALL PLAYER],MATCH(TableOverallRank[[#This Row],[RK]],TableOverallMaster[OVR RK],0)),"")</f>
        <v>Randall Cobb</v>
      </c>
      <c r="AQ229" s="127" t="str">
        <f>IFERROR(INDEX(TableOverallMaster[POS RK],MATCH(TableOverallRank[[#This Row],[OVERALL PLAYER]],TableOverallMaster[OVERALL PLAYER],0)),"")</f>
        <v>WR95</v>
      </c>
      <c r="AR229" s="128">
        <f>IFERROR(INDEX(TableOverallMaster[BYE],MATCH(TableOverallRank[[#This Row],[OVERALL PLAYER]],TableOverallMaster[OVERALL PLAYER],0)),"")</f>
        <v>7</v>
      </c>
      <c r="AS229" s="127">
        <f>IFERROR(INDEX(TableOverallMaster[Custom],MATCH(TableOverallRank[[#This Row],[OVERALL PLAYER]],TableOverallMaster[OVERALL PLAYER],0)),"")</f>
        <v>71.627058184838234</v>
      </c>
      <c r="AT229" s="129">
        <f>IFERROR(INDEX(TableOverallMaster[VORP],MATCH(TableOverallRank[[#This Row],[OVERALL PLAYER]],TableOverallMaster[OVERALL PLAYER],0)),"")</f>
        <v>-0.4502578194058538</v>
      </c>
      <c r="AV229">
        <v>228</v>
      </c>
      <c r="AW229" s="130" t="str">
        <f>IFERROR(INDEX(TableWRTECalcPts[PLAYER],MATCH(TableWRTERank[[#This Row],[RK]],TableWRTECalcPts[RK],0)),"")</f>
        <v>Foster Moreau</v>
      </c>
      <c r="AX229" s="130" t="str">
        <f>IFERROR(INDEX(TableWRTECalcPts[POS RK],MATCH(TableWRTERank[[#This Row],[WR and TE COMBINED]],TableWRTECalcPts[PLAYER],0)),"")</f>
        <v>TE76</v>
      </c>
      <c r="AY229" s="130">
        <f>IFERROR(INDEX(TableWRTECalcPts[BYE],MATCH(TableWRTERank[[#This Row],[RK]],TableWRTECalcPts[RK],0)),"")</f>
        <v>11</v>
      </c>
      <c r="AZ229" s="131">
        <f>IFERROR(INDEX(TableWRTECalcPts[Custom],MATCH(TableWRTERank[[#This Row],[RK]],TableWRTECalcPts[RK],0)),"")</f>
        <v>13.781646022609921</v>
      </c>
      <c r="BA229" s="188">
        <f>IFERROR((TableWRTERank[[#This Row],[FPS]]-INDEX(TableWRTERank[FPS],MATCH(WRTEVORPCalc,TableWRTERank[RK],0)))/INDEX(TableWRTERank[FPS],MATCH(WRTEVORPCalc,TableWRTERank[RK],0)),"")</f>
        <v>-0.90041444504782409</v>
      </c>
      <c r="BC229" t="s">
        <v>10</v>
      </c>
      <c r="BD229">
        <v>28</v>
      </c>
      <c r="BE229" s="86">
        <f>RANK(TableWRTEMaster[[#This Row],[VORP]],TableWRTEMaster[VORP])+COUNTIF($BJ$2:BJ229,BJ229)-1</f>
        <v>103</v>
      </c>
      <c r="BF229" s="123" t="str">
        <f>IFERROR(INDEX(TableTEVORP[TIGHT END],MATCH(TableWRTEMaster[[#This Row],[RK]],TableTEVORP[RK],0)),"")</f>
        <v>Greg Dulcich</v>
      </c>
      <c r="BG229" s="123" t="str">
        <f>_xlfn.CONCAT(TableWRTEMaster[[#This Row],[POS]],TableWRTEMaster[[#This Row],[RK]])</f>
        <v>TE28</v>
      </c>
      <c r="BH229" s="123">
        <f>IFERROR(INDEX(TableTEVORP[BYE],MATCH(TableWRTEMaster[[#This Row],[RK]],TableTEVORP[RK],0)),"")</f>
        <v>9</v>
      </c>
      <c r="BI229" s="124">
        <f>IFERROR(INDEX(TableTEVORP[FPS],MATCH(TableWRTEMaster[[#This Row],[RK]],TableTEVORP[RK],0)),"")</f>
        <v>86.581473187303459</v>
      </c>
      <c r="BJ229" s="125">
        <f>IFERROR(INDEX(TableTEVORP[VORP],MATCH(TableWRTEMaster[[#This Row],[RK]],TableTEVORP[RK],0)),"")</f>
        <v>-0.27138486220058639</v>
      </c>
    </row>
    <row r="230" spans="15:62" x14ac:dyDescent="0.2">
      <c r="AF230" t="s">
        <v>257</v>
      </c>
      <c r="AG230">
        <v>89</v>
      </c>
      <c r="AH230" s="86">
        <f>RANK(TableOverallMaster[[#This Row],[VORP]],TableOverallMaster[VORP])+COUNTIF($AM$2:AM230,AM230)-1</f>
        <v>211</v>
      </c>
      <c r="AI230" s="123" t="str">
        <f>IFERROR(INDEX(TableWRVORP[WIDE RECEIVER],MATCH(TableOverallMaster[[#This Row],[RK]],TableWRVORP[RK],0)),"")</f>
        <v>Hunter Renfrow</v>
      </c>
      <c r="AJ230" s="123" t="str">
        <f t="shared" si="3"/>
        <v>WR89</v>
      </c>
      <c r="AK230" s="123">
        <f>IFERROR(INDEX(TableWRVORP[BYE],MATCH(TableOverallMaster[[#This Row],[RK]],TableWRVORP[RK],0)),"")</f>
        <v>13</v>
      </c>
      <c r="AL230" s="124">
        <f>IFERROR(INDEX(TableWRVORP[FPS],MATCH(TableOverallMaster[[#This Row],[RK]],TableWRVORP[RK],0)),"")</f>
        <v>84.554260335667863</v>
      </c>
      <c r="AM230" s="125">
        <f>IFERROR(INDEX(TableWRVORP[VORP],MATCH(TableOverallMaster[[#This Row],[RK]],TableWRVORP[RK],0)),"")</f>
        <v>-0.35104072911241602</v>
      </c>
      <c r="AO230">
        <v>229</v>
      </c>
      <c r="AP230" s="126" t="str">
        <f>IFERROR(INDEX(TableOverallMaster[OVERALL PLAYER],MATCH(TableOverallRank[[#This Row],[RK]],TableOverallMaster[OVR RK],0)),"")</f>
        <v>Jelani Woods</v>
      </c>
      <c r="AQ230" s="127" t="str">
        <f>IFERROR(INDEX(TableOverallMaster[POS RK],MATCH(TableOverallRank[[#This Row],[OVERALL PLAYER]],TableOverallMaster[OVERALL PLAYER],0)),"")</f>
        <v>TE37</v>
      </c>
      <c r="AR230" s="128">
        <f>IFERROR(INDEX(TableOverallMaster[BYE],MATCH(TableOverallRank[[#This Row],[OVERALL PLAYER]],TableOverallMaster[OVERALL PLAYER],0)),"")</f>
        <v>11</v>
      </c>
      <c r="AS230" s="127">
        <f>IFERROR(INDEX(TableOverallMaster[Custom],MATCH(TableOverallRank[[#This Row],[OVERALL PLAYER]],TableOverallMaster[OVERALL PLAYER],0)),"")</f>
        <v>64.887841835586016</v>
      </c>
      <c r="AT230" s="129">
        <f>IFERROR(INDEX(TableOverallMaster[VORP],MATCH(TableOverallRank[[#This Row],[OVERALL PLAYER]],TableOverallMaster[OVERALL PLAYER],0)),"")</f>
        <v>-0.45394479811790645</v>
      </c>
      <c r="AV230">
        <v>229</v>
      </c>
      <c r="AW230" s="130" t="str">
        <f>IFERROR(INDEX(TableWRTECalcPts[PLAYER],MATCH(TableWRTERank[[#This Row],[RK]],TableWRTECalcPts[RK],0)),"")</f>
        <v>Derius Davis</v>
      </c>
      <c r="AX230" s="130" t="str">
        <f>IFERROR(INDEX(TableWRTECalcPts[POS RK],MATCH(TableWRTERank[[#This Row],[WR and TE COMBINED]],TableWRTECalcPts[PLAYER],0)),"")</f>
        <v>WR153</v>
      </c>
      <c r="AY230" s="130">
        <f>IFERROR(INDEX(TableWRTECalcPts[BYE],MATCH(TableWRTERank[[#This Row],[RK]],TableWRTECalcPts[RK],0)),"")</f>
        <v>5</v>
      </c>
      <c r="AZ230" s="131">
        <f>IFERROR(INDEX(TableWRTECalcPts[Custom],MATCH(TableWRTERank[[#This Row],[RK]],TableWRTECalcPts[RK],0)),"")</f>
        <v>13.746683842113603</v>
      </c>
      <c r="BA230" s="188">
        <f>IFERROR((TableWRTERank[[#This Row],[FPS]]-INDEX(TableWRTERank[FPS],MATCH(WRTEVORPCalc,TableWRTERank[RK],0)))/INDEX(TableWRTERank[FPS],MATCH(WRTEVORPCalc,TableWRTERank[RK],0)),"")</f>
        <v>-0.90066708019324526</v>
      </c>
      <c r="BC230" t="s">
        <v>10</v>
      </c>
      <c r="BD230">
        <v>29</v>
      </c>
      <c r="BE230" s="86">
        <f>RANK(TableWRTEMaster[[#This Row],[VORP]],TableWRTEMaster[VORP])+COUNTIF($BJ$2:BJ230,BJ230)-1</f>
        <v>106</v>
      </c>
      <c r="BF230" s="123" t="str">
        <f>IFERROR(INDEX(TableTEVORP[TIGHT END],MATCH(TableWRTEMaster[[#This Row],[RK]],TableTEVORP[RK],0)),"")</f>
        <v>Mike Gesicki</v>
      </c>
      <c r="BG230" s="123" t="str">
        <f>_xlfn.CONCAT(TableWRTEMaster[[#This Row],[POS]],TableWRTEMaster[[#This Row],[RK]])</f>
        <v>TE29</v>
      </c>
      <c r="BH230" s="123">
        <f>IFERROR(INDEX(TableTEVORP[BYE],MATCH(TableWRTEMaster[[#This Row],[RK]],TableTEVORP[RK],0)),"")</f>
        <v>11</v>
      </c>
      <c r="BI230" s="124">
        <f>IFERROR(INDEX(TableTEVORP[FPS],MATCH(TableWRTEMaster[[#This Row],[RK]],TableTEVORP[RK],0)),"")</f>
        <v>84.395870962075392</v>
      </c>
      <c r="BJ230" s="125">
        <f>IFERROR(INDEX(TableTEVORP[VORP],MATCH(TableWRTEMaster[[#This Row],[RK]],TableTEVORP[RK],0)),"")</f>
        <v>-0.28977751374469035</v>
      </c>
    </row>
    <row r="231" spans="15:62" x14ac:dyDescent="0.2">
      <c r="AF231" t="s">
        <v>257</v>
      </c>
      <c r="AG231">
        <v>90</v>
      </c>
      <c r="AH231" s="86">
        <f>RANK(TableOverallMaster[[#This Row],[VORP]],TableOverallMaster[VORP])+COUNTIF($AM$2:AM231,AM231)-1</f>
        <v>215</v>
      </c>
      <c r="AI231" s="123" t="str">
        <f>IFERROR(INDEX(TableWRVORP[WIDE RECEIVER],MATCH(TableOverallMaster[[#This Row],[RK]],TableWRVORP[RK],0)),"")</f>
        <v>Terrace Marshall</v>
      </c>
      <c r="AJ231" s="123" t="str">
        <f t="shared" si="3"/>
        <v>WR90</v>
      </c>
      <c r="AK231" s="123">
        <f>IFERROR(INDEX(TableWRVORP[BYE],MATCH(TableOverallMaster[[#This Row],[RK]],TableWRVORP[RK],0)),"")</f>
        <v>7</v>
      </c>
      <c r="AL231" s="124">
        <f>IFERROR(INDEX(TableWRVORP[FPS],MATCH(TableOverallMaster[[#This Row],[RK]],TableWRVORP[RK],0)),"")</f>
        <v>79.745267232922856</v>
      </c>
      <c r="AM231" s="125">
        <f>IFERROR(INDEX(TableWRVORP[VORP],MATCH(TableOverallMaster[[#This Row],[RK]],TableWRVORP[RK],0)),"")</f>
        <v>-0.38795005390896142</v>
      </c>
      <c r="AO231">
        <v>230</v>
      </c>
      <c r="AP231" s="126" t="str">
        <f>IFERROR(INDEX(TableOverallMaster[OVERALL PLAYER],MATCH(TableOverallRank[[#This Row],[RK]],TableOverallMaster[OVR RK],0)),"")</f>
        <v>Zack Moss</v>
      </c>
      <c r="AQ231" s="127" t="str">
        <f>IFERROR(INDEX(TableOverallMaster[POS RK],MATCH(TableOverallRank[[#This Row],[OVERALL PLAYER]],TableOverallMaster[OVERALL PLAYER],0)),"")</f>
        <v>RB67</v>
      </c>
      <c r="AR231" s="128">
        <f>IFERROR(INDEX(TableOverallMaster[BYE],MATCH(TableOverallRank[[#This Row],[OVERALL PLAYER]],TableOverallMaster[OVERALL PLAYER],0)),"")</f>
        <v>11</v>
      </c>
      <c r="AS231" s="127">
        <f>IFERROR(INDEX(TableOverallMaster[Custom],MATCH(TableOverallRank[[#This Row],[OVERALL PLAYER]],TableOverallMaster[OVERALL PLAYER],0)),"")</f>
        <v>66.203085416160008</v>
      </c>
      <c r="AT231" s="129">
        <f>IFERROR(INDEX(TableOverallMaster[VORP],MATCH(TableOverallRank[[#This Row],[OVERALL PLAYER]],TableOverallMaster[OVERALL PLAYER],0)),"")</f>
        <v>-0.45940299456068734</v>
      </c>
      <c r="AV231">
        <v>230</v>
      </c>
      <c r="AW231" s="130" t="str">
        <f>IFERROR(INDEX(TableWRTECalcPts[PLAYER],MATCH(TableWRTERank[[#This Row],[RK]],TableWRTECalcPts[RK],0)),"")</f>
        <v>Velus Jones</v>
      </c>
      <c r="AX231" s="130" t="str">
        <f>IFERROR(INDEX(TableWRTECalcPts[POS RK],MATCH(TableWRTERank[[#This Row],[WR and TE COMBINED]],TableWRTECalcPts[PLAYER],0)),"")</f>
        <v>WR154</v>
      </c>
      <c r="AY231" s="130">
        <f>IFERROR(INDEX(TableWRTECalcPts[BYE],MATCH(TableWRTERank[[#This Row],[RK]],TableWRTECalcPts[RK],0)),"")</f>
        <v>13</v>
      </c>
      <c r="AZ231" s="131">
        <f>IFERROR(INDEX(TableWRTECalcPts[Custom],MATCH(TableWRTERank[[#This Row],[RK]],TableWRTECalcPts[RK],0)),"")</f>
        <v>13.617734530209351</v>
      </c>
      <c r="BA231" s="188">
        <f>IFERROR((TableWRTERank[[#This Row],[FPS]]-INDEX(TableWRTERank[FPS],MATCH(WRTEVORPCalc,TableWRTERank[RK],0)))/INDEX(TableWRTERank[FPS],MATCH(WRTEVORPCalc,TableWRTERank[RK],0)),"")</f>
        <v>-0.90159886212739293</v>
      </c>
      <c r="BC231" t="s">
        <v>10</v>
      </c>
      <c r="BD231">
        <v>30</v>
      </c>
      <c r="BE231" s="86">
        <f>RANK(TableWRTEMaster[[#This Row],[VORP]],TableWRTEMaster[VORP])+COUNTIF($BJ$2:BJ231,BJ231)-1</f>
        <v>107</v>
      </c>
      <c r="BF231" s="123" t="str">
        <f>IFERROR(INDEX(TableTEVORP[TIGHT END],MATCH(TableWRTEMaster[[#This Row],[RK]],TableTEVORP[RK],0)),"")</f>
        <v>Hayden Hurst</v>
      </c>
      <c r="BG231" s="123" t="str">
        <f>_xlfn.CONCAT(TableWRTEMaster[[#This Row],[POS]],TableWRTEMaster[[#This Row],[RK]])</f>
        <v>TE30</v>
      </c>
      <c r="BH231" s="123">
        <f>IFERROR(INDEX(TableTEVORP[BYE],MATCH(TableWRTEMaster[[#This Row],[RK]],TableTEVORP[RK],0)),"")</f>
        <v>7</v>
      </c>
      <c r="BI231" s="124">
        <f>IFERROR(INDEX(TableTEVORP[FPS],MATCH(TableWRTEMaster[[#This Row],[RK]],TableTEVORP[RK],0)),"")</f>
        <v>84.191268201874024</v>
      </c>
      <c r="BJ231" s="125">
        <f>IFERROR(INDEX(TableTEVORP[VORP],MATCH(TableWRTEMaster[[#This Row],[RK]],TableTEVORP[RK],0)),"")</f>
        <v>-0.29149932168847253</v>
      </c>
    </row>
    <row r="232" spans="15:62" x14ac:dyDescent="0.2">
      <c r="AF232" t="s">
        <v>257</v>
      </c>
      <c r="AG232">
        <v>91</v>
      </c>
      <c r="AH232" s="86">
        <f>RANK(TableOverallMaster[[#This Row],[VORP]],TableOverallMaster[VORP])+COUNTIF($AM$2:AM232,AM232)-1</f>
        <v>218</v>
      </c>
      <c r="AI232" s="123" t="str">
        <f>IFERROR(INDEX(TableWRVORP[WIDE RECEIVER],MATCH(TableOverallMaster[[#This Row],[RK]],TableWRVORP[RK],0)),"")</f>
        <v>Chase Claypool</v>
      </c>
      <c r="AJ232" s="123" t="str">
        <f t="shared" si="3"/>
        <v>WR91</v>
      </c>
      <c r="AK232" s="123">
        <f>IFERROR(INDEX(TableWRVORP[BYE],MATCH(TableOverallMaster[[#This Row],[RK]],TableWRVORP[RK],0)),"")</f>
        <v>13</v>
      </c>
      <c r="AL232" s="124">
        <f>IFERROR(INDEX(TableWRVORP[FPS],MATCH(TableOverallMaster[[#This Row],[RK]],TableWRVORP[RK],0)),"")</f>
        <v>78.131442847366372</v>
      </c>
      <c r="AM232" s="125">
        <f>IFERROR(INDEX(TableWRVORP[VORP],MATCH(TableOverallMaster[[#This Row],[RK]],TableWRVORP[RK],0)),"")</f>
        <v>-0.40033625766065517</v>
      </c>
      <c r="AO232">
        <v>231</v>
      </c>
      <c r="AP232" s="126" t="str">
        <f>IFERROR(INDEX(TableOverallMaster[OVERALL PLAYER],MATCH(TableOverallRank[[#This Row],[RK]],TableOverallMaster[OVR RK],0)),"")</f>
        <v>Nick Westbrook-Ikhine</v>
      </c>
      <c r="AQ232" s="127" t="str">
        <f>IFERROR(INDEX(TableOverallMaster[POS RK],MATCH(TableOverallRank[[#This Row],[OVERALL PLAYER]],TableOverallMaster[OVERALL PLAYER],0)),"")</f>
        <v>WR96</v>
      </c>
      <c r="AR232" s="128">
        <f>IFERROR(INDEX(TableOverallMaster[BYE],MATCH(TableOverallRank[[#This Row],[OVERALL PLAYER]],TableOverallMaster[OVERALL PLAYER],0)),"")</f>
        <v>7</v>
      </c>
      <c r="AS232" s="127">
        <f>IFERROR(INDEX(TableOverallMaster[Custom],MATCH(TableOverallRank[[#This Row],[OVERALL PLAYER]],TableOverallMaster[OVERALL PLAYER],0)),"")</f>
        <v>69.20477178254302</v>
      </c>
      <c r="AT232" s="129">
        <f>IFERROR(INDEX(TableOverallMaster[VORP],MATCH(TableOverallRank[[#This Row],[OVERALL PLAYER]],TableOverallMaster[OVERALL PLAYER],0)),"")</f>
        <v>-0.46884902002985485</v>
      </c>
      <c r="AV232">
        <v>231</v>
      </c>
      <c r="AW232" s="130" t="str">
        <f>IFERROR(INDEX(TableWRTECalcPts[PLAYER],MATCH(TableWRTERank[[#This Row],[RK]],TableWRTECalcPts[RK],0)),"")</f>
        <v>KaVontae Turpin</v>
      </c>
      <c r="AX232" s="130" t="str">
        <f>IFERROR(INDEX(TableWRTECalcPts[POS RK],MATCH(TableWRTERank[[#This Row],[WR and TE COMBINED]],TableWRTECalcPts[PLAYER],0)),"")</f>
        <v>WR155</v>
      </c>
      <c r="AY232" s="130">
        <f>IFERROR(INDEX(TableWRTECalcPts[BYE],MATCH(TableWRTERank[[#This Row],[RK]],TableWRTECalcPts[RK],0)),"")</f>
        <v>7</v>
      </c>
      <c r="AZ232" s="131">
        <f>IFERROR(INDEX(TableWRTECalcPts[Custom],MATCH(TableWRTERank[[#This Row],[RK]],TableWRTECalcPts[RK],0)),"")</f>
        <v>13.457139075072</v>
      </c>
      <c r="BA232" s="188">
        <f>IFERROR((TableWRTERank[[#This Row],[FPS]]-INDEX(TableWRTERank[FPS],MATCH(WRTEVORPCalc,TableWRTERank[RK],0)))/INDEX(TableWRTERank[FPS],MATCH(WRTEVORPCalc,TableWRTERank[RK],0)),"")</f>
        <v>-0.90275931767068662</v>
      </c>
      <c r="BC232" t="s">
        <v>10</v>
      </c>
      <c r="BD232">
        <v>31</v>
      </c>
      <c r="BE232" s="86">
        <f>RANK(TableWRTEMaster[[#This Row],[VORP]],TableWRTEMaster[VORP])+COUNTIF($BJ$2:BJ232,BJ232)-1</f>
        <v>114</v>
      </c>
      <c r="BF232" s="123" t="str">
        <f>IFERROR(INDEX(TableTEVORP[TIGHT END],MATCH(TableWRTEMaster[[#This Row],[RK]],TableTEVORP[RK],0)),"")</f>
        <v>Cade Otton</v>
      </c>
      <c r="BG232" s="123" t="str">
        <f>_xlfn.CONCAT(TableWRTEMaster[[#This Row],[POS]],TableWRTEMaster[[#This Row],[RK]])</f>
        <v>TE31</v>
      </c>
      <c r="BH232" s="123">
        <f>IFERROR(INDEX(TableTEVORP[BYE],MATCH(TableWRTEMaster[[#This Row],[RK]],TableTEVORP[RK],0)),"")</f>
        <v>5</v>
      </c>
      <c r="BI232" s="124">
        <f>IFERROR(INDEX(TableTEVORP[FPS],MATCH(TableWRTEMaster[[#This Row],[RK]],TableTEVORP[RK],0)),"")</f>
        <v>82.115765388526086</v>
      </c>
      <c r="BJ232" s="125">
        <f>IFERROR(INDEX(TableTEVORP[VORP],MATCH(TableWRTEMaster[[#This Row],[RK]],TableTEVORP[RK],0)),"")</f>
        <v>-0.30896544593746877</v>
      </c>
    </row>
    <row r="233" spans="15:62" x14ac:dyDescent="0.2">
      <c r="AF233" t="s">
        <v>257</v>
      </c>
      <c r="AG233">
        <v>92</v>
      </c>
      <c r="AH233" s="86">
        <f>RANK(TableOverallMaster[[#This Row],[VORP]],TableOverallMaster[VORP])+COUNTIF($AM$2:AM233,AM233)-1</f>
        <v>219</v>
      </c>
      <c r="AI233" s="123" t="str">
        <f>IFERROR(INDEX(TableWRVORP[WIDE RECEIVER],MATCH(TableOverallMaster[[#This Row],[RK]],TableWRVORP[RK],0)),"")</f>
        <v>Rashid Shaheed</v>
      </c>
      <c r="AJ233" s="123" t="str">
        <f t="shared" si="3"/>
        <v>WR92</v>
      </c>
      <c r="AK233" s="123">
        <f>IFERROR(INDEX(TableWRVORP[BYE],MATCH(TableOverallMaster[[#This Row],[RK]],TableWRVORP[RK],0)),"")</f>
        <v>11</v>
      </c>
      <c r="AL233" s="124">
        <f>IFERROR(INDEX(TableWRVORP[FPS],MATCH(TableOverallMaster[[#This Row],[RK]],TableWRVORP[RK],0)),"")</f>
        <v>77.226919676598641</v>
      </c>
      <c r="AM233" s="125">
        <f>IFERROR(INDEX(TableWRVORP[VORP],MATCH(TableOverallMaster[[#This Row],[RK]],TableWRVORP[RK],0)),"")</f>
        <v>-0.40727852993732172</v>
      </c>
      <c r="AO233">
        <v>232</v>
      </c>
      <c r="AP233" s="126" t="str">
        <f>IFERROR(INDEX(TableOverallMaster[OVERALL PLAYER],MATCH(TableOverallRank[[#This Row],[RK]],TableOverallMaster[OVR RK],0)),"")</f>
        <v>Josh Reynolds</v>
      </c>
      <c r="AQ233" s="127" t="str">
        <f>IFERROR(INDEX(TableOverallMaster[POS RK],MATCH(TableOverallRank[[#This Row],[OVERALL PLAYER]],TableOverallMaster[OVERALL PLAYER],0)),"")</f>
        <v>WR97</v>
      </c>
      <c r="AR233" s="128">
        <f>IFERROR(INDEX(TableOverallMaster[BYE],MATCH(TableOverallRank[[#This Row],[OVERALL PLAYER]],TableOverallMaster[OVERALL PLAYER],0)),"")</f>
        <v>9</v>
      </c>
      <c r="AS233" s="127">
        <f>IFERROR(INDEX(TableOverallMaster[Custom],MATCH(TableOverallRank[[#This Row],[OVERALL PLAYER]],TableOverallMaster[OVERALL PLAYER],0)),"")</f>
        <v>68.671312284847986</v>
      </c>
      <c r="AT233" s="129">
        <f>IFERROR(INDEX(TableOverallMaster[VORP],MATCH(TableOverallRank[[#This Row],[OVERALL PLAYER]],TableOverallMaster[OVERALL PLAYER],0)),"")</f>
        <v>-0.47294335525670073</v>
      </c>
      <c r="AV233">
        <v>232</v>
      </c>
      <c r="AW233" s="130" t="str">
        <f>IFERROR(INDEX(TableWRTECalcPts[PLAYER],MATCH(TableWRTERank[[#This Row],[RK]],TableWRTECalcPts[RK],0)),"")</f>
        <v>Rakim Jarrett</v>
      </c>
      <c r="AX233" s="130" t="str">
        <f>IFERROR(INDEX(TableWRTECalcPts[POS RK],MATCH(TableWRTERank[[#This Row],[WR and TE COMBINED]],TableWRTECalcPts[PLAYER],0)),"")</f>
        <v>WR156</v>
      </c>
      <c r="AY233" s="130">
        <f>IFERROR(INDEX(TableWRTECalcPts[BYE],MATCH(TableWRTERank[[#This Row],[RK]],TableWRTECalcPts[RK],0)),"")</f>
        <v>5</v>
      </c>
      <c r="AZ233" s="131">
        <f>IFERROR(INDEX(TableWRTECalcPts[Custom],MATCH(TableWRTERank[[#This Row],[RK]],TableWRTECalcPts[RK],0)),"")</f>
        <v>13.398454129737601</v>
      </c>
      <c r="BA233" s="188">
        <f>IFERROR((TableWRTERank[[#This Row],[FPS]]-INDEX(TableWRTERank[FPS],MATCH(WRTEVORPCalc,TableWRTERank[RK],0)))/INDEX(TableWRTERank[FPS],MATCH(WRTEVORPCalc,TableWRTERank[RK],0)),"")</f>
        <v>-0.90318337244896763</v>
      </c>
      <c r="BC233" t="s">
        <v>10</v>
      </c>
      <c r="BD233">
        <v>32</v>
      </c>
      <c r="BE233" s="86">
        <f>RANK(TableWRTEMaster[[#This Row],[VORP]],TableWRTEMaster[VORP])+COUNTIF($BJ$2:BJ233,BJ233)-1</f>
        <v>116</v>
      </c>
      <c r="BF233" s="123" t="str">
        <f>IFERROR(INDEX(TableTEVORP[TIGHT END],MATCH(TableWRTEMaster[[#This Row],[RK]],TableTEVORP[RK],0)),"")</f>
        <v>Tyler Conklin</v>
      </c>
      <c r="BG233" s="123" t="str">
        <f>_xlfn.CONCAT(TableWRTEMaster[[#This Row],[POS]],TableWRTEMaster[[#This Row],[RK]])</f>
        <v>TE32</v>
      </c>
      <c r="BH233" s="123">
        <f>IFERROR(INDEX(TableTEVORP[BYE],MATCH(TableWRTEMaster[[#This Row],[RK]],TableTEVORP[RK],0)),"")</f>
        <v>7</v>
      </c>
      <c r="BI233" s="124">
        <f>IFERROR(INDEX(TableTEVORP[FPS],MATCH(TableWRTEMaster[[#This Row],[RK]],TableTEVORP[RK],0)),"")</f>
        <v>80.821451672672566</v>
      </c>
      <c r="BJ233" s="125">
        <f>IFERROR(INDEX(TableTEVORP[VORP],MATCH(TableWRTEMaster[[#This Row],[RK]],TableTEVORP[RK],0)),"")</f>
        <v>-0.31985757483890415</v>
      </c>
    </row>
    <row r="234" spans="15:62" x14ac:dyDescent="0.2">
      <c r="AF234" t="s">
        <v>257</v>
      </c>
      <c r="AG234">
        <v>93</v>
      </c>
      <c r="AH234" s="86">
        <f>RANK(TableOverallMaster[[#This Row],[VORP]],TableOverallMaster[VORP])+COUNTIF($AM$2:AM234,AM234)-1</f>
        <v>220</v>
      </c>
      <c r="AI234" s="123" t="str">
        <f>IFERROR(INDEX(TableWRVORP[WIDE RECEIVER],MATCH(TableOverallMaster[[#This Row],[RK]],TableWRVORP[RK],0)),"")</f>
        <v>Mack Hollins</v>
      </c>
      <c r="AJ234" s="123" t="str">
        <f t="shared" si="3"/>
        <v>WR93</v>
      </c>
      <c r="AK234" s="123">
        <f>IFERROR(INDEX(TableWRVORP[BYE],MATCH(TableOverallMaster[[#This Row],[RK]],TableWRVORP[RK],0)),"")</f>
        <v>11</v>
      </c>
      <c r="AL234" s="124">
        <f>IFERROR(INDEX(TableWRVORP[FPS],MATCH(TableOverallMaster[[#This Row],[RK]],TableWRVORP[RK],0)),"")</f>
        <v>77.189576272085475</v>
      </c>
      <c r="AM234" s="125">
        <f>IFERROR(INDEX(TableWRVORP[VORP],MATCH(TableOverallMaster[[#This Row],[RK]],TableWRVORP[RK],0)),"")</f>
        <v>-0.40756514291778084</v>
      </c>
      <c r="AO234">
        <v>233</v>
      </c>
      <c r="AP234" s="126" t="str">
        <f>IFERROR(INDEX(TableOverallMaster[OVERALL PLAYER],MATCH(TableOverallRank[[#This Row],[RK]],TableOverallMaster[OVR RK],0)),"")</f>
        <v>Pierre Strong</v>
      </c>
      <c r="AQ234" s="127" t="str">
        <f>IFERROR(INDEX(TableOverallMaster[POS RK],MATCH(TableOverallRank[[#This Row],[OVERALL PLAYER]],TableOverallMaster[OVERALL PLAYER],0)),"")</f>
        <v>RB68</v>
      </c>
      <c r="AR234" s="128">
        <f>IFERROR(INDEX(TableOverallMaster[BYE],MATCH(TableOverallRank[[#This Row],[OVERALL PLAYER]],TableOverallMaster[OVERALL PLAYER],0)),"")</f>
        <v>5</v>
      </c>
      <c r="AS234" s="127">
        <f>IFERROR(INDEX(TableOverallMaster[Custom],MATCH(TableOverallRank[[#This Row],[OVERALL PLAYER]],TableOverallMaster[OVERALL PLAYER],0)),"")</f>
        <v>63.675737980142394</v>
      </c>
      <c r="AT234" s="129">
        <f>IFERROR(INDEX(TableOverallMaster[VORP],MATCH(TableOverallRank[[#This Row],[OVERALL PLAYER]],TableOverallMaster[OVERALL PLAYER],0)),"")</f>
        <v>-0.48004064984559258</v>
      </c>
      <c r="AV234">
        <v>233</v>
      </c>
      <c r="AW234" s="130" t="str">
        <f>IFERROR(INDEX(TableWRTECalcPts[PLAYER],MATCH(TableWRTERank[[#This Row],[RK]],TableWRTECalcPts[RK],0)),"")</f>
        <v>Jalen Nailor</v>
      </c>
      <c r="AX234" s="130" t="str">
        <f>IFERROR(INDEX(TableWRTECalcPts[POS RK],MATCH(TableWRTERank[[#This Row],[WR and TE COMBINED]],TableWRTECalcPts[PLAYER],0)),"")</f>
        <v>WR157</v>
      </c>
      <c r="AY234" s="130">
        <f>IFERROR(INDEX(TableWRTECalcPts[BYE],MATCH(TableWRTERank[[#This Row],[RK]],TableWRTECalcPts[RK],0)),"")</f>
        <v>13</v>
      </c>
      <c r="AZ234" s="131">
        <f>IFERROR(INDEX(TableWRTECalcPts[Custom],MATCH(TableWRTERank[[#This Row],[RK]],TableWRTECalcPts[RK],0)),"")</f>
        <v>12.440677591952079</v>
      </c>
      <c r="BA234" s="188">
        <f>IFERROR((TableWRTERank[[#This Row],[FPS]]-INDEX(TableWRTERank[FPS],MATCH(WRTEVORPCalc,TableWRTERank[RK],0)))/INDEX(TableWRTERank[FPS],MATCH(WRTEVORPCalc,TableWRTERank[RK],0)),"")</f>
        <v>-0.91010422267825553</v>
      </c>
      <c r="BC234" t="s">
        <v>10</v>
      </c>
      <c r="BD234">
        <v>33</v>
      </c>
      <c r="BE234" s="86">
        <f>RANK(TableWRTEMaster[[#This Row],[VORP]],TableWRTEMaster[VORP])+COUNTIF($BJ$2:BJ234,BJ234)-1</f>
        <v>122</v>
      </c>
      <c r="BF234" s="123" t="str">
        <f>IFERROR(INDEX(TableTEVORP[TIGHT END],MATCH(TableWRTEMaster[[#This Row],[RK]],TableTEVORP[RK],0)),"")</f>
        <v>Austin Hooper</v>
      </c>
      <c r="BG234" s="123" t="str">
        <f>_xlfn.CONCAT(TableWRTEMaster[[#This Row],[POS]],TableWRTEMaster[[#This Row],[RK]])</f>
        <v>TE33</v>
      </c>
      <c r="BH234" s="123">
        <f>IFERROR(INDEX(TableTEVORP[BYE],MATCH(TableWRTEMaster[[#This Row],[RK]],TableTEVORP[RK],0)),"")</f>
        <v>13</v>
      </c>
      <c r="BI234" s="124">
        <f>IFERROR(INDEX(TableTEVORP[FPS],MATCH(TableWRTEMaster[[#This Row],[RK]],TableTEVORP[RK],0)),"")</f>
        <v>74.709928956497578</v>
      </c>
      <c r="BJ234" s="125">
        <f>IFERROR(INDEX(TableTEVORP[VORP],MATCH(TableWRTEMaster[[#This Row],[RK]],TableTEVORP[RK],0)),"")</f>
        <v>-0.37128830016713843</v>
      </c>
    </row>
    <row r="235" spans="15:62" x14ac:dyDescent="0.2">
      <c r="AF235" t="s">
        <v>257</v>
      </c>
      <c r="AG235">
        <v>94</v>
      </c>
      <c r="AH235" s="86">
        <f>RANK(TableOverallMaster[[#This Row],[VORP]],TableOverallMaster[VORP])+COUNTIF($AM$2:AM235,AM235)-1</f>
        <v>226</v>
      </c>
      <c r="AI235" s="123" t="str">
        <f>IFERROR(INDEX(TableWRVORP[WIDE RECEIVER],MATCH(TableOverallMaster[[#This Row],[RK]],TableWRVORP[RK],0)),"")</f>
        <v>John Metchie</v>
      </c>
      <c r="AJ235" s="123" t="str">
        <f t="shared" si="3"/>
        <v>WR94</v>
      </c>
      <c r="AK235" s="123">
        <f>IFERROR(INDEX(TableWRVORP[BYE],MATCH(TableOverallMaster[[#This Row],[RK]],TableWRVORP[RK],0)),"")</f>
        <v>7</v>
      </c>
      <c r="AL235" s="124">
        <f>IFERROR(INDEX(TableWRVORP[FPS],MATCH(TableOverallMaster[[#This Row],[RK]],TableWRVORP[RK],0)),"")</f>
        <v>73.182013035648367</v>
      </c>
      <c r="AM235" s="125">
        <f>IFERROR(INDEX(TableWRVORP[VORP],MATCH(TableOverallMaster[[#This Row],[RK]],TableWRVORP[RK],0)),"")</f>
        <v>-0.43832344303925952</v>
      </c>
      <c r="AO235">
        <v>234</v>
      </c>
      <c r="AP235" s="126" t="str">
        <f>IFERROR(INDEX(TableOverallMaster[OVERALL PLAYER],MATCH(TableOverallRank[[#This Row],[RK]],TableOverallMaster[OVR RK],0)),"")</f>
        <v>Joshua Palmer</v>
      </c>
      <c r="AQ235" s="127" t="str">
        <f>IFERROR(INDEX(TableOverallMaster[POS RK],MATCH(TableOverallRank[[#This Row],[OVERALL PLAYER]],TableOverallMaster[OVERALL PLAYER],0)),"")</f>
        <v>WR98</v>
      </c>
      <c r="AR235" s="128">
        <f>IFERROR(INDEX(TableOverallMaster[BYE],MATCH(TableOverallRank[[#This Row],[OVERALL PLAYER]],TableOverallMaster[OVERALL PLAYER],0)),"")</f>
        <v>5</v>
      </c>
      <c r="AS235" s="127">
        <f>IFERROR(INDEX(TableOverallMaster[Custom],MATCH(TableOverallRank[[#This Row],[OVERALL PLAYER]],TableOverallMaster[OVERALL PLAYER],0)),"")</f>
        <v>65.559330244799995</v>
      </c>
      <c r="AT235" s="129">
        <f>IFERROR(INDEX(TableOverallMaster[VORP],MATCH(TableOverallRank[[#This Row],[OVERALL PLAYER]],TableOverallMaster[OVERALL PLAYER],0)),"")</f>
        <v>-0.49682801331777876</v>
      </c>
      <c r="AV235">
        <v>234</v>
      </c>
      <c r="AW235" s="130" t="str">
        <f>IFERROR(INDEX(TableWRTECalcPts[PLAYER],MATCH(TableWRTERank[[#This Row],[RK]],TableWRTECalcPts[RK],0)),"")</f>
        <v>MyCole Pruitt</v>
      </c>
      <c r="AX235" s="130" t="str">
        <f>IFERROR(INDEX(TableWRTECalcPts[POS RK],MATCH(TableWRTERank[[#This Row],[WR and TE COMBINED]],TableWRTECalcPts[PLAYER],0)),"")</f>
        <v>TE77</v>
      </c>
      <c r="AY235" s="130">
        <f>IFERROR(INDEX(TableWRTECalcPts[BYE],MATCH(TableWRTERank[[#This Row],[RK]],TableWRTECalcPts[RK],0)),"")</f>
        <v>11</v>
      </c>
      <c r="AZ235" s="131">
        <f>IFERROR(INDEX(TableWRTECalcPts[Custom],MATCH(TableWRTERank[[#This Row],[RK]],TableWRTECalcPts[RK],0)),"")</f>
        <v>11.888260212326399</v>
      </c>
      <c r="BA235" s="188">
        <f>IFERROR((TableWRTERank[[#This Row],[FPS]]-INDEX(TableWRTERank[FPS],MATCH(WRTEVORPCalc,TableWRTERank[RK],0)))/INDEX(TableWRTERank[FPS],MATCH(WRTEVORPCalc,TableWRTERank[RK],0)),"")</f>
        <v>-0.91409596584340413</v>
      </c>
      <c r="BC235" t="s">
        <v>10</v>
      </c>
      <c r="BD235">
        <v>34</v>
      </c>
      <c r="BE235" s="86">
        <f>RANK(TableWRTEMaster[[#This Row],[VORP]],TableWRTEMaster[VORP])+COUNTIF($BJ$2:BJ235,BJ235)-1</f>
        <v>124</v>
      </c>
      <c r="BF235" s="123" t="str">
        <f>IFERROR(INDEX(TableTEVORP[TIGHT END],MATCH(TableWRTEMaster[[#This Row],[RK]],TableTEVORP[RK],0)),"")</f>
        <v>Taysom Hill</v>
      </c>
      <c r="BG235" s="123" t="str">
        <f>_xlfn.CONCAT(TableWRTEMaster[[#This Row],[POS]],TableWRTEMaster[[#This Row],[RK]])</f>
        <v>TE34</v>
      </c>
      <c r="BH235" s="123">
        <f>IFERROR(INDEX(TableTEVORP[BYE],MATCH(TableWRTEMaster[[#This Row],[RK]],TableTEVORP[RK],0)),"")</f>
        <v>11</v>
      </c>
      <c r="BI235" s="124">
        <f>IFERROR(INDEX(TableTEVORP[FPS],MATCH(TableWRTEMaster[[#This Row],[RK]],TableTEVORP[RK],0)),"")</f>
        <v>71.977671055054685</v>
      </c>
      <c r="BJ235" s="125">
        <f>IFERROR(INDEX(TableTEVORP[VORP],MATCH(TableWRTEMaster[[#This Row],[RK]],TableTEVORP[RK],0)),"")</f>
        <v>-0.39428126152570403</v>
      </c>
    </row>
    <row r="236" spans="15:62" x14ac:dyDescent="0.2">
      <c r="AF236" t="s">
        <v>257</v>
      </c>
      <c r="AG236">
        <v>95</v>
      </c>
      <c r="AH236" s="86">
        <f>RANK(TableOverallMaster[[#This Row],[VORP]],TableOverallMaster[VORP])+COUNTIF($AM$2:AM236,AM236)-1</f>
        <v>228</v>
      </c>
      <c r="AI236" s="123" t="str">
        <f>IFERROR(INDEX(TableWRVORP[WIDE RECEIVER],MATCH(TableOverallMaster[[#This Row],[RK]],TableWRVORP[RK],0)),"")</f>
        <v>Randall Cobb</v>
      </c>
      <c r="AJ236" s="123" t="str">
        <f t="shared" si="3"/>
        <v>WR95</v>
      </c>
      <c r="AK236" s="123">
        <f>IFERROR(INDEX(TableWRVORP[BYE],MATCH(TableOverallMaster[[#This Row],[RK]],TableWRVORP[RK],0)),"")</f>
        <v>7</v>
      </c>
      <c r="AL236" s="124">
        <f>IFERROR(INDEX(TableWRVORP[FPS],MATCH(TableOverallMaster[[#This Row],[RK]],TableWRVORP[RK],0)),"")</f>
        <v>71.627058184838234</v>
      </c>
      <c r="AM236" s="125">
        <f>IFERROR(INDEX(TableWRVORP[VORP],MATCH(TableOverallMaster[[#This Row],[RK]],TableWRVORP[RK],0)),"")</f>
        <v>-0.4502578194058538</v>
      </c>
      <c r="AO236">
        <v>235</v>
      </c>
      <c r="AP236" s="126" t="str">
        <f>IFERROR(INDEX(TableOverallMaster[OVERALL PLAYER],MATCH(TableOverallRank[[#This Row],[RK]],TableOverallMaster[OVR RK],0)),"")</f>
        <v>Clyde Edwards-Helaire</v>
      </c>
      <c r="AQ236" s="127" t="str">
        <f>IFERROR(INDEX(TableOverallMaster[POS RK],MATCH(TableOverallRank[[#This Row],[OVERALL PLAYER]],TableOverallMaster[OVERALL PLAYER],0)),"")</f>
        <v>RB69</v>
      </c>
      <c r="AR236" s="128">
        <f>IFERROR(INDEX(TableOverallMaster[BYE],MATCH(TableOverallRank[[#This Row],[OVERALL PLAYER]],TableOverallMaster[OVERALL PLAYER],0)),"")</f>
        <v>10</v>
      </c>
      <c r="AS236" s="127">
        <f>IFERROR(INDEX(TableOverallMaster[Custom],MATCH(TableOverallRank[[#This Row],[OVERALL PLAYER]],TableOverallMaster[OVERALL PLAYER],0)),"")</f>
        <v>61.455917554297137</v>
      </c>
      <c r="AT236" s="129">
        <f>IFERROR(INDEX(TableOverallMaster[VORP],MATCH(TableOverallRank[[#This Row],[OVERALL PLAYER]],TableOverallMaster[OVERALL PLAYER],0)),"")</f>
        <v>-0.49816712034589405</v>
      </c>
      <c r="AV236">
        <v>235</v>
      </c>
      <c r="AW236" s="130" t="str">
        <f>IFERROR(INDEX(TableWRTECalcPts[PLAYER],MATCH(TableWRTERank[[#This Row],[RK]],TableWRTECalcPts[RK],0)),"")</f>
        <v>Josiah Deguara</v>
      </c>
      <c r="AX236" s="130" t="str">
        <f>IFERROR(INDEX(TableWRTECalcPts[POS RK],MATCH(TableWRTERank[[#This Row],[WR and TE COMBINED]],TableWRTECalcPts[PLAYER],0)),"")</f>
        <v>TE78</v>
      </c>
      <c r="AY236" s="130">
        <f>IFERROR(INDEX(TableWRTECalcPts[BYE],MATCH(TableWRTERank[[#This Row],[RK]],TableWRTECalcPts[RK],0)),"")</f>
        <v>6</v>
      </c>
      <c r="AZ236" s="131">
        <f>IFERROR(INDEX(TableWRTECalcPts[Custom],MATCH(TableWRTERank[[#This Row],[RK]],TableWRTECalcPts[RK],0)),"")</f>
        <v>11.88686867845238</v>
      </c>
      <c r="BA236" s="188">
        <f>IFERROR((TableWRTERank[[#This Row],[FPS]]-INDEX(TableWRTERank[FPS],MATCH(WRTEVORPCalc,TableWRTERank[RK],0)))/INDEX(TableWRTERank[FPS],MATCH(WRTEVORPCalc,TableWRTERank[RK],0)),"")</f>
        <v>-0.91410602100465643</v>
      </c>
      <c r="BC236" t="s">
        <v>10</v>
      </c>
      <c r="BD236">
        <v>35</v>
      </c>
      <c r="BE236" s="86">
        <f>RANK(TableWRTEMaster[[#This Row],[VORP]],TableWRTEMaster[VORP])+COUNTIF($BJ$2:BJ236,BJ236)-1</f>
        <v>128</v>
      </c>
      <c r="BF236" s="123" t="str">
        <f>IFERROR(INDEX(TableTEVORP[TIGHT END],MATCH(TableWRTEMaster[[#This Row],[RK]],TableTEVORP[RK],0)),"")</f>
        <v>Logan Thomas</v>
      </c>
      <c r="BG236" s="123" t="str">
        <f>_xlfn.CONCAT(TableWRTEMaster[[#This Row],[POS]],TableWRTEMaster[[#This Row],[RK]])</f>
        <v>TE35</v>
      </c>
      <c r="BH236" s="123">
        <f>IFERROR(INDEX(TableTEVORP[BYE],MATCH(TableWRTEMaster[[#This Row],[RK]],TableTEVORP[RK],0)),"")</f>
        <v>14</v>
      </c>
      <c r="BI236" s="124">
        <f>IFERROR(INDEX(TableTEVORP[FPS],MATCH(TableWRTEMaster[[#This Row],[RK]],TableTEVORP[RK],0)),"")</f>
        <v>66.78321520699437</v>
      </c>
      <c r="BJ236" s="125">
        <f>IFERROR(INDEX(TableTEVORP[VORP],MATCH(TableWRTEMaster[[#This Row],[RK]],TableTEVORP[RK],0)),"")</f>
        <v>-0.43799452978275699</v>
      </c>
    </row>
    <row r="237" spans="15:62" x14ac:dyDescent="0.2">
      <c r="AF237" t="s">
        <v>257</v>
      </c>
      <c r="AG237">
        <v>96</v>
      </c>
      <c r="AH237" s="86">
        <f>RANK(TableOverallMaster[[#This Row],[VORP]],TableOverallMaster[VORP])+COUNTIF($AM$2:AM237,AM237)-1</f>
        <v>231</v>
      </c>
      <c r="AI237" s="123" t="str">
        <f>IFERROR(INDEX(TableWRVORP[WIDE RECEIVER],MATCH(TableOverallMaster[[#This Row],[RK]],TableWRVORP[RK],0)),"")</f>
        <v>Nick Westbrook-Ikhine</v>
      </c>
      <c r="AJ237" s="123" t="str">
        <f t="shared" si="3"/>
        <v>WR96</v>
      </c>
      <c r="AK237" s="123">
        <f>IFERROR(INDEX(TableWRVORP[BYE],MATCH(TableOverallMaster[[#This Row],[RK]],TableWRVORP[RK],0)),"")</f>
        <v>7</v>
      </c>
      <c r="AL237" s="124">
        <f>IFERROR(INDEX(TableWRVORP[FPS],MATCH(TableOverallMaster[[#This Row],[RK]],TableWRVORP[RK],0)),"")</f>
        <v>69.20477178254302</v>
      </c>
      <c r="AM237" s="125">
        <f>IFERROR(INDEX(TableWRVORP[VORP],MATCH(TableOverallMaster[[#This Row],[RK]],TableWRVORP[RK],0)),"")</f>
        <v>-0.46884902002985485</v>
      </c>
      <c r="AO237">
        <v>236</v>
      </c>
      <c r="AP237" s="126" t="str">
        <f>IFERROR(INDEX(TableOverallMaster[OVERALL PLAYER],MATCH(TableOverallRank[[#This Row],[RK]],TableOverallMaster[OVR RK],0)),"")</f>
        <v>Tutu Atwell</v>
      </c>
      <c r="AQ237" s="127" t="str">
        <f>IFERROR(INDEX(TableOverallMaster[POS RK],MATCH(TableOverallRank[[#This Row],[OVERALL PLAYER]],TableOverallMaster[OVERALL PLAYER],0)),"")</f>
        <v>WR99</v>
      </c>
      <c r="AR237" s="128">
        <f>IFERROR(INDEX(TableOverallMaster[BYE],MATCH(TableOverallRank[[#This Row],[OVERALL PLAYER]],TableOverallMaster[OVERALL PLAYER],0)),"")</f>
        <v>10</v>
      </c>
      <c r="AS237" s="127">
        <f>IFERROR(INDEX(TableOverallMaster[Custom],MATCH(TableOverallRank[[#This Row],[OVERALL PLAYER]],TableOverallMaster[OVERALL PLAYER],0)),"")</f>
        <v>64.322349932332799</v>
      </c>
      <c r="AT237" s="129">
        <f>IFERROR(INDEX(TableOverallMaster[VORP],MATCH(TableOverallRank[[#This Row],[OVERALL PLAYER]],TableOverallMaster[OVERALL PLAYER],0)),"")</f>
        <v>-0.50632191508564017</v>
      </c>
      <c r="AV237">
        <v>236</v>
      </c>
      <c r="AW237" s="130" t="str">
        <f>IFERROR(INDEX(TableWRTECalcPts[PLAYER],MATCH(TableWRTERank[[#This Row],[RK]],TableWRTECalcPts[RK],0)),"")</f>
        <v>Ian Thomas</v>
      </c>
      <c r="AX237" s="130" t="str">
        <f>IFERROR(INDEX(TableWRTECalcPts[POS RK],MATCH(TableWRTERank[[#This Row],[WR and TE COMBINED]],TableWRTECalcPts[PLAYER],0)),"")</f>
        <v>TE79</v>
      </c>
      <c r="AY237" s="130">
        <f>IFERROR(INDEX(TableWRTECalcPts[BYE],MATCH(TableWRTERank[[#This Row],[RK]],TableWRTECalcPts[RK],0)),"")</f>
        <v>7</v>
      </c>
      <c r="AZ237" s="131">
        <f>IFERROR(INDEX(TableWRTECalcPts[Custom],MATCH(TableWRTERank[[#This Row],[RK]],TableWRTECalcPts[RK],0)),"")</f>
        <v>11.840852666214957</v>
      </c>
      <c r="BA237" s="188">
        <f>IFERROR((TableWRTERank[[#This Row],[FPS]]-INDEX(TableWRTERank[FPS],MATCH(WRTEVORPCalc,TableWRTERank[RK],0)))/INDEX(TableWRTERank[FPS],MATCH(WRTEVORPCalc,TableWRTERank[RK],0)),"")</f>
        <v>-0.91443853064159175</v>
      </c>
      <c r="BC237" t="s">
        <v>10</v>
      </c>
      <c r="BD237">
        <v>36</v>
      </c>
      <c r="BE237" s="86">
        <f>RANK(TableWRTEMaster[[#This Row],[VORP]],TableWRTEMaster[VORP])+COUNTIF($BJ$2:BJ237,BJ237)-1</f>
        <v>130</v>
      </c>
      <c r="BF237" s="123" t="str">
        <f>IFERROR(INDEX(TableTEVORP[TIGHT END],MATCH(TableWRTEMaster[[#This Row],[RK]],TableTEVORP[RK],0)),"")</f>
        <v>Adam Trautman</v>
      </c>
      <c r="BG237" s="123" t="str">
        <f>_xlfn.CONCAT(TableWRTEMaster[[#This Row],[POS]],TableWRTEMaster[[#This Row],[RK]])</f>
        <v>TE36</v>
      </c>
      <c r="BH237" s="123">
        <f>IFERROR(INDEX(TableTEVORP[BYE],MATCH(TableWRTEMaster[[#This Row],[RK]],TableTEVORP[RK],0)),"")</f>
        <v>9</v>
      </c>
      <c r="BI237" s="124">
        <f>IFERROR(INDEX(TableTEVORP[FPS],MATCH(TableWRTEMaster[[#This Row],[RK]],TableTEVORP[RK],0)),"")</f>
        <v>66.361537245636754</v>
      </c>
      <c r="BJ237" s="125">
        <f>IFERROR(INDEX(TableTEVORP[VORP],MATCH(TableWRTEMaster[[#This Row],[RK]],TableTEVORP[RK],0)),"")</f>
        <v>-0.44154310587659285</v>
      </c>
    </row>
    <row r="238" spans="15:62" x14ac:dyDescent="0.2">
      <c r="AF238" t="s">
        <v>257</v>
      </c>
      <c r="AG238">
        <v>97</v>
      </c>
      <c r="AH238" s="86">
        <f>RANK(TableOverallMaster[[#This Row],[VORP]],TableOverallMaster[VORP])+COUNTIF($AM$2:AM238,AM238)-1</f>
        <v>232</v>
      </c>
      <c r="AI238" s="123" t="str">
        <f>IFERROR(INDEX(TableWRVORP[WIDE RECEIVER],MATCH(TableOverallMaster[[#This Row],[RK]],TableWRVORP[RK],0)),"")</f>
        <v>Josh Reynolds</v>
      </c>
      <c r="AJ238" s="123" t="str">
        <f t="shared" si="3"/>
        <v>WR97</v>
      </c>
      <c r="AK238" s="123">
        <f>IFERROR(INDEX(TableWRVORP[BYE],MATCH(TableOverallMaster[[#This Row],[RK]],TableWRVORP[RK],0)),"")</f>
        <v>9</v>
      </c>
      <c r="AL238" s="124">
        <f>IFERROR(INDEX(TableWRVORP[FPS],MATCH(TableOverallMaster[[#This Row],[RK]],TableWRVORP[RK],0)),"")</f>
        <v>68.671312284847986</v>
      </c>
      <c r="AM238" s="125">
        <f>IFERROR(INDEX(TableWRVORP[VORP],MATCH(TableOverallMaster[[#This Row],[RK]],TableWRVORP[RK],0)),"")</f>
        <v>-0.47294335525670073</v>
      </c>
      <c r="AO238">
        <v>237</v>
      </c>
      <c r="AP238" s="126" t="str">
        <f>IFERROR(INDEX(TableOverallMaster[OVERALL PLAYER],MATCH(TableOverallRank[[#This Row],[RK]],TableOverallMaster[OVR RK],0)),"")</f>
        <v>Jordan Mason</v>
      </c>
      <c r="AQ238" s="127" t="str">
        <f>IFERROR(INDEX(TableOverallMaster[POS RK],MATCH(TableOverallRank[[#This Row],[OVERALL PLAYER]],TableOverallMaster[OVERALL PLAYER],0)),"")</f>
        <v>RB70</v>
      </c>
      <c r="AR238" s="128">
        <f>IFERROR(INDEX(TableOverallMaster[BYE],MATCH(TableOverallRank[[#This Row],[OVERALL PLAYER]],TableOverallMaster[OVERALL PLAYER],0)),"")</f>
        <v>9</v>
      </c>
      <c r="AS238" s="127">
        <f>IFERROR(INDEX(TableOverallMaster[Custom],MATCH(TableOverallRank[[#This Row],[OVERALL PLAYER]],TableOverallMaster[OVERALL PLAYER],0)),"")</f>
        <v>60.282796608378746</v>
      </c>
      <c r="AT238" s="129">
        <f>IFERROR(INDEX(TableOverallMaster[VORP],MATCH(TableOverallRank[[#This Row],[OVERALL PLAYER]],TableOverallMaster[OVERALL PLAYER],0)),"")</f>
        <v>-0.50774651783764324</v>
      </c>
      <c r="AV238">
        <v>237</v>
      </c>
      <c r="AW238" s="130" t="str">
        <f>IFERROR(INDEX(TableWRTECalcPts[PLAYER],MATCH(TableWRTERank[[#This Row],[RK]],TableWRTECalcPts[RK],0)),"")</f>
        <v>Charlie Woerner</v>
      </c>
      <c r="AX238" s="130" t="str">
        <f>IFERROR(INDEX(TableWRTECalcPts[POS RK],MATCH(TableWRTERank[[#This Row],[WR and TE COMBINED]],TableWRTECalcPts[PLAYER],0)),"")</f>
        <v>TE80</v>
      </c>
      <c r="AY238" s="130">
        <f>IFERROR(INDEX(TableWRTECalcPts[BYE],MATCH(TableWRTERank[[#This Row],[RK]],TableWRTECalcPts[RK],0)),"")</f>
        <v>9</v>
      </c>
      <c r="AZ238" s="131">
        <f>IFERROR(INDEX(TableWRTECalcPts[Custom],MATCH(TableWRTERank[[#This Row],[RK]],TableWRTECalcPts[RK],0)),"")</f>
        <v>11.655864573509518</v>
      </c>
      <c r="BA238" s="188">
        <f>IFERROR((TableWRTERank[[#This Row],[FPS]]-INDEX(TableWRTERank[FPS],MATCH(WRTEVORPCalc,TableWRTERank[RK],0)))/INDEX(TableWRTERank[FPS],MATCH(WRTEVORPCalc,TableWRTERank[RK],0)),"")</f>
        <v>-0.91577524628799511</v>
      </c>
      <c r="BC238" t="s">
        <v>10</v>
      </c>
      <c r="BD238">
        <v>37</v>
      </c>
      <c r="BE238" s="86">
        <f>RANK(TableWRTEMaster[[#This Row],[VORP]],TableWRTEMaster[VORP])+COUNTIF($BJ$2:BJ238,BJ238)-1</f>
        <v>132</v>
      </c>
      <c r="BF238" s="123" t="str">
        <f>IFERROR(INDEX(TableTEVORP[TIGHT END],MATCH(TableWRTEMaster[[#This Row],[RK]],TableTEVORP[RK],0)),"")</f>
        <v>Jelani Woods</v>
      </c>
      <c r="BG238" s="123" t="str">
        <f>_xlfn.CONCAT(TableWRTEMaster[[#This Row],[POS]],TableWRTEMaster[[#This Row],[RK]])</f>
        <v>TE37</v>
      </c>
      <c r="BH238" s="123">
        <f>IFERROR(INDEX(TableTEVORP[BYE],MATCH(TableWRTEMaster[[#This Row],[RK]],TableTEVORP[RK],0)),"")</f>
        <v>11</v>
      </c>
      <c r="BI238" s="124">
        <f>IFERROR(INDEX(TableTEVORP[FPS],MATCH(TableWRTEMaster[[#This Row],[RK]],TableTEVORP[RK],0)),"")</f>
        <v>64.887841835586016</v>
      </c>
      <c r="BJ238" s="125">
        <f>IFERROR(INDEX(TableTEVORP[VORP],MATCH(TableWRTEMaster[[#This Row],[RK]],TableTEVORP[RK],0)),"")</f>
        <v>-0.45394479811790645</v>
      </c>
    </row>
    <row r="239" spans="15:62" x14ac:dyDescent="0.2">
      <c r="AF239" t="s">
        <v>257</v>
      </c>
      <c r="AG239">
        <v>98</v>
      </c>
      <c r="AH239" s="86">
        <f>RANK(TableOverallMaster[[#This Row],[VORP]],TableOverallMaster[VORP])+COUNTIF($AM$2:AM239,AM239)-1</f>
        <v>234</v>
      </c>
      <c r="AI239" s="123" t="str">
        <f>IFERROR(INDEX(TableWRVORP[WIDE RECEIVER],MATCH(TableOverallMaster[[#This Row],[RK]],TableWRVORP[RK],0)),"")</f>
        <v>Joshua Palmer</v>
      </c>
      <c r="AJ239" s="123" t="str">
        <f t="shared" si="3"/>
        <v>WR98</v>
      </c>
      <c r="AK239" s="123">
        <f>IFERROR(INDEX(TableWRVORP[BYE],MATCH(TableOverallMaster[[#This Row],[RK]],TableWRVORP[RK],0)),"")</f>
        <v>5</v>
      </c>
      <c r="AL239" s="124">
        <f>IFERROR(INDEX(TableWRVORP[FPS],MATCH(TableOverallMaster[[#This Row],[RK]],TableWRVORP[RK],0)),"")</f>
        <v>65.559330244799995</v>
      </c>
      <c r="AM239" s="125">
        <f>IFERROR(INDEX(TableWRVORP[VORP],MATCH(TableOverallMaster[[#This Row],[RK]],TableWRVORP[RK],0)),"")</f>
        <v>-0.49682801331777876</v>
      </c>
      <c r="AO239">
        <v>238</v>
      </c>
      <c r="AP239" s="126" t="str">
        <f>IFERROR(INDEX(TableOverallMaster[OVERALL PLAYER],MATCH(TableOverallRank[[#This Row],[RK]],TableOverallMaster[OVR RK],0)),"")</f>
        <v>Kylen Granson</v>
      </c>
      <c r="AQ239" s="127" t="str">
        <f>IFERROR(INDEX(TableOverallMaster[POS RK],MATCH(TableOverallRank[[#This Row],[OVERALL PLAYER]],TableOverallMaster[OVERALL PLAYER],0)),"")</f>
        <v>TE38</v>
      </c>
      <c r="AR239" s="128">
        <f>IFERROR(INDEX(TableOverallMaster[BYE],MATCH(TableOverallRank[[#This Row],[OVERALL PLAYER]],TableOverallMaster[OVERALL PLAYER],0)),"")</f>
        <v>11</v>
      </c>
      <c r="AS239" s="127">
        <f>IFERROR(INDEX(TableOverallMaster[Custom],MATCH(TableOverallRank[[#This Row],[OVERALL PLAYER]],TableOverallMaster[OVERALL PLAYER],0)),"")</f>
        <v>57.54787370262359</v>
      </c>
      <c r="AT239" s="129">
        <f>IFERROR(INDEX(TableOverallMaster[VORP],MATCH(TableOverallRank[[#This Row],[OVERALL PLAYER]],TableOverallMaster[OVERALL PLAYER],0)),"")</f>
        <v>-0.51571334623526477</v>
      </c>
      <c r="AV239">
        <v>238</v>
      </c>
      <c r="AW239" s="130" t="str">
        <f>IFERROR(INDEX(TableWRTECalcPts[PLAYER],MATCH(TableWRTERank[[#This Row],[RK]],TableWRTECalcPts[RK],0)),"")</f>
        <v>Ronnie Bell</v>
      </c>
      <c r="AX239" s="130" t="str">
        <f>IFERROR(INDEX(TableWRTECalcPts[POS RK],MATCH(TableWRTERank[[#This Row],[WR and TE COMBINED]],TableWRTECalcPts[PLAYER],0)),"")</f>
        <v>WR158</v>
      </c>
      <c r="AY239" s="130">
        <f>IFERROR(INDEX(TableWRTECalcPts[BYE],MATCH(TableWRTERank[[#This Row],[RK]],TableWRTECalcPts[RK],0)),"")</f>
        <v>9</v>
      </c>
      <c r="AZ239" s="131">
        <f>IFERROR(INDEX(TableWRTECalcPts[Custom],MATCH(TableWRTERank[[#This Row],[RK]],TableWRTECalcPts[RK],0)),"")</f>
        <v>11.527513781876888</v>
      </c>
      <c r="BA239" s="188">
        <f>IFERROR((TableWRTERank[[#This Row],[FPS]]-INDEX(TableWRTERank[FPS],MATCH(WRTEVORPCalc,TableWRTERank[RK],0)))/INDEX(TableWRTERank[FPS],MATCH(WRTEVORPCalc,TableWRTERank[RK],0)),"")</f>
        <v>-0.91670270334155146</v>
      </c>
      <c r="BC239" t="s">
        <v>10</v>
      </c>
      <c r="BD239">
        <v>38</v>
      </c>
      <c r="BE239" s="86">
        <f>RANK(TableWRTEMaster[[#This Row],[VORP]],TableWRTEMaster[VORP])+COUNTIF($BJ$2:BJ239,BJ239)-1</f>
        <v>137</v>
      </c>
      <c r="BF239" s="123" t="str">
        <f>IFERROR(INDEX(TableTEVORP[TIGHT END],MATCH(TableWRTEMaster[[#This Row],[RK]],TableTEVORP[RK],0)),"")</f>
        <v>Kylen Granson</v>
      </c>
      <c r="BG239" s="123" t="str">
        <f>_xlfn.CONCAT(TableWRTEMaster[[#This Row],[POS]],TableWRTEMaster[[#This Row],[RK]])</f>
        <v>TE38</v>
      </c>
      <c r="BH239" s="123">
        <f>IFERROR(INDEX(TableTEVORP[BYE],MATCH(TableWRTEMaster[[#This Row],[RK]],TableTEVORP[RK],0)),"")</f>
        <v>11</v>
      </c>
      <c r="BI239" s="124">
        <f>IFERROR(INDEX(TableTEVORP[FPS],MATCH(TableWRTEMaster[[#This Row],[RK]],TableTEVORP[RK],0)),"")</f>
        <v>57.54787370262359</v>
      </c>
      <c r="BJ239" s="125">
        <f>IFERROR(INDEX(TableTEVORP[VORP],MATCH(TableWRTEMaster[[#This Row],[RK]],TableTEVORP[RK],0)),"")</f>
        <v>-0.51571334623526477</v>
      </c>
    </row>
    <row r="240" spans="15:62" x14ac:dyDescent="0.2">
      <c r="AF240" t="s">
        <v>257</v>
      </c>
      <c r="AG240">
        <v>99</v>
      </c>
      <c r="AH240" s="86">
        <f>RANK(TableOverallMaster[[#This Row],[VORP]],TableOverallMaster[VORP])+COUNTIF($AM$2:AM240,AM240)-1</f>
        <v>236</v>
      </c>
      <c r="AI240" s="123" t="str">
        <f>IFERROR(INDEX(TableWRVORP[WIDE RECEIVER],MATCH(TableOverallMaster[[#This Row],[RK]],TableWRVORP[RK],0)),"")</f>
        <v>Tutu Atwell</v>
      </c>
      <c r="AJ240" s="123" t="str">
        <f t="shared" si="3"/>
        <v>WR99</v>
      </c>
      <c r="AK240" s="123">
        <f>IFERROR(INDEX(TableWRVORP[BYE],MATCH(TableOverallMaster[[#This Row],[RK]],TableWRVORP[RK],0)),"")</f>
        <v>10</v>
      </c>
      <c r="AL240" s="124">
        <f>IFERROR(INDEX(TableWRVORP[FPS],MATCH(TableOverallMaster[[#This Row],[RK]],TableWRVORP[RK],0)),"")</f>
        <v>64.322349932332799</v>
      </c>
      <c r="AM240" s="125">
        <f>IFERROR(INDEX(TableWRVORP[VORP],MATCH(TableOverallMaster[[#This Row],[RK]],TableWRVORP[RK],0)),"")</f>
        <v>-0.50632191508564017</v>
      </c>
      <c r="AO240">
        <v>239</v>
      </c>
      <c r="AP240" s="126" t="str">
        <f>IFERROR(INDEX(TableOverallMaster[OVERALL PLAYER],MATCH(TableOverallRank[[#This Row],[RK]],TableOverallMaster[OVR RK],0)),"")</f>
        <v>Mo Alie-Cox</v>
      </c>
      <c r="AQ240" s="127" t="str">
        <f>IFERROR(INDEX(TableOverallMaster[POS RK],MATCH(TableOverallRank[[#This Row],[OVERALL PLAYER]],TableOverallMaster[OVERALL PLAYER],0)),"")</f>
        <v>TE39</v>
      </c>
      <c r="AR240" s="128">
        <f>IFERROR(INDEX(TableOverallMaster[BYE],MATCH(TableOverallRank[[#This Row],[OVERALL PLAYER]],TableOverallMaster[OVERALL PLAYER],0)),"")</f>
        <v>11</v>
      </c>
      <c r="AS240" s="127">
        <f>IFERROR(INDEX(TableOverallMaster[Custom],MATCH(TableOverallRank[[#This Row],[OVERALL PLAYER]],TableOverallMaster[OVERALL PLAYER],0)),"")</f>
        <v>54.929491460862458</v>
      </c>
      <c r="AT240" s="129">
        <f>IFERROR(INDEX(TableOverallMaster[VORP],MATCH(TableOverallRank[[#This Row],[OVERALL PLAYER]],TableOverallMaster[OVERALL PLAYER],0)),"")</f>
        <v>-0.53774800177600801</v>
      </c>
      <c r="AV240">
        <v>239</v>
      </c>
      <c r="AW240" s="130" t="str">
        <f>IFERROR(INDEX(TableWRTECalcPts[PLAYER],MATCH(TableWRTERank[[#This Row],[RK]],TableWRTECalcPts[RK],0)),"")</f>
        <v>Gunner Olszewski</v>
      </c>
      <c r="AX240" s="130" t="str">
        <f>IFERROR(INDEX(TableWRTECalcPts[POS RK],MATCH(TableWRTERank[[#This Row],[WR and TE COMBINED]],TableWRTECalcPts[PLAYER],0)),"")</f>
        <v>WR159</v>
      </c>
      <c r="AY240" s="130">
        <f>IFERROR(INDEX(TableWRTECalcPts[BYE],MATCH(TableWRTERank[[#This Row],[RK]],TableWRTECalcPts[RK],0)),"")</f>
        <v>6</v>
      </c>
      <c r="AZ240" s="131">
        <f>IFERROR(INDEX(TableWRTECalcPts[Custom],MATCH(TableWRTERank[[#This Row],[RK]],TableWRTECalcPts[RK],0)),"")</f>
        <v>11.220108984000003</v>
      </c>
      <c r="BA240" s="188">
        <f>IFERROR((TableWRTERank[[#This Row],[FPS]]-INDEX(TableWRTERank[FPS],MATCH(WRTEVORPCalc,TableWRTERank[RK],0)))/INDEX(TableWRTERank[FPS],MATCH(WRTEVORPCalc,TableWRTERank[RK],0)),"")</f>
        <v>-0.9189239965993603</v>
      </c>
      <c r="BC240" t="s">
        <v>10</v>
      </c>
      <c r="BD240">
        <v>39</v>
      </c>
      <c r="BE240" s="86">
        <f>RANK(TableWRTEMaster[[#This Row],[VORP]],TableWRTEMaster[VORP])+COUNTIF($BJ$2:BJ240,BJ240)-1</f>
        <v>138</v>
      </c>
      <c r="BF240" s="123" t="str">
        <f>IFERROR(INDEX(TableTEVORP[TIGHT END],MATCH(TableWRTEMaster[[#This Row],[RK]],TableTEVORP[RK],0)),"")</f>
        <v>Mo Alie-Cox</v>
      </c>
      <c r="BG240" s="123" t="str">
        <f>_xlfn.CONCAT(TableWRTEMaster[[#This Row],[POS]],TableWRTEMaster[[#This Row],[RK]])</f>
        <v>TE39</v>
      </c>
      <c r="BH240" s="123">
        <f>IFERROR(INDEX(TableTEVORP[BYE],MATCH(TableWRTEMaster[[#This Row],[RK]],TableTEVORP[RK],0)),"")</f>
        <v>11</v>
      </c>
      <c r="BI240" s="124">
        <f>IFERROR(INDEX(TableTEVORP[FPS],MATCH(TableWRTEMaster[[#This Row],[RK]],TableTEVORP[RK],0)),"")</f>
        <v>54.929491460862458</v>
      </c>
      <c r="BJ240" s="125">
        <f>IFERROR(INDEX(TableTEVORP[VORP],MATCH(TableWRTEMaster[[#This Row],[RK]],TableTEVORP[RK],0)),"")</f>
        <v>-0.53774800177600801</v>
      </c>
    </row>
    <row r="241" spans="32:62" x14ac:dyDescent="0.2">
      <c r="AF241" t="s">
        <v>257</v>
      </c>
      <c r="AG241">
        <v>100</v>
      </c>
      <c r="AH241" s="86">
        <f>RANK(TableOverallMaster[[#This Row],[VORP]],TableOverallMaster[VORP])+COUNTIF($AM$2:AM241,AM241)-1</f>
        <v>242</v>
      </c>
      <c r="AI241" s="123" t="str">
        <f>IFERROR(INDEX(TableWRVORP[WIDE RECEIVER],MATCH(TableOverallMaster[[#This Row],[RK]],TableWRVORP[RK],0)),"")</f>
        <v>Trent Sherfield</v>
      </c>
      <c r="AJ241" s="123" t="str">
        <f t="shared" si="3"/>
        <v>WR100</v>
      </c>
      <c r="AK241" s="123">
        <f>IFERROR(INDEX(TableWRVORP[BYE],MATCH(TableOverallMaster[[#This Row],[RK]],TableWRVORP[RK],0)),"")</f>
        <v>13</v>
      </c>
      <c r="AL241" s="124">
        <f>IFERROR(INDEX(TableWRVORP[FPS],MATCH(TableOverallMaster[[#This Row],[RK]],TableWRVORP[RK],0)),"")</f>
        <v>59.836018948557339</v>
      </c>
      <c r="AM241" s="125">
        <f>IFERROR(INDEX(TableWRVORP[VORP],MATCH(TableOverallMaster[[#This Row],[RK]],TableWRVORP[RK],0)),"")</f>
        <v>-0.54075478780705344</v>
      </c>
      <c r="AO241">
        <v>240</v>
      </c>
      <c r="AP241" s="126" t="str">
        <f>IFERROR(INDEX(TableOverallMaster[OVERALL PLAYER],MATCH(TableOverallRank[[#This Row],[RK]],TableOverallMaster[OVR RK],0)),"")</f>
        <v>Matt Breida</v>
      </c>
      <c r="AQ241" s="127" t="str">
        <f>IFERROR(INDEX(TableOverallMaster[POS RK],MATCH(TableOverallRank[[#This Row],[OVERALL PLAYER]],TableOverallMaster[OVERALL PLAYER],0)),"")</f>
        <v>RB71</v>
      </c>
      <c r="AR241" s="128">
        <f>IFERROR(INDEX(TableOverallMaster[BYE],MATCH(TableOverallRank[[#This Row],[OVERALL PLAYER]],TableOverallMaster[OVERALL PLAYER],0)),"")</f>
        <v>13</v>
      </c>
      <c r="AS241" s="127">
        <f>IFERROR(INDEX(TableOverallMaster[Custom],MATCH(TableOverallRank[[#This Row],[OVERALL PLAYER]],TableOverallMaster[OVERALL PLAYER],0)),"")</f>
        <v>56.452478120573126</v>
      </c>
      <c r="AT241" s="129">
        <f>IFERROR(INDEX(TableOverallMaster[VORP],MATCH(TableOverallRank[[#This Row],[OVERALL PLAYER]],TableOverallMaster[OVERALL PLAYER],0)),"")</f>
        <v>-0.53902389247011184</v>
      </c>
      <c r="AV241">
        <v>240</v>
      </c>
      <c r="AW241" s="130" t="str">
        <f>IFERROR(INDEX(TableWRTECalcPts[PLAYER],MATCH(TableWRTERank[[#This Row],[RK]],TableWRTECalcPts[RK],0)),"")</f>
        <v>Brycen Hopkins</v>
      </c>
      <c r="AX241" s="130" t="str">
        <f>IFERROR(INDEX(TableWRTECalcPts[POS RK],MATCH(TableWRTERank[[#This Row],[WR and TE COMBINED]],TableWRTECalcPts[PLAYER],0)),"")</f>
        <v>TE81</v>
      </c>
      <c r="AY241" s="130">
        <f>IFERROR(INDEX(TableWRTECalcPts[BYE],MATCH(TableWRTERank[[#This Row],[RK]],TableWRTECalcPts[RK],0)),"")</f>
        <v>10</v>
      </c>
      <c r="AZ241" s="131">
        <f>IFERROR(INDEX(TableWRTECalcPts[Custom],MATCH(TableWRTERank[[#This Row],[RK]],TableWRTECalcPts[RK],0)),"")</f>
        <v>10.608457570116235</v>
      </c>
      <c r="BA241" s="188">
        <f>IFERROR((TableWRTERank[[#This Row],[FPS]]-INDEX(TableWRTERank[FPS],MATCH(WRTEVORPCalc,TableWRTERank[RK],0)))/INDEX(TableWRTERank[FPS],MATCH(WRTEVORPCalc,TableWRTERank[RK],0)),"")</f>
        <v>-0.92334376223468195</v>
      </c>
      <c r="BC241" t="s">
        <v>10</v>
      </c>
      <c r="BD241">
        <v>40</v>
      </c>
      <c r="BE241" s="86">
        <f>RANK(TableWRTEMaster[[#This Row],[VORP]],TableWRTEMaster[VORP])+COUNTIF($BJ$2:BJ241,BJ241)-1</f>
        <v>139</v>
      </c>
      <c r="BF241" s="123" t="str">
        <f>IFERROR(INDEX(TableTEVORP[TIGHT END],MATCH(TableWRTEMaster[[#This Row],[RK]],TableTEVORP[RK],0)),"")</f>
        <v>Durham Smythe</v>
      </c>
      <c r="BG241" s="123" t="str">
        <f>_xlfn.CONCAT(TableWRTEMaster[[#This Row],[POS]],TableWRTEMaster[[#This Row],[RK]])</f>
        <v>TE40</v>
      </c>
      <c r="BH241" s="123">
        <f>IFERROR(INDEX(TableTEVORP[BYE],MATCH(TableWRTEMaster[[#This Row],[RK]],TableTEVORP[RK],0)),"")</f>
        <v>10</v>
      </c>
      <c r="BI241" s="124">
        <f>IFERROR(INDEX(TableTEVORP[FPS],MATCH(TableWRTEMaster[[#This Row],[RK]],TableTEVORP[RK],0)),"")</f>
        <v>54.683501545855158</v>
      </c>
      <c r="BJ241" s="125">
        <f>IFERROR(INDEX(TableTEVORP[VORP],MATCH(TableWRTEMaster[[#This Row],[RK]],TableTEVORP[RK],0)),"")</f>
        <v>-0.53981809794349378</v>
      </c>
    </row>
    <row r="242" spans="32:62" x14ac:dyDescent="0.2">
      <c r="AF242" t="s">
        <v>257</v>
      </c>
      <c r="AG242">
        <v>101</v>
      </c>
      <c r="AH242" s="86">
        <f>RANK(TableOverallMaster[[#This Row],[VORP]],TableOverallMaster[VORP])+COUNTIF($AM$2:AM242,AM242)-1</f>
        <v>245</v>
      </c>
      <c r="AI242" s="123" t="str">
        <f>IFERROR(INDEX(TableWRVORP[WIDE RECEIVER],MATCH(TableOverallMaster[[#This Row],[RK]],TableWRVORP[RK],0)),"")</f>
        <v>Tank Dell</v>
      </c>
      <c r="AJ242" s="123" t="str">
        <f t="shared" si="3"/>
        <v>WR101</v>
      </c>
      <c r="AK242" s="123">
        <f>IFERROR(INDEX(TableWRVORP[BYE],MATCH(TableOverallMaster[[#This Row],[RK]],TableWRVORP[RK],0)),"")</f>
        <v>7</v>
      </c>
      <c r="AL242" s="124">
        <f>IFERROR(INDEX(TableWRVORP[FPS],MATCH(TableOverallMaster[[#This Row],[RK]],TableWRVORP[RK],0)),"")</f>
        <v>59.210008222847328</v>
      </c>
      <c r="AM242" s="125">
        <f>IFERROR(INDEX(TableWRVORP[VORP],MATCH(TableOverallMaster[[#This Row],[RK]],TableWRVORP[RK],0)),"")</f>
        <v>-0.54555945953514617</v>
      </c>
      <c r="AO242">
        <v>241</v>
      </c>
      <c r="AP242" s="126" t="str">
        <f>IFERROR(INDEX(TableOverallMaster[OVERALL PLAYER],MATCH(TableOverallRank[[#This Row],[RK]],TableOverallMaster[OVR RK],0)),"")</f>
        <v>Durham Smythe</v>
      </c>
      <c r="AQ242" s="127" t="str">
        <f>IFERROR(INDEX(TableOverallMaster[POS RK],MATCH(TableOverallRank[[#This Row],[OVERALL PLAYER]],TableOverallMaster[OVERALL PLAYER],0)),"")</f>
        <v>TE40</v>
      </c>
      <c r="AR242" s="128">
        <f>IFERROR(INDEX(TableOverallMaster[BYE],MATCH(TableOverallRank[[#This Row],[OVERALL PLAYER]],TableOverallMaster[OVERALL PLAYER],0)),"")</f>
        <v>10</v>
      </c>
      <c r="AS242" s="127">
        <f>IFERROR(INDEX(TableOverallMaster[Custom],MATCH(TableOverallRank[[#This Row],[OVERALL PLAYER]],TableOverallMaster[OVERALL PLAYER],0)),"")</f>
        <v>54.683501545855158</v>
      </c>
      <c r="AT242" s="129">
        <f>IFERROR(INDEX(TableOverallMaster[VORP],MATCH(TableOverallRank[[#This Row],[OVERALL PLAYER]],TableOverallMaster[OVERALL PLAYER],0)),"")</f>
        <v>-0.53981809794349378</v>
      </c>
      <c r="AV242">
        <v>241</v>
      </c>
      <c r="AW242" s="130" t="str">
        <f>IFERROR(INDEX(TableWRTECalcPts[PLAYER],MATCH(TableWRTERank[[#This Row],[RK]],TableWRTECalcPts[RK],0)),"")</f>
        <v>Brevin Jordan</v>
      </c>
      <c r="AX242" s="130" t="str">
        <f>IFERROR(INDEX(TableWRTECalcPts[POS RK],MATCH(TableWRTERank[[#This Row],[WR and TE COMBINED]],TableWRTECalcPts[PLAYER],0)),"")</f>
        <v>TE82</v>
      </c>
      <c r="AY242" s="130">
        <f>IFERROR(INDEX(TableWRTECalcPts[BYE],MATCH(TableWRTERank[[#This Row],[RK]],TableWRTECalcPts[RK],0)),"")</f>
        <v>7</v>
      </c>
      <c r="AZ242" s="131">
        <f>IFERROR(INDEX(TableWRTECalcPts[Custom],MATCH(TableWRTERank[[#This Row],[RK]],TableWRTECalcPts[RK],0)),"")</f>
        <v>9.8063479724391271</v>
      </c>
      <c r="BA242" s="188">
        <f>IFERROR((TableWRTERank[[#This Row],[FPS]]-INDEX(TableWRTERank[FPS],MATCH(WRTEVORPCalc,TableWRTERank[RK],0)))/INDEX(TableWRTERank[FPS],MATCH(WRTEVORPCalc,TableWRTERank[RK],0)),"")</f>
        <v>-0.92913977014883764</v>
      </c>
      <c r="BC242" t="s">
        <v>10</v>
      </c>
      <c r="BD242">
        <v>41</v>
      </c>
      <c r="BE242" s="86">
        <f>RANK(TableWRTEMaster[[#This Row],[VORP]],TableWRTEMaster[VORP])+COUNTIF($BJ$2:BJ242,BJ242)-1</f>
        <v>143</v>
      </c>
      <c r="BF242" s="123" t="str">
        <f>IFERROR(INDEX(TableTEVORP[TIGHT END],MATCH(TableWRTEMaster[[#This Row],[RK]],TableTEVORP[RK],0)),"")</f>
        <v>Isaiah Likely</v>
      </c>
      <c r="BG242" s="123" t="str">
        <f>_xlfn.CONCAT(TableWRTEMaster[[#This Row],[POS]],TableWRTEMaster[[#This Row],[RK]])</f>
        <v>TE41</v>
      </c>
      <c r="BH242" s="123">
        <f>IFERROR(INDEX(TableTEVORP[BYE],MATCH(TableWRTEMaster[[#This Row],[RK]],TableTEVORP[RK],0)),"")</f>
        <v>13</v>
      </c>
      <c r="BI242" s="124">
        <f>IFERROR(INDEX(TableTEVORP[FPS],MATCH(TableWRTEMaster[[#This Row],[RK]],TableTEVORP[RK],0)),"")</f>
        <v>53.123189134197595</v>
      </c>
      <c r="BJ242" s="125">
        <f>IFERROR(INDEX(TableTEVORP[VORP],MATCH(TableWRTEMaster[[#This Row],[RK]],TableTEVORP[RK],0)),"")</f>
        <v>-0.55294870430740484</v>
      </c>
    </row>
    <row r="243" spans="32:62" x14ac:dyDescent="0.2">
      <c r="AF243" t="s">
        <v>257</v>
      </c>
      <c r="AG243">
        <v>102</v>
      </c>
      <c r="AH243" s="86">
        <f>RANK(TableOverallMaster[[#This Row],[VORP]],TableOverallMaster[VORP])+COUNTIF($AM$2:AM243,AM243)-1</f>
        <v>246</v>
      </c>
      <c r="AI243" s="123" t="str">
        <f>IFERROR(INDEX(TableWRVORP[WIDE RECEIVER],MATCH(TableOverallMaster[[#This Row],[RK]],TableWRVORP[RK],0)),"")</f>
        <v>Cedrick Wilson</v>
      </c>
      <c r="AJ243" s="123" t="str">
        <f t="shared" si="3"/>
        <v>WR102</v>
      </c>
      <c r="AK243" s="123">
        <f>IFERROR(INDEX(TableWRVORP[BYE],MATCH(TableOverallMaster[[#This Row],[RK]],TableWRVORP[RK],0)),"")</f>
        <v>10</v>
      </c>
      <c r="AL243" s="124">
        <f>IFERROR(INDEX(TableWRVORP[FPS],MATCH(TableOverallMaster[[#This Row],[RK]],TableWRVORP[RK],0)),"")</f>
        <v>59.155899982718687</v>
      </c>
      <c r="AM243" s="125">
        <f>IFERROR(INDEX(TableWRVORP[VORP],MATCH(TableOverallMaster[[#This Row],[RK]],TableWRVORP[RK],0)),"")</f>
        <v>-0.54597474368432442</v>
      </c>
      <c r="AO243">
        <v>242</v>
      </c>
      <c r="AP243" s="126" t="str">
        <f>IFERROR(INDEX(TableOverallMaster[OVERALL PLAYER],MATCH(TableOverallRank[[#This Row],[RK]],TableOverallMaster[OVR RK],0)),"")</f>
        <v>Trent Sherfield</v>
      </c>
      <c r="AQ243" s="127" t="str">
        <f>IFERROR(INDEX(TableOverallMaster[POS RK],MATCH(TableOverallRank[[#This Row],[OVERALL PLAYER]],TableOverallMaster[OVERALL PLAYER],0)),"")</f>
        <v>WR100</v>
      </c>
      <c r="AR243" s="128">
        <f>IFERROR(INDEX(TableOverallMaster[BYE],MATCH(TableOverallRank[[#This Row],[OVERALL PLAYER]],TableOverallMaster[OVERALL PLAYER],0)),"")</f>
        <v>13</v>
      </c>
      <c r="AS243" s="127">
        <f>IFERROR(INDEX(TableOverallMaster[Custom],MATCH(TableOverallRank[[#This Row],[OVERALL PLAYER]],TableOverallMaster[OVERALL PLAYER],0)),"")</f>
        <v>59.836018948557339</v>
      </c>
      <c r="AT243" s="129">
        <f>IFERROR(INDEX(TableOverallMaster[VORP],MATCH(TableOverallRank[[#This Row],[OVERALL PLAYER]],TableOverallMaster[OVERALL PLAYER],0)),"")</f>
        <v>-0.54075478780705344</v>
      </c>
      <c r="AV243">
        <v>242</v>
      </c>
      <c r="AW243" s="130" t="str">
        <f>IFERROR(INDEX(TableWRTECalcPts[PLAYER],MATCH(TableWRTERank[[#This Row],[RK]],TableWRTECalcPts[RK],0)),"")</f>
        <v>Xavier Hutchinson</v>
      </c>
      <c r="AX243" s="130" t="str">
        <f>IFERROR(INDEX(TableWRTECalcPts[POS RK],MATCH(TableWRTERank[[#This Row],[WR and TE COMBINED]],TableWRTECalcPts[PLAYER],0)),"")</f>
        <v>WR160</v>
      </c>
      <c r="AY243" s="130">
        <f>IFERROR(INDEX(TableWRTECalcPts[BYE],MATCH(TableWRTERank[[#This Row],[RK]],TableWRTECalcPts[RK],0)),"")</f>
        <v>7</v>
      </c>
      <c r="AZ243" s="131">
        <f>IFERROR(INDEX(TableWRTECalcPts[Custom],MATCH(TableWRTERank[[#This Row],[RK]],TableWRTECalcPts[RK],0)),"")</f>
        <v>9.68795222327239</v>
      </c>
      <c r="BA243" s="188">
        <f>IFERROR((TableWRTERank[[#This Row],[FPS]]-INDEX(TableWRTERank[FPS],MATCH(WRTEVORPCalc,TableWRTERank[RK],0)))/INDEX(TableWRTERank[FPS],MATCH(WRTEVORPCalc,TableWRTERank[RK],0)),"")</f>
        <v>-0.9299952925128141</v>
      </c>
      <c r="BC243" t="s">
        <v>10</v>
      </c>
      <c r="BD243">
        <v>42</v>
      </c>
      <c r="BE243" s="86">
        <f>RANK(TableWRTEMaster[[#This Row],[VORP]],TableWRTEMaster[VORP])+COUNTIF($BJ$2:BJ243,BJ243)-1</f>
        <v>150</v>
      </c>
      <c r="BF243" s="123" t="str">
        <f>IFERROR(INDEX(TableTEVORP[TIGHT END],MATCH(TableWRTEMaster[[#This Row],[RK]],TableTEVORP[RK],0)),"")</f>
        <v>Jonnu Smith</v>
      </c>
      <c r="BG243" s="123" t="str">
        <f>_xlfn.CONCAT(TableWRTEMaster[[#This Row],[POS]],TableWRTEMaster[[#This Row],[RK]])</f>
        <v>TE42</v>
      </c>
      <c r="BH243" s="123">
        <f>IFERROR(INDEX(TableTEVORP[BYE],MATCH(TableWRTEMaster[[#This Row],[RK]],TableTEVORP[RK],0)),"")</f>
        <v>11</v>
      </c>
      <c r="BI243" s="124">
        <f>IFERROR(INDEX(TableTEVORP[FPS],MATCH(TableWRTEMaster[[#This Row],[RK]],TableTEVORP[RK],0)),"")</f>
        <v>43.372279950248007</v>
      </c>
      <c r="BJ243" s="125">
        <f>IFERROR(INDEX(TableTEVORP[VORP],MATCH(TableWRTEMaster[[#This Row],[RK]],TableTEVORP[RK],0)),"")</f>
        <v>-0.63500621357804699</v>
      </c>
    </row>
    <row r="244" spans="32:62" x14ac:dyDescent="0.2">
      <c r="AF244" t="s">
        <v>257</v>
      </c>
      <c r="AG244">
        <v>103</v>
      </c>
      <c r="AH244" s="86">
        <f>RANK(TableOverallMaster[[#This Row],[VORP]],TableOverallMaster[VORP])+COUNTIF($AM$2:AM244,AM244)-1</f>
        <v>248</v>
      </c>
      <c r="AI244" s="123" t="str">
        <f>IFERROR(INDEX(TableWRVORP[WIDE RECEIVER],MATCH(TableOverallMaster[[#This Row],[RK]],TableWRVORP[RK],0)),"")</f>
        <v>Wan'Dale Robinson</v>
      </c>
      <c r="AJ244" s="123" t="str">
        <f t="shared" si="3"/>
        <v>WR103</v>
      </c>
      <c r="AK244" s="123">
        <f>IFERROR(INDEX(TableWRVORP[BYE],MATCH(TableOverallMaster[[#This Row],[RK]],TableWRVORP[RK],0)),"")</f>
        <v>13</v>
      </c>
      <c r="AL244" s="124">
        <f>IFERROR(INDEX(TableWRVORP[FPS],MATCH(TableOverallMaster[[#This Row],[RK]],TableWRVORP[RK],0)),"")</f>
        <v>57.776482817212141</v>
      </c>
      <c r="AM244" s="125">
        <f>IFERROR(INDEX(TableWRVORP[VORP],MATCH(TableOverallMaster[[#This Row],[RK]],TableWRVORP[RK],0)),"")</f>
        <v>-0.55656185726586593</v>
      </c>
      <c r="AO244">
        <v>243</v>
      </c>
      <c r="AP244" s="126" t="str">
        <f>IFERROR(INDEX(TableOverallMaster[OVERALL PLAYER],MATCH(TableOverallRank[[#This Row],[RK]],TableOverallMaster[OVR RK],0)),"")</f>
        <v>Joshua Dobbs</v>
      </c>
      <c r="AQ244" s="127" t="str">
        <f>IFERROR(INDEX(TableOverallMaster[POS RK],MATCH(TableOverallRank[[#This Row],[OVERALL PLAYER]],TableOverallMaster[OVERALL PLAYER],0)),"")</f>
        <v>QB32</v>
      </c>
      <c r="AR244" s="128">
        <f>IFERROR(INDEX(TableOverallMaster[BYE],MATCH(TableOverallRank[[#This Row],[OVERALL PLAYER]],TableOverallMaster[OVERALL PLAYER],0)),"")</f>
        <v>14</v>
      </c>
      <c r="AS244" s="127">
        <f>IFERROR(INDEX(TableOverallMaster[Custom],MATCH(TableOverallRank[[#This Row],[OVERALL PLAYER]],TableOverallMaster[OVERALL PLAYER],0)),"")</f>
        <v>120.88669071620204</v>
      </c>
      <c r="AT244" s="129">
        <f>IFERROR(INDEX(TableOverallMaster[VORP],MATCH(TableOverallRank[[#This Row],[OVERALL PLAYER]],TableOverallMaster[OVERALL PLAYER],0)),"")</f>
        <v>-0.54122254274816162</v>
      </c>
      <c r="AV244">
        <v>243</v>
      </c>
      <c r="AW244" s="130" t="str">
        <f>IFERROR(INDEX(TableWRTECalcPts[PLAYER],MATCH(TableWRTERank[[#This Row],[RK]],TableWRTECalcPts[RK],0)),"")</f>
        <v>Quintin Morris</v>
      </c>
      <c r="AX244" s="130" t="str">
        <f>IFERROR(INDEX(TableWRTECalcPts[POS RK],MATCH(TableWRTERank[[#This Row],[WR and TE COMBINED]],TableWRTECalcPts[PLAYER],0)),"")</f>
        <v>TE83</v>
      </c>
      <c r="AY244" s="130">
        <f>IFERROR(INDEX(TableWRTECalcPts[BYE],MATCH(TableWRTERank[[#This Row],[RK]],TableWRTECalcPts[RK],0)),"")</f>
        <v>13</v>
      </c>
      <c r="AZ244" s="131">
        <f>IFERROR(INDEX(TableWRTECalcPts[Custom],MATCH(TableWRTERank[[#This Row],[RK]],TableWRTECalcPts[RK],0)),"")</f>
        <v>9.2599325460133226</v>
      </c>
      <c r="BA244" s="188">
        <f>IFERROR((TableWRTERank[[#This Row],[FPS]]-INDEX(TableWRTERank[FPS],MATCH(WRTEVORPCalc,TableWRTERank[RK],0)))/INDEX(TableWRTERank[FPS],MATCH(WRTEVORPCalc,TableWRTERank[RK],0)),"")</f>
        <v>-0.93308814346983082</v>
      </c>
      <c r="BC244" t="s">
        <v>10</v>
      </c>
      <c r="BD244">
        <v>43</v>
      </c>
      <c r="BE244" s="86">
        <f>RANK(TableWRTEMaster[[#This Row],[VORP]],TableWRTEMaster[VORP])+COUNTIF($BJ$2:BJ244,BJ244)-1</f>
        <v>152</v>
      </c>
      <c r="BF244" s="123" t="str">
        <f>IFERROR(INDEX(TableTEVORP[TIGHT END],MATCH(TableWRTEMaster[[#This Row],[RK]],TableTEVORP[RK],0)),"")</f>
        <v>Will Dissly</v>
      </c>
      <c r="BG244" s="123" t="str">
        <f>_xlfn.CONCAT(TableWRTEMaster[[#This Row],[POS]],TableWRTEMaster[[#This Row],[RK]])</f>
        <v>TE43</v>
      </c>
      <c r="BH244" s="123">
        <f>IFERROR(INDEX(TableTEVORP[BYE],MATCH(TableWRTEMaster[[#This Row],[RK]],TableTEVORP[RK],0)),"")</f>
        <v>5</v>
      </c>
      <c r="BI244" s="124">
        <f>IFERROR(INDEX(TableTEVORP[FPS],MATCH(TableWRTEMaster[[#This Row],[RK]],TableTEVORP[RK],0)),"")</f>
        <v>42.965516367240703</v>
      </c>
      <c r="BJ244" s="125">
        <f>IFERROR(INDEX(TableTEVORP[VORP],MATCH(TableWRTEMaster[[#This Row],[RK]],TableTEVORP[RK],0)),"")</f>
        <v>-0.63842927965874863</v>
      </c>
    </row>
    <row r="245" spans="32:62" x14ac:dyDescent="0.2">
      <c r="AF245" t="s">
        <v>257</v>
      </c>
      <c r="AG245">
        <v>104</v>
      </c>
      <c r="AH245" s="86">
        <f>RANK(TableOverallMaster[[#This Row],[VORP]],TableOverallMaster[VORP])+COUNTIF($AM$2:AM245,AM245)-1</f>
        <v>249</v>
      </c>
      <c r="AI245" s="123" t="str">
        <f>IFERROR(INDEX(TableWRVORP[WIDE RECEIVER],MATCH(TableOverallMaster[[#This Row],[RK]],TableWRVORP[RK],0)),"")</f>
        <v>Rashee Rice</v>
      </c>
      <c r="AJ245" s="123" t="str">
        <f t="shared" si="3"/>
        <v>WR104</v>
      </c>
      <c r="AK245" s="123">
        <f>IFERROR(INDEX(TableWRVORP[BYE],MATCH(TableOverallMaster[[#This Row],[RK]],TableWRVORP[RK],0)),"")</f>
        <v>10</v>
      </c>
      <c r="AL245" s="124">
        <f>IFERROR(INDEX(TableWRVORP[FPS],MATCH(TableOverallMaster[[#This Row],[RK]],TableWRVORP[RK],0)),"")</f>
        <v>56.831704490872688</v>
      </c>
      <c r="AM245" s="125">
        <f>IFERROR(INDEX(TableWRVORP[VORP],MATCH(TableOverallMaster[[#This Row],[RK]],TableWRVORP[RK],0)),"")</f>
        <v>-0.56381309039566496</v>
      </c>
      <c r="AO245">
        <v>244</v>
      </c>
      <c r="AP245" s="126" t="str">
        <f>IFERROR(INDEX(TableOverallMaster[OVERALL PLAYER],MATCH(TableOverallRank[[#This Row],[RK]],TableOverallMaster[OVR RK],0)),"")</f>
        <v>Jerome Ford</v>
      </c>
      <c r="AQ245" s="127" t="str">
        <f>IFERROR(INDEX(TableOverallMaster[POS RK],MATCH(TableOverallRank[[#This Row],[OVERALL PLAYER]],TableOverallMaster[OVERALL PLAYER],0)),"")</f>
        <v>RB72</v>
      </c>
      <c r="AR245" s="128">
        <f>IFERROR(INDEX(TableOverallMaster[BYE],MATCH(TableOverallRank[[#This Row],[OVERALL PLAYER]],TableOverallMaster[OVERALL PLAYER],0)),"")</f>
        <v>5</v>
      </c>
      <c r="AS245" s="127">
        <f>IFERROR(INDEX(TableOverallMaster[Custom],MATCH(TableOverallRank[[#This Row],[OVERALL PLAYER]],TableOverallMaster[OVERALL PLAYER],0)),"")</f>
        <v>55.672108526486717</v>
      </c>
      <c r="AT245" s="129">
        <f>IFERROR(INDEX(TableOverallMaster[VORP],MATCH(TableOverallRank[[#This Row],[OVERALL PLAYER]],TableOverallMaster[OVERALL PLAYER],0)),"")</f>
        <v>-0.54539618558979219</v>
      </c>
      <c r="AV245">
        <v>244</v>
      </c>
      <c r="AW245" s="130" t="str">
        <f>IFERROR(INDEX(TableWRTECalcPts[PLAYER],MATCH(TableWRTERank[[#This Row],[RK]],TableWRTECalcPts[RK],0)),"")</f>
        <v>O.J. Howard</v>
      </c>
      <c r="AX245" s="130" t="str">
        <f>IFERROR(INDEX(TableWRTECalcPts[POS RK],MATCH(TableWRTERank[[#This Row],[WR and TE COMBINED]],TableWRTECalcPts[PLAYER],0)),"")</f>
        <v>TE84</v>
      </c>
      <c r="AY245" s="130">
        <f>IFERROR(INDEX(TableWRTECalcPts[BYE],MATCH(TableWRTERank[[#This Row],[RK]],TableWRTECalcPts[RK],0)),"")</f>
        <v>13</v>
      </c>
      <c r="AZ245" s="131">
        <f>IFERROR(INDEX(TableWRTECalcPts[Custom],MATCH(TableWRTERank[[#This Row],[RK]],TableWRTECalcPts[RK],0)),"")</f>
        <v>8.9999943163385883</v>
      </c>
      <c r="BA245" s="188">
        <f>IFERROR((TableWRTERank[[#This Row],[FPS]]-INDEX(TableWRTERank[FPS],MATCH(WRTEVORPCalc,TableWRTERank[RK],0)))/INDEX(TableWRTERank[FPS],MATCH(WRTEVORPCalc,TableWRTERank[RK],0)),"")</f>
        <v>-0.9349664454384764</v>
      </c>
      <c r="BC245" t="s">
        <v>10</v>
      </c>
      <c r="BD245">
        <v>44</v>
      </c>
      <c r="BE245" s="86">
        <f>RANK(TableWRTEMaster[[#This Row],[VORP]],TableWRTEMaster[VORP])+COUNTIF($BJ$2:BJ245,BJ245)-1</f>
        <v>155</v>
      </c>
      <c r="BF245" s="123" t="str">
        <f>IFERROR(INDEX(TableTEVORP[TIGHT END],MATCH(TableWRTEMaster[[#This Row],[RK]],TableTEVORP[RK],0)),"")</f>
        <v>C.J. Uzomah</v>
      </c>
      <c r="BG245" s="123" t="str">
        <f>_xlfn.CONCAT(TableWRTEMaster[[#This Row],[POS]],TableWRTEMaster[[#This Row],[RK]])</f>
        <v>TE44</v>
      </c>
      <c r="BH245" s="123">
        <f>IFERROR(INDEX(TableTEVORP[BYE],MATCH(TableWRTEMaster[[#This Row],[RK]],TableTEVORP[RK],0)),"")</f>
        <v>7</v>
      </c>
      <c r="BI245" s="124">
        <f>IFERROR(INDEX(TableTEVORP[FPS],MATCH(TableWRTEMaster[[#This Row],[RK]],TableTEVORP[RK],0)),"")</f>
        <v>39.827848874302617</v>
      </c>
      <c r="BJ245" s="125">
        <f>IFERROR(INDEX(TableTEVORP[VORP],MATCH(TableWRTEMaster[[#This Row],[RK]],TableTEVORP[RK],0)),"")</f>
        <v>-0.66483391275837433</v>
      </c>
    </row>
    <row r="246" spans="32:62" x14ac:dyDescent="0.2">
      <c r="AF246" t="s">
        <v>257</v>
      </c>
      <c r="AG246">
        <v>105</v>
      </c>
      <c r="AH246" s="86">
        <f>RANK(TableOverallMaster[[#This Row],[VORP]],TableOverallMaster[VORP])+COUNTIF($AM$2:AM246,AM246)-1</f>
        <v>250</v>
      </c>
      <c r="AI246" s="123" t="str">
        <f>IFERROR(INDEX(TableWRVORP[WIDE RECEIVER],MATCH(TableOverallMaster[[#This Row],[RK]],TableWRVORP[RK],0)),"")</f>
        <v>Deonte Harty</v>
      </c>
      <c r="AJ246" s="123" t="str">
        <f t="shared" si="3"/>
        <v>WR105</v>
      </c>
      <c r="AK246" s="123">
        <f>IFERROR(INDEX(TableWRVORP[BYE],MATCH(TableOverallMaster[[#This Row],[RK]],TableWRVORP[RK],0)),"")</f>
        <v>13</v>
      </c>
      <c r="AL246" s="124">
        <f>IFERROR(INDEX(TableWRVORP[FPS],MATCH(TableOverallMaster[[#This Row],[RK]],TableWRVORP[RK],0)),"")</f>
        <v>56.822667667156409</v>
      </c>
      <c r="AM246" s="125">
        <f>IFERROR(INDEX(TableWRVORP[VORP],MATCH(TableOverallMaster[[#This Row],[RK]],TableWRVORP[RK],0)),"")</f>
        <v>-0.56388244858656833</v>
      </c>
      <c r="AO246">
        <v>245</v>
      </c>
      <c r="AP246" s="126" t="str">
        <f>IFERROR(INDEX(TableOverallMaster[OVERALL PLAYER],MATCH(TableOverallRank[[#This Row],[RK]],TableOverallMaster[OVR RK],0)),"")</f>
        <v>Tank Dell</v>
      </c>
      <c r="AQ246" s="127" t="str">
        <f>IFERROR(INDEX(TableOverallMaster[POS RK],MATCH(TableOverallRank[[#This Row],[OVERALL PLAYER]],TableOverallMaster[OVERALL PLAYER],0)),"")</f>
        <v>WR101</v>
      </c>
      <c r="AR246" s="128">
        <f>IFERROR(INDEX(TableOverallMaster[BYE],MATCH(TableOverallRank[[#This Row],[OVERALL PLAYER]],TableOverallMaster[OVERALL PLAYER],0)),"")</f>
        <v>7</v>
      </c>
      <c r="AS246" s="127">
        <f>IFERROR(INDEX(TableOverallMaster[Custom],MATCH(TableOverallRank[[#This Row],[OVERALL PLAYER]],TableOverallMaster[OVERALL PLAYER],0)),"")</f>
        <v>59.210008222847328</v>
      </c>
      <c r="AT246" s="129">
        <f>IFERROR(INDEX(TableOverallMaster[VORP],MATCH(TableOverallRank[[#This Row],[OVERALL PLAYER]],TableOverallMaster[OVERALL PLAYER],0)),"")</f>
        <v>-0.54555945953514617</v>
      </c>
      <c r="AV246">
        <v>245</v>
      </c>
      <c r="AW246" s="130" t="str">
        <f>IFERROR(INDEX(TableWRTECalcPts[PLAYER],MATCH(TableWRTERank[[#This Row],[RK]],TableWRTECalcPts[RK],0)),"")</f>
        <v>John Bates</v>
      </c>
      <c r="AX246" s="130" t="str">
        <f>IFERROR(INDEX(TableWRTECalcPts[POS RK],MATCH(TableWRTERank[[#This Row],[WR and TE COMBINED]],TableWRTECalcPts[PLAYER],0)),"")</f>
        <v>TE85</v>
      </c>
      <c r="AY246" s="130">
        <f>IFERROR(INDEX(TableWRTECalcPts[BYE],MATCH(TableWRTERank[[#This Row],[RK]],TableWRTECalcPts[RK],0)),"")</f>
        <v>14</v>
      </c>
      <c r="AZ246" s="131">
        <f>IFERROR(INDEX(TableWRTECalcPts[Custom],MATCH(TableWRTERank[[#This Row],[RK]],TableWRTECalcPts[RK],0)),"")</f>
        <v>8.9019390849842956</v>
      </c>
      <c r="BA246" s="188">
        <f>IFERROR((TableWRTERank[[#This Row],[FPS]]-INDEX(TableWRTERank[FPS],MATCH(WRTEVORPCalc,TableWRTERank[RK],0)))/INDEX(TableWRTERank[FPS],MATCH(WRTEVORPCalc,TableWRTERank[RK],0)),"")</f>
        <v>-0.93567498813463634</v>
      </c>
      <c r="BC246" t="s">
        <v>10</v>
      </c>
      <c r="BD246">
        <v>45</v>
      </c>
      <c r="BE246" s="86">
        <f>RANK(TableWRTEMaster[[#This Row],[VORP]],TableWRTEMaster[VORP])+COUNTIF($BJ$2:BJ246,BJ246)-1</f>
        <v>156</v>
      </c>
      <c r="BF246" s="123" t="str">
        <f>IFERROR(INDEX(TableTEVORP[TIGHT END],MATCH(TableWRTEMaster[[#This Row],[RK]],TableTEVORP[RK],0)),"")</f>
        <v>Cole Turner</v>
      </c>
      <c r="BG246" s="123" t="str">
        <f>_xlfn.CONCAT(TableWRTEMaster[[#This Row],[POS]],TableWRTEMaster[[#This Row],[RK]])</f>
        <v>TE45</v>
      </c>
      <c r="BH246" s="123">
        <f>IFERROR(INDEX(TableTEVORP[BYE],MATCH(TableWRTEMaster[[#This Row],[RK]],TableTEVORP[RK],0)),"")</f>
        <v>14</v>
      </c>
      <c r="BI246" s="124">
        <f>IFERROR(INDEX(TableTEVORP[FPS],MATCH(TableWRTEMaster[[#This Row],[RK]],TableTEVORP[RK],0)),"")</f>
        <v>38.146037279319202</v>
      </c>
      <c r="BJ246" s="125">
        <f>IFERROR(INDEX(TableTEVORP[VORP],MATCH(TableWRTEMaster[[#This Row],[RK]],TableTEVORP[RK],0)),"")</f>
        <v>-0.67898697971278588</v>
      </c>
    </row>
    <row r="247" spans="32:62" x14ac:dyDescent="0.2">
      <c r="AF247" t="s">
        <v>257</v>
      </c>
      <c r="AG247">
        <v>106</v>
      </c>
      <c r="AH247" s="86">
        <f>RANK(TableOverallMaster[[#This Row],[VORP]],TableOverallMaster[VORP])+COUNTIF($AM$2:AM247,AM247)-1</f>
        <v>251</v>
      </c>
      <c r="AI247" s="123" t="str">
        <f>IFERROR(INDEX(TableWRVORP[WIDE RECEIVER],MATCH(TableOverallMaster[[#This Row],[RK]],TableWRVORP[RK],0)),"")</f>
        <v>Braxton Berrios</v>
      </c>
      <c r="AJ247" s="123" t="str">
        <f t="shared" si="3"/>
        <v>WR106</v>
      </c>
      <c r="AK247" s="123">
        <f>IFERROR(INDEX(TableWRVORP[BYE],MATCH(TableOverallMaster[[#This Row],[RK]],TableWRVORP[RK],0)),"")</f>
        <v>10</v>
      </c>
      <c r="AL247" s="124">
        <f>IFERROR(INDEX(TableWRVORP[FPS],MATCH(TableOverallMaster[[#This Row],[RK]],TableWRVORP[RK],0)),"")</f>
        <v>56.686699079863281</v>
      </c>
      <c r="AM247" s="125">
        <f>IFERROR(INDEX(TableWRVORP[VORP],MATCH(TableOverallMaster[[#This Row],[RK]],TableWRVORP[RK],0)),"")</f>
        <v>-0.56492601605345971</v>
      </c>
      <c r="AO247">
        <v>246</v>
      </c>
      <c r="AP247" s="126" t="str">
        <f>IFERROR(INDEX(TableOverallMaster[OVERALL PLAYER],MATCH(TableOverallRank[[#This Row],[RK]],TableOverallMaster[OVR RK],0)),"")</f>
        <v>Cedrick Wilson</v>
      </c>
      <c r="AQ247" s="127" t="str">
        <f>IFERROR(INDEX(TableOverallMaster[POS RK],MATCH(TableOverallRank[[#This Row],[OVERALL PLAYER]],TableOverallMaster[OVERALL PLAYER],0)),"")</f>
        <v>WR102</v>
      </c>
      <c r="AR247" s="128">
        <f>IFERROR(INDEX(TableOverallMaster[BYE],MATCH(TableOverallRank[[#This Row],[OVERALL PLAYER]],TableOverallMaster[OVERALL PLAYER],0)),"")</f>
        <v>10</v>
      </c>
      <c r="AS247" s="127">
        <f>IFERROR(INDEX(TableOverallMaster[Custom],MATCH(TableOverallRank[[#This Row],[OVERALL PLAYER]],TableOverallMaster[OVERALL PLAYER],0)),"")</f>
        <v>59.155899982718687</v>
      </c>
      <c r="AT247" s="129">
        <f>IFERROR(INDEX(TableOverallMaster[VORP],MATCH(TableOverallRank[[#This Row],[OVERALL PLAYER]],TableOverallMaster[OVERALL PLAYER],0)),"")</f>
        <v>-0.54597474368432442</v>
      </c>
      <c r="AV247">
        <v>246</v>
      </c>
      <c r="AW247" s="130" t="str">
        <f>IFERROR(INDEX(TableWRTECalcPts[PLAYER],MATCH(TableWRTERank[[#This Row],[RK]],TableWRTECalcPts[RK],0)),"")</f>
        <v>Colby Parkinson</v>
      </c>
      <c r="AX247" s="130" t="str">
        <f>IFERROR(INDEX(TableWRTECalcPts[POS RK],MATCH(TableWRTERank[[#This Row],[WR and TE COMBINED]],TableWRTECalcPts[PLAYER],0)),"")</f>
        <v>TE86</v>
      </c>
      <c r="AY247" s="130">
        <f>IFERROR(INDEX(TableWRTECalcPts[BYE],MATCH(TableWRTERank[[#This Row],[RK]],TableWRTECalcPts[RK],0)),"")</f>
        <v>5</v>
      </c>
      <c r="AZ247" s="131">
        <f>IFERROR(INDEX(TableWRTECalcPts[Custom],MATCH(TableWRTERank[[#This Row],[RK]],TableWRTECalcPts[RK],0)),"")</f>
        <v>8.1406506414917494</v>
      </c>
      <c r="BA247" s="188">
        <f>IFERROR((TableWRTERank[[#This Row],[FPS]]-INDEX(TableWRTERank[FPS],MATCH(WRTEVORPCalc,TableWRTERank[RK],0)))/INDEX(TableWRTERank[FPS],MATCH(WRTEVORPCalc,TableWRTERank[RK],0)),"")</f>
        <v>-0.94117602422274249</v>
      </c>
      <c r="BC247" t="s">
        <v>10</v>
      </c>
      <c r="BD247">
        <v>46</v>
      </c>
      <c r="BE247" s="86">
        <f>RANK(TableWRTEMaster[[#This Row],[VORP]],TableWRTEMaster[VORP])+COUNTIF($BJ$2:BJ247,BJ247)-1</f>
        <v>158</v>
      </c>
      <c r="BF247" s="123" t="str">
        <f>IFERROR(INDEX(TableTEVORP[TIGHT END],MATCH(TableWRTEMaster[[#This Row],[RK]],TableTEVORP[RK],0)),"")</f>
        <v>Teagan Quitoriano</v>
      </c>
      <c r="BG247" s="123" t="str">
        <f>_xlfn.CONCAT(TableWRTEMaster[[#This Row],[POS]],TableWRTEMaster[[#This Row],[RK]])</f>
        <v>TE46</v>
      </c>
      <c r="BH247" s="123">
        <f>IFERROR(INDEX(TableTEVORP[BYE],MATCH(TableWRTEMaster[[#This Row],[RK]],TableTEVORP[RK],0)),"")</f>
        <v>7</v>
      </c>
      <c r="BI247" s="124">
        <f>IFERROR(INDEX(TableTEVORP[FPS],MATCH(TableWRTEMaster[[#This Row],[RK]],TableTEVORP[RK],0)),"")</f>
        <v>36.024327486654819</v>
      </c>
      <c r="BJ247" s="125">
        <f>IFERROR(INDEX(TableTEVORP[VORP],MATCH(TableWRTEMaster[[#This Row],[RK]],TableTEVORP[RK],0)),"")</f>
        <v>-0.69684195279239869</v>
      </c>
    </row>
    <row r="248" spans="32:62" x14ac:dyDescent="0.2">
      <c r="AF248" t="s">
        <v>257</v>
      </c>
      <c r="AG248">
        <v>107</v>
      </c>
      <c r="AH248" s="86">
        <f>RANK(TableOverallMaster[[#This Row],[VORP]],TableOverallMaster[VORP])+COUNTIF($AM$2:AM248,AM248)-1</f>
        <v>253</v>
      </c>
      <c r="AI248" s="123" t="str">
        <f>IFERROR(INDEX(TableWRVORP[WIDE RECEIVER],MATCH(TableOverallMaster[[#This Row],[RK]],TableWRVORP[RK],0)),"")</f>
        <v>Ben Skowronek</v>
      </c>
      <c r="AJ248" s="123" t="str">
        <f t="shared" si="3"/>
        <v>WR107</v>
      </c>
      <c r="AK248" s="123">
        <f>IFERROR(INDEX(TableWRVORP[BYE],MATCH(TableOverallMaster[[#This Row],[RK]],TableWRVORP[RK],0)),"")</f>
        <v>10</v>
      </c>
      <c r="AL248" s="124">
        <f>IFERROR(INDEX(TableWRVORP[FPS],MATCH(TableOverallMaster[[#This Row],[RK]],TableWRVORP[RK],0)),"")</f>
        <v>55.2630857895698</v>
      </c>
      <c r="AM248" s="125">
        <f>IFERROR(INDEX(TableWRVORP[VORP],MATCH(TableOverallMaster[[#This Row],[RK]],TableWRVORP[RK],0)),"")</f>
        <v>-0.57585233767495003</v>
      </c>
      <c r="AO248">
        <v>247</v>
      </c>
      <c r="AP248" s="126" t="str">
        <f>IFERROR(INDEX(TableOverallMaster[OVERALL PLAYER],MATCH(TableOverallRank[[#This Row],[RK]],TableOverallMaster[OVR RK],0)),"")</f>
        <v>Isaiah Likely</v>
      </c>
      <c r="AQ248" s="127" t="str">
        <f>IFERROR(INDEX(TableOverallMaster[POS RK],MATCH(TableOverallRank[[#This Row],[OVERALL PLAYER]],TableOverallMaster[OVERALL PLAYER],0)),"")</f>
        <v>TE41</v>
      </c>
      <c r="AR248" s="128">
        <f>IFERROR(INDEX(TableOverallMaster[BYE],MATCH(TableOverallRank[[#This Row],[OVERALL PLAYER]],TableOverallMaster[OVERALL PLAYER],0)),"")</f>
        <v>13</v>
      </c>
      <c r="AS248" s="127">
        <f>IFERROR(INDEX(TableOverallMaster[Custom],MATCH(TableOverallRank[[#This Row],[OVERALL PLAYER]],TableOverallMaster[OVERALL PLAYER],0)),"")</f>
        <v>53.123189134197595</v>
      </c>
      <c r="AT248" s="129">
        <f>IFERROR(INDEX(TableOverallMaster[VORP],MATCH(TableOverallRank[[#This Row],[OVERALL PLAYER]],TableOverallMaster[OVERALL PLAYER],0)),"")</f>
        <v>-0.55294870430740484</v>
      </c>
      <c r="AV248">
        <v>247</v>
      </c>
      <c r="AW248" s="130" t="str">
        <f>IFERROR(INDEX(TableWRTECalcPts[PLAYER],MATCH(TableWRTERank[[#This Row],[RK]],TableWRTECalcPts[RK],0)),"")</f>
        <v>Josh Oliver</v>
      </c>
      <c r="AX248" s="130" t="str">
        <f>IFERROR(INDEX(TableWRTECalcPts[POS RK],MATCH(TableWRTERank[[#This Row],[WR and TE COMBINED]],TableWRTECalcPts[PLAYER],0)),"")</f>
        <v>TE87</v>
      </c>
      <c r="AY248" s="130">
        <f>IFERROR(INDEX(TableWRTECalcPts[BYE],MATCH(TableWRTERank[[#This Row],[RK]],TableWRTECalcPts[RK],0)),"")</f>
        <v>13</v>
      </c>
      <c r="AZ248" s="131">
        <f>IFERROR(INDEX(TableWRTECalcPts[Custom],MATCH(TableWRTERank[[#This Row],[RK]],TableWRTECalcPts[RK],0)),"")</f>
        <v>7.947462224774859</v>
      </c>
      <c r="BA248" s="188">
        <f>IFERROR((TableWRTERank[[#This Row],[FPS]]-INDEX(TableWRTERank[FPS],MATCH(WRTEVORPCalc,TableWRTERank[RK],0)))/INDEX(TableWRTERank[FPS],MATCH(WRTEVORPCalc,TableWRTERank[RK],0)),"")</f>
        <v>-0.9425719950420135</v>
      </c>
      <c r="BC248" t="s">
        <v>10</v>
      </c>
      <c r="BD248">
        <v>47</v>
      </c>
      <c r="BE248" s="86">
        <f>RANK(TableWRTEMaster[[#This Row],[VORP]],TableWRTEMaster[VORP])+COUNTIF($BJ$2:BJ248,BJ248)-1</f>
        <v>160</v>
      </c>
      <c r="BF248" s="123" t="str">
        <f>IFERROR(INDEX(TableTEVORP[TIGHT END],MATCH(TableWRTEMaster[[#This Row],[RK]],TableTEVORP[RK],0)),"")</f>
        <v>Tucker Kraft</v>
      </c>
      <c r="BG248" s="123" t="str">
        <f>_xlfn.CONCAT(TableWRTEMaster[[#This Row],[POS]],TableWRTEMaster[[#This Row],[RK]])</f>
        <v>TE47</v>
      </c>
      <c r="BH248" s="123">
        <f>IFERROR(INDEX(TableTEVORP[BYE],MATCH(TableWRTEMaster[[#This Row],[RK]],TableTEVORP[RK],0)),"")</f>
        <v>6</v>
      </c>
      <c r="BI248" s="124">
        <f>IFERROR(INDEX(TableTEVORP[FPS],MATCH(TableWRTEMaster[[#This Row],[RK]],TableTEVORP[RK],0)),"")</f>
        <v>35.669760428570214</v>
      </c>
      <c r="BJ248" s="125">
        <f>IFERROR(INDEX(TableTEVORP[VORP],MATCH(TableWRTEMaster[[#This Row],[RK]],TableTEVORP[RK],0)),"")</f>
        <v>-0.69982576579967537</v>
      </c>
    </row>
    <row r="249" spans="32:62" x14ac:dyDescent="0.2">
      <c r="AF249" t="s">
        <v>257</v>
      </c>
      <c r="AG249">
        <v>108</v>
      </c>
      <c r="AH249" s="86">
        <f>RANK(TableOverallMaster[[#This Row],[VORP]],TableOverallMaster[VORP])+COUNTIF($AM$2:AM249,AM249)-1</f>
        <v>254</v>
      </c>
      <c r="AI249" s="123" t="str">
        <f>IFERROR(INDEX(TableWRVORP[WIDE RECEIVER],MATCH(TableOverallMaster[[#This Row],[RK]],TableWRVORP[RK],0)),"")</f>
        <v>Richie James</v>
      </c>
      <c r="AJ249" s="123" t="str">
        <f t="shared" si="3"/>
        <v>WR108</v>
      </c>
      <c r="AK249" s="123">
        <f>IFERROR(INDEX(TableWRVORP[BYE],MATCH(TableOverallMaster[[#This Row],[RK]],TableWRVORP[RK],0)),"")</f>
        <v>10</v>
      </c>
      <c r="AL249" s="124">
        <f>IFERROR(INDEX(TableWRVORP[FPS],MATCH(TableOverallMaster[[#This Row],[RK]],TableWRVORP[RK],0)),"")</f>
        <v>54.595342488959986</v>
      </c>
      <c r="AM249" s="125">
        <f>IFERROR(INDEX(TableWRVORP[VORP],MATCH(TableOverallMaster[[#This Row],[RK]],TableWRVORP[RK],0)),"")</f>
        <v>-0.58097730954252391</v>
      </c>
      <c r="AO249">
        <v>248</v>
      </c>
      <c r="AP249" s="126" t="str">
        <f>IFERROR(INDEX(TableOverallMaster[OVERALL PLAYER],MATCH(TableOverallRank[[#This Row],[RK]],TableOverallMaster[OVR RK],0)),"")</f>
        <v>Wan'Dale Robinson</v>
      </c>
      <c r="AQ249" s="127" t="str">
        <f>IFERROR(INDEX(TableOverallMaster[POS RK],MATCH(TableOverallRank[[#This Row],[OVERALL PLAYER]],TableOverallMaster[OVERALL PLAYER],0)),"")</f>
        <v>WR103</v>
      </c>
      <c r="AR249" s="128">
        <f>IFERROR(INDEX(TableOverallMaster[BYE],MATCH(TableOverallRank[[#This Row],[OVERALL PLAYER]],TableOverallMaster[OVERALL PLAYER],0)),"")</f>
        <v>13</v>
      </c>
      <c r="AS249" s="127">
        <f>IFERROR(INDEX(TableOverallMaster[Custom],MATCH(TableOverallRank[[#This Row],[OVERALL PLAYER]],TableOverallMaster[OVERALL PLAYER],0)),"")</f>
        <v>57.776482817212141</v>
      </c>
      <c r="AT249" s="129">
        <f>IFERROR(INDEX(TableOverallMaster[VORP],MATCH(TableOverallRank[[#This Row],[OVERALL PLAYER]],TableOverallMaster[OVERALL PLAYER],0)),"")</f>
        <v>-0.55656185726586593</v>
      </c>
      <c r="AV249">
        <v>248</v>
      </c>
      <c r="AW249" s="130" t="str">
        <f>IFERROR(INDEX(TableWRTECalcPts[PLAYER],MATCH(TableWRTERank[[#This Row],[RK]],TableWRTECalcPts[RK],0)),"")</f>
        <v>Charlie Kolar</v>
      </c>
      <c r="AX249" s="130" t="str">
        <f>IFERROR(INDEX(TableWRTECalcPts[POS RK],MATCH(TableWRTERank[[#This Row],[WR and TE COMBINED]],TableWRTECalcPts[PLAYER],0)),"")</f>
        <v>TE88</v>
      </c>
      <c r="AY249" s="130">
        <f>IFERROR(INDEX(TableWRTECalcPts[BYE],MATCH(TableWRTERank[[#This Row],[RK]],TableWRTECalcPts[RK],0)),"")</f>
        <v>13</v>
      </c>
      <c r="AZ249" s="131">
        <f>IFERROR(INDEX(TableWRTECalcPts[Custom],MATCH(TableWRTERank[[#This Row],[RK]],TableWRTECalcPts[RK],0)),"")</f>
        <v>7.7628243148098379</v>
      </c>
      <c r="BA249" s="188">
        <f>IFERROR((TableWRTERank[[#This Row],[FPS]]-INDEX(TableWRTERank[FPS],MATCH(WRTEVORPCalc,TableWRTERank[RK],0)))/INDEX(TableWRTERank[FPS],MATCH(WRTEVORPCalc,TableWRTERank[RK],0)),"")</f>
        <v>-0.94390618028366813</v>
      </c>
      <c r="BC249" t="s">
        <v>10</v>
      </c>
      <c r="BD249">
        <v>48</v>
      </c>
      <c r="BE249" s="86">
        <f>RANK(TableWRTEMaster[[#This Row],[VORP]],TableWRTEMaster[VORP])+COUNTIF($BJ$2:BJ249,BJ249)-1</f>
        <v>165</v>
      </c>
      <c r="BF249" s="123" t="str">
        <f>IFERROR(INDEX(TableTEVORP[TIGHT END],MATCH(TableWRTEMaster[[#This Row],[RK]],TableTEVORP[RK],0)),"")</f>
        <v>Donald Parham</v>
      </c>
      <c r="BG249" s="123" t="str">
        <f>_xlfn.CONCAT(TableWRTEMaster[[#This Row],[POS]],TableWRTEMaster[[#This Row],[RK]])</f>
        <v>TE48</v>
      </c>
      <c r="BH249" s="123">
        <f>IFERROR(INDEX(TableTEVORP[BYE],MATCH(TableWRTEMaster[[#This Row],[RK]],TableTEVORP[RK],0)),"")</f>
        <v>5</v>
      </c>
      <c r="BI249" s="124">
        <f>IFERROR(INDEX(TableTEVORP[FPS],MATCH(TableWRTEMaster[[#This Row],[RK]],TableTEVORP[RK],0)),"")</f>
        <v>32.990479742088795</v>
      </c>
      <c r="BJ249" s="125">
        <f>IFERROR(INDEX(TableTEVORP[VORP],MATCH(TableWRTEMaster[[#This Row],[RK]],TableTEVORP[RK],0)),"")</f>
        <v>-0.72237290428923195</v>
      </c>
    </row>
    <row r="250" spans="32:62" x14ac:dyDescent="0.2">
      <c r="AF250" t="s">
        <v>257</v>
      </c>
      <c r="AG250">
        <v>109</v>
      </c>
      <c r="AH250" s="86">
        <f>RANK(TableOverallMaster[[#This Row],[VORP]],TableOverallMaster[VORP])+COUNTIF($AM$2:AM250,AM250)-1</f>
        <v>258</v>
      </c>
      <c r="AI250" s="123" t="str">
        <f>IFERROR(INDEX(TableWRVORP[WIDE RECEIVER],MATCH(TableOverallMaster[[#This Row],[RK]],TableWRVORP[RK],0)),"")</f>
        <v>Kayshon Boutte</v>
      </c>
      <c r="AJ250" s="123" t="str">
        <f t="shared" si="3"/>
        <v>WR109</v>
      </c>
      <c r="AK250" s="123">
        <f>IFERROR(INDEX(TableWRVORP[BYE],MATCH(TableOverallMaster[[#This Row],[RK]],TableWRVORP[RK],0)),"")</f>
        <v>11</v>
      </c>
      <c r="AL250" s="124">
        <f>IFERROR(INDEX(TableWRVORP[FPS],MATCH(TableOverallMaster[[#This Row],[RK]],TableWRVORP[RK],0)),"")</f>
        <v>47.181509120148462</v>
      </c>
      <c r="AM250" s="125">
        <f>IFERROR(INDEX(TableWRVORP[VORP],MATCH(TableOverallMaster[[#This Row],[RK]],TableWRVORP[RK],0)),"")</f>
        <v>-0.6378789473595412</v>
      </c>
      <c r="AO250">
        <v>249</v>
      </c>
      <c r="AP250" s="126" t="str">
        <f>IFERROR(INDEX(TableOverallMaster[OVERALL PLAYER],MATCH(TableOverallRank[[#This Row],[RK]],TableOverallMaster[OVR RK],0)),"")</f>
        <v>Rashee Rice</v>
      </c>
      <c r="AQ250" s="127" t="str">
        <f>IFERROR(INDEX(TableOverallMaster[POS RK],MATCH(TableOverallRank[[#This Row],[OVERALL PLAYER]],TableOverallMaster[OVERALL PLAYER],0)),"")</f>
        <v>WR104</v>
      </c>
      <c r="AR250" s="128">
        <f>IFERROR(INDEX(TableOverallMaster[BYE],MATCH(TableOverallRank[[#This Row],[OVERALL PLAYER]],TableOverallMaster[OVERALL PLAYER],0)),"")</f>
        <v>10</v>
      </c>
      <c r="AS250" s="127">
        <f>IFERROR(INDEX(TableOverallMaster[Custom],MATCH(TableOverallRank[[#This Row],[OVERALL PLAYER]],TableOverallMaster[OVERALL PLAYER],0)),"")</f>
        <v>56.831704490872688</v>
      </c>
      <c r="AT250" s="129">
        <f>IFERROR(INDEX(TableOverallMaster[VORP],MATCH(TableOverallRank[[#This Row],[OVERALL PLAYER]],TableOverallMaster[OVERALL PLAYER],0)),"")</f>
        <v>-0.56381309039566496</v>
      </c>
      <c r="AV250">
        <v>249</v>
      </c>
      <c r="AW250" s="130" t="str">
        <f>IFERROR(INDEX(TableWRTECalcPts[PLAYER],MATCH(TableWRTERank[[#This Row],[RK]],TableWRTECalcPts[RK],0)),"")</f>
        <v>Payne Durham</v>
      </c>
      <c r="AX250" s="130" t="str">
        <f>IFERROR(INDEX(TableWRTECalcPts[POS RK],MATCH(TableWRTERank[[#This Row],[WR and TE COMBINED]],TableWRTECalcPts[PLAYER],0)),"")</f>
        <v>TE89</v>
      </c>
      <c r="AY250" s="130">
        <f>IFERROR(INDEX(TableWRTECalcPts[BYE],MATCH(TableWRTERank[[#This Row],[RK]],TableWRTECalcPts[RK],0)),"")</f>
        <v>5</v>
      </c>
      <c r="AZ250" s="131">
        <f>IFERROR(INDEX(TableWRTECalcPts[Custom],MATCH(TableWRTERank[[#This Row],[RK]],TableWRTECalcPts[RK],0)),"")</f>
        <v>7.5061367673600001</v>
      </c>
      <c r="BA250" s="188">
        <f>IFERROR((TableWRTERank[[#This Row],[FPS]]-INDEX(TableWRTERank[FPS],MATCH(WRTEVORPCalc,TableWRTERank[RK],0)))/INDEX(TableWRTERank[FPS],MATCH(WRTEVORPCalc,TableWRTERank[RK],0)),"")</f>
        <v>-0.94576099296860927</v>
      </c>
      <c r="BC250" t="s">
        <v>10</v>
      </c>
      <c r="BD250">
        <v>49</v>
      </c>
      <c r="BE250" s="86">
        <f>RANK(TableWRTEMaster[[#This Row],[VORP]],TableWRTEMaster[VORP])+COUNTIF($BJ$2:BJ250,BJ250)-1</f>
        <v>169</v>
      </c>
      <c r="BF250" s="123" t="str">
        <f>IFERROR(INDEX(TableTEVORP[TIGHT END],MATCH(TableWRTEMaster[[#This Row],[RK]],TableTEVORP[RK],0)),"")</f>
        <v>Julian Hill</v>
      </c>
      <c r="BG250" s="123" t="str">
        <f>_xlfn.CONCAT(TableWRTEMaster[[#This Row],[POS]],TableWRTEMaster[[#This Row],[RK]])</f>
        <v>TE49</v>
      </c>
      <c r="BH250" s="123">
        <f>IFERROR(INDEX(TableTEVORP[BYE],MATCH(TableWRTEMaster[[#This Row],[RK]],TableTEVORP[RK],0)),"")</f>
        <v>10</v>
      </c>
      <c r="BI250" s="124">
        <f>IFERROR(INDEX(TableTEVORP[FPS],MATCH(TableWRTEMaster[[#This Row],[RK]],TableTEVORP[RK],0)),"")</f>
        <v>31.534379794827011</v>
      </c>
      <c r="BJ250" s="125">
        <f>IFERROR(INDEX(TableTEVORP[VORP],MATCH(TableWRTEMaster[[#This Row],[RK]],TableTEVORP[RK],0)),"")</f>
        <v>-0.73462652419968</v>
      </c>
    </row>
    <row r="251" spans="32:62" x14ac:dyDescent="0.2">
      <c r="AF251" t="s">
        <v>257</v>
      </c>
      <c r="AG251">
        <v>110</v>
      </c>
      <c r="AH251" s="86">
        <f>RANK(TableOverallMaster[[#This Row],[VORP]],TableOverallMaster[VORP])+COUNTIF($AM$2:AM251,AM251)-1</f>
        <v>261</v>
      </c>
      <c r="AI251" s="123" t="str">
        <f>IFERROR(INDEX(TableWRVORP[WIDE RECEIVER],MATCH(TableOverallMaster[[#This Row],[RK]],TableWRVORP[RK],0)),"")</f>
        <v>KhaDarel Hodge</v>
      </c>
      <c r="AJ251" s="123" t="str">
        <f t="shared" si="3"/>
        <v>WR110</v>
      </c>
      <c r="AK251" s="123">
        <f>IFERROR(INDEX(TableWRVORP[BYE],MATCH(TableOverallMaster[[#This Row],[RK]],TableWRVORP[RK],0)),"")</f>
        <v>11</v>
      </c>
      <c r="AL251" s="124">
        <f>IFERROR(INDEX(TableWRVORP[FPS],MATCH(TableOverallMaster[[#This Row],[RK]],TableWRVORP[RK],0)),"")</f>
        <v>46.12868847008707</v>
      </c>
      <c r="AM251" s="125">
        <f>IFERROR(INDEX(TableWRVORP[VORP],MATCH(TableOverallMaster[[#This Row],[RK]],TableWRVORP[RK],0)),"")</f>
        <v>-0.64595941212532448</v>
      </c>
      <c r="AO251">
        <v>250</v>
      </c>
      <c r="AP251" s="126" t="str">
        <f>IFERROR(INDEX(TableOverallMaster[OVERALL PLAYER],MATCH(TableOverallRank[[#This Row],[RK]],TableOverallMaster[OVR RK],0)),"")</f>
        <v>Deonte Harty</v>
      </c>
      <c r="AQ251" s="127" t="str">
        <f>IFERROR(INDEX(TableOverallMaster[POS RK],MATCH(TableOverallRank[[#This Row],[OVERALL PLAYER]],TableOverallMaster[OVERALL PLAYER],0)),"")</f>
        <v>WR105</v>
      </c>
      <c r="AR251" s="128">
        <f>IFERROR(INDEX(TableOverallMaster[BYE],MATCH(TableOverallRank[[#This Row],[OVERALL PLAYER]],TableOverallMaster[OVERALL PLAYER],0)),"")</f>
        <v>13</v>
      </c>
      <c r="AS251" s="127">
        <f>IFERROR(INDEX(TableOverallMaster[Custom],MATCH(TableOverallRank[[#This Row],[OVERALL PLAYER]],TableOverallMaster[OVERALL PLAYER],0)),"")</f>
        <v>56.822667667156409</v>
      </c>
      <c r="AT251" s="129">
        <f>IFERROR(INDEX(TableOverallMaster[VORP],MATCH(TableOverallRank[[#This Row],[OVERALL PLAYER]],TableOverallMaster[OVERALL PLAYER],0)),"")</f>
        <v>-0.56388244858656833</v>
      </c>
      <c r="AV251">
        <v>250</v>
      </c>
      <c r="AW251" s="130" t="str">
        <f>IFERROR(INDEX(TableWRTECalcPts[PLAYER],MATCH(TableWRTERank[[#This Row],[RK]],TableWRTECalcPts[RK],0)),"")</f>
        <v>Tim Jones</v>
      </c>
      <c r="AX251" s="130" t="str">
        <f>IFERROR(INDEX(TableWRTECalcPts[POS RK],MATCH(TableWRTERank[[#This Row],[WR and TE COMBINED]],TableWRTECalcPts[PLAYER],0)),"")</f>
        <v>WR161</v>
      </c>
      <c r="AY251" s="130">
        <f>IFERROR(INDEX(TableWRTECalcPts[BYE],MATCH(TableWRTERank[[#This Row],[RK]],TableWRTECalcPts[RK],0)),"")</f>
        <v>9</v>
      </c>
      <c r="AZ251" s="131">
        <f>IFERROR(INDEX(TableWRTECalcPts[Custom],MATCH(TableWRTERank[[#This Row],[RK]],TableWRTECalcPts[RK],0)),"")</f>
        <v>7.3040380685999988</v>
      </c>
      <c r="BA251" s="188">
        <f>IFERROR((TableWRTERank[[#This Row],[FPS]]-INDEX(TableWRTERank[FPS],MATCH(WRTEVORPCalc,TableWRTERank[RK],0)))/INDEX(TableWRTERank[FPS],MATCH(WRTEVORPCalc,TableWRTERank[RK],0)),"")</f>
        <v>-0.9472213490855862</v>
      </c>
      <c r="BC251" t="s">
        <v>10</v>
      </c>
      <c r="BD251">
        <v>50</v>
      </c>
      <c r="BE251" s="86">
        <f>RANK(TableWRTEMaster[[#This Row],[VORP]],TableWRTEMaster[VORP])+COUNTIF($BJ$2:BJ251,BJ251)-1</f>
        <v>171</v>
      </c>
      <c r="BF251" s="123" t="str">
        <f>IFERROR(INDEX(TableTEVORP[TIGHT END],MATCH(TableWRTEMaster[[#This Row],[RK]],TableTEVORP[RK],0)),"")</f>
        <v>Luke Schoonmaker</v>
      </c>
      <c r="BG251" s="123" t="str">
        <f>_xlfn.CONCAT(TableWRTEMaster[[#This Row],[POS]],TableWRTEMaster[[#This Row],[RK]])</f>
        <v>TE50</v>
      </c>
      <c r="BH251" s="123">
        <f>IFERROR(INDEX(TableTEVORP[BYE],MATCH(TableWRTEMaster[[#This Row],[RK]],TableTEVORP[RK],0)),"")</f>
        <v>7</v>
      </c>
      <c r="BI251" s="124">
        <f>IFERROR(INDEX(TableTEVORP[FPS],MATCH(TableWRTEMaster[[#This Row],[RK]],TableTEVORP[RK],0)),"")</f>
        <v>31.070588099084844</v>
      </c>
      <c r="BJ251" s="125">
        <f>IFERROR(INDEX(TableTEVORP[VORP],MATCH(TableWRTEMaster[[#This Row],[RK]],TableTEVORP[RK],0)),"")</f>
        <v>-0.73852950295325659</v>
      </c>
    </row>
    <row r="252" spans="32:62" x14ac:dyDescent="0.2">
      <c r="AF252" t="s">
        <v>10</v>
      </c>
      <c r="AG252">
        <v>1</v>
      </c>
      <c r="AH252" s="86">
        <f>RANK(TableOverallMaster[[#This Row],[VORP]],TableOverallMaster[VORP])+COUNTIF($AM$2:AM252,AM252)-1</f>
        <v>13</v>
      </c>
      <c r="AI252" s="123" t="str">
        <f>IFERROR(INDEX(TableTEVORP[TIGHT END],MATCH(TableOverallMaster[[#This Row],[RK]],TableTEVORP[RK],0)),"")</f>
        <v>Travis Kelce</v>
      </c>
      <c r="AJ252" s="123" t="str">
        <f t="shared" si="3"/>
        <v>TE1</v>
      </c>
      <c r="AK252" s="123">
        <f>IFERROR(INDEX(TableTEVORP[BYE],MATCH(TableOverallMaster[[#This Row],[RK]],TableTEVORP[RK],0)),"")</f>
        <v>10</v>
      </c>
      <c r="AL252" s="124">
        <f>IFERROR(INDEX(TableTEVORP[FPS],MATCH(TableOverallMaster[[#This Row],[RK]],TableTEVORP[RK],0)),"")</f>
        <v>224.5527577004236</v>
      </c>
      <c r="AM252" s="125">
        <f>IFERROR(INDEX(TableTEVORP[VORP],MATCH(TableOverallMaster[[#This Row],[RK]],TableTEVORP[RK],0)),"")</f>
        <v>0.88969455556832755</v>
      </c>
      <c r="AO252">
        <v>251</v>
      </c>
      <c r="AP252" s="126" t="str">
        <f>IFERROR(INDEX(TableOverallMaster[OVERALL PLAYER],MATCH(TableOverallRank[[#This Row],[RK]],TableOverallMaster[OVR RK],0)),"")</f>
        <v>Braxton Berrios</v>
      </c>
      <c r="AQ252" s="127" t="str">
        <f>IFERROR(INDEX(TableOverallMaster[POS RK],MATCH(TableOverallRank[[#This Row],[OVERALL PLAYER]],TableOverallMaster[OVERALL PLAYER],0)),"")</f>
        <v>WR106</v>
      </c>
      <c r="AR252" s="128">
        <f>IFERROR(INDEX(TableOverallMaster[BYE],MATCH(TableOverallRank[[#This Row],[OVERALL PLAYER]],TableOverallMaster[OVERALL PLAYER],0)),"")</f>
        <v>10</v>
      </c>
      <c r="AS252" s="127">
        <f>IFERROR(INDEX(TableOverallMaster[Custom],MATCH(TableOverallRank[[#This Row],[OVERALL PLAYER]],TableOverallMaster[OVERALL PLAYER],0)),"")</f>
        <v>56.686699079863281</v>
      </c>
      <c r="AT252" s="129">
        <f>IFERROR(INDEX(TableOverallMaster[VORP],MATCH(TableOverallRank[[#This Row],[OVERALL PLAYER]],TableOverallMaster[OVERALL PLAYER],0)),"")</f>
        <v>-0.56492601605345971</v>
      </c>
      <c r="AV252">
        <v>251</v>
      </c>
      <c r="AW252" s="130" t="str">
        <f>IFERROR(INDEX(TableWRTECalcPts[PLAYER],MATCH(TableWRTERank[[#This Row],[RK]],TableWRTECalcPts[RK],0)),"")</f>
        <v>Luke Farrell</v>
      </c>
      <c r="AX252" s="130" t="str">
        <f>IFERROR(INDEX(TableWRTECalcPts[POS RK],MATCH(TableWRTERank[[#This Row],[WR and TE COMBINED]],TableWRTECalcPts[PLAYER],0)),"")</f>
        <v>TE90</v>
      </c>
      <c r="AY252" s="130">
        <f>IFERROR(INDEX(TableWRTECalcPts[BYE],MATCH(TableWRTERank[[#This Row],[RK]],TableWRTECalcPts[RK],0)),"")</f>
        <v>9</v>
      </c>
      <c r="AZ252" s="131">
        <f>IFERROR(INDEX(TableWRTECalcPts[Custom],MATCH(TableWRTERank[[#This Row],[RK]],TableWRTECalcPts[RK],0)),"")</f>
        <v>6.4640458763999984</v>
      </c>
      <c r="BA252" s="188">
        <f>IFERROR((TableWRTERank[[#This Row],[FPS]]-INDEX(TableWRTERank[FPS],MATCH(WRTEVORPCalc,TableWRTERank[RK],0)))/INDEX(TableWRTERank[FPS],MATCH(WRTEVORPCalc,TableWRTERank[RK],0)),"")</f>
        <v>-0.95329109492570518</v>
      </c>
      <c r="BC252" t="s">
        <v>10</v>
      </c>
      <c r="BD252">
        <v>51</v>
      </c>
      <c r="BE252" s="86">
        <f>RANK(TableWRTEMaster[[#This Row],[VORP]],TableWRTEMaster[VORP])+COUNTIF($BJ$2:BJ252,BJ252)-1</f>
        <v>176</v>
      </c>
      <c r="BF252" s="123" t="str">
        <f>IFERROR(INDEX(TableTEVORP[TIGHT END],MATCH(TableWRTEMaster[[#This Row],[RK]],TableTEVORP[RK],0)),"")</f>
        <v>Trevon Wesco</v>
      </c>
      <c r="BG252" s="123" t="str">
        <f>_xlfn.CONCAT(TableWRTEMaster[[#This Row],[POS]],TableWRTEMaster[[#This Row],[RK]])</f>
        <v>TE51</v>
      </c>
      <c r="BH252" s="123">
        <f>IFERROR(INDEX(TableTEVORP[BYE],MATCH(TableWRTEMaster[[#This Row],[RK]],TableTEVORP[RK],0)),"")</f>
        <v>7</v>
      </c>
      <c r="BI252" s="124">
        <f>IFERROR(INDEX(TableTEVORP[FPS],MATCH(TableWRTEMaster[[#This Row],[RK]],TableTEVORP[RK],0)),"")</f>
        <v>30.596001222191997</v>
      </c>
      <c r="BJ252" s="125">
        <f>IFERROR(INDEX(TableTEVORP[VORP],MATCH(TableWRTEMaster[[#This Row],[RK]],TableTEVORP[RK],0)),"")</f>
        <v>-0.7425233271511541</v>
      </c>
    </row>
    <row r="253" spans="32:62" x14ac:dyDescent="0.2">
      <c r="AF253" t="s">
        <v>10</v>
      </c>
      <c r="AG253">
        <v>2</v>
      </c>
      <c r="AH253" s="86">
        <f>RANK(TableOverallMaster[[#This Row],[VORP]],TableOverallMaster[VORP])+COUNTIF($AM$2:AM253,AM253)-1</f>
        <v>40</v>
      </c>
      <c r="AI253" s="123" t="str">
        <f>IFERROR(INDEX(TableTEVORP[TIGHT END],MATCH(TableOverallMaster[[#This Row],[RK]],TableTEVORP[RK],0)),"")</f>
        <v>Mark Andrews</v>
      </c>
      <c r="AJ253" s="123" t="str">
        <f t="shared" si="3"/>
        <v>TE2</v>
      </c>
      <c r="AK253" s="123">
        <f>IFERROR(INDEX(TableTEVORP[BYE],MATCH(TableOverallMaster[[#This Row],[RK]],TableTEVORP[RK],0)),"")</f>
        <v>13</v>
      </c>
      <c r="AL253" s="124">
        <f>IFERROR(INDEX(TableTEVORP[FPS],MATCH(TableOverallMaster[[#This Row],[RK]],TableTEVORP[RK],0)),"")</f>
        <v>182.44202704799619</v>
      </c>
      <c r="AM253" s="125">
        <f>IFERROR(INDEX(TableTEVORP[VORP],MATCH(TableOverallMaster[[#This Row],[RK]],TableTEVORP[RK],0)),"")</f>
        <v>0.5353171733450397</v>
      </c>
      <c r="AO253">
        <v>252</v>
      </c>
      <c r="AP253" s="126" t="str">
        <f>IFERROR(INDEX(TableOverallMaster[OVERALL PLAYER],MATCH(TableOverallRank[[#This Row],[RK]],TableOverallMaster[OVR RK],0)),"")</f>
        <v>Chase Edmonds</v>
      </c>
      <c r="AQ253" s="127" t="str">
        <f>IFERROR(INDEX(TableOverallMaster[POS RK],MATCH(TableOverallRank[[#This Row],[OVERALL PLAYER]],TableOverallMaster[OVERALL PLAYER],0)),"")</f>
        <v>RB73</v>
      </c>
      <c r="AR253" s="128">
        <f>IFERROR(INDEX(TableOverallMaster[BYE],MATCH(TableOverallRank[[#This Row],[OVERALL PLAYER]],TableOverallMaster[OVERALL PLAYER],0)),"")</f>
        <v>5</v>
      </c>
      <c r="AS253" s="127">
        <f>IFERROR(INDEX(TableOverallMaster[Custom],MATCH(TableOverallRank[[#This Row],[OVERALL PLAYER]],TableOverallMaster[OVERALL PLAYER],0)),"")</f>
        <v>52.093323083656742</v>
      </c>
      <c r="AT253" s="129">
        <f>IFERROR(INDEX(TableOverallMaster[VORP],MATCH(TableOverallRank[[#This Row],[OVERALL PLAYER]],TableOverallMaster[OVERALL PLAYER],0)),"")</f>
        <v>-0.57461960744909168</v>
      </c>
      <c r="AV253">
        <v>252</v>
      </c>
      <c r="AW253" s="130" t="str">
        <f>IFERROR(INDEX(TableWRTECalcPts[PLAYER],MATCH(TableWRTERank[[#This Row],[RK]],TableWRTECalcPts[RK],0)),"")</f>
        <v>Danny Gray</v>
      </c>
      <c r="AX253" s="130" t="str">
        <f>IFERROR(INDEX(TableWRTECalcPts[POS RK],MATCH(TableWRTERank[[#This Row],[WR and TE COMBINED]],TableWRTECalcPts[PLAYER],0)),"")</f>
        <v>WR162</v>
      </c>
      <c r="AY253" s="130">
        <f>IFERROR(INDEX(TableWRTECalcPts[BYE],MATCH(TableWRTERank[[#This Row],[RK]],TableWRTECalcPts[RK],0)),"")</f>
        <v>9</v>
      </c>
      <c r="AZ253" s="131">
        <f>IFERROR(INDEX(TableWRTECalcPts[Custom],MATCH(TableWRTERank[[#This Row],[RK]],TableWRTECalcPts[RK],0)),"")</f>
        <v>6.1474887920832781</v>
      </c>
      <c r="BA253" s="188">
        <f>IFERROR((TableWRTERank[[#This Row],[FPS]]-INDEX(TableWRTERank[FPS],MATCH(WRTEVORPCalc,TableWRTERank[RK],0)))/INDEX(TableWRTERank[FPS],MATCH(WRTEVORPCalc,TableWRTERank[RK],0)),"")</f>
        <v>-0.95557852219411765</v>
      </c>
      <c r="BC253" t="s">
        <v>10</v>
      </c>
      <c r="BD253">
        <v>52</v>
      </c>
      <c r="BE253" s="86">
        <f>RANK(TableWRTEMaster[[#This Row],[VORP]],TableWRTEMaster[VORP])+COUNTIF($BJ$2:BJ253,BJ253)-1</f>
        <v>177</v>
      </c>
      <c r="BF253" s="123" t="str">
        <f>IFERROR(INDEX(TableTEVORP[TIGHT END],MATCH(TableWRTEMaster[[#This Row],[RK]],TableTEVORP[RK],0)),"")</f>
        <v>James Mitchell</v>
      </c>
      <c r="BG253" s="123" t="str">
        <f>_xlfn.CONCAT(TableWRTEMaster[[#This Row],[POS]],TableWRTEMaster[[#This Row],[RK]])</f>
        <v>TE52</v>
      </c>
      <c r="BH253" s="123">
        <f>IFERROR(INDEX(TableTEVORP[BYE],MATCH(TableWRTEMaster[[#This Row],[RK]],TableTEVORP[RK],0)),"")</f>
        <v>9</v>
      </c>
      <c r="BI253" s="124">
        <f>IFERROR(INDEX(TableTEVORP[FPS],MATCH(TableWRTEMaster[[#This Row],[RK]],TableTEVORP[RK],0)),"")</f>
        <v>28.641318240820141</v>
      </c>
      <c r="BJ253" s="125">
        <f>IFERROR(INDEX(TableTEVORP[VORP],MATCH(TableWRTEMaster[[#This Row],[RK]],TableTEVORP[RK],0)),"")</f>
        <v>-0.75897270780266379</v>
      </c>
    </row>
    <row r="254" spans="32:62" x14ac:dyDescent="0.2">
      <c r="AF254" t="s">
        <v>10</v>
      </c>
      <c r="AG254">
        <v>3</v>
      </c>
      <c r="AH254" s="86">
        <f>RANK(TableOverallMaster[[#This Row],[VORP]],TableOverallMaster[VORP])+COUNTIF($AM$2:AM254,AM254)-1</f>
        <v>41</v>
      </c>
      <c r="AI254" s="123" t="str">
        <f>IFERROR(INDEX(TableTEVORP[TIGHT END],MATCH(TableOverallMaster[[#This Row],[RK]],TableTEVORP[RK],0)),"")</f>
        <v>Darren Waller</v>
      </c>
      <c r="AJ254" s="123" t="str">
        <f t="shared" si="3"/>
        <v>TE3</v>
      </c>
      <c r="AK254" s="123">
        <f>IFERROR(INDEX(TableTEVORP[BYE],MATCH(TableOverallMaster[[#This Row],[RK]],TableTEVORP[RK],0)),"")</f>
        <v>13</v>
      </c>
      <c r="AL254" s="124">
        <f>IFERROR(INDEX(TableTEVORP[FPS],MATCH(TableOverallMaster[[#This Row],[RK]],TableTEVORP[RK],0)),"")</f>
        <v>181.80931561622648</v>
      </c>
      <c r="AM254" s="125">
        <f>IFERROR(INDEX(TableTEVORP[VORP],MATCH(TableOverallMaster[[#This Row],[RK]],TableTEVORP[RK],0)),"")</f>
        <v>0.52999267250120607</v>
      </c>
      <c r="AO254">
        <v>253</v>
      </c>
      <c r="AP254" s="126" t="str">
        <f>IFERROR(INDEX(TableOverallMaster[OVERALL PLAYER],MATCH(TableOverallRank[[#This Row],[RK]],TableOverallMaster[OVR RK],0)),"")</f>
        <v>Ben Skowronek</v>
      </c>
      <c r="AQ254" s="127" t="str">
        <f>IFERROR(INDEX(TableOverallMaster[POS RK],MATCH(TableOverallRank[[#This Row],[OVERALL PLAYER]],TableOverallMaster[OVERALL PLAYER],0)),"")</f>
        <v>WR107</v>
      </c>
      <c r="AR254" s="128">
        <f>IFERROR(INDEX(TableOverallMaster[BYE],MATCH(TableOverallRank[[#This Row],[OVERALL PLAYER]],TableOverallMaster[OVERALL PLAYER],0)),"")</f>
        <v>10</v>
      </c>
      <c r="AS254" s="127">
        <f>IFERROR(INDEX(TableOverallMaster[Custom],MATCH(TableOverallRank[[#This Row],[OVERALL PLAYER]],TableOverallMaster[OVERALL PLAYER],0)),"")</f>
        <v>55.2630857895698</v>
      </c>
      <c r="AT254" s="129">
        <f>IFERROR(INDEX(TableOverallMaster[VORP],MATCH(TableOverallRank[[#This Row],[OVERALL PLAYER]],TableOverallMaster[OVERALL PLAYER],0)),"")</f>
        <v>-0.57585233767495003</v>
      </c>
      <c r="AV254">
        <v>253</v>
      </c>
      <c r="AW254" s="130" t="str">
        <f>IFERROR(INDEX(TableWRTECalcPts[PLAYER],MATCH(TableWRTERank[[#This Row],[RK]],TableWRTECalcPts[RK],0)),"")</f>
        <v/>
      </c>
      <c r="AX254" s="130" t="str">
        <f>IFERROR(INDEX(TableWRTECalcPts[POS RK],MATCH(TableWRTERank[[#This Row],[WR and TE COMBINED]],TableWRTECalcPts[PLAYER],0)),"")</f>
        <v>TE91</v>
      </c>
      <c r="AY254" s="130" t="str">
        <f>IFERROR(INDEX(TableWRTECalcPts[BYE],MATCH(TableWRTERank[[#This Row],[RK]],TableWRTECalcPts[RK],0)),"")</f>
        <v/>
      </c>
      <c r="AZ254" s="131" t="str">
        <f>IFERROR(INDEX(TableWRTECalcPts[Custom],MATCH(TableWRTERank[[#This Row],[RK]],TableWRTECalcPts[RK],0)),"")</f>
        <v/>
      </c>
      <c r="BA254" s="188" t="str">
        <f>IFERROR((TableWRTERank[[#This Row],[FPS]]-INDEX(TableWRTERank[FPS],MATCH(WRTEVORPCalc,TableWRTERank[RK],0)))/INDEX(TableWRTERank[FPS],MATCH(WRTEVORPCalc,TableWRTERank[RK],0)),"")</f>
        <v/>
      </c>
      <c r="BC254" t="s">
        <v>10</v>
      </c>
      <c r="BD254">
        <v>53</v>
      </c>
      <c r="BE254" s="86">
        <f>RANK(TableWRTEMaster[[#This Row],[VORP]],TableWRTEMaster[VORP])+COUNTIF($BJ$2:BJ254,BJ254)-1</f>
        <v>178</v>
      </c>
      <c r="BF254" s="123" t="str">
        <f>IFERROR(INDEX(TableTEVORP[TIGHT END],MATCH(TableWRTEMaster[[#This Row],[RK]],TableTEVORP[RK],0)),"")</f>
        <v>Peyton Hendershot</v>
      </c>
      <c r="BG254" s="123" t="str">
        <f>_xlfn.CONCAT(TableWRTEMaster[[#This Row],[POS]],TableWRTEMaster[[#This Row],[RK]])</f>
        <v>TE53</v>
      </c>
      <c r="BH254" s="123">
        <f>IFERROR(INDEX(TableTEVORP[BYE],MATCH(TableWRTEMaster[[#This Row],[RK]],TableTEVORP[RK],0)),"")</f>
        <v>7</v>
      </c>
      <c r="BI254" s="124">
        <f>IFERROR(INDEX(TableTEVORP[FPS],MATCH(TableWRTEMaster[[#This Row],[RK]],TableTEVORP[RK],0)),"")</f>
        <v>28.504394505953329</v>
      </c>
      <c r="BJ254" s="125">
        <f>IFERROR(INDEX(TableTEVORP[VORP],MATCH(TableWRTEMaster[[#This Row],[RK]],TableTEVORP[RK],0)),"")</f>
        <v>-0.7601249717024956</v>
      </c>
    </row>
    <row r="255" spans="32:62" x14ac:dyDescent="0.2">
      <c r="AF255" t="s">
        <v>10</v>
      </c>
      <c r="AG255">
        <v>4</v>
      </c>
      <c r="AH255" s="86">
        <f>RANK(TableOverallMaster[[#This Row],[VORP]],TableOverallMaster[VORP])+COUNTIF($AM$2:AM255,AM255)-1</f>
        <v>51</v>
      </c>
      <c r="AI255" s="123" t="str">
        <f>IFERROR(INDEX(TableTEVORP[TIGHT END],MATCH(TableOverallMaster[[#This Row],[RK]],TableTEVORP[RK],0)),"")</f>
        <v>T.J. Hockenson</v>
      </c>
      <c r="AJ255" s="123" t="str">
        <f t="shared" si="3"/>
        <v>TE4</v>
      </c>
      <c r="AK255" s="123">
        <f>IFERROR(INDEX(TableTEVORP[BYE],MATCH(TableOverallMaster[[#This Row],[RK]],TableTEVORP[RK],0)),"")</f>
        <v>13</v>
      </c>
      <c r="AL255" s="124">
        <f>IFERROR(INDEX(TableTEVORP[FPS],MATCH(TableOverallMaster[[#This Row],[RK]],TableTEVORP[RK],0)),"")</f>
        <v>173.66456609490382</v>
      </c>
      <c r="AM255" s="125">
        <f>IFERROR(INDEX(TableTEVORP[VORP],MATCH(TableOverallMaster[[#This Row],[RK]],TableTEVORP[RK],0)),"")</f>
        <v>0.46145159117792761</v>
      </c>
      <c r="AO255">
        <v>254</v>
      </c>
      <c r="AP255" s="126" t="str">
        <f>IFERROR(INDEX(TableOverallMaster[OVERALL PLAYER],MATCH(TableOverallRank[[#This Row],[RK]],TableOverallMaster[OVR RK],0)),"")</f>
        <v>Richie James</v>
      </c>
      <c r="AQ255" s="127" t="str">
        <f>IFERROR(INDEX(TableOverallMaster[POS RK],MATCH(TableOverallRank[[#This Row],[OVERALL PLAYER]],TableOverallMaster[OVERALL PLAYER],0)),"")</f>
        <v>WR108</v>
      </c>
      <c r="AR255" s="128">
        <f>IFERROR(INDEX(TableOverallMaster[BYE],MATCH(TableOverallRank[[#This Row],[OVERALL PLAYER]],TableOverallMaster[OVERALL PLAYER],0)),"")</f>
        <v>10</v>
      </c>
      <c r="AS255" s="127">
        <f>IFERROR(INDEX(TableOverallMaster[Custom],MATCH(TableOverallRank[[#This Row],[OVERALL PLAYER]],TableOverallMaster[OVERALL PLAYER],0)),"")</f>
        <v>54.595342488959986</v>
      </c>
      <c r="AT255" s="129">
        <f>IFERROR(INDEX(TableOverallMaster[VORP],MATCH(TableOverallRank[[#This Row],[OVERALL PLAYER]],TableOverallMaster[OVERALL PLAYER],0)),"")</f>
        <v>-0.58097730954252391</v>
      </c>
      <c r="AV255">
        <v>254</v>
      </c>
      <c r="AW255" s="130" t="str">
        <f>IFERROR(INDEX(TableWRTECalcPts[PLAYER],MATCH(TableWRTERank[[#This Row],[RK]],TableWRTECalcPts[RK],0)),"")</f>
        <v/>
      </c>
      <c r="AX255" s="130" t="str">
        <f>IFERROR(INDEX(TableWRTECalcPts[POS RK],MATCH(TableWRTERank[[#This Row],[WR and TE COMBINED]],TableWRTECalcPts[PLAYER],0)),"")</f>
        <v>TE91</v>
      </c>
      <c r="AY255" s="130" t="str">
        <f>IFERROR(INDEX(TableWRTECalcPts[BYE],MATCH(TableWRTERank[[#This Row],[RK]],TableWRTECalcPts[RK],0)),"")</f>
        <v/>
      </c>
      <c r="AZ255" s="131" t="str">
        <f>IFERROR(INDEX(TableWRTECalcPts[Custom],MATCH(TableWRTERank[[#This Row],[RK]],TableWRTECalcPts[RK],0)),"")</f>
        <v/>
      </c>
      <c r="BA255" s="188" t="str">
        <f>IFERROR((TableWRTERank[[#This Row],[FPS]]-INDEX(TableWRTERank[FPS],MATCH(WRTEVORPCalc,TableWRTERank[RK],0)))/INDEX(TableWRTERank[FPS],MATCH(WRTEVORPCalc,TableWRTERank[RK],0)),"")</f>
        <v/>
      </c>
      <c r="BC255" t="s">
        <v>10</v>
      </c>
      <c r="BD255">
        <v>54</v>
      </c>
      <c r="BE255" s="86">
        <f>RANK(TableWRTEMaster[[#This Row],[VORP]],TableWRTEMaster[VORP])+COUNTIF($BJ$2:BJ255,BJ255)-1</f>
        <v>179</v>
      </c>
      <c r="BF255" s="123" t="str">
        <f>IFERROR(INDEX(TableTEVORP[TIGHT END],MATCH(TableWRTEMaster[[#This Row],[RK]],TableTEVORP[RK],0)),"")</f>
        <v>Brenton Strange</v>
      </c>
      <c r="BG255" s="123" t="str">
        <f>_xlfn.CONCAT(TableWRTEMaster[[#This Row],[POS]],TableWRTEMaster[[#This Row],[RK]])</f>
        <v>TE54</v>
      </c>
      <c r="BH255" s="123">
        <f>IFERROR(INDEX(TableTEVORP[BYE],MATCH(TableWRTEMaster[[#This Row],[RK]],TableTEVORP[RK],0)),"")</f>
        <v>9</v>
      </c>
      <c r="BI255" s="124">
        <f>IFERROR(INDEX(TableTEVORP[FPS],MATCH(TableWRTEMaster[[#This Row],[RK]],TableTEVORP[RK],0)),"")</f>
        <v>27.978221136532827</v>
      </c>
      <c r="BJ255" s="125">
        <f>IFERROR(INDEX(TableTEVORP[VORP],MATCH(TableWRTEMaster[[#This Row],[RK]],TableTEVORP[RK],0)),"")</f>
        <v>-0.76455291532546144</v>
      </c>
    </row>
    <row r="256" spans="32:62" x14ac:dyDescent="0.2">
      <c r="AF256" t="s">
        <v>10</v>
      </c>
      <c r="AG256">
        <v>5</v>
      </c>
      <c r="AH256" s="86">
        <f>RANK(TableOverallMaster[[#This Row],[VORP]],TableOverallMaster[VORP])+COUNTIF($AM$2:AM256,AM256)-1</f>
        <v>70</v>
      </c>
      <c r="AI256" s="123" t="str">
        <f>IFERROR(INDEX(TableTEVORP[TIGHT END],MATCH(TableOverallMaster[[#This Row],[RK]],TableTEVORP[RK],0)),"")</f>
        <v>George Kittle</v>
      </c>
      <c r="AJ256" s="123" t="str">
        <f t="shared" si="3"/>
        <v>TE5</v>
      </c>
      <c r="AK256" s="123">
        <f>IFERROR(INDEX(TableTEVORP[BYE],MATCH(TableOverallMaster[[#This Row],[RK]],TableTEVORP[RK],0)),"")</f>
        <v>9</v>
      </c>
      <c r="AL256" s="124">
        <f>IFERROR(INDEX(TableTEVORP[FPS],MATCH(TableOverallMaster[[#This Row],[RK]],TableTEVORP[RK],0)),"")</f>
        <v>160.72749918287673</v>
      </c>
      <c r="AM256" s="125">
        <f>IFERROR(INDEX(TableTEVORP[VORP],MATCH(TableOverallMaster[[#This Row],[RK]],TableTEVORP[RK],0)),"")</f>
        <v>0.35258138553433588</v>
      </c>
      <c r="AO256">
        <v>255</v>
      </c>
      <c r="AP256" s="126" t="str">
        <f>IFERROR(INDEX(TableOverallMaster[OVERALL PLAYER],MATCH(TableOverallRank[[#This Row],[RK]],TableOverallMaster[OVR RK],0)),"")</f>
        <v>Kendre Miller</v>
      </c>
      <c r="AQ256" s="127" t="str">
        <f>IFERROR(INDEX(TableOverallMaster[POS RK],MATCH(TableOverallRank[[#This Row],[OVERALL PLAYER]],TableOverallMaster[OVERALL PLAYER],0)),"")</f>
        <v>RB74</v>
      </c>
      <c r="AR256" s="128">
        <f>IFERROR(INDEX(TableOverallMaster[BYE],MATCH(TableOverallRank[[#This Row],[OVERALL PLAYER]],TableOverallMaster[OVERALL PLAYER],0)),"")</f>
        <v>11</v>
      </c>
      <c r="AS256" s="127">
        <f>IFERROR(INDEX(TableOverallMaster[Custom],MATCH(TableOverallRank[[#This Row],[OVERALL PLAYER]],TableOverallMaster[OVERALL PLAYER],0)),"")</f>
        <v>48.784507484923481</v>
      </c>
      <c r="AT256" s="129">
        <f>IFERROR(INDEX(TableOverallMaster[VORP],MATCH(TableOverallRank[[#This Row],[OVERALL PLAYER]],TableOverallMaster[OVERALL PLAYER],0)),"")</f>
        <v>-0.60163852647653426</v>
      </c>
      <c r="AV256">
        <v>255</v>
      </c>
      <c r="AW256" s="130" t="str">
        <f>IFERROR(INDEX(TableWRTECalcPts[PLAYER],MATCH(TableWRTERank[[#This Row],[RK]],TableWRTECalcPts[RK],0)),"")</f>
        <v/>
      </c>
      <c r="AX256" s="130" t="str">
        <f>IFERROR(INDEX(TableWRTECalcPts[POS RK],MATCH(TableWRTERank[[#This Row],[WR and TE COMBINED]],TableWRTECalcPts[PLAYER],0)),"")</f>
        <v>TE91</v>
      </c>
      <c r="AY256" s="130" t="str">
        <f>IFERROR(INDEX(TableWRTECalcPts[BYE],MATCH(TableWRTERank[[#This Row],[RK]],TableWRTECalcPts[RK],0)),"")</f>
        <v/>
      </c>
      <c r="AZ256" s="131" t="str">
        <f>IFERROR(INDEX(TableWRTECalcPts[Custom],MATCH(TableWRTERank[[#This Row],[RK]],TableWRTECalcPts[RK],0)),"")</f>
        <v/>
      </c>
      <c r="BA256" s="188" t="str">
        <f>IFERROR((TableWRTERank[[#This Row],[FPS]]-INDEX(TableWRTERank[FPS],MATCH(WRTEVORPCalc,TableWRTERank[RK],0)))/INDEX(TableWRTERank[FPS],MATCH(WRTEVORPCalc,TableWRTERank[RK],0)),"")</f>
        <v/>
      </c>
      <c r="BC256" t="s">
        <v>10</v>
      </c>
      <c r="BD256">
        <v>55</v>
      </c>
      <c r="BE256" s="86">
        <f>RANK(TableWRTEMaster[[#This Row],[VORP]],TableWRTEMaster[VORP])+COUNTIF($BJ$2:BJ256,BJ256)-1</f>
        <v>182</v>
      </c>
      <c r="BF256" s="123" t="str">
        <f>IFERROR(INDEX(TableTEVORP[TIGHT END],MATCH(TableWRTEMaster[[#This Row],[RK]],TableTEVORP[RK],0)),"")</f>
        <v>Tre' McKitty</v>
      </c>
      <c r="BG256" s="123" t="str">
        <f>_xlfn.CONCAT(TableWRTEMaster[[#This Row],[POS]],TableWRTEMaster[[#This Row],[RK]])</f>
        <v>TE55</v>
      </c>
      <c r="BH256" s="123">
        <f>IFERROR(INDEX(TableTEVORP[BYE],MATCH(TableWRTEMaster[[#This Row],[RK]],TableTEVORP[RK],0)),"")</f>
        <v>5</v>
      </c>
      <c r="BI256" s="124">
        <f>IFERROR(INDEX(TableTEVORP[FPS],MATCH(TableWRTEMaster[[#This Row],[RK]],TableTEVORP[RK],0)),"")</f>
        <v>26.7579091087308</v>
      </c>
      <c r="BJ256" s="125">
        <f>IFERROR(INDEX(TableTEVORP[VORP],MATCH(TableWRTEMaster[[#This Row],[RK]],TableTEVORP[RK],0)),"")</f>
        <v>-0.77482229263637603</v>
      </c>
    </row>
    <row r="257" spans="32:62" x14ac:dyDescent="0.2">
      <c r="AF257" t="s">
        <v>10</v>
      </c>
      <c r="AG257">
        <v>6</v>
      </c>
      <c r="AH257" s="86">
        <f>RANK(TableOverallMaster[[#This Row],[VORP]],TableOverallMaster[VORP])+COUNTIF($AM$2:AM257,AM257)-1</f>
        <v>90</v>
      </c>
      <c r="AI257" s="123" t="str">
        <f>IFERROR(INDEX(TableTEVORP[TIGHT END],MATCH(TableOverallMaster[[#This Row],[RK]],TableTEVORP[RK],0)),"")</f>
        <v>Dallas Goedert</v>
      </c>
      <c r="AJ257" s="123" t="str">
        <f t="shared" si="3"/>
        <v>TE6</v>
      </c>
      <c r="AK257" s="123">
        <f>IFERROR(INDEX(TableTEVORP[BYE],MATCH(TableOverallMaster[[#This Row],[RK]],TableTEVORP[RK],0)),"")</f>
        <v>10</v>
      </c>
      <c r="AL257" s="124">
        <f>IFERROR(INDEX(TableTEVORP[FPS],MATCH(TableOverallMaster[[#This Row],[RK]],TableTEVORP[RK],0)),"")</f>
        <v>140.56778839078723</v>
      </c>
      <c r="AM257" s="125">
        <f>IFERROR(INDEX(TableTEVORP[VORP],MATCH(TableOverallMaster[[#This Row],[RK]],TableTEVORP[RK],0)),"")</f>
        <v>0.18292995877934967</v>
      </c>
      <c r="AO257">
        <v>256</v>
      </c>
      <c r="AP257" s="126" t="str">
        <f>IFERROR(INDEX(TableOverallMaster[OVERALL PLAYER],MATCH(TableOverallRank[[#This Row],[RK]],TableOverallMaster[OVR RK],0)),"")</f>
        <v>Clayton Tune</v>
      </c>
      <c r="AQ257" s="127" t="str">
        <f>IFERROR(INDEX(TableOverallMaster[POS RK],MATCH(TableOverallRank[[#This Row],[OVERALL PLAYER]],TableOverallMaster[OVERALL PLAYER],0)),"")</f>
        <v>QB33</v>
      </c>
      <c r="AR257" s="128">
        <f>IFERROR(INDEX(TableOverallMaster[BYE],MATCH(TableOverallRank[[#This Row],[OVERALL PLAYER]],TableOverallMaster[OVERALL PLAYER],0)),"")</f>
        <v>14</v>
      </c>
      <c r="AS257" s="127">
        <f>IFERROR(INDEX(TableOverallMaster[Custom],MATCH(TableOverallRank[[#This Row],[OVERALL PLAYER]],TableOverallMaster[OVERALL PLAYER],0)),"")</f>
        <v>98.596722720000017</v>
      </c>
      <c r="AT257" s="129">
        <f>IFERROR(INDEX(TableOverallMaster[VORP],MATCH(TableOverallRank[[#This Row],[OVERALL PLAYER]],TableOverallMaster[OVERALL PLAYER],0)),"")</f>
        <v>-0.62433902535512609</v>
      </c>
      <c r="AV257">
        <v>256</v>
      </c>
      <c r="AW257" s="130" t="str">
        <f>IFERROR(INDEX(TableWRTECalcPts[PLAYER],MATCH(TableWRTERank[[#This Row],[RK]],TableWRTECalcPts[RK],0)),"")</f>
        <v/>
      </c>
      <c r="AX257" s="130" t="str">
        <f>IFERROR(INDEX(TableWRTECalcPts[POS RK],MATCH(TableWRTERank[[#This Row],[WR and TE COMBINED]],TableWRTECalcPts[PLAYER],0)),"")</f>
        <v>TE91</v>
      </c>
      <c r="AY257" s="130" t="str">
        <f>IFERROR(INDEX(TableWRTECalcPts[BYE],MATCH(TableWRTERank[[#This Row],[RK]],TableWRTECalcPts[RK],0)),"")</f>
        <v/>
      </c>
      <c r="AZ257" s="131" t="str">
        <f>IFERROR(INDEX(TableWRTECalcPts[Custom],MATCH(TableWRTERank[[#This Row],[RK]],TableWRTECalcPts[RK],0)),"")</f>
        <v/>
      </c>
      <c r="BA257" s="188" t="str">
        <f>IFERROR((TableWRTERank[[#This Row],[FPS]]-INDEX(TableWRTERank[FPS],MATCH(WRTEVORPCalc,TableWRTERank[RK],0)))/INDEX(TableWRTERank[FPS],MATCH(WRTEVORPCalc,TableWRTERank[RK],0)),"")</f>
        <v/>
      </c>
      <c r="BC257" t="s">
        <v>10</v>
      </c>
      <c r="BD257">
        <v>56</v>
      </c>
      <c r="BE257" s="86">
        <f>RANK(TableWRTEMaster[[#This Row],[VORP]],TableWRTEMaster[VORP])+COUNTIF($BJ$2:BJ257,BJ257)-1</f>
        <v>184</v>
      </c>
      <c r="BF257" s="123" t="str">
        <f>IFERROR(INDEX(TableTEVORP[TIGHT END],MATCH(TableWRTEMaster[[#This Row],[RK]],TableTEVORP[RK],0)),"")</f>
        <v>Connor Heyward</v>
      </c>
      <c r="BG257" s="123" t="str">
        <f>_xlfn.CONCAT(TableWRTEMaster[[#This Row],[POS]],TableWRTEMaster[[#This Row],[RK]])</f>
        <v>TE56</v>
      </c>
      <c r="BH257" s="123">
        <f>IFERROR(INDEX(TableTEVORP[BYE],MATCH(TableWRTEMaster[[#This Row],[RK]],TableTEVORP[RK],0)),"")</f>
        <v>6</v>
      </c>
      <c r="BI257" s="124">
        <f>IFERROR(INDEX(TableTEVORP[FPS],MATCH(TableWRTEMaster[[#This Row],[RK]],TableTEVORP[RK],0)),"")</f>
        <v>24.628471667553608</v>
      </c>
      <c r="BJ257" s="125">
        <f>IFERROR(INDEX(TableTEVORP[VORP],MATCH(TableWRTEMaster[[#This Row],[RK]],TableTEVORP[RK],0)),"")</f>
        <v>-0.79274229673797025</v>
      </c>
    </row>
    <row r="258" spans="32:62" x14ac:dyDescent="0.2">
      <c r="AF258" t="s">
        <v>10</v>
      </c>
      <c r="AG258">
        <v>7</v>
      </c>
      <c r="AH258" s="86">
        <f>RANK(TableOverallMaster[[#This Row],[VORP]],TableOverallMaster[VORP])+COUNTIF($AM$2:AM258,AM258)-1</f>
        <v>93</v>
      </c>
      <c r="AI258" s="123" t="str">
        <f>IFERROR(INDEX(TableTEVORP[TIGHT END],MATCH(TableOverallMaster[[#This Row],[RK]],TableTEVORP[RK],0)),"")</f>
        <v>Kyle Pitts</v>
      </c>
      <c r="AJ258" s="123" t="str">
        <f t="shared" ref="AJ258:AJ301" si="4">CONCATENATE(AF258,AG258)</f>
        <v>TE7</v>
      </c>
      <c r="AK258" s="123">
        <f>IFERROR(INDEX(TableTEVORP[BYE],MATCH(TableOverallMaster[[#This Row],[RK]],TableTEVORP[RK],0)),"")</f>
        <v>11</v>
      </c>
      <c r="AL258" s="124">
        <f>IFERROR(INDEX(TableTEVORP[FPS],MATCH(TableOverallMaster[[#This Row],[RK]],TableTEVORP[RK],0)),"")</f>
        <v>138.52950994352989</v>
      </c>
      <c r="AM258" s="125">
        <f>IFERROR(INDEX(TableTEVORP[VORP],MATCH(TableOverallMaster[[#This Row],[RK]],TableTEVORP[RK],0)),"")</f>
        <v>0.16577709134650764</v>
      </c>
      <c r="AO258">
        <v>257</v>
      </c>
      <c r="AP258" s="126" t="str">
        <f>IFERROR(INDEX(TableOverallMaster[OVERALL PLAYER],MATCH(TableOverallRank[[#This Row],[RK]],TableOverallMaster[OVR RK],0)),"")</f>
        <v>Jonnu Smith</v>
      </c>
      <c r="AQ258" s="127" t="str">
        <f>IFERROR(INDEX(TableOverallMaster[POS RK],MATCH(TableOverallRank[[#This Row],[OVERALL PLAYER]],TableOverallMaster[OVERALL PLAYER],0)),"")</f>
        <v>TE42</v>
      </c>
      <c r="AR258" s="128">
        <f>IFERROR(INDEX(TableOverallMaster[BYE],MATCH(TableOverallRank[[#This Row],[OVERALL PLAYER]],TableOverallMaster[OVERALL PLAYER],0)),"")</f>
        <v>11</v>
      </c>
      <c r="AS258" s="127">
        <f>IFERROR(INDEX(TableOverallMaster[Custom],MATCH(TableOverallRank[[#This Row],[OVERALL PLAYER]],TableOverallMaster[OVERALL PLAYER],0)),"")</f>
        <v>43.372279950248007</v>
      </c>
      <c r="AT258" s="129">
        <f>IFERROR(INDEX(TableOverallMaster[VORP],MATCH(TableOverallRank[[#This Row],[OVERALL PLAYER]],TableOverallMaster[OVERALL PLAYER],0)),"")</f>
        <v>-0.63500621357804699</v>
      </c>
      <c r="AV258">
        <v>257</v>
      </c>
      <c r="AW258" s="130" t="str">
        <f>IFERROR(INDEX(TableWRTECalcPts[PLAYER],MATCH(TableWRTERank[[#This Row],[RK]],TableWRTECalcPts[RK],0)),"")</f>
        <v/>
      </c>
      <c r="AX258" s="130" t="str">
        <f>IFERROR(INDEX(TableWRTECalcPts[POS RK],MATCH(TableWRTERank[[#This Row],[WR and TE COMBINED]],TableWRTECalcPts[PLAYER],0)),"")</f>
        <v>TE91</v>
      </c>
      <c r="AY258" s="130" t="str">
        <f>IFERROR(INDEX(TableWRTECalcPts[BYE],MATCH(TableWRTERank[[#This Row],[RK]],TableWRTECalcPts[RK],0)),"")</f>
        <v/>
      </c>
      <c r="AZ258" s="131" t="str">
        <f>IFERROR(INDEX(TableWRTECalcPts[Custom],MATCH(TableWRTERank[[#This Row],[RK]],TableWRTECalcPts[RK],0)),"")</f>
        <v/>
      </c>
      <c r="BA258" s="188" t="str">
        <f>IFERROR((TableWRTERank[[#This Row],[FPS]]-INDEX(TableWRTERank[FPS],MATCH(WRTEVORPCalc,TableWRTERank[RK],0)))/INDEX(TableWRTERank[FPS],MATCH(WRTEVORPCalc,TableWRTERank[RK],0)),"")</f>
        <v/>
      </c>
      <c r="BC258" t="s">
        <v>10</v>
      </c>
      <c r="BD258">
        <v>57</v>
      </c>
      <c r="BE258" s="86">
        <f>RANK(TableWRTEMaster[[#This Row],[VORP]],TableWRTEMaster[VORP])+COUNTIF($BJ$2:BJ258,BJ258)-1</f>
        <v>188</v>
      </c>
      <c r="BF258" s="123" t="str">
        <f>IFERROR(INDEX(TableTEVORP[TIGHT END],MATCH(TableWRTEMaster[[#This Row],[RK]],TableTEVORP[RK],0)),"")</f>
        <v>Daniel Bellinger</v>
      </c>
      <c r="BG258" s="123" t="str">
        <f>_xlfn.CONCAT(TableWRTEMaster[[#This Row],[POS]],TableWRTEMaster[[#This Row],[RK]])</f>
        <v>TE57</v>
      </c>
      <c r="BH258" s="123">
        <f>IFERROR(INDEX(TableTEVORP[BYE],MATCH(TableWRTEMaster[[#This Row],[RK]],TableTEVORP[RK],0)),"")</f>
        <v>13</v>
      </c>
      <c r="BI258" s="124">
        <f>IFERROR(INDEX(TableTEVORP[FPS],MATCH(TableWRTEMaster[[#This Row],[RK]],TableTEVORP[RK],0)),"")</f>
        <v>23.798835293150606</v>
      </c>
      <c r="BJ258" s="125">
        <f>IFERROR(INDEX(TableTEVORP[VORP],MATCH(TableWRTEMaster[[#This Row],[RK]],TableTEVORP[RK],0)),"")</f>
        <v>-0.79972399384944526</v>
      </c>
    </row>
    <row r="259" spans="32:62" x14ac:dyDescent="0.2">
      <c r="AF259" t="s">
        <v>10</v>
      </c>
      <c r="AG259">
        <v>8</v>
      </c>
      <c r="AH259" s="86">
        <f>RANK(TableOverallMaster[[#This Row],[VORP]],TableOverallMaster[VORP])+COUNTIF($AM$2:AM259,AM259)-1</f>
        <v>95</v>
      </c>
      <c r="AI259" s="123" t="str">
        <f>IFERROR(INDEX(TableTEVORP[TIGHT END],MATCH(TableOverallMaster[[#This Row],[RK]],TableTEVORP[RK],0)),"")</f>
        <v>Tyler Higbee</v>
      </c>
      <c r="AJ259" s="123" t="str">
        <f t="shared" si="4"/>
        <v>TE8</v>
      </c>
      <c r="AK259" s="123">
        <f>IFERROR(INDEX(TableTEVORP[BYE],MATCH(TableOverallMaster[[#This Row],[RK]],TableTEVORP[RK],0)),"")</f>
        <v>10</v>
      </c>
      <c r="AL259" s="124">
        <f>IFERROR(INDEX(TableTEVORP[FPS],MATCH(TableOverallMaster[[#This Row],[RK]],TableTEVORP[RK],0)),"")</f>
        <v>138.39001077242881</v>
      </c>
      <c r="AM259" s="125">
        <f>IFERROR(INDEX(TableTEVORP[VORP],MATCH(TableOverallMaster[[#This Row],[RK]],TableTEVORP[RK],0)),"")</f>
        <v>0.16460315419768096</v>
      </c>
      <c r="AO259">
        <v>258</v>
      </c>
      <c r="AP259" s="126" t="str">
        <f>IFERROR(INDEX(TableOverallMaster[OVERALL PLAYER],MATCH(TableOverallRank[[#This Row],[RK]],TableOverallMaster[OVR RK],0)),"")</f>
        <v>Kayshon Boutte</v>
      </c>
      <c r="AQ259" s="127" t="str">
        <f>IFERROR(INDEX(TableOverallMaster[POS RK],MATCH(TableOverallRank[[#This Row],[OVERALL PLAYER]],TableOverallMaster[OVERALL PLAYER],0)),"")</f>
        <v>WR109</v>
      </c>
      <c r="AR259" s="128">
        <f>IFERROR(INDEX(TableOverallMaster[BYE],MATCH(TableOverallRank[[#This Row],[OVERALL PLAYER]],TableOverallMaster[OVERALL PLAYER],0)),"")</f>
        <v>11</v>
      </c>
      <c r="AS259" s="127">
        <f>IFERROR(INDEX(TableOverallMaster[Custom],MATCH(TableOverallRank[[#This Row],[OVERALL PLAYER]],TableOverallMaster[OVERALL PLAYER],0)),"")</f>
        <v>47.181509120148462</v>
      </c>
      <c r="AT259" s="129">
        <f>IFERROR(INDEX(TableOverallMaster[VORP],MATCH(TableOverallRank[[#This Row],[OVERALL PLAYER]],TableOverallMaster[OVERALL PLAYER],0)),"")</f>
        <v>-0.6378789473595412</v>
      </c>
      <c r="AV259">
        <v>258</v>
      </c>
      <c r="AW259" s="130" t="str">
        <f>IFERROR(INDEX(TableWRTECalcPts[PLAYER],MATCH(TableWRTERank[[#This Row],[RK]],TableWRTECalcPts[RK],0)),"")</f>
        <v/>
      </c>
      <c r="AX259" s="130" t="str">
        <f>IFERROR(INDEX(TableWRTECalcPts[POS RK],MATCH(TableWRTERank[[#This Row],[WR and TE COMBINED]],TableWRTECalcPts[PLAYER],0)),"")</f>
        <v>TE91</v>
      </c>
      <c r="AY259" s="130" t="str">
        <f>IFERROR(INDEX(TableWRTECalcPts[BYE],MATCH(TableWRTERank[[#This Row],[RK]],TableWRTECalcPts[RK],0)),"")</f>
        <v/>
      </c>
      <c r="AZ259" s="131" t="str">
        <f>IFERROR(INDEX(TableWRTECalcPts[Custom],MATCH(TableWRTERank[[#This Row],[RK]],TableWRTECalcPts[RK],0)),"")</f>
        <v/>
      </c>
      <c r="BA259" s="188" t="str">
        <f>IFERROR((TableWRTERank[[#This Row],[FPS]]-INDEX(TableWRTERank[FPS],MATCH(WRTEVORPCalc,TableWRTERank[RK],0)))/INDEX(TableWRTERank[FPS],MATCH(WRTEVORPCalc,TableWRTERank[RK],0)),"")</f>
        <v/>
      </c>
      <c r="BC259" t="s">
        <v>10</v>
      </c>
      <c r="BD259">
        <v>58</v>
      </c>
      <c r="BE259" s="86">
        <f>RANK(TableWRTEMaster[[#This Row],[VORP]],TableWRTEMaster[VORP])+COUNTIF($BJ$2:BJ259,BJ259)-1</f>
        <v>190</v>
      </c>
      <c r="BF259" s="123" t="str">
        <f>IFERROR(INDEX(TableTEVORP[TIGHT END],MATCH(TableWRTEMaster[[#This Row],[RK]],TableTEVORP[RK],0)),"")</f>
        <v>Noah Gray</v>
      </c>
      <c r="BG259" s="123" t="str">
        <f>_xlfn.CONCAT(TableWRTEMaster[[#This Row],[POS]],TableWRTEMaster[[#This Row],[RK]])</f>
        <v>TE58</v>
      </c>
      <c r="BH259" s="123">
        <f>IFERROR(INDEX(TableTEVORP[BYE],MATCH(TableWRTEMaster[[#This Row],[RK]],TableTEVORP[RK],0)),"")</f>
        <v>10</v>
      </c>
      <c r="BI259" s="124">
        <f>IFERROR(INDEX(TableTEVORP[FPS],MATCH(TableWRTEMaster[[#This Row],[RK]],TableTEVORP[RK],0)),"")</f>
        <v>23.702476663268556</v>
      </c>
      <c r="BJ259" s="125">
        <f>IFERROR(INDEX(TableTEVORP[VORP],MATCH(TableWRTEMaster[[#This Row],[RK]],TableTEVORP[RK],0)),"")</f>
        <v>-0.800534887379032</v>
      </c>
    </row>
    <row r="260" spans="32:62" x14ac:dyDescent="0.2">
      <c r="AF260" t="s">
        <v>10</v>
      </c>
      <c r="AG260">
        <v>9</v>
      </c>
      <c r="AH260" s="86">
        <f>RANK(TableOverallMaster[[#This Row],[VORP]],TableOverallMaster[VORP])+COUNTIF($AM$2:AM260,AM260)-1</f>
        <v>104</v>
      </c>
      <c r="AI260" s="123" t="str">
        <f>IFERROR(INDEX(TableTEVORP[TIGHT END],MATCH(TableOverallMaster[[#This Row],[RK]],TableTEVORP[RK],0)),"")</f>
        <v>David Njoku</v>
      </c>
      <c r="AJ260" s="123" t="str">
        <f t="shared" si="4"/>
        <v>TE9</v>
      </c>
      <c r="AK260" s="123">
        <f>IFERROR(INDEX(TableTEVORP[BYE],MATCH(TableOverallMaster[[#This Row],[RK]],TableTEVORP[RK],0)),"")</f>
        <v>5</v>
      </c>
      <c r="AL260" s="124">
        <f>IFERROR(INDEX(TableTEVORP[FPS],MATCH(TableOverallMaster[[#This Row],[RK]],TableTEVORP[RK],0)),"")</f>
        <v>132.8430292226715</v>
      </c>
      <c r="AM260" s="125">
        <f>IFERROR(INDEX(TableTEVORP[VORP],MATCH(TableOverallMaster[[#This Row],[RK]],TableTEVORP[RK],0)),"")</f>
        <v>0.11792325170279136</v>
      </c>
      <c r="AO260">
        <v>259</v>
      </c>
      <c r="AP260" s="126" t="str">
        <f>IFERROR(INDEX(TableOverallMaster[OVERALL PLAYER],MATCH(TableOverallRank[[#This Row],[RK]],TableOverallMaster[OVR RK],0)),"")</f>
        <v>Will Dissly</v>
      </c>
      <c r="AQ260" s="127" t="str">
        <f>IFERROR(INDEX(TableOverallMaster[POS RK],MATCH(TableOverallRank[[#This Row],[OVERALL PLAYER]],TableOverallMaster[OVERALL PLAYER],0)),"")</f>
        <v>TE43</v>
      </c>
      <c r="AR260" s="128">
        <f>IFERROR(INDEX(TableOverallMaster[BYE],MATCH(TableOverallRank[[#This Row],[OVERALL PLAYER]],TableOverallMaster[OVERALL PLAYER],0)),"")</f>
        <v>5</v>
      </c>
      <c r="AS260" s="127">
        <f>IFERROR(INDEX(TableOverallMaster[Custom],MATCH(TableOverallRank[[#This Row],[OVERALL PLAYER]],TableOverallMaster[OVERALL PLAYER],0)),"")</f>
        <v>42.965516367240703</v>
      </c>
      <c r="AT260" s="129">
        <f>IFERROR(INDEX(TableOverallMaster[VORP],MATCH(TableOverallRank[[#This Row],[OVERALL PLAYER]],TableOverallMaster[OVERALL PLAYER],0)),"")</f>
        <v>-0.63842927965874863</v>
      </c>
      <c r="AV260">
        <v>259</v>
      </c>
      <c r="AW260" s="130" t="str">
        <f>IFERROR(INDEX(TableWRTECalcPts[PLAYER],MATCH(TableWRTERank[[#This Row],[RK]],TableWRTECalcPts[RK],0)),"")</f>
        <v/>
      </c>
      <c r="AX260" s="130" t="str">
        <f>IFERROR(INDEX(TableWRTECalcPts[POS RK],MATCH(TableWRTERank[[#This Row],[WR and TE COMBINED]],TableWRTECalcPts[PLAYER],0)),"")</f>
        <v>TE91</v>
      </c>
      <c r="AY260" s="130" t="str">
        <f>IFERROR(INDEX(TableWRTECalcPts[BYE],MATCH(TableWRTERank[[#This Row],[RK]],TableWRTECalcPts[RK],0)),"")</f>
        <v/>
      </c>
      <c r="AZ260" s="131" t="str">
        <f>IFERROR(INDEX(TableWRTECalcPts[Custom],MATCH(TableWRTERank[[#This Row],[RK]],TableWRTECalcPts[RK],0)),"")</f>
        <v/>
      </c>
      <c r="BA260" s="188" t="str">
        <f>IFERROR((TableWRTERank[[#This Row],[FPS]]-INDEX(TableWRTERank[FPS],MATCH(WRTEVORPCalc,TableWRTERank[RK],0)))/INDEX(TableWRTERank[FPS],MATCH(WRTEVORPCalc,TableWRTERank[RK],0)),"")</f>
        <v/>
      </c>
      <c r="BC260" t="s">
        <v>10</v>
      </c>
      <c r="BD260">
        <v>59</v>
      </c>
      <c r="BE260" s="86">
        <f>RANK(TableWRTEMaster[[#This Row],[VORP]],TableWRTEMaster[VORP])+COUNTIF($BJ$2:BJ260,BJ260)-1</f>
        <v>191</v>
      </c>
      <c r="BF260" s="123" t="str">
        <f>IFERROR(INDEX(TableTEVORP[TIGHT END],MATCH(TableWRTEMaster[[#This Row],[RK]],TableTEVORP[RK],0)),"")</f>
        <v>Robert Tonyan</v>
      </c>
      <c r="BG260" s="123" t="str">
        <f>_xlfn.CONCAT(TableWRTEMaster[[#This Row],[POS]],TableWRTEMaster[[#This Row],[RK]])</f>
        <v>TE59</v>
      </c>
      <c r="BH260" s="123">
        <f>IFERROR(INDEX(TableTEVORP[BYE],MATCH(TableWRTEMaster[[#This Row],[RK]],TableTEVORP[RK],0)),"")</f>
        <v>13</v>
      </c>
      <c r="BI260" s="124">
        <f>IFERROR(INDEX(TableTEVORP[FPS],MATCH(TableWRTEMaster[[#This Row],[RK]],TableTEVORP[RK],0)),"")</f>
        <v>23.028311172227735</v>
      </c>
      <c r="BJ260" s="125">
        <f>IFERROR(INDEX(TableTEVORP[VORP],MATCH(TableWRTEMaster[[#This Row],[RK]],TableTEVORP[RK],0)),"")</f>
        <v>-0.80620823947240283</v>
      </c>
    </row>
    <row r="261" spans="32:62" x14ac:dyDescent="0.2">
      <c r="AF261" t="s">
        <v>10</v>
      </c>
      <c r="AG261">
        <v>10</v>
      </c>
      <c r="AH261" s="86">
        <f>RANK(TableOverallMaster[[#This Row],[VORP]],TableOverallMaster[VORP])+COUNTIF($AM$2:AM261,AM261)-1</f>
        <v>107</v>
      </c>
      <c r="AI261" s="123" t="str">
        <f>IFERROR(INDEX(TableTEVORP[TIGHT END],MATCH(TableOverallMaster[[#This Row],[RK]],TableTEVORP[RK],0)),"")</f>
        <v>Evan Engram</v>
      </c>
      <c r="AJ261" s="123" t="str">
        <f t="shared" si="4"/>
        <v>TE10</v>
      </c>
      <c r="AK261" s="123">
        <f>IFERROR(INDEX(TableTEVORP[BYE],MATCH(TableOverallMaster[[#This Row],[RK]],TableTEVORP[RK],0)),"")</f>
        <v>9</v>
      </c>
      <c r="AL261" s="124">
        <f>IFERROR(INDEX(TableTEVORP[FPS],MATCH(TableOverallMaster[[#This Row],[RK]],TableTEVORP[RK],0)),"")</f>
        <v>132.11341947692489</v>
      </c>
      <c r="AM261" s="125">
        <f>IFERROR(INDEX(TableTEVORP[VORP],MATCH(TableOverallMaster[[#This Row],[RK]],TableTEVORP[RK],0)),"")</f>
        <v>0.11178331568799367</v>
      </c>
      <c r="AO261">
        <v>260</v>
      </c>
      <c r="AP261" s="126" t="str">
        <f>IFERROR(INDEX(TableOverallMaster[OVERALL PLAYER],MATCH(TableOverallRank[[#This Row],[RK]],TableOverallMaster[OVR RK],0)),"")</f>
        <v>Keaton Mitchell</v>
      </c>
      <c r="AQ261" s="127" t="str">
        <f>IFERROR(INDEX(TableOverallMaster[POS RK],MATCH(TableOverallRank[[#This Row],[OVERALL PLAYER]],TableOverallMaster[OVERALL PLAYER],0)),"")</f>
        <v>RB75</v>
      </c>
      <c r="AR261" s="128">
        <f>IFERROR(INDEX(TableOverallMaster[BYE],MATCH(TableOverallRank[[#This Row],[OVERALL PLAYER]],TableOverallMaster[OVERALL PLAYER],0)),"")</f>
        <v>13</v>
      </c>
      <c r="AS261" s="127">
        <f>IFERROR(INDEX(TableOverallMaster[Custom],MATCH(TableOverallRank[[#This Row],[OVERALL PLAYER]],TableOverallMaster[OVERALL PLAYER],0)),"")</f>
        <v>44.161659475282342</v>
      </c>
      <c r="AT261" s="129">
        <f>IFERROR(INDEX(TableOverallMaster[VORP],MATCH(TableOverallRank[[#This Row],[OVERALL PLAYER]],TableOverallMaster[OVERALL PLAYER],0)),"")</f>
        <v>-0.63938748900454156</v>
      </c>
      <c r="AV261">
        <v>260</v>
      </c>
      <c r="AW261" s="130" t="str">
        <f>IFERROR(INDEX(TableWRTECalcPts[PLAYER],MATCH(TableWRTERank[[#This Row],[RK]],TableWRTECalcPts[RK],0)),"")</f>
        <v/>
      </c>
      <c r="AX261" s="130" t="str">
        <f>IFERROR(INDEX(TableWRTECalcPts[POS RK],MATCH(TableWRTERank[[#This Row],[WR and TE COMBINED]],TableWRTECalcPts[PLAYER],0)),"")</f>
        <v>TE91</v>
      </c>
      <c r="AY261" s="130" t="str">
        <f>IFERROR(INDEX(TableWRTECalcPts[BYE],MATCH(TableWRTERank[[#This Row],[RK]],TableWRTECalcPts[RK],0)),"")</f>
        <v/>
      </c>
      <c r="AZ261" s="131" t="str">
        <f>IFERROR(INDEX(TableWRTECalcPts[Custom],MATCH(TableWRTERank[[#This Row],[RK]],TableWRTECalcPts[RK],0)),"")</f>
        <v/>
      </c>
      <c r="BA261" s="188" t="str">
        <f>IFERROR((TableWRTERank[[#This Row],[FPS]]-INDEX(TableWRTERank[FPS],MATCH(WRTEVORPCalc,TableWRTERank[RK],0)))/INDEX(TableWRTERank[FPS],MATCH(WRTEVORPCalc,TableWRTERank[RK],0)),"")</f>
        <v/>
      </c>
      <c r="BC261" t="s">
        <v>10</v>
      </c>
      <c r="BD261">
        <v>60</v>
      </c>
      <c r="BE261" s="86">
        <f>RANK(TableWRTEMaster[[#This Row],[VORP]],TableWRTEMaster[VORP])+COUNTIF($BJ$2:BJ261,BJ261)-1</f>
        <v>192</v>
      </c>
      <c r="BF261" s="123" t="str">
        <f>IFERROR(INDEX(TableTEVORP[TIGHT END],MATCH(TableWRTEMaster[[#This Row],[RK]],TableTEVORP[RK],0)),"")</f>
        <v>Jordan Akins</v>
      </c>
      <c r="BG261" s="123" t="str">
        <f>_xlfn.CONCAT(TableWRTEMaster[[#This Row],[POS]],TableWRTEMaster[[#This Row],[RK]])</f>
        <v>TE60</v>
      </c>
      <c r="BH261" s="123">
        <f>IFERROR(INDEX(TableTEVORP[BYE],MATCH(TableWRTEMaster[[#This Row],[RK]],TableTEVORP[RK],0)),"")</f>
        <v>5</v>
      </c>
      <c r="BI261" s="124">
        <f>IFERROR(INDEX(TableTEVORP[FPS],MATCH(TableWRTEMaster[[#This Row],[RK]],TableTEVORP[RK],0)),"")</f>
        <v>22.879912683379221</v>
      </c>
      <c r="BJ261" s="125">
        <f>IFERROR(INDEX(TableTEVORP[VORP],MATCH(TableWRTEMaster[[#This Row],[RK]],TableTEVORP[RK],0)),"")</f>
        <v>-0.80745706767341618</v>
      </c>
    </row>
    <row r="262" spans="32:62" x14ac:dyDescent="0.2">
      <c r="AF262" t="s">
        <v>10</v>
      </c>
      <c r="AG262">
        <v>11</v>
      </c>
      <c r="AH262" s="86">
        <f>RANK(TableOverallMaster[[#This Row],[VORP]],TableOverallMaster[VORP])+COUNTIF($AM$2:AM262,AM262)-1</f>
        <v>123</v>
      </c>
      <c r="AI262" s="123" t="str">
        <f>IFERROR(INDEX(TableTEVORP[TIGHT END],MATCH(TableOverallMaster[[#This Row],[RK]],TableTEVORP[RK],0)),"")</f>
        <v>Pat Freiermuth</v>
      </c>
      <c r="AJ262" s="123" t="str">
        <f t="shared" si="4"/>
        <v>TE11</v>
      </c>
      <c r="AK262" s="123">
        <f>IFERROR(INDEX(TableTEVORP[BYE],MATCH(TableOverallMaster[[#This Row],[RK]],TableTEVORP[RK],0)),"")</f>
        <v>6</v>
      </c>
      <c r="AL262" s="124">
        <f>IFERROR(INDEX(TableTEVORP[FPS],MATCH(TableOverallMaster[[#This Row],[RK]],TableTEVORP[RK],0)),"")</f>
        <v>121.31963431833421</v>
      </c>
      <c r="AM262" s="125">
        <f>IFERROR(INDEX(TableTEVORP[VORP],MATCH(TableOverallMaster[[#This Row],[RK]],TableTEVORP[RK],0)),"")</f>
        <v>2.094961915697776E-2</v>
      </c>
      <c r="AO262">
        <v>261</v>
      </c>
      <c r="AP262" s="126" t="str">
        <f>IFERROR(INDEX(TableOverallMaster[OVERALL PLAYER],MATCH(TableOverallRank[[#This Row],[RK]],TableOverallMaster[OVR RK],0)),"")</f>
        <v>KhaDarel Hodge</v>
      </c>
      <c r="AQ262" s="127" t="str">
        <f>IFERROR(INDEX(TableOverallMaster[POS RK],MATCH(TableOverallRank[[#This Row],[OVERALL PLAYER]],TableOverallMaster[OVERALL PLAYER],0)),"")</f>
        <v>WR110</v>
      </c>
      <c r="AR262" s="128">
        <f>IFERROR(INDEX(TableOverallMaster[BYE],MATCH(TableOverallRank[[#This Row],[OVERALL PLAYER]],TableOverallMaster[OVERALL PLAYER],0)),"")</f>
        <v>11</v>
      </c>
      <c r="AS262" s="127">
        <f>IFERROR(INDEX(TableOverallMaster[Custom],MATCH(TableOverallRank[[#This Row],[OVERALL PLAYER]],TableOverallMaster[OVERALL PLAYER],0)),"")</f>
        <v>46.12868847008707</v>
      </c>
      <c r="AT262" s="129">
        <f>IFERROR(INDEX(TableOverallMaster[VORP],MATCH(TableOverallRank[[#This Row],[OVERALL PLAYER]],TableOverallMaster[OVERALL PLAYER],0)),"")</f>
        <v>-0.64595941212532448</v>
      </c>
      <c r="AV262">
        <v>261</v>
      </c>
      <c r="AW262" s="130" t="str">
        <f>IFERROR(INDEX(TableWRTECalcPts[PLAYER],MATCH(TableWRTERank[[#This Row],[RK]],TableWRTECalcPts[RK],0)),"")</f>
        <v/>
      </c>
      <c r="AX262" s="130" t="str">
        <f>IFERROR(INDEX(TableWRTECalcPts[POS RK],MATCH(TableWRTERank[[#This Row],[WR and TE COMBINED]],TableWRTECalcPts[PLAYER],0)),"")</f>
        <v>TE91</v>
      </c>
      <c r="AY262" s="130" t="str">
        <f>IFERROR(INDEX(TableWRTECalcPts[BYE],MATCH(TableWRTERank[[#This Row],[RK]],TableWRTECalcPts[RK],0)),"")</f>
        <v/>
      </c>
      <c r="AZ262" s="131" t="str">
        <f>IFERROR(INDEX(TableWRTECalcPts[Custom],MATCH(TableWRTERank[[#This Row],[RK]],TableWRTECalcPts[RK],0)),"")</f>
        <v/>
      </c>
      <c r="BA262" s="188" t="str">
        <f>IFERROR((TableWRTERank[[#This Row],[FPS]]-INDEX(TableWRTERank[FPS],MATCH(WRTEVORPCalc,TableWRTERank[RK],0)))/INDEX(TableWRTERank[FPS],MATCH(WRTEVORPCalc,TableWRTERank[RK],0)),"")</f>
        <v/>
      </c>
      <c r="BC262" t="s">
        <v>10</v>
      </c>
      <c r="BD262">
        <v>61</v>
      </c>
      <c r="BE262" s="86">
        <f>RANK(TableWRTEMaster[[#This Row],[VORP]],TableWRTEMaster[VORP])+COUNTIF($BJ$2:BJ262,BJ262)-1</f>
        <v>194</v>
      </c>
      <c r="BF262" s="123" t="str">
        <f>IFERROR(INDEX(TableTEVORP[TIGHT END],MATCH(TableWRTEMaster[[#This Row],[RK]],TableTEVORP[RK],0)),"")</f>
        <v>Harrison Bryant</v>
      </c>
      <c r="BG262" s="123" t="str">
        <f>_xlfn.CONCAT(TableWRTEMaster[[#This Row],[POS]],TableWRTEMaster[[#This Row],[RK]])</f>
        <v>TE61</v>
      </c>
      <c r="BH262" s="123">
        <f>IFERROR(INDEX(TableTEVORP[BYE],MATCH(TableWRTEMaster[[#This Row],[RK]],TableTEVORP[RK],0)),"")</f>
        <v>5</v>
      </c>
      <c r="BI262" s="124">
        <f>IFERROR(INDEX(TableTEVORP[FPS],MATCH(TableWRTEMaster[[#This Row],[RK]],TableTEVORP[RK],0)),"")</f>
        <v>22.41543281140352</v>
      </c>
      <c r="BJ262" s="125">
        <f>IFERROR(INDEX(TableTEVORP[VORP],MATCH(TableWRTEMaster[[#This Row],[RK]],TableTEVORP[RK],0)),"")</f>
        <v>-0.81136583768466908</v>
      </c>
    </row>
    <row r="263" spans="32:62" x14ac:dyDescent="0.2">
      <c r="AF263" t="s">
        <v>10</v>
      </c>
      <c r="AG263">
        <v>12</v>
      </c>
      <c r="AH263" s="86">
        <f>RANK(TableOverallMaster[[#This Row],[VORP]],TableOverallMaster[VORP])+COUNTIF($AM$2:AM263,AM263)-1</f>
        <v>129</v>
      </c>
      <c r="AI263" s="123" t="str">
        <f>IFERROR(INDEX(TableTEVORP[TIGHT END],MATCH(TableOverallMaster[[#This Row],[RK]],TableTEVORP[RK],0)),"")</f>
        <v>Chigoziem Okonkwo</v>
      </c>
      <c r="AJ263" s="123" t="str">
        <f t="shared" si="4"/>
        <v>TE12</v>
      </c>
      <c r="AK263" s="123">
        <f>IFERROR(INDEX(TableTEVORP[BYE],MATCH(TableOverallMaster[[#This Row],[RK]],TableTEVORP[RK],0)),"")</f>
        <v>7</v>
      </c>
      <c r="AL263" s="124">
        <f>IFERROR(INDEX(TableTEVORP[FPS],MATCH(TableOverallMaster[[#This Row],[RK]],TableTEVORP[RK],0)),"")</f>
        <v>118.83018715312387</v>
      </c>
      <c r="AM263" s="125">
        <f>IFERROR(INDEX(TableTEVORP[VORP],MATCH(TableOverallMaster[[#This Row],[RK]],TableTEVORP[RK],0)),"")</f>
        <v>0</v>
      </c>
      <c r="AO263">
        <v>262</v>
      </c>
      <c r="AP263" s="126" t="str">
        <f>IFERROR(INDEX(TableOverallMaster[OVERALL PLAYER],MATCH(TableOverallRank[[#This Row],[RK]],TableOverallMaster[OVR RK],0)),"")</f>
        <v>Ameer Abdullah</v>
      </c>
      <c r="AQ263" s="127" t="str">
        <f>IFERROR(INDEX(TableOverallMaster[POS RK],MATCH(TableOverallRank[[#This Row],[OVERALL PLAYER]],TableOverallMaster[OVERALL PLAYER],0)),"")</f>
        <v>RB76</v>
      </c>
      <c r="AR263" s="128">
        <f>IFERROR(INDEX(TableOverallMaster[BYE],MATCH(TableOverallRank[[#This Row],[OVERALL PLAYER]],TableOverallMaster[OVERALL PLAYER],0)),"")</f>
        <v>13</v>
      </c>
      <c r="AS263" s="127">
        <f>IFERROR(INDEX(TableOverallMaster[Custom],MATCH(TableOverallRank[[#This Row],[OVERALL PLAYER]],TableOverallMaster[OVERALL PLAYER],0)),"")</f>
        <v>42.351924386554309</v>
      </c>
      <c r="AT263" s="129">
        <f>IFERROR(INDEX(TableOverallMaster[VORP],MATCH(TableOverallRank[[#This Row],[OVERALL PLAYER]],TableOverallMaster[OVERALL PLAYER],0)),"")</f>
        <v>-0.65416531036218484</v>
      </c>
      <c r="AV263">
        <v>262</v>
      </c>
      <c r="AW263" s="130" t="str">
        <f>IFERROR(INDEX(TableWRTECalcPts[PLAYER],MATCH(TableWRTERank[[#This Row],[RK]],TableWRTECalcPts[RK],0)),"")</f>
        <v/>
      </c>
      <c r="AX263" s="130" t="str">
        <f>IFERROR(INDEX(TableWRTECalcPts[POS RK],MATCH(TableWRTERank[[#This Row],[WR and TE COMBINED]],TableWRTECalcPts[PLAYER],0)),"")</f>
        <v>TE91</v>
      </c>
      <c r="AY263" s="130" t="str">
        <f>IFERROR(INDEX(TableWRTECalcPts[BYE],MATCH(TableWRTERank[[#This Row],[RK]],TableWRTECalcPts[RK],0)),"")</f>
        <v/>
      </c>
      <c r="AZ263" s="131" t="str">
        <f>IFERROR(INDEX(TableWRTECalcPts[Custom],MATCH(TableWRTERank[[#This Row],[RK]],TableWRTECalcPts[RK],0)),"")</f>
        <v/>
      </c>
      <c r="BA263" s="188" t="str">
        <f>IFERROR((TableWRTERank[[#This Row],[FPS]]-INDEX(TableWRTERank[FPS],MATCH(WRTEVORPCalc,TableWRTERank[RK],0)))/INDEX(TableWRTERank[FPS],MATCH(WRTEVORPCalc,TableWRTERank[RK],0)),"")</f>
        <v/>
      </c>
      <c r="BC263" t="s">
        <v>10</v>
      </c>
      <c r="BD263">
        <v>62</v>
      </c>
      <c r="BE263" s="86">
        <f>RANK(TableWRTEMaster[[#This Row],[VORP]],TableWRTEMaster[VORP])+COUNTIF($BJ$2:BJ263,BJ263)-1</f>
        <v>196</v>
      </c>
      <c r="BF263" s="123" t="str">
        <f>IFERROR(INDEX(TableTEVORP[TIGHT END],MATCH(TableWRTEMaster[[#This Row],[RK]],TableTEVORP[RK],0)),"")</f>
        <v>Drew Sample</v>
      </c>
      <c r="BG263" s="123" t="str">
        <f>_xlfn.CONCAT(TableWRTEMaster[[#This Row],[POS]],TableWRTEMaster[[#This Row],[RK]])</f>
        <v>TE62</v>
      </c>
      <c r="BH263" s="123">
        <f>IFERROR(INDEX(TableTEVORP[BYE],MATCH(TableWRTEMaster[[#This Row],[RK]],TableTEVORP[RK],0)),"")</f>
        <v>7</v>
      </c>
      <c r="BI263" s="124">
        <f>IFERROR(INDEX(TableTEVORP[FPS],MATCH(TableWRTEMaster[[#This Row],[RK]],TableTEVORP[RK],0)),"")</f>
        <v>22.221847504079999</v>
      </c>
      <c r="BJ263" s="125">
        <f>IFERROR(INDEX(TableTEVORP[VORP],MATCH(TableWRTEMaster[[#This Row],[RK]],TableTEVORP[RK],0)),"")</f>
        <v>-0.81299492968529063</v>
      </c>
    </row>
    <row r="264" spans="32:62" x14ac:dyDescent="0.2">
      <c r="AF264" t="s">
        <v>10</v>
      </c>
      <c r="AG264">
        <v>13</v>
      </c>
      <c r="AH264" s="86">
        <f>RANK(TableOverallMaster[[#This Row],[VORP]],TableOverallMaster[VORP])+COUNTIF($AM$2:AM264,AM264)-1</f>
        <v>137</v>
      </c>
      <c r="AI264" s="123" t="str">
        <f>IFERROR(INDEX(TableTEVORP[TIGHT END],MATCH(TableOverallMaster[[#This Row],[RK]],TableTEVORP[RK],0)),"")</f>
        <v>Hunter Henry</v>
      </c>
      <c r="AJ264" s="123" t="str">
        <f t="shared" si="4"/>
        <v>TE13</v>
      </c>
      <c r="AK264" s="123">
        <f>IFERROR(INDEX(TableTEVORP[BYE],MATCH(TableOverallMaster[[#This Row],[RK]],TableTEVORP[RK],0)),"")</f>
        <v>11</v>
      </c>
      <c r="AL264" s="124">
        <f>IFERROR(INDEX(TableTEVORP[FPS],MATCH(TableOverallMaster[[#This Row],[RK]],TableTEVORP[RK],0)),"")</f>
        <v>112.32468213400713</v>
      </c>
      <c r="AM264" s="125">
        <f>IFERROR(INDEX(TableTEVORP[VORP],MATCH(TableOverallMaster[[#This Row],[RK]],TableTEVORP[RK],0)),"")</f>
        <v>-5.4746232207257106E-2</v>
      </c>
      <c r="AO264">
        <v>263</v>
      </c>
      <c r="AP264" s="126" t="str">
        <f>IFERROR(INDEX(TableOverallMaster[OVERALL PLAYER],MATCH(TableOverallRank[[#This Row],[RK]],TableOverallMaster[OVR RK],0)),"")</f>
        <v>Raheem Blackshear</v>
      </c>
      <c r="AQ264" s="127" t="str">
        <f>IFERROR(INDEX(TableOverallMaster[POS RK],MATCH(TableOverallRank[[#This Row],[OVERALL PLAYER]],TableOverallMaster[OVERALL PLAYER],0)),"")</f>
        <v>RB77</v>
      </c>
      <c r="AR264" s="128">
        <f>IFERROR(INDEX(TableOverallMaster[BYE],MATCH(TableOverallRank[[#This Row],[OVERALL PLAYER]],TableOverallMaster[OVERALL PLAYER],0)),"")</f>
        <v>7</v>
      </c>
      <c r="AS264" s="127">
        <f>IFERROR(INDEX(TableOverallMaster[Custom],MATCH(TableOverallRank[[#This Row],[OVERALL PLAYER]],TableOverallMaster[OVERALL PLAYER],0)),"")</f>
        <v>41.245026651799179</v>
      </c>
      <c r="AT264" s="129">
        <f>IFERROR(INDEX(TableOverallMaster[VORP],MATCH(TableOverallRank[[#This Row],[OVERALL PLAYER]],TableOverallMaster[OVERALL PLAYER],0)),"")</f>
        <v>-0.66320394650693049</v>
      </c>
      <c r="AV264">
        <v>263</v>
      </c>
      <c r="AW264" s="130" t="str">
        <f>IFERROR(INDEX(TableWRTECalcPts[PLAYER],MATCH(TableWRTERank[[#This Row],[RK]],TableWRTECalcPts[RK],0)),"")</f>
        <v/>
      </c>
      <c r="AX264" s="130" t="str">
        <f>IFERROR(INDEX(TableWRTECalcPts[POS RK],MATCH(TableWRTERank[[#This Row],[WR and TE COMBINED]],TableWRTECalcPts[PLAYER],0)),"")</f>
        <v>TE91</v>
      </c>
      <c r="AY264" s="130" t="str">
        <f>IFERROR(INDEX(TableWRTECalcPts[BYE],MATCH(TableWRTERank[[#This Row],[RK]],TableWRTECalcPts[RK],0)),"")</f>
        <v/>
      </c>
      <c r="AZ264" s="131" t="str">
        <f>IFERROR(INDEX(TableWRTECalcPts[Custom],MATCH(TableWRTERank[[#This Row],[RK]],TableWRTECalcPts[RK],0)),"")</f>
        <v/>
      </c>
      <c r="BA264" s="188" t="str">
        <f>IFERROR((TableWRTERank[[#This Row],[FPS]]-INDEX(TableWRTERank[FPS],MATCH(WRTEVORPCalc,TableWRTERank[RK],0)))/INDEX(TableWRTERank[FPS],MATCH(WRTEVORPCalc,TableWRTERank[RK],0)),"")</f>
        <v/>
      </c>
      <c r="BC264" t="s">
        <v>10</v>
      </c>
      <c r="BD264">
        <v>63</v>
      </c>
      <c r="BE264" s="86">
        <f>RANK(TableWRTEMaster[[#This Row],[VORP]],TableWRTEMaster[VORP])+COUNTIF($BJ$2:BJ264,BJ264)-1</f>
        <v>198</v>
      </c>
      <c r="BF264" s="123" t="str">
        <f>IFERROR(INDEX(TableTEVORP[TIGHT END],MATCH(TableWRTEMaster[[#This Row],[RK]],TableTEVORP[RK],0)),"")</f>
        <v>Ross Dwelley</v>
      </c>
      <c r="BG264" s="123" t="str">
        <f>_xlfn.CONCAT(TableWRTEMaster[[#This Row],[POS]],TableWRTEMaster[[#This Row],[RK]])</f>
        <v>TE63</v>
      </c>
      <c r="BH264" s="123">
        <f>IFERROR(INDEX(TableTEVORP[BYE],MATCH(TableWRTEMaster[[#This Row],[RK]],TableTEVORP[RK],0)),"")</f>
        <v>9</v>
      </c>
      <c r="BI264" s="124">
        <f>IFERROR(INDEX(TableTEVORP[FPS],MATCH(TableWRTEMaster[[#This Row],[RK]],TableTEVORP[RK],0)),"")</f>
        <v>21.379160225181359</v>
      </c>
      <c r="BJ264" s="125">
        <f>IFERROR(INDEX(TableTEVORP[VORP],MATCH(TableWRTEMaster[[#This Row],[RK]],TableTEVORP[RK],0)),"")</f>
        <v>-0.82008645498780286</v>
      </c>
    </row>
    <row r="265" spans="32:62" x14ac:dyDescent="0.2">
      <c r="AF265" t="s">
        <v>10</v>
      </c>
      <c r="AG265">
        <v>14</v>
      </c>
      <c r="AH265" s="86">
        <f>RANK(TableOverallMaster[[#This Row],[VORP]],TableOverallMaster[VORP])+COUNTIF($AM$2:AM265,AM265)-1</f>
        <v>138</v>
      </c>
      <c r="AI265" s="123" t="str">
        <f>IFERROR(INDEX(TableTEVORP[TIGHT END],MATCH(TableOverallMaster[[#This Row],[RK]],TableTEVORP[RK],0)),"")</f>
        <v>Cole Kmet</v>
      </c>
      <c r="AJ265" s="123" t="str">
        <f t="shared" si="4"/>
        <v>TE14</v>
      </c>
      <c r="AK265" s="123">
        <f>IFERROR(INDEX(TableTEVORP[BYE],MATCH(TableOverallMaster[[#This Row],[RK]],TableTEVORP[RK],0)),"")</f>
        <v>13</v>
      </c>
      <c r="AL265" s="124">
        <f>IFERROR(INDEX(TableTEVORP[FPS],MATCH(TableOverallMaster[[#This Row],[RK]],TableTEVORP[RK],0)),"")</f>
        <v>112.27012334528251</v>
      </c>
      <c r="AM265" s="125">
        <f>IFERROR(INDEX(TableTEVORP[VORP],MATCH(TableOverallMaster[[#This Row],[RK]],TableTEVORP[RK],0)),"")</f>
        <v>-5.5205364604770844E-2</v>
      </c>
      <c r="AO265">
        <v>264</v>
      </c>
      <c r="AP265" s="126" t="str">
        <f>IFERROR(INDEX(TableOverallMaster[OVERALL PLAYER],MATCH(TableOverallRank[[#This Row],[RK]],TableOverallMaster[OVR RK],0)),"")</f>
        <v>C.J. Uzomah</v>
      </c>
      <c r="AQ265" s="127" t="str">
        <f>IFERROR(INDEX(TableOverallMaster[POS RK],MATCH(TableOverallRank[[#This Row],[OVERALL PLAYER]],TableOverallMaster[OVERALL PLAYER],0)),"")</f>
        <v>TE44</v>
      </c>
      <c r="AR265" s="128">
        <f>IFERROR(INDEX(TableOverallMaster[BYE],MATCH(TableOverallRank[[#This Row],[OVERALL PLAYER]],TableOverallMaster[OVERALL PLAYER],0)),"")</f>
        <v>7</v>
      </c>
      <c r="AS265" s="127">
        <f>IFERROR(INDEX(TableOverallMaster[Custom],MATCH(TableOverallRank[[#This Row],[OVERALL PLAYER]],TableOverallMaster[OVERALL PLAYER],0)),"")</f>
        <v>39.827848874302617</v>
      </c>
      <c r="AT265" s="129">
        <f>IFERROR(INDEX(TableOverallMaster[VORP],MATCH(TableOverallRank[[#This Row],[OVERALL PLAYER]],TableOverallMaster[OVERALL PLAYER],0)),"")</f>
        <v>-0.66483391275837433</v>
      </c>
      <c r="AV265">
        <v>264</v>
      </c>
      <c r="AW265" s="130" t="str">
        <f>IFERROR(INDEX(TableWRTECalcPts[PLAYER],MATCH(TableWRTERank[[#This Row],[RK]],TableWRTECalcPts[RK],0)),"")</f>
        <v/>
      </c>
      <c r="AX265" s="130" t="str">
        <f>IFERROR(INDEX(TableWRTECalcPts[POS RK],MATCH(TableWRTERank[[#This Row],[WR and TE COMBINED]],TableWRTECalcPts[PLAYER],0)),"")</f>
        <v>TE91</v>
      </c>
      <c r="AY265" s="130" t="str">
        <f>IFERROR(INDEX(TableWRTECalcPts[BYE],MATCH(TableWRTERank[[#This Row],[RK]],TableWRTECalcPts[RK],0)),"")</f>
        <v/>
      </c>
      <c r="AZ265" s="131" t="str">
        <f>IFERROR(INDEX(TableWRTECalcPts[Custom],MATCH(TableWRTERank[[#This Row],[RK]],TableWRTECalcPts[RK],0)),"")</f>
        <v/>
      </c>
      <c r="BA265" s="188" t="str">
        <f>IFERROR((TableWRTERank[[#This Row],[FPS]]-INDEX(TableWRTERank[FPS],MATCH(WRTEVORPCalc,TableWRTERank[RK],0)))/INDEX(TableWRTERank[FPS],MATCH(WRTEVORPCalc,TableWRTERank[RK],0)),"")</f>
        <v/>
      </c>
      <c r="BC265" t="s">
        <v>10</v>
      </c>
      <c r="BD265">
        <v>64</v>
      </c>
      <c r="BE265" s="86">
        <f>RANK(TableWRTEMaster[[#This Row],[VORP]],TableWRTEMaster[VORP])+COUNTIF($BJ$2:BJ265,BJ265)-1</f>
        <v>199</v>
      </c>
      <c r="BF265" s="123" t="str">
        <f>IFERROR(INDEX(TableTEVORP[TIGHT END],MATCH(TableWRTEMaster[[#This Row],[RK]],TableTEVORP[RK],0)),"")</f>
        <v>Tommy Tremble</v>
      </c>
      <c r="BG265" s="123" t="str">
        <f>_xlfn.CONCAT(TableWRTEMaster[[#This Row],[POS]],TableWRTEMaster[[#This Row],[RK]])</f>
        <v>TE64</v>
      </c>
      <c r="BH265" s="123">
        <f>IFERROR(INDEX(TableTEVORP[BYE],MATCH(TableWRTEMaster[[#This Row],[RK]],TableTEVORP[RK],0)),"")</f>
        <v>7</v>
      </c>
      <c r="BI265" s="124">
        <f>IFERROR(INDEX(TableTEVORP[FPS],MATCH(TableWRTEMaster[[#This Row],[RK]],TableTEVORP[RK],0)),"")</f>
        <v>21.056662527364388</v>
      </c>
      <c r="BJ265" s="125">
        <f>IFERROR(INDEX(TableTEVORP[VORP],MATCH(TableWRTEMaster[[#This Row],[RK]],TableTEVORP[RK],0)),"")</f>
        <v>-0.82280039246062198</v>
      </c>
    </row>
    <row r="266" spans="32:62" x14ac:dyDescent="0.2">
      <c r="AF266" t="s">
        <v>10</v>
      </c>
      <c r="AG266">
        <v>15</v>
      </c>
      <c r="AH266" s="86">
        <f>RANK(TableOverallMaster[[#This Row],[VORP]],TableOverallMaster[VORP])+COUNTIF($AM$2:AM266,AM266)-1</f>
        <v>141</v>
      </c>
      <c r="AI266" s="123" t="str">
        <f>IFERROR(INDEX(TableTEVORP[TIGHT END],MATCH(TableOverallMaster[[#This Row],[RK]],TableTEVORP[RK],0)),"")</f>
        <v>Dalton Kincaid</v>
      </c>
      <c r="AJ266" s="123" t="str">
        <f t="shared" si="4"/>
        <v>TE15</v>
      </c>
      <c r="AK266" s="123">
        <f>IFERROR(INDEX(TableTEVORP[BYE],MATCH(TableOverallMaster[[#This Row],[RK]],TableTEVORP[RK],0)),"")</f>
        <v>13</v>
      </c>
      <c r="AL266" s="124">
        <f>IFERROR(INDEX(TableTEVORP[FPS],MATCH(TableOverallMaster[[#This Row],[RK]],TableTEVORP[RK],0)),"")</f>
        <v>111.19421970139238</v>
      </c>
      <c r="AM266" s="125">
        <f>IFERROR(INDEX(TableTEVORP[VORP],MATCH(TableOverallMaster[[#This Row],[RK]],TableTEVORP[RK],0)),"")</f>
        <v>-6.4259491924319082E-2</v>
      </c>
      <c r="AO266">
        <v>265</v>
      </c>
      <c r="AP266" s="126" t="str">
        <f>IFERROR(INDEX(TableOverallMaster[OVERALL PLAYER],MATCH(TableOverallRank[[#This Row],[RK]],TableOverallMaster[OVR RK],0)),"")</f>
        <v>Evan Hull</v>
      </c>
      <c r="AQ266" s="127" t="str">
        <f>IFERROR(INDEX(TableOverallMaster[POS RK],MATCH(TableOverallRank[[#This Row],[OVERALL PLAYER]],TableOverallMaster[OVERALL PLAYER],0)),"")</f>
        <v>RB78</v>
      </c>
      <c r="AR266" s="128">
        <f>IFERROR(INDEX(TableOverallMaster[BYE],MATCH(TableOverallRank[[#This Row],[OVERALL PLAYER]],TableOverallMaster[OVERALL PLAYER],0)),"")</f>
        <v>11</v>
      </c>
      <c r="AS266" s="127">
        <f>IFERROR(INDEX(TableOverallMaster[Custom],MATCH(TableOverallRank[[#This Row],[OVERALL PLAYER]],TableOverallMaster[OVERALL PLAYER],0)),"")</f>
        <v>39.952245169669872</v>
      </c>
      <c r="AT266" s="129">
        <f>IFERROR(INDEX(TableOverallMaster[VORP],MATCH(TableOverallRank[[#This Row],[OVERALL PLAYER]],TableOverallMaster[OVERALL PLAYER],0)),"")</f>
        <v>-0.67376046050523275</v>
      </c>
      <c r="AV266">
        <v>265</v>
      </c>
      <c r="AW266" s="130" t="str">
        <f>IFERROR(INDEX(TableWRTECalcPts[PLAYER],MATCH(TableWRTERank[[#This Row],[RK]],TableWRTECalcPts[RK],0)),"")</f>
        <v/>
      </c>
      <c r="AX266" s="130" t="str">
        <f>IFERROR(INDEX(TableWRTECalcPts[POS RK],MATCH(TableWRTERank[[#This Row],[WR and TE COMBINED]],TableWRTECalcPts[PLAYER],0)),"")</f>
        <v>TE91</v>
      </c>
      <c r="AY266" s="130" t="str">
        <f>IFERROR(INDEX(TableWRTECalcPts[BYE],MATCH(TableWRTERank[[#This Row],[RK]],TableWRTECalcPts[RK],0)),"")</f>
        <v/>
      </c>
      <c r="AZ266" s="131" t="str">
        <f>IFERROR(INDEX(TableWRTECalcPts[Custom],MATCH(TableWRTERank[[#This Row],[RK]],TableWRTECalcPts[RK],0)),"")</f>
        <v/>
      </c>
      <c r="BA266" s="188" t="str">
        <f>IFERROR((TableWRTERank[[#This Row],[FPS]]-INDEX(TableWRTERank[FPS],MATCH(WRTEVORPCalc,TableWRTERank[RK],0)))/INDEX(TableWRTERank[FPS],MATCH(WRTEVORPCalc,TableWRTERank[RK],0)),"")</f>
        <v/>
      </c>
      <c r="BC266" t="s">
        <v>10</v>
      </c>
      <c r="BD266">
        <v>65</v>
      </c>
      <c r="BE266" s="86">
        <f>RANK(TableWRTEMaster[[#This Row],[VORP]],TableWRTEMaster[VORP])+COUNTIF($BJ$2:BJ266,BJ266)-1</f>
        <v>200</v>
      </c>
      <c r="BF266" s="123" t="str">
        <f>IFERROR(INDEX(TableTEVORP[TIGHT END],MATCH(TableWRTEMaster[[#This Row],[RK]],TableTEVORP[RK],0)),"")</f>
        <v>Ko Kieft</v>
      </c>
      <c r="BG266" s="123" t="str">
        <f>_xlfn.CONCAT(TableWRTEMaster[[#This Row],[POS]],TableWRTEMaster[[#This Row],[RK]])</f>
        <v>TE65</v>
      </c>
      <c r="BH266" s="123">
        <f>IFERROR(INDEX(TableTEVORP[BYE],MATCH(TableWRTEMaster[[#This Row],[RK]],TableTEVORP[RK],0)),"")</f>
        <v>5</v>
      </c>
      <c r="BI266" s="124">
        <f>IFERROR(INDEX(TableTEVORP[FPS],MATCH(TableWRTEMaster[[#This Row],[RK]],TableTEVORP[RK],0)),"")</f>
        <v>20.890689470209896</v>
      </c>
      <c r="BJ266" s="125">
        <f>IFERROR(INDEX(TableTEVORP[VORP],MATCH(TableWRTEMaster[[#This Row],[RK]],TableTEVORP[RK],0)),"")</f>
        <v>-0.82419711715769428</v>
      </c>
    </row>
    <row r="267" spans="32:62" x14ac:dyDescent="0.2">
      <c r="AF267" t="s">
        <v>10</v>
      </c>
      <c r="AG267">
        <v>16</v>
      </c>
      <c r="AH267" s="86">
        <f>RANK(TableOverallMaster[[#This Row],[VORP]],TableOverallMaster[VORP])+COUNTIF($AM$2:AM267,AM267)-1</f>
        <v>148</v>
      </c>
      <c r="AI267" s="123" t="str">
        <f>IFERROR(INDEX(TableTEVORP[TIGHT END],MATCH(TableOverallMaster[[#This Row],[RK]],TableTEVORP[RK],0)),"")</f>
        <v>Dalton Schultz</v>
      </c>
      <c r="AJ267" s="123" t="str">
        <f t="shared" si="4"/>
        <v>TE16</v>
      </c>
      <c r="AK267" s="123">
        <f>IFERROR(INDEX(TableTEVORP[BYE],MATCH(TableOverallMaster[[#This Row],[RK]],TableTEVORP[RK],0)),"")</f>
        <v>7</v>
      </c>
      <c r="AL267" s="124">
        <f>IFERROR(INDEX(TableTEVORP[FPS],MATCH(TableOverallMaster[[#This Row],[RK]],TableTEVORP[RK],0)),"")</f>
        <v>107.78710020429105</v>
      </c>
      <c r="AM267" s="125">
        <f>IFERROR(INDEX(TableTEVORP[VORP],MATCH(TableOverallMaster[[#This Row],[RK]],TableTEVORP[RK],0)),"")</f>
        <v>-9.2931663354217958E-2</v>
      </c>
      <c r="AO267">
        <v>266</v>
      </c>
      <c r="AP267" s="126" t="str">
        <f>IFERROR(INDEX(TableOverallMaster[OVERALL PLAYER],MATCH(TableOverallRank[[#This Row],[RK]],TableOverallMaster[OVR RK],0)),"")</f>
        <v>Cole Turner</v>
      </c>
      <c r="AQ267" s="127" t="str">
        <f>IFERROR(INDEX(TableOverallMaster[POS RK],MATCH(TableOverallRank[[#This Row],[OVERALL PLAYER]],TableOverallMaster[OVERALL PLAYER],0)),"")</f>
        <v>TE45</v>
      </c>
      <c r="AR267" s="128">
        <f>IFERROR(INDEX(TableOverallMaster[BYE],MATCH(TableOverallRank[[#This Row],[OVERALL PLAYER]],TableOverallMaster[OVERALL PLAYER],0)),"")</f>
        <v>14</v>
      </c>
      <c r="AS267" s="127">
        <f>IFERROR(INDEX(TableOverallMaster[Custom],MATCH(TableOverallRank[[#This Row],[OVERALL PLAYER]],TableOverallMaster[OVERALL PLAYER],0)),"")</f>
        <v>38.146037279319202</v>
      </c>
      <c r="AT267" s="129">
        <f>IFERROR(INDEX(TableOverallMaster[VORP],MATCH(TableOverallRank[[#This Row],[OVERALL PLAYER]],TableOverallMaster[OVERALL PLAYER],0)),"")</f>
        <v>-0.67898697971278588</v>
      </c>
      <c r="AV267">
        <v>266</v>
      </c>
      <c r="AW267" s="130" t="str">
        <f>IFERROR(INDEX(TableWRTECalcPts[PLAYER],MATCH(TableWRTERank[[#This Row],[RK]],TableWRTECalcPts[RK],0)),"")</f>
        <v/>
      </c>
      <c r="AX267" s="130" t="str">
        <f>IFERROR(INDEX(TableWRTECalcPts[POS RK],MATCH(TableWRTERank[[#This Row],[WR and TE COMBINED]],TableWRTECalcPts[PLAYER],0)),"")</f>
        <v>TE91</v>
      </c>
      <c r="AY267" s="130" t="str">
        <f>IFERROR(INDEX(TableWRTECalcPts[BYE],MATCH(TableWRTERank[[#This Row],[RK]],TableWRTECalcPts[RK],0)),"")</f>
        <v/>
      </c>
      <c r="AZ267" s="131" t="str">
        <f>IFERROR(INDEX(TableWRTECalcPts[Custom],MATCH(TableWRTERank[[#This Row],[RK]],TableWRTECalcPts[RK],0)),"")</f>
        <v/>
      </c>
      <c r="BA267" s="188" t="str">
        <f>IFERROR((TableWRTERank[[#This Row],[FPS]]-INDEX(TableWRTERank[FPS],MATCH(WRTEVORPCalc,TableWRTERank[RK],0)))/INDEX(TableWRTERank[FPS],MATCH(WRTEVORPCalc,TableWRTERank[RK],0)),"")</f>
        <v/>
      </c>
      <c r="BC267" t="s">
        <v>10</v>
      </c>
      <c r="BD267">
        <v>66</v>
      </c>
      <c r="BE267" s="86">
        <f>RANK(TableWRTEMaster[[#This Row],[VORP]],TableWRTEMaster[VORP])+COUNTIF($BJ$2:BJ267,BJ267)-1</f>
        <v>203</v>
      </c>
      <c r="BF267" s="123" t="str">
        <f>IFERROR(INDEX(TableTEVORP[TIGHT END],MATCH(TableWRTEMaster[[#This Row],[RK]],TableTEVORP[RK],0)),"")</f>
        <v>Brock Wright</v>
      </c>
      <c r="BG267" s="123" t="str">
        <f>_xlfn.CONCAT(TableWRTEMaster[[#This Row],[POS]],TableWRTEMaster[[#This Row],[RK]])</f>
        <v>TE66</v>
      </c>
      <c r="BH267" s="123">
        <f>IFERROR(INDEX(TableTEVORP[BYE],MATCH(TableWRTEMaster[[#This Row],[RK]],TableTEVORP[RK],0)),"")</f>
        <v>9</v>
      </c>
      <c r="BI267" s="124">
        <f>IFERROR(INDEX(TableTEVORP[FPS],MATCH(TableWRTEMaster[[#This Row],[RK]],TableTEVORP[RK],0)),"")</f>
        <v>20.420866563743786</v>
      </c>
      <c r="BJ267" s="125">
        <f>IFERROR(INDEX(TableTEVORP[VORP],MATCH(TableWRTEMaster[[#This Row],[RK]],TableTEVORP[RK],0)),"")</f>
        <v>-0.82815085078146367</v>
      </c>
    </row>
    <row r="268" spans="32:62" x14ac:dyDescent="0.2">
      <c r="AF268" t="s">
        <v>10</v>
      </c>
      <c r="AG268">
        <v>17</v>
      </c>
      <c r="AH268" s="86">
        <f>RANK(TableOverallMaster[[#This Row],[VORP]],TableOverallMaster[VORP])+COUNTIF($AM$2:AM268,AM268)-1</f>
        <v>160</v>
      </c>
      <c r="AI268" s="123" t="str">
        <f>IFERROR(INDEX(TableTEVORP[TIGHT END],MATCH(TableOverallMaster[[#This Row],[RK]],TableTEVORP[RK],0)),"")</f>
        <v>Zach Ertz</v>
      </c>
      <c r="AJ268" s="123" t="str">
        <f t="shared" si="4"/>
        <v>TE17</v>
      </c>
      <c r="AK268" s="123">
        <f>IFERROR(INDEX(TableTEVORP[BYE],MATCH(TableOverallMaster[[#This Row],[RK]],TableTEVORP[RK],0)),"")</f>
        <v>14</v>
      </c>
      <c r="AL268" s="124">
        <f>IFERROR(INDEX(TableTEVORP[FPS],MATCH(TableOverallMaster[[#This Row],[RK]],TableTEVORP[RK],0)),"")</f>
        <v>102.28849844849999</v>
      </c>
      <c r="AM268" s="125">
        <f>IFERROR(INDEX(TableTEVORP[VORP],MATCH(TableOverallMaster[[#This Row],[RK]],TableTEVORP[RK],0)),"")</f>
        <v>-0.1392044319791263</v>
      </c>
      <c r="AO268">
        <v>267</v>
      </c>
      <c r="AP268" s="126" t="str">
        <f>IFERROR(INDEX(TableOverallMaster[OVERALL PLAYER],MATCH(TableOverallRank[[#This Row],[RK]],TableOverallMaster[OVR RK],0)),"")</f>
        <v>Latavius Murray</v>
      </c>
      <c r="AQ268" s="127" t="str">
        <f>IFERROR(INDEX(TableOverallMaster[POS RK],MATCH(TableOverallRank[[#This Row],[OVERALL PLAYER]],TableOverallMaster[OVERALL PLAYER],0)),"")</f>
        <v>RB79</v>
      </c>
      <c r="AR268" s="128">
        <f>IFERROR(INDEX(TableOverallMaster[BYE],MATCH(TableOverallRank[[#This Row],[OVERALL PLAYER]],TableOverallMaster[OVERALL PLAYER],0)),"")</f>
        <v>13</v>
      </c>
      <c r="AS268" s="127">
        <f>IFERROR(INDEX(TableOverallMaster[Custom],MATCH(TableOverallRank[[#This Row],[OVERALL PLAYER]],TableOverallMaster[OVERALL PLAYER],0)),"")</f>
        <v>38.743776008500859</v>
      </c>
      <c r="AT268" s="129">
        <f>IFERROR(INDEX(TableOverallMaster[VORP],MATCH(TableOverallRank[[#This Row],[OVERALL PLAYER]],TableOverallMaster[OVERALL PLAYER],0)),"")</f>
        <v>-0.68362850223753335</v>
      </c>
      <c r="AV268">
        <v>267</v>
      </c>
      <c r="AW268" s="130" t="str">
        <f>IFERROR(INDEX(TableWRTECalcPts[PLAYER],MATCH(TableWRTERank[[#This Row],[RK]],TableWRTECalcPts[RK],0)),"")</f>
        <v/>
      </c>
      <c r="AX268" s="130" t="str">
        <f>IFERROR(INDEX(TableWRTECalcPts[POS RK],MATCH(TableWRTERank[[#This Row],[WR and TE COMBINED]],TableWRTECalcPts[PLAYER],0)),"")</f>
        <v>TE91</v>
      </c>
      <c r="AY268" s="130" t="str">
        <f>IFERROR(INDEX(TableWRTECalcPts[BYE],MATCH(TableWRTERank[[#This Row],[RK]],TableWRTECalcPts[RK],0)),"")</f>
        <v/>
      </c>
      <c r="AZ268" s="131" t="str">
        <f>IFERROR(INDEX(TableWRTECalcPts[Custom],MATCH(TableWRTERank[[#This Row],[RK]],TableWRTECalcPts[RK],0)),"")</f>
        <v/>
      </c>
      <c r="BA268" s="188" t="str">
        <f>IFERROR((TableWRTERank[[#This Row],[FPS]]-INDEX(TableWRTERank[FPS],MATCH(WRTEVORPCalc,TableWRTERank[RK],0)))/INDEX(TableWRTERank[FPS],MATCH(WRTEVORPCalc,TableWRTERank[RK],0)),"")</f>
        <v/>
      </c>
      <c r="BC268" t="s">
        <v>10</v>
      </c>
      <c r="BD268">
        <v>67</v>
      </c>
      <c r="BE268" s="86">
        <f>RANK(TableWRTEMaster[[#This Row],[VORP]],TableWRTEMaster[VORP])+COUNTIF($BJ$2:BJ268,BJ268)-1</f>
        <v>204</v>
      </c>
      <c r="BF268" s="123" t="str">
        <f>IFERROR(INDEX(TableTEVORP[TIGHT END],MATCH(TableWRTEMaster[[#This Row],[RK]],TableTEVORP[RK],0)),"")</f>
        <v>Hunter Long</v>
      </c>
      <c r="BG268" s="123" t="str">
        <f>_xlfn.CONCAT(TableWRTEMaster[[#This Row],[POS]],TableWRTEMaster[[#This Row],[RK]])</f>
        <v>TE67</v>
      </c>
      <c r="BH268" s="123">
        <f>IFERROR(INDEX(TableTEVORP[BYE],MATCH(TableWRTEMaster[[#This Row],[RK]],TableTEVORP[RK],0)),"")</f>
        <v>10</v>
      </c>
      <c r="BI268" s="124">
        <f>IFERROR(INDEX(TableTEVORP[FPS],MATCH(TableWRTEMaster[[#This Row],[RK]],TableTEVORP[RK],0)),"")</f>
        <v>20.068881155988553</v>
      </c>
      <c r="BJ268" s="125">
        <f>IFERROR(INDEX(TableTEVORP[VORP],MATCH(TableWRTEMaster[[#This Row],[RK]],TableTEVORP[RK],0)),"")</f>
        <v>-0.83111293824583554</v>
      </c>
    </row>
    <row r="269" spans="32:62" x14ac:dyDescent="0.2">
      <c r="AF269" t="s">
        <v>10</v>
      </c>
      <c r="AG269">
        <v>18</v>
      </c>
      <c r="AH269" s="86">
        <f>RANK(TableOverallMaster[[#This Row],[VORP]],TableOverallMaster[VORP])+COUNTIF($AM$2:AM269,AM269)-1</f>
        <v>163</v>
      </c>
      <c r="AI269" s="123" t="str">
        <f>IFERROR(INDEX(TableTEVORP[TIGHT END],MATCH(TableOverallMaster[[#This Row],[RK]],TableTEVORP[RK],0)),"")</f>
        <v>Dawson Knox</v>
      </c>
      <c r="AJ269" s="123" t="str">
        <f t="shared" si="4"/>
        <v>TE18</v>
      </c>
      <c r="AK269" s="123">
        <f>IFERROR(INDEX(TableTEVORP[BYE],MATCH(TableOverallMaster[[#This Row],[RK]],TableTEVORP[RK],0)),"")</f>
        <v>13</v>
      </c>
      <c r="AL269" s="124">
        <f>IFERROR(INDEX(TableTEVORP[FPS],MATCH(TableOverallMaster[[#This Row],[RK]],TableTEVORP[RK],0)),"")</f>
        <v>101.98897439520259</v>
      </c>
      <c r="AM269" s="125">
        <f>IFERROR(INDEX(TableTEVORP[VORP],MATCH(TableOverallMaster[[#This Row],[RK]],TableTEVORP[RK],0)),"")</f>
        <v>-0.14172503773153025</v>
      </c>
      <c r="AO269">
        <v>268</v>
      </c>
      <c r="AP269" s="126" t="str">
        <f>IFERROR(INDEX(TableOverallMaster[OVERALL PLAYER],MATCH(TableOverallRank[[#This Row],[RK]],TableOverallMaster[OVR RK],0)),"")</f>
        <v>Chase Brown</v>
      </c>
      <c r="AQ269" s="127" t="str">
        <f>IFERROR(INDEX(TableOverallMaster[POS RK],MATCH(TableOverallRank[[#This Row],[OVERALL PLAYER]],TableOverallMaster[OVERALL PLAYER],0)),"")</f>
        <v>RB80</v>
      </c>
      <c r="AR269" s="128">
        <f>IFERROR(INDEX(TableOverallMaster[BYE],MATCH(TableOverallRank[[#This Row],[OVERALL PLAYER]],TableOverallMaster[OVERALL PLAYER],0)),"")</f>
        <v>7</v>
      </c>
      <c r="AS269" s="127">
        <f>IFERROR(INDEX(TableOverallMaster[Custom],MATCH(TableOverallRank[[#This Row],[OVERALL PLAYER]],TableOverallMaster[OVERALL PLAYER],0)),"")</f>
        <v>37.926964521529364</v>
      </c>
      <c r="AT269" s="129">
        <f>IFERROR(INDEX(TableOverallMaster[VORP],MATCH(TableOverallRank[[#This Row],[OVERALL PLAYER]],TableOverallMaster[OVERALL PLAYER],0)),"")</f>
        <v>-0.69029837028204366</v>
      </c>
      <c r="AV269">
        <v>268</v>
      </c>
      <c r="AW269" s="130" t="str">
        <f>IFERROR(INDEX(TableWRTECalcPts[PLAYER],MATCH(TableWRTERank[[#This Row],[RK]],TableWRTECalcPts[RK],0)),"")</f>
        <v/>
      </c>
      <c r="AX269" s="130" t="str">
        <f>IFERROR(INDEX(TableWRTECalcPts[POS RK],MATCH(TableWRTERank[[#This Row],[WR and TE COMBINED]],TableWRTECalcPts[PLAYER],0)),"")</f>
        <v>TE91</v>
      </c>
      <c r="AY269" s="130" t="str">
        <f>IFERROR(INDEX(TableWRTECalcPts[BYE],MATCH(TableWRTERank[[#This Row],[RK]],TableWRTECalcPts[RK],0)),"")</f>
        <v/>
      </c>
      <c r="AZ269" s="131" t="str">
        <f>IFERROR(INDEX(TableWRTECalcPts[Custom],MATCH(TableWRTERank[[#This Row],[RK]],TableWRTECalcPts[RK],0)),"")</f>
        <v/>
      </c>
      <c r="BA269" s="188" t="str">
        <f>IFERROR((TableWRTERank[[#This Row],[FPS]]-INDEX(TableWRTERank[FPS],MATCH(WRTEVORPCalc,TableWRTERank[RK],0)))/INDEX(TableWRTERank[FPS],MATCH(WRTEVORPCalc,TableWRTERank[RK],0)),"")</f>
        <v/>
      </c>
      <c r="BC269" t="s">
        <v>10</v>
      </c>
      <c r="BD269">
        <v>68</v>
      </c>
      <c r="BE269" s="86">
        <f>RANK(TableWRTEMaster[[#This Row],[VORP]],TableWRTEMaster[VORP])+COUNTIF($BJ$2:BJ269,BJ269)-1</f>
        <v>210</v>
      </c>
      <c r="BF269" s="123" t="str">
        <f>IFERROR(INDEX(TableTEVORP[TIGHT END],MATCH(TableWRTEMaster[[#This Row],[RK]],TableTEVORP[RK],0)),"")</f>
        <v>Grant Calcaterra</v>
      </c>
      <c r="BG269" s="123" t="str">
        <f>_xlfn.CONCAT(TableWRTEMaster[[#This Row],[POS]],TableWRTEMaster[[#This Row],[RK]])</f>
        <v>TE68</v>
      </c>
      <c r="BH269" s="123">
        <f>IFERROR(INDEX(TableTEVORP[BYE],MATCH(TableWRTEMaster[[#This Row],[RK]],TableTEVORP[RK],0)),"")</f>
        <v>10</v>
      </c>
      <c r="BI269" s="124">
        <f>IFERROR(INDEX(TableTEVORP[FPS],MATCH(TableWRTEMaster[[#This Row],[RK]],TableTEVORP[RK],0)),"")</f>
        <v>17.356951041360002</v>
      </c>
      <c r="BJ269" s="125">
        <f>IFERROR(INDEX(TableTEVORP[VORP],MATCH(TableWRTEMaster[[#This Row],[RK]],TableTEVORP[RK],0)),"")</f>
        <v>-0.85393483375571944</v>
      </c>
    </row>
    <row r="270" spans="32:62" x14ac:dyDescent="0.2">
      <c r="AF270" t="s">
        <v>10</v>
      </c>
      <c r="AG270">
        <v>19</v>
      </c>
      <c r="AH270" s="86">
        <f>RANK(TableOverallMaster[[#This Row],[VORP]],TableOverallMaster[VORP])+COUNTIF($AM$2:AM270,AM270)-1</f>
        <v>166</v>
      </c>
      <c r="AI270" s="123" t="str">
        <f>IFERROR(INDEX(TableTEVORP[TIGHT END],MATCH(TableOverallMaster[[#This Row],[RK]],TableTEVORP[RK],0)),"")</f>
        <v>Jake Ferguson</v>
      </c>
      <c r="AJ270" s="123" t="str">
        <f t="shared" si="4"/>
        <v>TE19</v>
      </c>
      <c r="AK270" s="123">
        <f>IFERROR(INDEX(TableTEVORP[BYE],MATCH(TableOverallMaster[[#This Row],[RK]],TableTEVORP[RK],0)),"")</f>
        <v>7</v>
      </c>
      <c r="AL270" s="124">
        <f>IFERROR(INDEX(TableTEVORP[FPS],MATCH(TableOverallMaster[[#This Row],[RK]],TableTEVORP[RK],0)),"")</f>
        <v>100.82096199922665</v>
      </c>
      <c r="AM270" s="125">
        <f>IFERROR(INDEX(TableTEVORP[VORP],MATCH(TableOverallMaster[[#This Row],[RK]],TableTEVORP[RK],0)),"")</f>
        <v>-0.15155429428627121</v>
      </c>
      <c r="AO270">
        <v>269</v>
      </c>
      <c r="AP270" s="126" t="str">
        <f>IFERROR(INDEX(TableOverallMaster[OVERALL PLAYER],MATCH(TableOverallRank[[#This Row],[RK]],TableOverallMaster[OVR RK],0)),"")</f>
        <v>Teagan Quitoriano</v>
      </c>
      <c r="AQ270" s="127" t="str">
        <f>IFERROR(INDEX(TableOverallMaster[POS RK],MATCH(TableOverallRank[[#This Row],[OVERALL PLAYER]],TableOverallMaster[OVERALL PLAYER],0)),"")</f>
        <v>TE46</v>
      </c>
      <c r="AR270" s="128">
        <f>IFERROR(INDEX(TableOverallMaster[BYE],MATCH(TableOverallRank[[#This Row],[OVERALL PLAYER]],TableOverallMaster[OVERALL PLAYER],0)),"")</f>
        <v>7</v>
      </c>
      <c r="AS270" s="127">
        <f>IFERROR(INDEX(TableOverallMaster[Custom],MATCH(TableOverallRank[[#This Row],[OVERALL PLAYER]],TableOverallMaster[OVERALL PLAYER],0)),"")</f>
        <v>36.024327486654819</v>
      </c>
      <c r="AT270" s="129">
        <f>IFERROR(INDEX(TableOverallMaster[VORP],MATCH(TableOverallRank[[#This Row],[OVERALL PLAYER]],TableOverallMaster[OVERALL PLAYER],0)),"")</f>
        <v>-0.69684195279239869</v>
      </c>
      <c r="AV270">
        <v>269</v>
      </c>
      <c r="AW270" s="130" t="str">
        <f>IFERROR(INDEX(TableWRTECalcPts[PLAYER],MATCH(TableWRTERank[[#This Row],[RK]],TableWRTECalcPts[RK],0)),"")</f>
        <v/>
      </c>
      <c r="AX270" s="130" t="str">
        <f>IFERROR(INDEX(TableWRTECalcPts[POS RK],MATCH(TableWRTERank[[#This Row],[WR and TE COMBINED]],TableWRTECalcPts[PLAYER],0)),"")</f>
        <v>TE91</v>
      </c>
      <c r="AY270" s="130" t="str">
        <f>IFERROR(INDEX(TableWRTECalcPts[BYE],MATCH(TableWRTERank[[#This Row],[RK]],TableWRTECalcPts[RK],0)),"")</f>
        <v/>
      </c>
      <c r="AZ270" s="131" t="str">
        <f>IFERROR(INDEX(TableWRTECalcPts[Custom],MATCH(TableWRTERank[[#This Row],[RK]],TableWRTECalcPts[RK],0)),"")</f>
        <v/>
      </c>
      <c r="BA270" s="188" t="str">
        <f>IFERROR((TableWRTERank[[#This Row],[FPS]]-INDEX(TableWRTERank[FPS],MATCH(WRTEVORPCalc,TableWRTERank[RK],0)))/INDEX(TableWRTERank[FPS],MATCH(WRTEVORPCalc,TableWRTERank[RK],0)),"")</f>
        <v/>
      </c>
      <c r="BC270" t="s">
        <v>10</v>
      </c>
      <c r="BD270">
        <v>69</v>
      </c>
      <c r="BE270" s="86">
        <f>RANK(TableWRTEMaster[[#This Row],[VORP]],TableWRTEMaster[VORP])+COUNTIF($BJ$2:BJ270,BJ270)-1</f>
        <v>212</v>
      </c>
      <c r="BF270" s="123" t="str">
        <f>IFERROR(INDEX(TableTEVORP[TIGHT END],MATCH(TableWRTEMaster[[#This Row],[RK]],TableTEVORP[RK],0)),"")</f>
        <v>Chris Manhertz</v>
      </c>
      <c r="BG270" s="123" t="str">
        <f>_xlfn.CONCAT(TableWRTEMaster[[#This Row],[POS]],TableWRTEMaster[[#This Row],[RK]])</f>
        <v>TE69</v>
      </c>
      <c r="BH270" s="123">
        <f>IFERROR(INDEX(TableTEVORP[BYE],MATCH(TableWRTEMaster[[#This Row],[RK]],TableTEVORP[RK],0)),"")</f>
        <v>9</v>
      </c>
      <c r="BI270" s="124">
        <f>IFERROR(INDEX(TableTEVORP[FPS],MATCH(TableWRTEMaster[[#This Row],[RK]],TableTEVORP[RK],0)),"")</f>
        <v>16.832874630670773</v>
      </c>
      <c r="BJ270" s="125">
        <f>IFERROR(INDEX(TableTEVORP[VORP],MATCH(TableWRTEMaster[[#This Row],[RK]],TableTEVORP[RK],0)),"")</f>
        <v>-0.85834513069494678</v>
      </c>
    </row>
    <row r="271" spans="32:62" x14ac:dyDescent="0.2">
      <c r="AF271" t="s">
        <v>10</v>
      </c>
      <c r="AG271">
        <v>20</v>
      </c>
      <c r="AH271" s="86">
        <f>RANK(TableOverallMaster[[#This Row],[VORP]],TableOverallMaster[VORP])+COUNTIF($AM$2:AM271,AM271)-1</f>
        <v>169</v>
      </c>
      <c r="AI271" s="123" t="str">
        <f>IFERROR(INDEX(TableTEVORP[TIGHT END],MATCH(TableOverallMaster[[#This Row],[RK]],TableTEVORP[RK],0)),"")</f>
        <v>Sam LaPorta</v>
      </c>
      <c r="AJ271" s="123" t="str">
        <f t="shared" si="4"/>
        <v>TE20</v>
      </c>
      <c r="AK271" s="123">
        <f>IFERROR(INDEX(TableTEVORP[BYE],MATCH(TableOverallMaster[[#This Row],[RK]],TableTEVORP[RK],0)),"")</f>
        <v>9</v>
      </c>
      <c r="AL271" s="124">
        <f>IFERROR(INDEX(TableTEVORP[FPS],MATCH(TableOverallMaster[[#This Row],[RK]],TableTEVORP[RK],0)),"")</f>
        <v>99.61112532514457</v>
      </c>
      <c r="AM271" s="125">
        <f>IFERROR(INDEX(TableTEVORP[VORP],MATCH(TableOverallMaster[[#This Row],[RK]],TableTEVORP[RK],0)),"")</f>
        <v>-0.16173551761905192</v>
      </c>
      <c r="AO271">
        <v>270</v>
      </c>
      <c r="AP271" s="126" t="str">
        <f>IFERROR(INDEX(TableOverallMaster[OVERALL PLAYER],MATCH(TableOverallRank[[#This Row],[RK]],TableOverallMaster[OVR RK],0)),"")</f>
        <v>Tucker Kraft</v>
      </c>
      <c r="AQ271" s="127" t="str">
        <f>IFERROR(INDEX(TableOverallMaster[POS RK],MATCH(TableOverallRank[[#This Row],[OVERALL PLAYER]],TableOverallMaster[OVERALL PLAYER],0)),"")</f>
        <v>TE47</v>
      </c>
      <c r="AR271" s="128">
        <f>IFERROR(INDEX(TableOverallMaster[BYE],MATCH(TableOverallRank[[#This Row],[OVERALL PLAYER]],TableOverallMaster[OVERALL PLAYER],0)),"")</f>
        <v>6</v>
      </c>
      <c r="AS271" s="127">
        <f>IFERROR(INDEX(TableOverallMaster[Custom],MATCH(TableOverallRank[[#This Row],[OVERALL PLAYER]],TableOverallMaster[OVERALL PLAYER],0)),"")</f>
        <v>35.669760428570214</v>
      </c>
      <c r="AT271" s="129">
        <f>IFERROR(INDEX(TableOverallMaster[VORP],MATCH(TableOverallRank[[#This Row],[OVERALL PLAYER]],TableOverallMaster[OVERALL PLAYER],0)),"")</f>
        <v>-0.69982576579967537</v>
      </c>
      <c r="AV271">
        <v>270</v>
      </c>
      <c r="AW271" s="130" t="str">
        <f>IFERROR(INDEX(TableWRTECalcPts[PLAYER],MATCH(TableWRTERank[[#This Row],[RK]],TableWRTECalcPts[RK],0)),"")</f>
        <v/>
      </c>
      <c r="AX271" s="130" t="str">
        <f>IFERROR(INDEX(TableWRTECalcPts[POS RK],MATCH(TableWRTERank[[#This Row],[WR and TE COMBINED]],TableWRTECalcPts[PLAYER],0)),"")</f>
        <v>TE91</v>
      </c>
      <c r="AY271" s="130" t="str">
        <f>IFERROR(INDEX(TableWRTECalcPts[BYE],MATCH(TableWRTERank[[#This Row],[RK]],TableWRTECalcPts[RK],0)),"")</f>
        <v/>
      </c>
      <c r="AZ271" s="131" t="str">
        <f>IFERROR(INDEX(TableWRTECalcPts[Custom],MATCH(TableWRTERank[[#This Row],[RK]],TableWRTECalcPts[RK],0)),"")</f>
        <v/>
      </c>
      <c r="BA271" s="188" t="str">
        <f>IFERROR((TableWRTERank[[#This Row],[FPS]]-INDEX(TableWRTERank[FPS],MATCH(WRTEVORPCalc,TableWRTERank[RK],0)))/INDEX(TableWRTERank[FPS],MATCH(WRTEVORPCalc,TableWRTERank[RK],0)),"")</f>
        <v/>
      </c>
      <c r="BC271" t="s">
        <v>10</v>
      </c>
      <c r="BD271">
        <v>70</v>
      </c>
      <c r="BE271" s="86">
        <f>RANK(TableWRTEMaster[[#This Row],[VORP]],TableWRTEMaster[VORP])+COUNTIF($BJ$2:BJ271,BJ271)-1</f>
        <v>213</v>
      </c>
      <c r="BF271" s="123" t="str">
        <f>IFERROR(INDEX(TableTEVORP[TIGHT END],MATCH(TableWRTEMaster[[#This Row],[RK]],TableTEVORP[RK],0)),"")</f>
        <v>Josh Whyle</v>
      </c>
      <c r="BG271" s="123" t="str">
        <f>_xlfn.CONCAT(TableWRTEMaster[[#This Row],[POS]],TableWRTEMaster[[#This Row],[RK]])</f>
        <v>TE70</v>
      </c>
      <c r="BH271" s="123">
        <f>IFERROR(INDEX(TableTEVORP[BYE],MATCH(TableWRTEMaster[[#This Row],[RK]],TableTEVORP[RK],0)),"")</f>
        <v>7</v>
      </c>
      <c r="BI271" s="124">
        <f>IFERROR(INDEX(TableTEVORP[FPS],MATCH(TableWRTEMaster[[#This Row],[RK]],TableTEVORP[RK],0)),"")</f>
        <v>16.71059312879585</v>
      </c>
      <c r="BJ271" s="125">
        <f>IFERROR(INDEX(TableTEVORP[VORP],MATCH(TableWRTEMaster[[#This Row],[RK]],TableTEVORP[RK],0)),"")</f>
        <v>-0.85937417478554767</v>
      </c>
    </row>
    <row r="272" spans="32:62" x14ac:dyDescent="0.2">
      <c r="AF272" t="s">
        <v>10</v>
      </c>
      <c r="AG272">
        <v>21</v>
      </c>
      <c r="AH272" s="86">
        <f>RANK(TableOverallMaster[[#This Row],[VORP]],TableOverallMaster[VORP])+COUNTIF($AM$2:AM272,AM272)-1</f>
        <v>172</v>
      </c>
      <c r="AI272" s="123" t="str">
        <f>IFERROR(INDEX(TableTEVORP[TIGHT END],MATCH(TableOverallMaster[[#This Row],[RK]],TableTEVORP[RK],0)),"")</f>
        <v>Juwan Johnson</v>
      </c>
      <c r="AJ272" s="123" t="str">
        <f t="shared" si="4"/>
        <v>TE21</v>
      </c>
      <c r="AK272" s="123">
        <f>IFERROR(INDEX(TableTEVORP[BYE],MATCH(TableOverallMaster[[#This Row],[RK]],TableTEVORP[RK],0)),"")</f>
        <v>11</v>
      </c>
      <c r="AL272" s="124">
        <f>IFERROR(INDEX(TableTEVORP[FPS],MATCH(TableOverallMaster[[#This Row],[RK]],TableTEVORP[RK],0)),"")</f>
        <v>98.079881682801982</v>
      </c>
      <c r="AM272" s="125">
        <f>IFERROR(INDEX(TableTEVORP[VORP],MATCH(TableOverallMaster[[#This Row],[RK]],TableTEVORP[RK],0)),"")</f>
        <v>-0.17462149953179129</v>
      </c>
      <c r="AO272">
        <v>271</v>
      </c>
      <c r="AP272" s="126" t="str">
        <f>IFERROR(INDEX(TableOverallMaster[OVERALL PLAYER],MATCH(TableOverallRank[[#This Row],[RK]],TableOverallMaster[OVR RK],0)),"")</f>
        <v>Michael Carter</v>
      </c>
      <c r="AQ272" s="127" t="str">
        <f>IFERROR(INDEX(TableOverallMaster[POS RK],MATCH(TableOverallRank[[#This Row],[OVERALL PLAYER]],TableOverallMaster[OVERALL PLAYER],0)),"")</f>
        <v>RB81</v>
      </c>
      <c r="AR272" s="128">
        <f>IFERROR(INDEX(TableOverallMaster[BYE],MATCH(TableOverallRank[[#This Row],[OVERALL PLAYER]],TableOverallMaster[OVERALL PLAYER],0)),"")</f>
        <v>7</v>
      </c>
      <c r="AS272" s="127">
        <f>IFERROR(INDEX(TableOverallMaster[Custom],MATCH(TableOverallRank[[#This Row],[OVERALL PLAYER]],TableOverallMaster[OVERALL PLAYER],0)),"")</f>
        <v>36.499274480778766</v>
      </c>
      <c r="AT272" s="129">
        <f>IFERROR(INDEX(TableOverallMaster[VORP],MATCH(TableOverallRank[[#This Row],[OVERALL PLAYER]],TableOverallMaster[OVERALL PLAYER],0)),"")</f>
        <v>-0.70195651213258803</v>
      </c>
      <c r="AV272">
        <v>271</v>
      </c>
      <c r="AW272" s="130" t="str">
        <f>IFERROR(INDEX(TableWRTECalcPts[PLAYER],MATCH(TableWRTERank[[#This Row],[RK]],TableWRTECalcPts[RK],0)),"")</f>
        <v/>
      </c>
      <c r="AX272" s="130" t="str">
        <f>IFERROR(INDEX(TableWRTECalcPts[POS RK],MATCH(TableWRTERank[[#This Row],[WR and TE COMBINED]],TableWRTECalcPts[PLAYER],0)),"")</f>
        <v>TE91</v>
      </c>
      <c r="AY272" s="130" t="str">
        <f>IFERROR(INDEX(TableWRTECalcPts[BYE],MATCH(TableWRTERank[[#This Row],[RK]],TableWRTECalcPts[RK],0)),"")</f>
        <v/>
      </c>
      <c r="AZ272" s="131" t="str">
        <f>IFERROR(INDEX(TableWRTECalcPts[Custom],MATCH(TableWRTERank[[#This Row],[RK]],TableWRTECalcPts[RK],0)),"")</f>
        <v/>
      </c>
      <c r="BA272" s="188" t="str">
        <f>IFERROR((TableWRTERank[[#This Row],[FPS]]-INDEX(TableWRTERank[FPS],MATCH(WRTEVORPCalc,TableWRTERank[RK],0)))/INDEX(TableWRTERank[FPS],MATCH(WRTEVORPCalc,TableWRTERank[RK],0)),"")</f>
        <v/>
      </c>
      <c r="BC272" t="s">
        <v>10</v>
      </c>
      <c r="BD272">
        <v>71</v>
      </c>
      <c r="BE272" s="86">
        <f>RANK(TableWRTEMaster[[#This Row],[VORP]],TableWRTEMaster[VORP])+COUNTIF($BJ$2:BJ272,BJ272)-1</f>
        <v>215</v>
      </c>
      <c r="BF272" s="123" t="str">
        <f>IFERROR(INDEX(TableTEVORP[TIGHT END],MATCH(TableWRTEMaster[[#This Row],[RK]],TableTEVORP[RK],0)),"")</f>
        <v>Johnny Mundt</v>
      </c>
      <c r="BG272" s="123" t="str">
        <f>_xlfn.CONCAT(TableWRTEMaster[[#This Row],[POS]],TableWRTEMaster[[#This Row],[RK]])</f>
        <v>TE71</v>
      </c>
      <c r="BH272" s="123">
        <f>IFERROR(INDEX(TableTEVORP[BYE],MATCH(TableWRTEMaster[[#This Row],[RK]],TableTEVORP[RK],0)),"")</f>
        <v>13</v>
      </c>
      <c r="BI272" s="124">
        <f>IFERROR(INDEX(TableTEVORP[FPS],MATCH(TableWRTEMaster[[#This Row],[RK]],TableTEVORP[RK],0)),"")</f>
        <v>16.388591751839996</v>
      </c>
      <c r="BJ272" s="125">
        <f>IFERROR(INDEX(TableTEVORP[VORP],MATCH(TableWRTEMaster[[#This Row],[RK]],TableTEVORP[RK],0)),"")</f>
        <v>-0.86208393553464868</v>
      </c>
    </row>
    <row r="273" spans="32:62" x14ac:dyDescent="0.2">
      <c r="AF273" t="s">
        <v>10</v>
      </c>
      <c r="AG273">
        <v>22</v>
      </c>
      <c r="AH273" s="86">
        <f>RANK(TableOverallMaster[[#This Row],[VORP]],TableOverallMaster[VORP])+COUNTIF($AM$2:AM273,AM273)-1</f>
        <v>173</v>
      </c>
      <c r="AI273" s="123" t="str">
        <f>IFERROR(INDEX(TableTEVORP[TIGHT END],MATCH(TableOverallMaster[[#This Row],[RK]],TableTEVORP[RK],0)),"")</f>
        <v>Irv Smith</v>
      </c>
      <c r="AJ273" s="123" t="str">
        <f t="shared" si="4"/>
        <v>TE22</v>
      </c>
      <c r="AK273" s="123">
        <f>IFERROR(INDEX(TableTEVORP[BYE],MATCH(TableOverallMaster[[#This Row],[RK]],TableTEVORP[RK],0)),"")</f>
        <v>7</v>
      </c>
      <c r="AL273" s="124">
        <f>IFERROR(INDEX(TableTEVORP[FPS],MATCH(TableOverallMaster[[#This Row],[RK]],TableTEVORP[RK],0)),"")</f>
        <v>98.061359137818485</v>
      </c>
      <c r="AM273" s="125">
        <f>IFERROR(INDEX(TableTEVORP[VORP],MATCH(TableOverallMaster[[#This Row],[RK]],TableTEVORP[RK],0)),"")</f>
        <v>-0.17477737360240625</v>
      </c>
      <c r="AO273">
        <v>272</v>
      </c>
      <c r="AP273" s="126" t="str">
        <f>IFERROR(INDEX(TableOverallMaster[OVERALL PLAYER],MATCH(TableOverallRank[[#This Row],[RK]],TableOverallMaster[OVR RK],0)),"")</f>
        <v>Kyler Murray</v>
      </c>
      <c r="AQ273" s="127" t="str">
        <f>IFERROR(INDEX(TableOverallMaster[POS RK],MATCH(TableOverallRank[[#This Row],[OVERALL PLAYER]],TableOverallMaster[OVERALL PLAYER],0)),"")</f>
        <v>QB34</v>
      </c>
      <c r="AR273" s="128">
        <f>IFERROR(INDEX(TableOverallMaster[BYE],MATCH(TableOverallRank[[#This Row],[OVERALL PLAYER]],TableOverallMaster[OVERALL PLAYER],0)),"")</f>
        <v>14</v>
      </c>
      <c r="AS273" s="127">
        <f>IFERROR(INDEX(TableOverallMaster[Custom],MATCH(TableOverallRank[[#This Row],[OVERALL PLAYER]],TableOverallMaster[OVERALL PLAYER],0)),"")</f>
        <v>67.952044360939965</v>
      </c>
      <c r="AT273" s="129">
        <f>IFERROR(INDEX(TableOverallMaster[VORP],MATCH(TableOverallRank[[#This Row],[OVERALL PLAYER]],TableOverallMaster[OVERALL PLAYER],0)),"")</f>
        <v>-0.70387231844322518</v>
      </c>
      <c r="AV273">
        <v>272</v>
      </c>
      <c r="AW273" s="130" t="str">
        <f>IFERROR(INDEX(TableWRTECalcPts[PLAYER],MATCH(TableWRTERank[[#This Row],[RK]],TableWRTECalcPts[RK],0)),"")</f>
        <v/>
      </c>
      <c r="AX273" s="130" t="str">
        <f>IFERROR(INDEX(TableWRTECalcPts[POS RK],MATCH(TableWRTERank[[#This Row],[WR and TE COMBINED]],TableWRTECalcPts[PLAYER],0)),"")</f>
        <v>TE91</v>
      </c>
      <c r="AY273" s="130" t="str">
        <f>IFERROR(INDEX(TableWRTECalcPts[BYE],MATCH(TableWRTERank[[#This Row],[RK]],TableWRTECalcPts[RK],0)),"")</f>
        <v/>
      </c>
      <c r="AZ273" s="131" t="str">
        <f>IFERROR(INDEX(TableWRTECalcPts[Custom],MATCH(TableWRTERank[[#This Row],[RK]],TableWRTECalcPts[RK],0)),"")</f>
        <v/>
      </c>
      <c r="BA273" s="188" t="str">
        <f>IFERROR((TableWRTERank[[#This Row],[FPS]]-INDEX(TableWRTERank[FPS],MATCH(WRTEVORPCalc,TableWRTERank[RK],0)))/INDEX(TableWRTERank[FPS],MATCH(WRTEVORPCalc,TableWRTERank[RK],0)),"")</f>
        <v/>
      </c>
      <c r="BC273" t="s">
        <v>10</v>
      </c>
      <c r="BD273">
        <v>72</v>
      </c>
      <c r="BE273" s="86">
        <f>RANK(TableWRTEMaster[[#This Row],[VORP]],TableWRTEMaster[VORP])+COUNTIF($BJ$2:BJ273,BJ273)-1</f>
        <v>216</v>
      </c>
      <c r="BF273" s="123" t="str">
        <f>IFERROR(INDEX(TableTEVORP[TIGHT END],MATCH(TableWRTEMaster[[#This Row],[RK]],TableTEVORP[RK],0)),"")</f>
        <v>Jeremy Ruckert</v>
      </c>
      <c r="BG273" s="123" t="str">
        <f>_xlfn.CONCAT(TableWRTEMaster[[#This Row],[POS]],TableWRTEMaster[[#This Row],[RK]])</f>
        <v>TE72</v>
      </c>
      <c r="BH273" s="123">
        <f>IFERROR(INDEX(TableTEVORP[BYE],MATCH(TableWRTEMaster[[#This Row],[RK]],TableTEVORP[RK],0)),"")</f>
        <v>7</v>
      </c>
      <c r="BI273" s="124">
        <f>IFERROR(INDEX(TableTEVORP[FPS],MATCH(TableWRTEMaster[[#This Row],[RK]],TableTEVORP[RK],0)),"")</f>
        <v>16.080363280799997</v>
      </c>
      <c r="BJ273" s="125">
        <f>IFERROR(INDEX(TableTEVORP[VORP],MATCH(TableWRTEMaster[[#This Row],[RK]],TableTEVORP[RK],0)),"")</f>
        <v>-0.86467779218357255</v>
      </c>
    </row>
    <row r="274" spans="32:62" x14ac:dyDescent="0.2">
      <c r="AF274" t="s">
        <v>10</v>
      </c>
      <c r="AG274">
        <v>23</v>
      </c>
      <c r="AH274" s="86">
        <f>RANK(TableOverallMaster[[#This Row],[VORP]],TableOverallMaster[VORP])+COUNTIF($AM$2:AM274,AM274)-1</f>
        <v>175</v>
      </c>
      <c r="AI274" s="123" t="str">
        <f>IFERROR(INDEX(TableTEVORP[TIGHT END],MATCH(TableOverallMaster[[#This Row],[RK]],TableTEVORP[RK],0)),"")</f>
        <v>Luke Musgrave</v>
      </c>
      <c r="AJ274" s="123" t="str">
        <f t="shared" si="4"/>
        <v>TE23</v>
      </c>
      <c r="AK274" s="123">
        <f>IFERROR(INDEX(TableTEVORP[BYE],MATCH(TableOverallMaster[[#This Row],[RK]],TableTEVORP[RK],0)),"")</f>
        <v>6</v>
      </c>
      <c r="AL274" s="124">
        <f>IFERROR(INDEX(TableTEVORP[FPS],MATCH(TableOverallMaster[[#This Row],[RK]],TableTEVORP[RK],0)),"")</f>
        <v>97.802786851182233</v>
      </c>
      <c r="AM274" s="125">
        <f>IFERROR(INDEX(TableTEVORP[VORP],MATCH(TableOverallMaster[[#This Row],[RK]],TableTEVORP[RK],0)),"")</f>
        <v>-0.1769533550834676</v>
      </c>
      <c r="AO274">
        <v>273</v>
      </c>
      <c r="AP274" s="126" t="str">
        <f>IFERROR(INDEX(TableOverallMaster[OVERALL PLAYER],MATCH(TableOverallRank[[#This Row],[RK]],TableOverallMaster[OVR RK],0)),"")</f>
        <v>Eric Gray</v>
      </c>
      <c r="AQ274" s="127" t="str">
        <f>IFERROR(INDEX(TableOverallMaster[POS RK],MATCH(TableOverallRank[[#This Row],[OVERALL PLAYER]],TableOverallMaster[OVERALL PLAYER],0)),"")</f>
        <v>RB82</v>
      </c>
      <c r="AR274" s="128">
        <f>IFERROR(INDEX(TableOverallMaster[BYE],MATCH(TableOverallRank[[#This Row],[OVERALL PLAYER]],TableOverallMaster[OVERALL PLAYER],0)),"")</f>
        <v>13</v>
      </c>
      <c r="AS274" s="127">
        <f>IFERROR(INDEX(TableOverallMaster[Custom],MATCH(TableOverallRank[[#This Row],[OVERALL PLAYER]],TableOverallMaster[OVERALL PLAYER],0)),"")</f>
        <v>35.268464973798864</v>
      </c>
      <c r="AT274" s="129">
        <f>IFERROR(INDEX(TableOverallMaster[VORP],MATCH(TableOverallRank[[#This Row],[OVERALL PLAYER]],TableOverallMaster[OVERALL PLAYER],0)),"")</f>
        <v>-0.7120069792604713</v>
      </c>
      <c r="AV274">
        <v>273</v>
      </c>
      <c r="AW274" s="130" t="str">
        <f>IFERROR(INDEX(TableWRTECalcPts[PLAYER],MATCH(TableWRTERank[[#This Row],[RK]],TableWRTECalcPts[RK],0)),"")</f>
        <v/>
      </c>
      <c r="AX274" s="130" t="str">
        <f>IFERROR(INDEX(TableWRTECalcPts[POS RK],MATCH(TableWRTERank[[#This Row],[WR and TE COMBINED]],TableWRTECalcPts[PLAYER],0)),"")</f>
        <v>TE91</v>
      </c>
      <c r="AY274" s="130" t="str">
        <f>IFERROR(INDEX(TableWRTECalcPts[BYE],MATCH(TableWRTERank[[#This Row],[RK]],TableWRTECalcPts[RK],0)),"")</f>
        <v/>
      </c>
      <c r="AZ274" s="131" t="str">
        <f>IFERROR(INDEX(TableWRTECalcPts[Custom],MATCH(TableWRTERank[[#This Row],[RK]],TableWRTECalcPts[RK],0)),"")</f>
        <v/>
      </c>
      <c r="BA274" s="188" t="str">
        <f>IFERROR((TableWRTERank[[#This Row],[FPS]]-INDEX(TableWRTERank[FPS],MATCH(WRTEVORPCalc,TableWRTERank[RK],0)))/INDEX(TableWRTERank[FPS],MATCH(WRTEVORPCalc,TableWRTERank[RK],0)),"")</f>
        <v/>
      </c>
      <c r="BC274" t="s">
        <v>10</v>
      </c>
      <c r="BD274">
        <v>73</v>
      </c>
      <c r="BE274" s="86">
        <f>RANK(TableWRTEMaster[[#This Row],[VORP]],TableWRTEMaster[VORP])+COUNTIF($BJ$2:BJ274,BJ274)-1</f>
        <v>219</v>
      </c>
      <c r="BF274" s="123" t="str">
        <f>IFERROR(INDEX(TableTEVORP[TIGHT END],MATCH(TableWRTEMaster[[#This Row],[RK]],TableTEVORP[RK],0)),"")</f>
        <v>Jack Stoll</v>
      </c>
      <c r="BG274" s="123" t="str">
        <f>_xlfn.CONCAT(TableWRTEMaster[[#This Row],[POS]],TableWRTEMaster[[#This Row],[RK]])</f>
        <v>TE73</v>
      </c>
      <c r="BH274" s="123">
        <f>IFERROR(INDEX(TableTEVORP[BYE],MATCH(TableWRTEMaster[[#This Row],[RK]],TableTEVORP[RK],0)),"")</f>
        <v>10</v>
      </c>
      <c r="BI274" s="124">
        <f>IFERROR(INDEX(TableTEVORP[FPS],MATCH(TableWRTEMaster[[#This Row],[RK]],TableTEVORP[RK],0)),"")</f>
        <v>15.309824690277596</v>
      </c>
      <c r="BJ274" s="125">
        <f>IFERROR(INDEX(TableTEVORP[VORP],MATCH(TableWRTEMaster[[#This Row],[RK]],TableTEVORP[RK],0)),"")</f>
        <v>-0.87116215957356491</v>
      </c>
    </row>
    <row r="275" spans="32:62" x14ac:dyDescent="0.2">
      <c r="AF275" t="s">
        <v>10</v>
      </c>
      <c r="AG275">
        <v>24</v>
      </c>
      <c r="AH275" s="86">
        <f>RANK(TableOverallMaster[[#This Row],[VORP]],TableOverallMaster[VORP])+COUNTIF($AM$2:AM275,AM275)-1</f>
        <v>176</v>
      </c>
      <c r="AI275" s="123" t="str">
        <f>IFERROR(INDEX(TableTEVORP[TIGHT END],MATCH(TableOverallMaster[[#This Row],[RK]],TableTEVORP[RK],0)),"")</f>
        <v>Noah Fant</v>
      </c>
      <c r="AJ275" s="123" t="str">
        <f t="shared" si="4"/>
        <v>TE24</v>
      </c>
      <c r="AK275" s="123">
        <f>IFERROR(INDEX(TableTEVORP[BYE],MATCH(TableOverallMaster[[#This Row],[RK]],TableTEVORP[RK],0)),"")</f>
        <v>5</v>
      </c>
      <c r="AL275" s="124">
        <f>IFERROR(INDEX(TableTEVORP[FPS],MATCH(TableOverallMaster[[#This Row],[RK]],TableTEVORP[RK],0)),"")</f>
        <v>96.734479211257991</v>
      </c>
      <c r="AM275" s="125">
        <f>IFERROR(INDEX(TableTEVORP[VORP],MATCH(TableOverallMaster[[#This Row],[RK]],TableTEVORP[RK],0)),"")</f>
        <v>-0.18594355921861408</v>
      </c>
      <c r="AO275">
        <v>274</v>
      </c>
      <c r="AP275" s="126" t="str">
        <f>IFERROR(INDEX(TableOverallMaster[OVERALL PLAYER],MATCH(TableOverallRank[[#This Row],[RK]],TableOverallMaster[OVR RK],0)),"")</f>
        <v>Kenny McIntosh</v>
      </c>
      <c r="AQ275" s="127" t="str">
        <f>IFERROR(INDEX(TableOverallMaster[POS RK],MATCH(TableOverallRank[[#This Row],[OVERALL PLAYER]],TableOverallMaster[OVERALL PLAYER],0)),"")</f>
        <v>RB83</v>
      </c>
      <c r="AR275" s="128">
        <f>IFERROR(INDEX(TableOverallMaster[BYE],MATCH(TableOverallRank[[#This Row],[OVERALL PLAYER]],TableOverallMaster[OVERALL PLAYER],0)),"")</f>
        <v>5</v>
      </c>
      <c r="AS275" s="127">
        <f>IFERROR(INDEX(TableOverallMaster[Custom],MATCH(TableOverallRank[[#This Row],[OVERALL PLAYER]],TableOverallMaster[OVERALL PLAYER],0)),"")</f>
        <v>34.972280277096957</v>
      </c>
      <c r="AT275" s="129">
        <f>IFERROR(INDEX(TableOverallMaster[VORP],MATCH(TableOverallRank[[#This Row],[OVERALL PLAYER]],TableOverallMaster[OVERALL PLAYER],0)),"")</f>
        <v>-0.71442554569264738</v>
      </c>
      <c r="AV275">
        <v>274</v>
      </c>
      <c r="AW275" s="130" t="str">
        <f>IFERROR(INDEX(TableWRTECalcPts[PLAYER],MATCH(TableWRTERank[[#This Row],[RK]],TableWRTECalcPts[RK],0)),"")</f>
        <v/>
      </c>
      <c r="AX275" s="130" t="str">
        <f>IFERROR(INDEX(TableWRTECalcPts[POS RK],MATCH(TableWRTERank[[#This Row],[WR and TE COMBINED]],TableWRTECalcPts[PLAYER],0)),"")</f>
        <v>TE91</v>
      </c>
      <c r="AY275" s="130" t="str">
        <f>IFERROR(INDEX(TableWRTECalcPts[BYE],MATCH(TableWRTERank[[#This Row],[RK]],TableWRTECalcPts[RK],0)),"")</f>
        <v/>
      </c>
      <c r="AZ275" s="131" t="str">
        <f>IFERROR(INDEX(TableWRTECalcPts[Custom],MATCH(TableWRTERank[[#This Row],[RK]],TableWRTECalcPts[RK],0)),"")</f>
        <v/>
      </c>
      <c r="BA275" s="188" t="str">
        <f>IFERROR((TableWRTERank[[#This Row],[FPS]]-INDEX(TableWRTERank[FPS],MATCH(WRTEVORPCalc,TableWRTERank[RK],0)))/INDEX(TableWRTERank[FPS],MATCH(WRTEVORPCalc,TableWRTERank[RK],0)),"")</f>
        <v/>
      </c>
      <c r="BC275" t="s">
        <v>10</v>
      </c>
      <c r="BD275">
        <v>74</v>
      </c>
      <c r="BE275" s="86">
        <f>RANK(TableWRTEMaster[[#This Row],[VORP]],TableWRTEMaster[VORP])+COUNTIF($BJ$2:BJ275,BJ275)-1</f>
        <v>223</v>
      </c>
      <c r="BF275" s="123" t="str">
        <f>IFERROR(INDEX(TableTEVORP[TIGHT END],MATCH(TableWRTEMaster[[#This Row],[RK]],TableTEVORP[RK],0)),"")</f>
        <v>Darnell Washington</v>
      </c>
      <c r="BG275" s="123" t="str">
        <f>_xlfn.CONCAT(TableWRTEMaster[[#This Row],[POS]],TableWRTEMaster[[#This Row],[RK]])</f>
        <v>TE74</v>
      </c>
      <c r="BH275" s="123">
        <f>IFERROR(INDEX(TableTEVORP[BYE],MATCH(TableWRTEMaster[[#This Row],[RK]],TableTEVORP[RK],0)),"")</f>
        <v>6</v>
      </c>
      <c r="BI275" s="124">
        <f>IFERROR(INDEX(TableTEVORP[FPS],MATCH(TableWRTEMaster[[#This Row],[RK]],TableTEVORP[RK],0)),"")</f>
        <v>14.404509715954163</v>
      </c>
      <c r="BJ275" s="125">
        <f>IFERROR(INDEX(TableTEVORP[VORP],MATCH(TableWRTEMaster[[#This Row],[RK]],TableTEVORP[RK],0)),"")</f>
        <v>-0.87878072010950725</v>
      </c>
    </row>
    <row r="276" spans="32:62" x14ac:dyDescent="0.2">
      <c r="AF276" t="s">
        <v>10</v>
      </c>
      <c r="AG276">
        <v>25</v>
      </c>
      <c r="AH276" s="86">
        <f>RANK(TableOverallMaster[[#This Row],[VORP]],TableOverallMaster[VORP])+COUNTIF($AM$2:AM276,AM276)-1</f>
        <v>179</v>
      </c>
      <c r="AI276" s="123" t="str">
        <f>IFERROR(INDEX(TableTEVORP[TIGHT END],MATCH(TableOverallMaster[[#This Row],[RK]],TableTEVORP[RK],0)),"")</f>
        <v>Trey McBride</v>
      </c>
      <c r="AJ276" s="123" t="str">
        <f t="shared" si="4"/>
        <v>TE25</v>
      </c>
      <c r="AK276" s="123">
        <f>IFERROR(INDEX(TableTEVORP[BYE],MATCH(TableOverallMaster[[#This Row],[RK]],TableTEVORP[RK],0)),"")</f>
        <v>14</v>
      </c>
      <c r="AL276" s="124">
        <f>IFERROR(INDEX(TableTEVORP[FPS],MATCH(TableOverallMaster[[#This Row],[RK]],TableTEVORP[RK],0)),"")</f>
        <v>93.404355072000016</v>
      </c>
      <c r="AM276" s="125">
        <f>IFERROR(INDEX(TableTEVORP[VORP],MATCH(TableOverallMaster[[#This Row],[RK]],TableTEVORP[RK],0)),"")</f>
        <v>-0.2139677862188358</v>
      </c>
      <c r="AO276">
        <v>275</v>
      </c>
      <c r="AP276" s="126" t="str">
        <f>IFERROR(INDEX(TableOverallMaster[OVERALL PLAYER],MATCH(TableOverallRank[[#This Row],[RK]],TableOverallMaster[OVR RK],0)),"")</f>
        <v>Ronnie Rivers</v>
      </c>
      <c r="AQ276" s="127" t="str">
        <f>IFERROR(INDEX(TableOverallMaster[POS RK],MATCH(TableOverallRank[[#This Row],[OVERALL PLAYER]],TableOverallMaster[OVERALL PLAYER],0)),"")</f>
        <v>RB84</v>
      </c>
      <c r="AR276" s="128">
        <f>IFERROR(INDEX(TableOverallMaster[BYE],MATCH(TableOverallRank[[#This Row],[OVERALL PLAYER]],TableOverallMaster[OVERALL PLAYER],0)),"")</f>
        <v>10</v>
      </c>
      <c r="AS276" s="127">
        <f>IFERROR(INDEX(TableOverallMaster[Custom],MATCH(TableOverallRank[[#This Row],[OVERALL PLAYER]],TableOverallMaster[OVERALL PLAYER],0)),"")</f>
        <v>34.805722107144163</v>
      </c>
      <c r="AT276" s="129">
        <f>IFERROR(INDEX(TableOverallMaster[VORP],MATCH(TableOverallRank[[#This Row],[OVERALL PLAYER]],TableOverallMaster[OVERALL PLAYER],0)),"")</f>
        <v>-0.71578561595737789</v>
      </c>
      <c r="AV276">
        <v>275</v>
      </c>
      <c r="AW276" s="130" t="str">
        <f>IFERROR(INDEX(TableWRTECalcPts[PLAYER],MATCH(TableWRTERank[[#This Row],[RK]],TableWRTECalcPts[RK],0)),"")</f>
        <v/>
      </c>
      <c r="AX276" s="130" t="str">
        <f>IFERROR(INDEX(TableWRTECalcPts[POS RK],MATCH(TableWRTERank[[#This Row],[WR and TE COMBINED]],TableWRTECalcPts[PLAYER],0)),"")</f>
        <v>TE91</v>
      </c>
      <c r="AY276" s="130" t="str">
        <f>IFERROR(INDEX(TableWRTECalcPts[BYE],MATCH(TableWRTERank[[#This Row],[RK]],TableWRTECalcPts[RK],0)),"")</f>
        <v/>
      </c>
      <c r="AZ276" s="131" t="str">
        <f>IFERROR(INDEX(TableWRTECalcPts[Custom],MATCH(TableWRTERank[[#This Row],[RK]],TableWRTECalcPts[RK],0)),"")</f>
        <v/>
      </c>
      <c r="BA276" s="188" t="str">
        <f>IFERROR((TableWRTERank[[#This Row],[FPS]]-INDEX(TableWRTERank[FPS],MATCH(WRTEVORPCalc,TableWRTERank[RK],0)))/INDEX(TableWRTERank[FPS],MATCH(WRTEVORPCalc,TableWRTERank[RK],0)),"")</f>
        <v/>
      </c>
      <c r="BC276" t="s">
        <v>10</v>
      </c>
      <c r="BD276">
        <v>75</v>
      </c>
      <c r="BE276" s="86">
        <f>RANK(TableWRTEMaster[[#This Row],[VORP]],TableWRTEMaster[VORP])+COUNTIF($BJ$2:BJ276,BJ276)-1</f>
        <v>225</v>
      </c>
      <c r="BF276" s="123" t="str">
        <f>IFERROR(INDEX(TableTEVORP[TIGHT END],MATCH(TableWRTEMaster[[#This Row],[RK]],TableTEVORP[RK],0)),"")</f>
        <v>Mitchell Wilcox</v>
      </c>
      <c r="BG276" s="123" t="str">
        <f>_xlfn.CONCAT(TableWRTEMaster[[#This Row],[POS]],TableWRTEMaster[[#This Row],[RK]])</f>
        <v>TE75</v>
      </c>
      <c r="BH276" s="123">
        <f>IFERROR(INDEX(TableTEVORP[BYE],MATCH(TableWRTEMaster[[#This Row],[RK]],TableTEVORP[RK],0)),"")</f>
        <v>7</v>
      </c>
      <c r="BI276" s="124">
        <f>IFERROR(INDEX(TableTEVORP[FPS],MATCH(TableWRTEMaster[[#This Row],[RK]],TableTEVORP[RK],0)),"")</f>
        <v>14.109268348510804</v>
      </c>
      <c r="BJ276" s="125">
        <f>IFERROR(INDEX(TableTEVORP[VORP],MATCH(TableWRTEMaster[[#This Row],[RK]],TableTEVORP[RK],0)),"")</f>
        <v>-0.88126528547556948</v>
      </c>
    </row>
    <row r="277" spans="32:62" x14ac:dyDescent="0.2">
      <c r="AF277" t="s">
        <v>10</v>
      </c>
      <c r="AG277">
        <v>26</v>
      </c>
      <c r="AH277" s="86">
        <f>RANK(TableOverallMaster[[#This Row],[VORP]],TableOverallMaster[VORP])+COUNTIF($AM$2:AM277,AM277)-1</f>
        <v>181</v>
      </c>
      <c r="AI277" s="123" t="str">
        <f>IFERROR(INDEX(TableTEVORP[TIGHT END],MATCH(TableOverallMaster[[#This Row],[RK]],TableTEVORP[RK],0)),"")</f>
        <v>Michael Mayer</v>
      </c>
      <c r="AJ277" s="123" t="str">
        <f t="shared" si="4"/>
        <v>TE26</v>
      </c>
      <c r="AK277" s="123">
        <f>IFERROR(INDEX(TableTEVORP[BYE],MATCH(TableOverallMaster[[#This Row],[RK]],TableTEVORP[RK],0)),"")</f>
        <v>13</v>
      </c>
      <c r="AL277" s="124">
        <f>IFERROR(INDEX(TableTEVORP[FPS],MATCH(TableOverallMaster[[#This Row],[RK]],TableTEVORP[RK],0)),"")</f>
        <v>92.765919307287874</v>
      </c>
      <c r="AM277" s="125">
        <f>IFERROR(INDEX(TableTEVORP[VORP],MATCH(TableOverallMaster[[#This Row],[RK]],TableTEVORP[RK],0)),"")</f>
        <v>-0.21934045944276548</v>
      </c>
      <c r="AO277">
        <v>276</v>
      </c>
      <c r="AP277" s="126" t="str">
        <f>IFERROR(INDEX(TableOverallMaster[OVERALL PLAYER],MATCH(TableOverallRank[[#This Row],[RK]],TableOverallMaster[OVR RK],0)),"")</f>
        <v>Chris Rodriguez</v>
      </c>
      <c r="AQ277" s="127" t="str">
        <f>IFERROR(INDEX(TableOverallMaster[POS RK],MATCH(TableOverallRank[[#This Row],[OVERALL PLAYER]],TableOverallMaster[OVERALL PLAYER],0)),"")</f>
        <v>RB85</v>
      </c>
      <c r="AR277" s="128">
        <f>IFERROR(INDEX(TableOverallMaster[BYE],MATCH(TableOverallRank[[#This Row],[OVERALL PLAYER]],TableOverallMaster[OVERALL PLAYER],0)),"")</f>
        <v>14</v>
      </c>
      <c r="AS277" s="127">
        <f>IFERROR(INDEX(TableOverallMaster[Custom],MATCH(TableOverallRank[[#This Row],[OVERALL PLAYER]],TableOverallMaster[OVERALL PLAYER],0)),"")</f>
        <v>34.323708694423821</v>
      </c>
      <c r="AT277" s="129">
        <f>IFERROR(INDEX(TableOverallMaster[VORP],MATCH(TableOverallRank[[#This Row],[OVERALL PLAYER]],TableOverallMaster[OVERALL PLAYER],0)),"")</f>
        <v>-0.71972161087151509</v>
      </c>
      <c r="AV277">
        <v>276</v>
      </c>
      <c r="AW277" s="130" t="str">
        <f>IFERROR(INDEX(TableWRTECalcPts[PLAYER],MATCH(TableWRTERank[[#This Row],[RK]],TableWRTECalcPts[RK],0)),"")</f>
        <v/>
      </c>
      <c r="AX277" s="130" t="str">
        <f>IFERROR(INDEX(TableWRTECalcPts[POS RK],MATCH(TableWRTERank[[#This Row],[WR and TE COMBINED]],TableWRTECalcPts[PLAYER],0)),"")</f>
        <v>TE91</v>
      </c>
      <c r="AY277" s="130" t="str">
        <f>IFERROR(INDEX(TableWRTECalcPts[BYE],MATCH(TableWRTERank[[#This Row],[RK]],TableWRTECalcPts[RK],0)),"")</f>
        <v/>
      </c>
      <c r="AZ277" s="131" t="str">
        <f>IFERROR(INDEX(TableWRTECalcPts[Custom],MATCH(TableWRTERank[[#This Row],[RK]],TableWRTECalcPts[RK],0)),"")</f>
        <v/>
      </c>
      <c r="BA277" s="188" t="str">
        <f>IFERROR((TableWRTERank[[#This Row],[FPS]]-INDEX(TableWRTERank[FPS],MATCH(WRTEVORPCalc,TableWRTERank[RK],0)))/INDEX(TableWRTERank[FPS],MATCH(WRTEVORPCalc,TableWRTERank[RK],0)),"")</f>
        <v/>
      </c>
      <c r="BC277" t="s">
        <v>10</v>
      </c>
      <c r="BD277">
        <v>76</v>
      </c>
      <c r="BE277" s="86">
        <f>RANK(TableWRTEMaster[[#This Row],[VORP]],TableWRTEMaster[VORP])+COUNTIF($BJ$2:BJ277,BJ277)-1</f>
        <v>226</v>
      </c>
      <c r="BF277" s="123" t="str">
        <f>IFERROR(INDEX(TableTEVORP[TIGHT END],MATCH(TableWRTEMaster[[#This Row],[RK]],TableTEVORP[RK],0)),"")</f>
        <v>Foster Moreau</v>
      </c>
      <c r="BG277" s="123" t="str">
        <f>_xlfn.CONCAT(TableWRTEMaster[[#This Row],[POS]],TableWRTEMaster[[#This Row],[RK]])</f>
        <v>TE76</v>
      </c>
      <c r="BH277" s="123">
        <f>IFERROR(INDEX(TableTEVORP[BYE],MATCH(TableWRTEMaster[[#This Row],[RK]],TableTEVORP[RK],0)),"")</f>
        <v>11</v>
      </c>
      <c r="BI277" s="124">
        <f>IFERROR(INDEX(TableTEVORP[FPS],MATCH(TableWRTEMaster[[#This Row],[RK]],TableTEVORP[RK],0)),"")</f>
        <v>13.781646022609921</v>
      </c>
      <c r="BJ277" s="125">
        <f>IFERROR(INDEX(TableTEVORP[VORP],MATCH(TableWRTEMaster[[#This Row],[RK]],TableTEVORP[RK],0)),"")</f>
        <v>-0.88402234859016948</v>
      </c>
    </row>
    <row r="278" spans="32:62" x14ac:dyDescent="0.2">
      <c r="AF278" t="s">
        <v>10</v>
      </c>
      <c r="AG278">
        <v>27</v>
      </c>
      <c r="AH278" s="86">
        <f>RANK(TableOverallMaster[[#This Row],[VORP]],TableOverallMaster[VORP])+COUNTIF($AM$2:AM278,AM278)-1</f>
        <v>184</v>
      </c>
      <c r="AI278" s="123" t="str">
        <f>IFERROR(INDEX(TableTEVORP[TIGHT END],MATCH(TableOverallMaster[[#This Row],[RK]],TableTEVORP[RK],0)),"")</f>
        <v>Gerald Everett</v>
      </c>
      <c r="AJ278" s="123" t="str">
        <f t="shared" si="4"/>
        <v>TE27</v>
      </c>
      <c r="AK278" s="123">
        <f>IFERROR(INDEX(TableTEVORP[BYE],MATCH(TableOverallMaster[[#This Row],[RK]],TableTEVORP[RK],0)),"")</f>
        <v>5</v>
      </c>
      <c r="AL278" s="124">
        <f>IFERROR(INDEX(TableTEVORP[FPS],MATCH(TableOverallMaster[[#This Row],[RK]],TableTEVORP[RK],0)),"")</f>
        <v>88.829688450900846</v>
      </c>
      <c r="AM278" s="125">
        <f>IFERROR(INDEX(TableTEVORP[VORP],MATCH(TableOverallMaster[[#This Row],[RK]],TableTEVORP[RK],0)),"")</f>
        <v>-0.25246529876759821</v>
      </c>
      <c r="AO278">
        <v>277</v>
      </c>
      <c r="AP278" s="126" t="str">
        <f>IFERROR(INDEX(TableOverallMaster[OVERALL PLAYER],MATCH(TableOverallRank[[#This Row],[RK]],TableOverallMaster[OVR RK],0)),"")</f>
        <v>Isaiah Spiller</v>
      </c>
      <c r="AQ278" s="127" t="str">
        <f>IFERROR(INDEX(TableOverallMaster[POS RK],MATCH(TableOverallRank[[#This Row],[OVERALL PLAYER]],TableOverallMaster[OVERALL PLAYER],0)),"")</f>
        <v>RB86</v>
      </c>
      <c r="AR278" s="128">
        <f>IFERROR(INDEX(TableOverallMaster[BYE],MATCH(TableOverallRank[[#This Row],[OVERALL PLAYER]],TableOverallMaster[OVERALL PLAYER],0)),"")</f>
        <v>5</v>
      </c>
      <c r="AS278" s="127">
        <f>IFERROR(INDEX(TableOverallMaster[Custom],MATCH(TableOverallRank[[#This Row],[OVERALL PLAYER]],TableOverallMaster[OVERALL PLAYER],0)),"")</f>
        <v>34.067763694883844</v>
      </c>
      <c r="AT278" s="129">
        <f>IFERROR(INDEX(TableOverallMaster[VORP],MATCH(TableOverallRank[[#This Row],[OVERALL PLAYER]],TableOverallMaster[OVERALL PLAYER],0)),"")</f>
        <v>-0.72181159050673471</v>
      </c>
      <c r="AV278">
        <v>277</v>
      </c>
      <c r="AW278" s="130" t="str">
        <f>IFERROR(INDEX(TableWRTECalcPts[PLAYER],MATCH(TableWRTERank[[#This Row],[RK]],TableWRTECalcPts[RK],0)),"")</f>
        <v/>
      </c>
      <c r="AX278" s="130" t="str">
        <f>IFERROR(INDEX(TableWRTECalcPts[POS RK],MATCH(TableWRTERank[[#This Row],[WR and TE COMBINED]],TableWRTECalcPts[PLAYER],0)),"")</f>
        <v>TE91</v>
      </c>
      <c r="AY278" s="130" t="str">
        <f>IFERROR(INDEX(TableWRTECalcPts[BYE],MATCH(TableWRTERank[[#This Row],[RK]],TableWRTECalcPts[RK],0)),"")</f>
        <v/>
      </c>
      <c r="AZ278" s="131" t="str">
        <f>IFERROR(INDEX(TableWRTECalcPts[Custom],MATCH(TableWRTERank[[#This Row],[RK]],TableWRTECalcPts[RK],0)),"")</f>
        <v/>
      </c>
      <c r="BA278" s="188" t="str">
        <f>IFERROR((TableWRTERank[[#This Row],[FPS]]-INDEX(TableWRTERank[FPS],MATCH(WRTEVORPCalc,TableWRTERank[RK],0)))/INDEX(TableWRTERank[FPS],MATCH(WRTEVORPCalc,TableWRTERank[RK],0)),"")</f>
        <v/>
      </c>
      <c r="BC278" t="s">
        <v>10</v>
      </c>
      <c r="BD278">
        <v>77</v>
      </c>
      <c r="BE278" s="86">
        <f>RANK(TableWRTEMaster[[#This Row],[VORP]],TableWRTEMaster[VORP])+COUNTIF($BJ$2:BJ278,BJ278)-1</f>
        <v>233</v>
      </c>
      <c r="BF278" s="123" t="str">
        <f>IFERROR(INDEX(TableTEVORP[TIGHT END],MATCH(TableWRTEMaster[[#This Row],[RK]],TableTEVORP[RK],0)),"")</f>
        <v>MyCole Pruitt</v>
      </c>
      <c r="BG278" s="123" t="str">
        <f>_xlfn.CONCAT(TableWRTEMaster[[#This Row],[POS]],TableWRTEMaster[[#This Row],[RK]])</f>
        <v>TE77</v>
      </c>
      <c r="BH278" s="123">
        <f>IFERROR(INDEX(TableTEVORP[BYE],MATCH(TableWRTEMaster[[#This Row],[RK]],TableTEVORP[RK],0)),"")</f>
        <v>11</v>
      </c>
      <c r="BI278" s="124">
        <f>IFERROR(INDEX(TableTEVORP[FPS],MATCH(TableWRTEMaster[[#This Row],[RK]],TableTEVORP[RK],0)),"")</f>
        <v>11.888260212326399</v>
      </c>
      <c r="BJ278" s="125">
        <f>IFERROR(INDEX(TableTEVORP[VORP],MATCH(TableWRTEMaster[[#This Row],[RK]],TableTEVORP[RK],0)),"")</f>
        <v>-0.89995589086292305</v>
      </c>
    </row>
    <row r="279" spans="32:62" x14ac:dyDescent="0.2">
      <c r="AF279" t="s">
        <v>10</v>
      </c>
      <c r="AG279">
        <v>28</v>
      </c>
      <c r="AH279" s="86">
        <f>RANK(TableOverallMaster[[#This Row],[VORP]],TableOverallMaster[VORP])+COUNTIF($AM$2:AM279,AM279)-1</f>
        <v>188</v>
      </c>
      <c r="AI279" s="123" t="str">
        <f>IFERROR(INDEX(TableTEVORP[TIGHT END],MATCH(TableOverallMaster[[#This Row],[RK]],TableTEVORP[RK],0)),"")</f>
        <v>Greg Dulcich</v>
      </c>
      <c r="AJ279" s="123" t="str">
        <f t="shared" si="4"/>
        <v>TE28</v>
      </c>
      <c r="AK279" s="123">
        <f>IFERROR(INDEX(TableTEVORP[BYE],MATCH(TableOverallMaster[[#This Row],[RK]],TableTEVORP[RK],0)),"")</f>
        <v>9</v>
      </c>
      <c r="AL279" s="124">
        <f>IFERROR(INDEX(TableTEVORP[FPS],MATCH(TableOverallMaster[[#This Row],[RK]],TableTEVORP[RK],0)),"")</f>
        <v>86.581473187303459</v>
      </c>
      <c r="AM279" s="125">
        <f>IFERROR(INDEX(TableTEVORP[VORP],MATCH(TableOverallMaster[[#This Row],[RK]],TableTEVORP[RK],0)),"")</f>
        <v>-0.27138486220058639</v>
      </c>
      <c r="AO279">
        <v>278</v>
      </c>
      <c r="AP279" s="126" t="str">
        <f>IFERROR(INDEX(TableOverallMaster[OVERALL PLAYER],MATCH(TableOverallRank[[#This Row],[RK]],TableOverallMaster[OVR RK],0)),"")</f>
        <v>Donald Parham</v>
      </c>
      <c r="AQ279" s="127" t="str">
        <f>IFERROR(INDEX(TableOverallMaster[POS RK],MATCH(TableOverallRank[[#This Row],[OVERALL PLAYER]],TableOverallMaster[OVERALL PLAYER],0)),"")</f>
        <v>TE48</v>
      </c>
      <c r="AR279" s="128">
        <f>IFERROR(INDEX(TableOverallMaster[BYE],MATCH(TableOverallRank[[#This Row],[OVERALL PLAYER]],TableOverallMaster[OVERALL PLAYER],0)),"")</f>
        <v>5</v>
      </c>
      <c r="AS279" s="127">
        <f>IFERROR(INDEX(TableOverallMaster[Custom],MATCH(TableOverallRank[[#This Row],[OVERALL PLAYER]],TableOverallMaster[OVERALL PLAYER],0)),"")</f>
        <v>32.990479742088795</v>
      </c>
      <c r="AT279" s="129">
        <f>IFERROR(INDEX(TableOverallMaster[VORP],MATCH(TableOverallRank[[#This Row],[OVERALL PLAYER]],TableOverallMaster[OVERALL PLAYER],0)),"")</f>
        <v>-0.72237290428923195</v>
      </c>
      <c r="AV279">
        <v>278</v>
      </c>
      <c r="AW279" s="130" t="str">
        <f>IFERROR(INDEX(TableWRTECalcPts[PLAYER],MATCH(TableWRTERank[[#This Row],[RK]],TableWRTECalcPts[RK],0)),"")</f>
        <v/>
      </c>
      <c r="AX279" s="130" t="str">
        <f>IFERROR(INDEX(TableWRTECalcPts[POS RK],MATCH(TableWRTERank[[#This Row],[WR and TE COMBINED]],TableWRTECalcPts[PLAYER],0)),"")</f>
        <v>TE91</v>
      </c>
      <c r="AY279" s="130" t="str">
        <f>IFERROR(INDEX(TableWRTECalcPts[BYE],MATCH(TableWRTERank[[#This Row],[RK]],TableWRTECalcPts[RK],0)),"")</f>
        <v/>
      </c>
      <c r="AZ279" s="131" t="str">
        <f>IFERROR(INDEX(TableWRTECalcPts[Custom],MATCH(TableWRTERank[[#This Row],[RK]],TableWRTECalcPts[RK],0)),"")</f>
        <v/>
      </c>
      <c r="BA279" s="188" t="str">
        <f>IFERROR((TableWRTERank[[#This Row],[FPS]]-INDEX(TableWRTERank[FPS],MATCH(WRTEVORPCalc,TableWRTERank[RK],0)))/INDEX(TableWRTERank[FPS],MATCH(WRTEVORPCalc,TableWRTERank[RK],0)),"")</f>
        <v/>
      </c>
      <c r="BC279" t="s">
        <v>10</v>
      </c>
      <c r="BD279">
        <v>78</v>
      </c>
      <c r="BE279" s="86">
        <f>RANK(TableWRTEMaster[[#This Row],[VORP]],TableWRTEMaster[VORP])+COUNTIF($BJ$2:BJ279,BJ279)-1</f>
        <v>234</v>
      </c>
      <c r="BF279" s="123" t="str">
        <f>IFERROR(INDEX(TableTEVORP[TIGHT END],MATCH(TableWRTEMaster[[#This Row],[RK]],TableTEVORP[RK],0)),"")</f>
        <v>Josiah Deguara</v>
      </c>
      <c r="BG279" s="123" t="str">
        <f>_xlfn.CONCAT(TableWRTEMaster[[#This Row],[POS]],TableWRTEMaster[[#This Row],[RK]])</f>
        <v>TE78</v>
      </c>
      <c r="BH279" s="123">
        <f>IFERROR(INDEX(TableTEVORP[BYE],MATCH(TableWRTEMaster[[#This Row],[RK]],TableTEVORP[RK],0)),"")</f>
        <v>6</v>
      </c>
      <c r="BI279" s="124">
        <f>IFERROR(INDEX(TableTEVORP[FPS],MATCH(TableWRTEMaster[[#This Row],[RK]],TableTEVORP[RK],0)),"")</f>
        <v>11.88686867845238</v>
      </c>
      <c r="BJ279" s="125">
        <f>IFERROR(INDEX(TableTEVORP[VORP],MATCH(TableWRTEMaster[[#This Row],[RK]],TableTEVORP[RK],0)),"")</f>
        <v>-0.89996760113543339</v>
      </c>
    </row>
    <row r="280" spans="32:62" x14ac:dyDescent="0.2">
      <c r="AF280" t="s">
        <v>10</v>
      </c>
      <c r="AG280">
        <v>29</v>
      </c>
      <c r="AH280" s="86">
        <f>RANK(TableOverallMaster[[#This Row],[VORP]],TableOverallMaster[VORP])+COUNTIF($AM$2:AM280,AM280)-1</f>
        <v>192</v>
      </c>
      <c r="AI280" s="123" t="str">
        <f>IFERROR(INDEX(TableTEVORP[TIGHT END],MATCH(TableOverallMaster[[#This Row],[RK]],TableTEVORP[RK],0)),"")</f>
        <v>Mike Gesicki</v>
      </c>
      <c r="AJ280" s="123" t="str">
        <f t="shared" si="4"/>
        <v>TE29</v>
      </c>
      <c r="AK280" s="123">
        <f>IFERROR(INDEX(TableTEVORP[BYE],MATCH(TableOverallMaster[[#This Row],[RK]],TableTEVORP[RK],0)),"")</f>
        <v>11</v>
      </c>
      <c r="AL280" s="124">
        <f>IFERROR(INDEX(TableTEVORP[FPS],MATCH(TableOverallMaster[[#This Row],[RK]],TableTEVORP[RK],0)),"")</f>
        <v>84.395870962075392</v>
      </c>
      <c r="AM280" s="125">
        <f>IFERROR(INDEX(TableTEVORP[VORP],MATCH(TableOverallMaster[[#This Row],[RK]],TableTEVORP[RK],0)),"")</f>
        <v>-0.28977751374469035</v>
      </c>
      <c r="AO280">
        <v>279</v>
      </c>
      <c r="AP280" s="126" t="str">
        <f>IFERROR(INDEX(TableOverallMaster[OVERALL PLAYER],MATCH(TableOverallRank[[#This Row],[RK]],TableOverallMaster[OVR RK],0)),"")</f>
        <v>Kene Nwangwu</v>
      </c>
      <c r="AQ280" s="127" t="str">
        <f>IFERROR(INDEX(TableOverallMaster[POS RK],MATCH(TableOverallRank[[#This Row],[OVERALL PLAYER]],TableOverallMaster[OVERALL PLAYER],0)),"")</f>
        <v>RB87</v>
      </c>
      <c r="AR280" s="128">
        <f>IFERROR(INDEX(TableOverallMaster[BYE],MATCH(TableOverallRank[[#This Row],[OVERALL PLAYER]],TableOverallMaster[OVERALL PLAYER],0)),"")</f>
        <v>13</v>
      </c>
      <c r="AS280" s="127">
        <f>IFERROR(INDEX(TableOverallMaster[Custom],MATCH(TableOverallRank[[#This Row],[OVERALL PLAYER]],TableOverallMaster[OVERALL PLAYER],0)),"")</f>
        <v>32.950744019818238</v>
      </c>
      <c r="AT280" s="129">
        <f>IFERROR(INDEX(TableOverallMaster[VORP],MATCH(TableOverallRank[[#This Row],[OVERALL PLAYER]],TableOverallMaster[OVERALL PLAYER],0)),"")</f>
        <v>-0.7309328797572483</v>
      </c>
      <c r="AV280">
        <v>279</v>
      </c>
      <c r="AW280" s="130" t="str">
        <f>IFERROR(INDEX(TableWRTECalcPts[PLAYER],MATCH(TableWRTERank[[#This Row],[RK]],TableWRTECalcPts[RK],0)),"")</f>
        <v/>
      </c>
      <c r="AX280" s="130" t="str">
        <f>IFERROR(INDEX(TableWRTECalcPts[POS RK],MATCH(TableWRTERank[[#This Row],[WR and TE COMBINED]],TableWRTECalcPts[PLAYER],0)),"")</f>
        <v>TE91</v>
      </c>
      <c r="AY280" s="130" t="str">
        <f>IFERROR(INDEX(TableWRTECalcPts[BYE],MATCH(TableWRTERank[[#This Row],[RK]],TableWRTECalcPts[RK],0)),"")</f>
        <v/>
      </c>
      <c r="AZ280" s="131" t="str">
        <f>IFERROR(INDEX(TableWRTECalcPts[Custom],MATCH(TableWRTERank[[#This Row],[RK]],TableWRTECalcPts[RK],0)),"")</f>
        <v/>
      </c>
      <c r="BA280" s="188" t="str">
        <f>IFERROR((TableWRTERank[[#This Row],[FPS]]-INDEX(TableWRTERank[FPS],MATCH(WRTEVORPCalc,TableWRTERank[RK],0)))/INDEX(TableWRTERank[FPS],MATCH(WRTEVORPCalc,TableWRTERank[RK],0)),"")</f>
        <v/>
      </c>
      <c r="BC280" t="s">
        <v>10</v>
      </c>
      <c r="BD280">
        <v>79</v>
      </c>
      <c r="BE280" s="86">
        <f>RANK(TableWRTEMaster[[#This Row],[VORP]],TableWRTEMaster[VORP])+COUNTIF($BJ$2:BJ280,BJ280)-1</f>
        <v>235</v>
      </c>
      <c r="BF280" s="123" t="str">
        <f>IFERROR(INDEX(TableTEVORP[TIGHT END],MATCH(TableWRTEMaster[[#This Row],[RK]],TableTEVORP[RK],0)),"")</f>
        <v>Ian Thomas</v>
      </c>
      <c r="BG280" s="123" t="str">
        <f>_xlfn.CONCAT(TableWRTEMaster[[#This Row],[POS]],TableWRTEMaster[[#This Row],[RK]])</f>
        <v>TE79</v>
      </c>
      <c r="BH280" s="123">
        <f>IFERROR(INDEX(TableTEVORP[BYE],MATCH(TableWRTEMaster[[#This Row],[RK]],TableTEVORP[RK],0)),"")</f>
        <v>7</v>
      </c>
      <c r="BI280" s="124">
        <f>IFERROR(INDEX(TableTEVORP[FPS],MATCH(TableWRTEMaster[[#This Row],[RK]],TableTEVORP[RK],0)),"")</f>
        <v>11.840852666214957</v>
      </c>
      <c r="BJ280" s="125">
        <f>IFERROR(INDEX(TableTEVORP[VORP],MATCH(TableWRTEMaster[[#This Row],[RK]],TableTEVORP[RK],0)),"")</f>
        <v>-0.90035484290740952</v>
      </c>
    </row>
    <row r="281" spans="32:62" x14ac:dyDescent="0.2">
      <c r="AF281" t="s">
        <v>10</v>
      </c>
      <c r="AG281">
        <v>30</v>
      </c>
      <c r="AH281" s="86">
        <f>RANK(TableOverallMaster[[#This Row],[VORP]],TableOverallMaster[VORP])+COUNTIF($AM$2:AM281,AM281)-1</f>
        <v>193</v>
      </c>
      <c r="AI281" s="123" t="str">
        <f>IFERROR(INDEX(TableTEVORP[TIGHT END],MATCH(TableOverallMaster[[#This Row],[RK]],TableTEVORP[RK],0)),"")</f>
        <v>Hayden Hurst</v>
      </c>
      <c r="AJ281" s="123" t="str">
        <f t="shared" si="4"/>
        <v>TE30</v>
      </c>
      <c r="AK281" s="123">
        <f>IFERROR(INDEX(TableTEVORP[BYE],MATCH(TableOverallMaster[[#This Row],[RK]],TableTEVORP[RK],0)),"")</f>
        <v>7</v>
      </c>
      <c r="AL281" s="124">
        <f>IFERROR(INDEX(TableTEVORP[FPS],MATCH(TableOverallMaster[[#This Row],[RK]],TableTEVORP[RK],0)),"")</f>
        <v>84.191268201874024</v>
      </c>
      <c r="AM281" s="125">
        <f>IFERROR(INDEX(TableTEVORP[VORP],MATCH(TableOverallMaster[[#This Row],[RK]],TableTEVORP[RK],0)),"")</f>
        <v>-0.29149932168847253</v>
      </c>
      <c r="AO281">
        <v>280</v>
      </c>
      <c r="AP281" s="126" t="str">
        <f>IFERROR(INDEX(TableOverallMaster[OVERALL PLAYER],MATCH(TableOverallRank[[#This Row],[RK]],TableOverallMaster[OVR RK],0)),"")</f>
        <v>Julian Hill</v>
      </c>
      <c r="AQ281" s="127" t="str">
        <f>IFERROR(INDEX(TableOverallMaster[POS RK],MATCH(TableOverallRank[[#This Row],[OVERALL PLAYER]],TableOverallMaster[OVERALL PLAYER],0)),"")</f>
        <v>TE49</v>
      </c>
      <c r="AR281" s="128">
        <f>IFERROR(INDEX(TableOverallMaster[BYE],MATCH(TableOverallRank[[#This Row],[OVERALL PLAYER]],TableOverallMaster[OVERALL PLAYER],0)),"")</f>
        <v>10</v>
      </c>
      <c r="AS281" s="127">
        <f>IFERROR(INDEX(TableOverallMaster[Custom],MATCH(TableOverallRank[[#This Row],[OVERALL PLAYER]],TableOverallMaster[OVERALL PLAYER],0)),"")</f>
        <v>31.534379794827011</v>
      </c>
      <c r="AT281" s="129">
        <f>IFERROR(INDEX(TableOverallMaster[VORP],MATCH(TableOverallRank[[#This Row],[OVERALL PLAYER]],TableOverallMaster[OVERALL PLAYER],0)),"")</f>
        <v>-0.73462652419968</v>
      </c>
      <c r="AV281">
        <v>280</v>
      </c>
      <c r="AW281" s="130" t="str">
        <f>IFERROR(INDEX(TableWRTECalcPts[PLAYER],MATCH(TableWRTERank[[#This Row],[RK]],TableWRTECalcPts[RK],0)),"")</f>
        <v/>
      </c>
      <c r="AX281" s="130" t="str">
        <f>IFERROR(INDEX(TableWRTECalcPts[POS RK],MATCH(TableWRTERank[[#This Row],[WR and TE COMBINED]],TableWRTECalcPts[PLAYER],0)),"")</f>
        <v>TE91</v>
      </c>
      <c r="AY281" s="130" t="str">
        <f>IFERROR(INDEX(TableWRTECalcPts[BYE],MATCH(TableWRTERank[[#This Row],[RK]],TableWRTECalcPts[RK],0)),"")</f>
        <v/>
      </c>
      <c r="AZ281" s="131" t="str">
        <f>IFERROR(INDEX(TableWRTECalcPts[Custom],MATCH(TableWRTERank[[#This Row],[RK]],TableWRTECalcPts[RK],0)),"")</f>
        <v/>
      </c>
      <c r="BA281" s="188" t="str">
        <f>IFERROR((TableWRTERank[[#This Row],[FPS]]-INDEX(TableWRTERank[FPS],MATCH(WRTEVORPCalc,TableWRTERank[RK],0)))/INDEX(TableWRTERank[FPS],MATCH(WRTEVORPCalc,TableWRTERank[RK],0)),"")</f>
        <v/>
      </c>
      <c r="BC281" t="s">
        <v>10</v>
      </c>
      <c r="BD281">
        <v>80</v>
      </c>
      <c r="BE281" s="86">
        <f>RANK(TableWRTEMaster[[#This Row],[VORP]],TableWRTEMaster[VORP])+COUNTIF($BJ$2:BJ281,BJ281)-1</f>
        <v>236</v>
      </c>
      <c r="BF281" s="123" t="str">
        <f>IFERROR(INDEX(TableTEVORP[TIGHT END],MATCH(TableWRTEMaster[[#This Row],[RK]],TableTEVORP[RK],0)),"")</f>
        <v>Charlie Woerner</v>
      </c>
      <c r="BG281" s="123" t="str">
        <f>_xlfn.CONCAT(TableWRTEMaster[[#This Row],[POS]],TableWRTEMaster[[#This Row],[RK]])</f>
        <v>TE80</v>
      </c>
      <c r="BH281" s="123">
        <f>IFERROR(INDEX(TableTEVORP[BYE],MATCH(TableWRTEMaster[[#This Row],[RK]],TableTEVORP[RK],0)),"")</f>
        <v>9</v>
      </c>
      <c r="BI281" s="124">
        <f>IFERROR(INDEX(TableTEVORP[FPS],MATCH(TableWRTEMaster[[#This Row],[RK]],TableTEVORP[RK],0)),"")</f>
        <v>11.655864573509518</v>
      </c>
      <c r="BJ281" s="125">
        <f>IFERROR(INDEX(TableTEVORP[VORP],MATCH(TableWRTEMaster[[#This Row],[RK]],TableTEVORP[RK],0)),"")</f>
        <v>-0.90191158616547629</v>
      </c>
    </row>
    <row r="282" spans="32:62" x14ac:dyDescent="0.2">
      <c r="AF282" t="s">
        <v>10</v>
      </c>
      <c r="AG282">
        <v>31</v>
      </c>
      <c r="AH282" s="86">
        <f>RANK(TableOverallMaster[[#This Row],[VORP]],TableOverallMaster[VORP])+COUNTIF($AM$2:AM282,AM282)-1</f>
        <v>200</v>
      </c>
      <c r="AI282" s="123" t="str">
        <f>IFERROR(INDEX(TableTEVORP[TIGHT END],MATCH(TableOverallMaster[[#This Row],[RK]],TableTEVORP[RK],0)),"")</f>
        <v>Cade Otton</v>
      </c>
      <c r="AJ282" s="123" t="str">
        <f t="shared" si="4"/>
        <v>TE31</v>
      </c>
      <c r="AK282" s="123">
        <f>IFERROR(INDEX(TableTEVORP[BYE],MATCH(TableOverallMaster[[#This Row],[RK]],TableTEVORP[RK],0)),"")</f>
        <v>5</v>
      </c>
      <c r="AL282" s="124">
        <f>IFERROR(INDEX(TableTEVORP[FPS],MATCH(TableOverallMaster[[#This Row],[RK]],TableTEVORP[RK],0)),"")</f>
        <v>82.115765388526086</v>
      </c>
      <c r="AM282" s="125">
        <f>IFERROR(INDEX(TableTEVORP[VORP],MATCH(TableOverallMaster[[#This Row],[RK]],TableTEVORP[RK],0)),"")</f>
        <v>-0.30896544593746877</v>
      </c>
      <c r="AO282">
        <v>281</v>
      </c>
      <c r="AP282" s="126" t="str">
        <f>IFERROR(INDEX(TableOverallMaster[OVERALL PLAYER],MATCH(TableOverallRank[[#This Row],[RK]],TableOverallMaster[OVR RK],0)),"")</f>
        <v>Luke Schoonmaker</v>
      </c>
      <c r="AQ282" s="127" t="str">
        <f>IFERROR(INDEX(TableOverallMaster[POS RK],MATCH(TableOverallRank[[#This Row],[OVERALL PLAYER]],TableOverallMaster[OVERALL PLAYER],0)),"")</f>
        <v>TE50</v>
      </c>
      <c r="AR282" s="128">
        <f>IFERROR(INDEX(TableOverallMaster[BYE],MATCH(TableOverallRank[[#This Row],[OVERALL PLAYER]],TableOverallMaster[OVERALL PLAYER],0)),"")</f>
        <v>7</v>
      </c>
      <c r="AS282" s="127">
        <f>IFERROR(INDEX(TableOverallMaster[Custom],MATCH(TableOverallRank[[#This Row],[OVERALL PLAYER]],TableOverallMaster[OVERALL PLAYER],0)),"")</f>
        <v>31.070588099084844</v>
      </c>
      <c r="AT282" s="129">
        <f>IFERROR(INDEX(TableOverallMaster[VORP],MATCH(TableOverallRank[[#This Row],[OVERALL PLAYER]],TableOverallMaster[OVERALL PLAYER],0)),"")</f>
        <v>-0.73852950295325659</v>
      </c>
      <c r="AY282" s="58"/>
      <c r="AZ282" s="122"/>
    </row>
    <row r="283" spans="32:62" x14ac:dyDescent="0.2">
      <c r="AF283" t="s">
        <v>10</v>
      </c>
      <c r="AG283">
        <v>32</v>
      </c>
      <c r="AH283" s="86">
        <f>RANK(TableOverallMaster[[#This Row],[VORP]],TableOverallMaster[VORP])+COUNTIF($AM$2:AM283,AM283)-1</f>
        <v>204</v>
      </c>
      <c r="AI283" s="123" t="str">
        <f>IFERROR(INDEX(TableTEVORP[TIGHT END],MATCH(TableOverallMaster[[#This Row],[RK]],TableTEVORP[RK],0)),"")</f>
        <v>Tyler Conklin</v>
      </c>
      <c r="AJ283" s="123" t="str">
        <f t="shared" si="4"/>
        <v>TE32</v>
      </c>
      <c r="AK283" s="123">
        <f>IFERROR(INDEX(TableTEVORP[BYE],MATCH(TableOverallMaster[[#This Row],[RK]],TableTEVORP[RK],0)),"")</f>
        <v>7</v>
      </c>
      <c r="AL283" s="124">
        <f>IFERROR(INDEX(TableTEVORP[FPS],MATCH(TableOverallMaster[[#This Row],[RK]],TableTEVORP[RK],0)),"")</f>
        <v>80.821451672672566</v>
      </c>
      <c r="AM283" s="125">
        <f>IFERROR(INDEX(TableTEVORP[VORP],MATCH(TableOverallMaster[[#This Row],[RK]],TableTEVORP[RK],0)),"")</f>
        <v>-0.31985757483890415</v>
      </c>
      <c r="AO283">
        <v>282</v>
      </c>
      <c r="AP283" s="126" t="str">
        <f>IFERROR(INDEX(TableOverallMaster[OVERALL PLAYER],MATCH(TableOverallRank[[#This Row],[RK]],TableOverallMaster[OVR RK],0)),"")</f>
        <v>Dare Ogunbowale</v>
      </c>
      <c r="AQ283" s="127" t="str">
        <f>IFERROR(INDEX(TableOverallMaster[POS RK],MATCH(TableOverallRank[[#This Row],[OVERALL PLAYER]],TableOverallMaster[OVERALL PLAYER],0)),"")</f>
        <v>RB88</v>
      </c>
      <c r="AR283" s="128">
        <f>IFERROR(INDEX(TableOverallMaster[BYE],MATCH(TableOverallRank[[#This Row],[OVERALL PLAYER]],TableOverallMaster[OVERALL PLAYER],0)),"")</f>
        <v>7</v>
      </c>
      <c r="AS283" s="127">
        <f>IFERROR(INDEX(TableOverallMaster[Custom],MATCH(TableOverallRank[[#This Row],[OVERALL PLAYER]],TableOverallMaster[OVERALL PLAYER],0)),"")</f>
        <v>29.810729591596797</v>
      </c>
      <c r="AT283" s="129">
        <f>IFERROR(INDEX(TableOverallMaster[VORP],MATCH(TableOverallRank[[#This Row],[OVERALL PLAYER]],TableOverallMaster[OVERALL PLAYER],0)),"")</f>
        <v>-0.75657341276658141</v>
      </c>
      <c r="AY283" s="58"/>
      <c r="AZ283" s="122"/>
    </row>
    <row r="284" spans="32:62" x14ac:dyDescent="0.2">
      <c r="AF284" t="s">
        <v>10</v>
      </c>
      <c r="AG284">
        <v>33</v>
      </c>
      <c r="AH284" s="86">
        <f>RANK(TableOverallMaster[[#This Row],[VORP]],TableOverallMaster[VORP])+COUNTIF($AM$2:AM284,AM284)-1</f>
        <v>213</v>
      </c>
      <c r="AI284" s="123" t="str">
        <f>IFERROR(INDEX(TableTEVORP[TIGHT END],MATCH(TableOverallMaster[[#This Row],[RK]],TableTEVORP[RK],0)),"")</f>
        <v>Austin Hooper</v>
      </c>
      <c r="AJ284" s="123" t="str">
        <f t="shared" si="4"/>
        <v>TE33</v>
      </c>
      <c r="AK284" s="123">
        <f>IFERROR(INDEX(TableTEVORP[BYE],MATCH(TableOverallMaster[[#This Row],[RK]],TableTEVORP[RK],0)),"")</f>
        <v>13</v>
      </c>
      <c r="AL284" s="124">
        <f>IFERROR(INDEX(TableTEVORP[FPS],MATCH(TableOverallMaster[[#This Row],[RK]],TableTEVORP[RK],0)),"")</f>
        <v>74.709928956497578</v>
      </c>
      <c r="AM284" s="125">
        <f>IFERROR(INDEX(TableTEVORP[VORP],MATCH(TableOverallMaster[[#This Row],[RK]],TableTEVORP[RK],0)),"")</f>
        <v>-0.37128830016713843</v>
      </c>
      <c r="AO284">
        <v>283</v>
      </c>
      <c r="AP284" s="126" t="str">
        <f>IFERROR(INDEX(TableOverallMaster[OVERALL PLAYER],MATCH(TableOverallRank[[#This Row],[RK]],TableOverallMaster[OVR RK],0)),"")</f>
        <v>Trayveon Williams</v>
      </c>
      <c r="AQ284" s="127" t="str">
        <f>IFERROR(INDEX(TableOverallMaster[POS RK],MATCH(TableOverallRank[[#This Row],[OVERALL PLAYER]],TableOverallMaster[OVERALL PLAYER],0)),"")</f>
        <v>RB89</v>
      </c>
      <c r="AR284" s="128">
        <f>IFERROR(INDEX(TableOverallMaster[BYE],MATCH(TableOverallRank[[#This Row],[OVERALL PLAYER]],TableOverallMaster[OVERALL PLAYER],0)),"")</f>
        <v>7</v>
      </c>
      <c r="AS284" s="127">
        <f>IFERROR(INDEX(TableOverallMaster[Custom],MATCH(TableOverallRank[[#This Row],[OVERALL PLAYER]],TableOverallMaster[OVERALL PLAYER],0)),"")</f>
        <v>29.795665618303204</v>
      </c>
      <c r="AT284" s="129">
        <f>IFERROR(INDEX(TableOverallMaster[VORP],MATCH(TableOverallRank[[#This Row],[OVERALL PLAYER]],TableOverallMaster[OVERALL PLAYER],0)),"")</f>
        <v>-0.75669642121552827</v>
      </c>
      <c r="AY284" s="58"/>
      <c r="AZ284" s="122"/>
    </row>
    <row r="285" spans="32:62" x14ac:dyDescent="0.2">
      <c r="AF285" t="s">
        <v>10</v>
      </c>
      <c r="AG285">
        <v>34</v>
      </c>
      <c r="AH285" s="86">
        <f>RANK(TableOverallMaster[[#This Row],[VORP]],TableOverallMaster[VORP])+COUNTIF($AM$2:AM285,AM285)-1</f>
        <v>216</v>
      </c>
      <c r="AI285" s="123" t="str">
        <f>IFERROR(INDEX(TableTEVORP[TIGHT END],MATCH(TableOverallMaster[[#This Row],[RK]],TableTEVORP[RK],0)),"")</f>
        <v>Taysom Hill</v>
      </c>
      <c r="AJ285" s="123" t="str">
        <f t="shared" si="4"/>
        <v>TE34</v>
      </c>
      <c r="AK285" s="123">
        <f>IFERROR(INDEX(TableTEVORP[BYE],MATCH(TableOverallMaster[[#This Row],[RK]],TableTEVORP[RK],0)),"")</f>
        <v>11</v>
      </c>
      <c r="AL285" s="124">
        <f>IFERROR(INDEX(TableTEVORP[FPS],MATCH(TableOverallMaster[[#This Row],[RK]],TableTEVORP[RK],0)),"")</f>
        <v>71.977671055054685</v>
      </c>
      <c r="AM285" s="125">
        <f>IFERROR(INDEX(TableTEVORP[VORP],MATCH(TableOverallMaster[[#This Row],[RK]],TableTEVORP[RK],0)),"")</f>
        <v>-0.39428126152570403</v>
      </c>
      <c r="AO285">
        <v>284</v>
      </c>
      <c r="AP285" s="126" t="str">
        <f>IFERROR(INDEX(TableOverallMaster[OVERALL PLAYER],MATCH(TableOverallRank[[#This Row],[RK]],TableOverallMaster[OVR RK],0)),"")</f>
        <v>Kyle Trask</v>
      </c>
      <c r="AQ285" s="127" t="str">
        <f>IFERROR(INDEX(TableOverallMaster[POS RK],MATCH(TableOverallRank[[#This Row],[OVERALL PLAYER]],TableOverallMaster[OVERALL PLAYER],0)),"")</f>
        <v>QB35</v>
      </c>
      <c r="AR285" s="128">
        <f>IFERROR(INDEX(TableOverallMaster[BYE],MATCH(TableOverallRank[[#This Row],[OVERALL PLAYER]],TableOverallMaster[OVERALL PLAYER],0)),"")</f>
        <v>5</v>
      </c>
      <c r="AS285" s="127">
        <f>IFERROR(INDEX(TableOverallMaster[Custom],MATCH(TableOverallRank[[#This Row],[OVERALL PLAYER]],TableOverallMaster[OVERALL PLAYER],0)),"")</f>
        <v>47.169748582619611</v>
      </c>
      <c r="AT285" s="129">
        <f>IFERROR(INDEX(TableOverallMaster[VORP],MATCH(TableOverallRank[[#This Row],[OVERALL PLAYER]],TableOverallMaster[OVERALL PLAYER],0)),"")</f>
        <v>-0.76868061013424993</v>
      </c>
      <c r="AY285" s="58"/>
      <c r="AZ285" s="122"/>
    </row>
    <row r="286" spans="32:62" x14ac:dyDescent="0.2">
      <c r="AF286" t="s">
        <v>10</v>
      </c>
      <c r="AG286">
        <v>35</v>
      </c>
      <c r="AH286" s="86">
        <f>RANK(TableOverallMaster[[#This Row],[VORP]],TableOverallMaster[VORP])+COUNTIF($AM$2:AM286,AM286)-1</f>
        <v>225</v>
      </c>
      <c r="AI286" s="123" t="str">
        <f>IFERROR(INDEX(TableTEVORP[TIGHT END],MATCH(TableOverallMaster[[#This Row],[RK]],TableTEVORP[RK],0)),"")</f>
        <v>Logan Thomas</v>
      </c>
      <c r="AJ286" s="123" t="str">
        <f t="shared" si="4"/>
        <v>TE35</v>
      </c>
      <c r="AK286" s="123">
        <f>IFERROR(INDEX(TableTEVORP[BYE],MATCH(TableOverallMaster[[#This Row],[RK]],TableTEVORP[RK],0)),"")</f>
        <v>14</v>
      </c>
      <c r="AL286" s="124">
        <f>IFERROR(INDEX(TableTEVORP[FPS],MATCH(TableOverallMaster[[#This Row],[RK]],TableTEVORP[RK],0)),"")</f>
        <v>66.78321520699437</v>
      </c>
      <c r="AM286" s="125">
        <f>IFERROR(INDEX(TableTEVORP[VORP],MATCH(TableOverallMaster[[#This Row],[RK]],TableTEVORP[RK],0)),"")</f>
        <v>-0.43799452978275699</v>
      </c>
      <c r="AO286">
        <v>285</v>
      </c>
      <c r="AP286" s="126" t="str">
        <f>IFERROR(INDEX(TableOverallMaster[OVERALL PLAYER],MATCH(TableOverallRank[[#This Row],[RK]],TableOverallMaster[OVR RK],0)),"")</f>
        <v>D'Onta Foreman</v>
      </c>
      <c r="AQ286" s="127" t="str">
        <f>IFERROR(INDEX(TableOverallMaster[POS RK],MATCH(TableOverallRank[[#This Row],[OVERALL PLAYER]],TableOverallMaster[OVERALL PLAYER],0)),"")</f>
        <v>RB90</v>
      </c>
      <c r="AR286" s="128">
        <f>IFERROR(INDEX(TableOverallMaster[BYE],MATCH(TableOverallRank[[#This Row],[OVERALL PLAYER]],TableOverallMaster[OVERALL PLAYER],0)),"")</f>
        <v>13</v>
      </c>
      <c r="AS286" s="127">
        <f>IFERROR(INDEX(TableOverallMaster[Custom],MATCH(TableOverallRank[[#This Row],[OVERALL PLAYER]],TableOverallMaster[OVERALL PLAYER],0)),"")</f>
        <v>27.946418935653998</v>
      </c>
      <c r="AT286" s="129">
        <f>IFERROR(INDEX(TableOverallMaster[VORP],MATCH(TableOverallRank[[#This Row],[OVERALL PLAYER]],TableOverallMaster[OVERALL PLAYER],0)),"")</f>
        <v>-0.77179688387032053</v>
      </c>
      <c r="AY286" s="58"/>
      <c r="AZ286" s="122"/>
    </row>
    <row r="287" spans="32:62" x14ac:dyDescent="0.2">
      <c r="AF287" t="s">
        <v>10</v>
      </c>
      <c r="AG287">
        <v>36</v>
      </c>
      <c r="AH287" s="86">
        <f>RANK(TableOverallMaster[[#This Row],[VORP]],TableOverallMaster[VORP])+COUNTIF($AM$2:AM287,AM287)-1</f>
        <v>227</v>
      </c>
      <c r="AI287" s="123" t="str">
        <f>IFERROR(INDEX(TableTEVORP[TIGHT END],MATCH(TableOverallMaster[[#This Row],[RK]],TableTEVORP[RK],0)),"")</f>
        <v>Adam Trautman</v>
      </c>
      <c r="AJ287" s="123" t="str">
        <f t="shared" si="4"/>
        <v>TE36</v>
      </c>
      <c r="AK287" s="123">
        <f>IFERROR(INDEX(TableTEVORP[BYE],MATCH(TableOverallMaster[[#This Row],[RK]],TableTEVORP[RK],0)),"")</f>
        <v>9</v>
      </c>
      <c r="AL287" s="124">
        <f>IFERROR(INDEX(TableTEVORP[FPS],MATCH(TableOverallMaster[[#This Row],[RK]],TableTEVORP[RK],0)),"")</f>
        <v>66.361537245636754</v>
      </c>
      <c r="AM287" s="125">
        <f>IFERROR(INDEX(TableTEVORP[VORP],MATCH(TableOverallMaster[[#This Row],[RK]],TableTEVORP[RK],0)),"")</f>
        <v>-0.44154310587659285</v>
      </c>
      <c r="AO287">
        <v>286</v>
      </c>
      <c r="AP287" s="126" t="str">
        <f>IFERROR(INDEX(TableOverallMaster[OVERALL PLAYER],MATCH(TableOverallRank[[#This Row],[RK]],TableOverallMaster[OVR RK],0)),"")</f>
        <v>Ty Montgomery</v>
      </c>
      <c r="AQ287" s="127" t="str">
        <f>IFERROR(INDEX(TableOverallMaster[POS RK],MATCH(TableOverallRank[[#This Row],[OVERALL PLAYER]],TableOverallMaster[OVERALL PLAYER],0)),"")</f>
        <v>RB91</v>
      </c>
      <c r="AR287" s="128">
        <f>IFERROR(INDEX(TableOverallMaster[BYE],MATCH(TableOverallRank[[#This Row],[OVERALL PLAYER]],TableOverallMaster[OVERALL PLAYER],0)),"")</f>
        <v>11</v>
      </c>
      <c r="AS287" s="127">
        <f>IFERROR(INDEX(TableOverallMaster[Custom],MATCH(TableOverallRank[[#This Row],[OVERALL PLAYER]],TableOverallMaster[OVERALL PLAYER],0)),"")</f>
        <v>25.966866593346559</v>
      </c>
      <c r="AT287" s="129">
        <f>IFERROR(INDEX(TableOverallMaster[VORP],MATCH(TableOverallRank[[#This Row],[OVERALL PLAYER]],TableOverallMaster[OVERALL PLAYER],0)),"")</f>
        <v>-0.78796138831350093</v>
      </c>
      <c r="AY287" s="58"/>
      <c r="AZ287" s="122"/>
    </row>
    <row r="288" spans="32:62" x14ac:dyDescent="0.2">
      <c r="AF288" t="s">
        <v>10</v>
      </c>
      <c r="AG288">
        <v>37</v>
      </c>
      <c r="AH288" s="86">
        <f>RANK(TableOverallMaster[[#This Row],[VORP]],TableOverallMaster[VORP])+COUNTIF($AM$2:AM288,AM288)-1</f>
        <v>229</v>
      </c>
      <c r="AI288" s="123" t="str">
        <f>IFERROR(INDEX(TableTEVORP[TIGHT END],MATCH(TableOverallMaster[[#This Row],[RK]],TableTEVORP[RK],0)),"")</f>
        <v>Jelani Woods</v>
      </c>
      <c r="AJ288" s="123" t="str">
        <f t="shared" si="4"/>
        <v>TE37</v>
      </c>
      <c r="AK288" s="123">
        <f>IFERROR(INDEX(TableTEVORP[BYE],MATCH(TableOverallMaster[[#This Row],[RK]],TableTEVORP[RK],0)),"")</f>
        <v>11</v>
      </c>
      <c r="AL288" s="124">
        <f>IFERROR(INDEX(TableTEVORP[FPS],MATCH(TableOverallMaster[[#This Row],[RK]],TableTEVORP[RK],0)),"")</f>
        <v>64.887841835586016</v>
      </c>
      <c r="AM288" s="125">
        <f>IFERROR(INDEX(TableTEVORP[VORP],MATCH(TableOverallMaster[[#This Row],[RK]],TableTEVORP[RK],0)),"")</f>
        <v>-0.45394479811790645</v>
      </c>
      <c r="AO288">
        <v>287</v>
      </c>
      <c r="AP288" s="126" t="str">
        <f>IFERROR(INDEX(TableOverallMaster[OVERALL PLAYER],MATCH(TableOverallRank[[#This Row],[RK]],TableOverallMaster[OVR RK],0)),"")</f>
        <v>Taylor Heinicke</v>
      </c>
      <c r="AQ288" s="127" t="str">
        <f>IFERROR(INDEX(TableOverallMaster[POS RK],MATCH(TableOverallRank[[#This Row],[OVERALL PLAYER]],TableOverallMaster[OVERALL PLAYER],0)),"")</f>
        <v>QB36</v>
      </c>
      <c r="AR288" s="128">
        <f>IFERROR(INDEX(TableOverallMaster[BYE],MATCH(TableOverallRank[[#This Row],[OVERALL PLAYER]],TableOverallMaster[OVERALL PLAYER],0)),"")</f>
        <v>11</v>
      </c>
      <c r="AS288" s="127">
        <f>IFERROR(INDEX(TableOverallMaster[Custom],MATCH(TableOverallRank[[#This Row],[OVERALL PLAYER]],TableOverallMaster[OVERALL PLAYER],0)),"")</f>
        <v>35.980127097215657</v>
      </c>
      <c r="AT288" s="129">
        <f>IFERROR(INDEX(TableOverallMaster[VORP],MATCH(TableOverallRank[[#This Row],[OVERALL PLAYER]],TableOverallMaster[OVERALL PLAYER],0)),"")</f>
        <v>-0.795891633732277</v>
      </c>
      <c r="AY288" s="58"/>
      <c r="AZ288" s="122"/>
    </row>
    <row r="289" spans="32:52" x14ac:dyDescent="0.2">
      <c r="AF289" t="s">
        <v>10</v>
      </c>
      <c r="AG289">
        <v>38</v>
      </c>
      <c r="AH289" s="86">
        <f>RANK(TableOverallMaster[[#This Row],[VORP]],TableOverallMaster[VORP])+COUNTIF($AM$2:AM289,AM289)-1</f>
        <v>238</v>
      </c>
      <c r="AI289" s="123" t="str">
        <f>IFERROR(INDEX(TableTEVORP[TIGHT END],MATCH(TableOverallMaster[[#This Row],[RK]],TableTEVORP[RK],0)),"")</f>
        <v>Kylen Granson</v>
      </c>
      <c r="AJ289" s="123" t="str">
        <f t="shared" si="4"/>
        <v>TE38</v>
      </c>
      <c r="AK289" s="123">
        <f>IFERROR(INDEX(TableTEVORP[BYE],MATCH(TableOverallMaster[[#This Row],[RK]],TableTEVORP[RK],0)),"")</f>
        <v>11</v>
      </c>
      <c r="AL289" s="124">
        <f>IFERROR(INDEX(TableTEVORP[FPS],MATCH(TableOverallMaster[[#This Row],[RK]],TableTEVORP[RK],0)),"")</f>
        <v>57.54787370262359</v>
      </c>
      <c r="AM289" s="125">
        <f>IFERROR(INDEX(TableTEVORP[VORP],MATCH(TableOverallMaster[[#This Row],[RK]],TableTEVORP[RK],0)),"")</f>
        <v>-0.51571334623526477</v>
      </c>
      <c r="AO289">
        <v>288</v>
      </c>
      <c r="AP289" s="126" t="str">
        <f>IFERROR(INDEX(TableOverallMaster[OVERALL PLAYER],MATCH(TableOverallRank[[#This Row],[RK]],TableOverallMaster[OVR RK],0)),"")</f>
        <v>Jaleel McLaughlin</v>
      </c>
      <c r="AQ289" s="127" t="str">
        <f>IFERROR(INDEX(TableOverallMaster[POS RK],MATCH(TableOverallRank[[#This Row],[OVERALL PLAYER]],TableOverallMaster[OVERALL PLAYER],0)),"")</f>
        <v>RB92</v>
      </c>
      <c r="AR289" s="128">
        <f>IFERROR(INDEX(TableOverallMaster[BYE],MATCH(TableOverallRank[[#This Row],[OVERALL PLAYER]],TableOverallMaster[OVERALL PLAYER],0)),"")</f>
        <v>9</v>
      </c>
      <c r="AS289" s="127">
        <f>IFERROR(INDEX(TableOverallMaster[Custom],MATCH(TableOverallRank[[#This Row],[OVERALL PLAYER]],TableOverallMaster[OVERALL PLAYER],0)),"")</f>
        <v>24.102129513840001</v>
      </c>
      <c r="AT289" s="129">
        <f>IFERROR(INDEX(TableOverallMaster[VORP],MATCH(TableOverallRank[[#This Row],[OVERALL PLAYER]],TableOverallMaster[OVERALL PLAYER],0)),"")</f>
        <v>-0.80318834148004981</v>
      </c>
      <c r="AY289" s="58"/>
      <c r="AZ289" s="122"/>
    </row>
    <row r="290" spans="32:52" x14ac:dyDescent="0.2">
      <c r="AF290" t="s">
        <v>10</v>
      </c>
      <c r="AG290">
        <v>39</v>
      </c>
      <c r="AH290" s="86">
        <f>RANK(TableOverallMaster[[#This Row],[VORP]],TableOverallMaster[VORP])+COUNTIF($AM$2:AM290,AM290)-1</f>
        <v>239</v>
      </c>
      <c r="AI290" s="123" t="str">
        <f>IFERROR(INDEX(TableTEVORP[TIGHT END],MATCH(TableOverallMaster[[#This Row],[RK]],TableTEVORP[RK],0)),"")</f>
        <v>Mo Alie-Cox</v>
      </c>
      <c r="AJ290" s="123" t="str">
        <f t="shared" si="4"/>
        <v>TE39</v>
      </c>
      <c r="AK290" s="123">
        <f>IFERROR(INDEX(TableTEVORP[BYE],MATCH(TableOverallMaster[[#This Row],[RK]],TableTEVORP[RK],0)),"")</f>
        <v>11</v>
      </c>
      <c r="AL290" s="124">
        <f>IFERROR(INDEX(TableTEVORP[FPS],MATCH(TableOverallMaster[[#This Row],[RK]],TableTEVORP[RK],0)),"")</f>
        <v>54.929491460862458</v>
      </c>
      <c r="AM290" s="125">
        <f>IFERROR(INDEX(TableTEVORP[VORP],MATCH(TableOverallMaster[[#This Row],[RK]],TableTEVORP[RK],0)),"")</f>
        <v>-0.53774800177600801</v>
      </c>
      <c r="AO290">
        <v>289</v>
      </c>
      <c r="AP290" s="126" t="str">
        <f>IFERROR(INDEX(TableOverallMaster[OVERALL PLAYER],MATCH(TableOverallRank[[#This Row],[RK]],TableOverallMaster[OVR RK],0)),"")</f>
        <v>J.J. Taylor</v>
      </c>
      <c r="AQ290" s="127" t="str">
        <f>IFERROR(INDEX(TableOverallMaster[POS RK],MATCH(TableOverallRank[[#This Row],[OVERALL PLAYER]],TableOverallMaster[OVERALL PLAYER],0)),"")</f>
        <v>RB93</v>
      </c>
      <c r="AR290" s="128">
        <f>IFERROR(INDEX(TableOverallMaster[BYE],MATCH(TableOverallRank[[#This Row],[OVERALL PLAYER]],TableOverallMaster[OVERALL PLAYER],0)),"")</f>
        <v>11</v>
      </c>
      <c r="AS290" s="127">
        <f>IFERROR(INDEX(TableOverallMaster[Custom],MATCH(TableOverallRank[[#This Row],[OVERALL PLAYER]],TableOverallMaster[OVERALL PLAYER],0)),"")</f>
        <v>23.120132108572804</v>
      </c>
      <c r="AT290" s="129">
        <f>IFERROR(INDEX(TableOverallMaster[VORP],MATCH(TableOverallRank[[#This Row],[OVERALL PLAYER]],TableOverallMaster[OVERALL PLAYER],0)),"")</f>
        <v>-0.81120707434271844</v>
      </c>
      <c r="AY290" s="58"/>
      <c r="AZ290" s="122"/>
    </row>
    <row r="291" spans="32:52" x14ac:dyDescent="0.2">
      <c r="AF291" t="s">
        <v>10</v>
      </c>
      <c r="AG291">
        <v>40</v>
      </c>
      <c r="AH291" s="86">
        <f>RANK(TableOverallMaster[[#This Row],[VORP]],TableOverallMaster[VORP])+COUNTIF($AM$2:AM291,AM291)-1</f>
        <v>241</v>
      </c>
      <c r="AI291" s="123" t="str">
        <f>IFERROR(INDEX(TableTEVORP[TIGHT END],MATCH(TableOverallMaster[[#This Row],[RK]],TableTEVORP[RK],0)),"")</f>
        <v>Durham Smythe</v>
      </c>
      <c r="AJ291" s="123" t="str">
        <f t="shared" si="4"/>
        <v>TE40</v>
      </c>
      <c r="AK291" s="123">
        <f>IFERROR(INDEX(TableTEVORP[BYE],MATCH(TableOverallMaster[[#This Row],[RK]],TableTEVORP[RK],0)),"")</f>
        <v>10</v>
      </c>
      <c r="AL291" s="124">
        <f>IFERROR(INDEX(TableTEVORP[FPS],MATCH(TableOverallMaster[[#This Row],[RK]],TableTEVORP[RK],0)),"")</f>
        <v>54.683501545855158</v>
      </c>
      <c r="AM291" s="125">
        <f>IFERROR(INDEX(TableTEVORP[VORP],MATCH(TableOverallMaster[[#This Row],[RK]],TableTEVORP[RK],0)),"")</f>
        <v>-0.53981809794349378</v>
      </c>
      <c r="AO291">
        <v>290</v>
      </c>
      <c r="AP291" s="126" t="str">
        <f>IFERROR(INDEX(TableOverallMaster[OVERALL PLAYER],MATCH(TableOverallRank[[#This Row],[RK]],TableOverallMaster[OVR RK],0)),"")</f>
        <v>Julius Chestnut</v>
      </c>
      <c r="AQ291" s="127" t="str">
        <f>IFERROR(INDEX(TableOverallMaster[POS RK],MATCH(TableOverallRank[[#This Row],[OVERALL PLAYER]],TableOverallMaster[OVERALL PLAYER],0)),"")</f>
        <v>RB94</v>
      </c>
      <c r="AR291" s="128">
        <f>IFERROR(INDEX(TableOverallMaster[BYE],MATCH(TableOverallRank[[#This Row],[OVERALL PLAYER]],TableOverallMaster[OVERALL PLAYER],0)),"")</f>
        <v>7</v>
      </c>
      <c r="AS291" s="127">
        <f>IFERROR(INDEX(TableOverallMaster[Custom],MATCH(TableOverallRank[[#This Row],[OVERALL PLAYER]],TableOverallMaster[OVERALL PLAYER],0)),"")</f>
        <v>22.584872523415996</v>
      </c>
      <c r="AT291" s="129">
        <f>IFERROR(INDEX(TableOverallMaster[VORP],MATCH(TableOverallRank[[#This Row],[OVERALL PLAYER]],TableOverallMaster[OVERALL PLAYER],0)),"")</f>
        <v>-0.81557786351439387</v>
      </c>
      <c r="AY291" s="58"/>
      <c r="AZ291" s="122"/>
    </row>
    <row r="292" spans="32:52" x14ac:dyDescent="0.2">
      <c r="AF292" t="s">
        <v>10</v>
      </c>
      <c r="AG292">
        <v>41</v>
      </c>
      <c r="AH292" s="86">
        <f>RANK(TableOverallMaster[[#This Row],[VORP]],TableOverallMaster[VORP])+COUNTIF($AM$2:AM292,AM292)-1</f>
        <v>247</v>
      </c>
      <c r="AI292" s="123" t="str">
        <f>IFERROR(INDEX(TableTEVORP[TIGHT END],MATCH(TableOverallMaster[[#This Row],[RK]],TableTEVORP[RK],0)),"")</f>
        <v>Isaiah Likely</v>
      </c>
      <c r="AJ292" s="123" t="str">
        <f t="shared" si="4"/>
        <v>TE41</v>
      </c>
      <c r="AK292" s="123">
        <f>IFERROR(INDEX(TableTEVORP[BYE],MATCH(TableOverallMaster[[#This Row],[RK]],TableTEVORP[RK],0)),"")</f>
        <v>13</v>
      </c>
      <c r="AL292" s="124">
        <f>IFERROR(INDEX(TableTEVORP[FPS],MATCH(TableOverallMaster[[#This Row],[RK]],TableTEVORP[RK],0)),"")</f>
        <v>53.123189134197595</v>
      </c>
      <c r="AM292" s="125">
        <f>IFERROR(INDEX(TableTEVORP[VORP],MATCH(TableOverallMaster[[#This Row],[RK]],TableTEVORP[RK],0)),"")</f>
        <v>-0.55294870430740484</v>
      </c>
      <c r="AO292">
        <v>291</v>
      </c>
      <c r="AP292" s="126" t="str">
        <f>IFERROR(INDEX(TableOverallMaster[OVERALL PLAYER],MATCH(TableOverallRank[[#This Row],[RK]],TableOverallMaster[OVR RK],0)),"")</f>
        <v>Travis Homer</v>
      </c>
      <c r="AQ292" s="127" t="str">
        <f>IFERROR(INDEX(TableOverallMaster[POS RK],MATCH(TableOverallRank[[#This Row],[OVERALL PLAYER]],TableOverallMaster[OVERALL PLAYER],0)),"")</f>
        <v>RB95</v>
      </c>
      <c r="AR292" s="128">
        <f>IFERROR(INDEX(TableOverallMaster[BYE],MATCH(TableOverallRank[[#This Row],[OVERALL PLAYER]],TableOverallMaster[OVERALL PLAYER],0)),"")</f>
        <v>13</v>
      </c>
      <c r="AS292" s="127">
        <f>IFERROR(INDEX(TableOverallMaster[Custom],MATCH(TableOverallRank[[#This Row],[OVERALL PLAYER]],TableOverallMaster[OVERALL PLAYER],0)),"")</f>
        <v>22.560629640663144</v>
      </c>
      <c r="AT292" s="129">
        <f>IFERROR(INDEX(TableOverallMaster[VORP],MATCH(TableOverallRank[[#This Row],[OVERALL PLAYER]],TableOverallMaster[OVERALL PLAYER],0)),"")</f>
        <v>-0.8157758245268909</v>
      </c>
      <c r="AY292" s="58"/>
      <c r="AZ292" s="122"/>
    </row>
    <row r="293" spans="32:52" x14ac:dyDescent="0.2">
      <c r="AF293" t="s">
        <v>10</v>
      </c>
      <c r="AG293">
        <v>42</v>
      </c>
      <c r="AH293" s="86">
        <f>RANK(TableOverallMaster[[#This Row],[VORP]],TableOverallMaster[VORP])+COUNTIF($AM$2:AM293,AM293)-1</f>
        <v>257</v>
      </c>
      <c r="AI293" s="123" t="str">
        <f>IFERROR(INDEX(TableTEVORP[TIGHT END],MATCH(TableOverallMaster[[#This Row],[RK]],TableTEVORP[RK],0)),"")</f>
        <v>Jonnu Smith</v>
      </c>
      <c r="AJ293" s="123" t="str">
        <f t="shared" si="4"/>
        <v>TE42</v>
      </c>
      <c r="AK293" s="123">
        <f>IFERROR(INDEX(TableTEVORP[BYE],MATCH(TableOverallMaster[[#This Row],[RK]],TableTEVORP[RK],0)),"")</f>
        <v>11</v>
      </c>
      <c r="AL293" s="124">
        <f>IFERROR(INDEX(TableTEVORP[FPS],MATCH(TableOverallMaster[[#This Row],[RK]],TableTEVORP[RK],0)),"")</f>
        <v>43.372279950248007</v>
      </c>
      <c r="AM293" s="125">
        <f>IFERROR(INDEX(TableTEVORP[VORP],MATCH(TableOverallMaster[[#This Row],[RK]],TableTEVORP[RK],0)),"")</f>
        <v>-0.63500621357804699</v>
      </c>
      <c r="AO293">
        <v>292</v>
      </c>
      <c r="AP293" s="126" t="str">
        <f>IFERROR(INDEX(TableOverallMaster[OVERALL PLAYER],MATCH(TableOverallRank[[#This Row],[RK]],TableOverallMaster[OVR RK],0)),"")</f>
        <v>Salvon Ahmed</v>
      </c>
      <c r="AQ293" s="127" t="str">
        <f>IFERROR(INDEX(TableOverallMaster[POS RK],MATCH(TableOverallRank[[#This Row],[OVERALL PLAYER]],TableOverallMaster[OVERALL PLAYER],0)),"")</f>
        <v>RB96</v>
      </c>
      <c r="AR293" s="128">
        <f>IFERROR(INDEX(TableOverallMaster[BYE],MATCH(TableOverallRank[[#This Row],[OVERALL PLAYER]],TableOverallMaster[OVERALL PLAYER],0)),"")</f>
        <v>10</v>
      </c>
      <c r="AS293" s="127">
        <f>IFERROR(INDEX(TableOverallMaster[Custom],MATCH(TableOverallRank[[#This Row],[OVERALL PLAYER]],TableOverallMaster[OVERALL PLAYER],0)),"")</f>
        <v>22.424756662526406</v>
      </c>
      <c r="AT293" s="129">
        <f>IFERROR(INDEX(TableOverallMaster[VORP],MATCH(TableOverallRank[[#This Row],[OVERALL PLAYER]],TableOverallMaster[OVERALL PLAYER],0)),"")</f>
        <v>-0.81688532757556465</v>
      </c>
      <c r="AY293" s="58"/>
      <c r="AZ293" s="122"/>
    </row>
    <row r="294" spans="32:52" x14ac:dyDescent="0.2">
      <c r="AF294" t="s">
        <v>10</v>
      </c>
      <c r="AG294">
        <v>43</v>
      </c>
      <c r="AH294" s="86">
        <f>RANK(TableOverallMaster[[#This Row],[VORP]],TableOverallMaster[VORP])+COUNTIF($AM$2:AM294,AM294)-1</f>
        <v>259</v>
      </c>
      <c r="AI294" s="123" t="str">
        <f>IFERROR(INDEX(TableTEVORP[TIGHT END],MATCH(TableOverallMaster[[#This Row],[RK]],TableTEVORP[RK],0)),"")</f>
        <v>Will Dissly</v>
      </c>
      <c r="AJ294" s="123" t="str">
        <f t="shared" si="4"/>
        <v>TE43</v>
      </c>
      <c r="AK294" s="123">
        <f>IFERROR(INDEX(TableTEVORP[BYE],MATCH(TableOverallMaster[[#This Row],[RK]],TableTEVORP[RK],0)),"")</f>
        <v>5</v>
      </c>
      <c r="AL294" s="124">
        <f>IFERROR(INDEX(TableTEVORP[FPS],MATCH(TableOverallMaster[[#This Row],[RK]],TableTEVORP[RK],0)),"")</f>
        <v>42.965516367240703</v>
      </c>
      <c r="AM294" s="125">
        <f>IFERROR(INDEX(TableTEVORP[VORP],MATCH(TableOverallMaster[[#This Row],[RK]],TableTEVORP[RK],0)),"")</f>
        <v>-0.63842927965874863</v>
      </c>
      <c r="AO294">
        <v>293</v>
      </c>
      <c r="AP294" s="126" t="str">
        <f>IFERROR(INDEX(TableOverallMaster[OVERALL PLAYER],MATCH(TableOverallRank[[#This Row],[RK]],TableOverallMaster[OVR RK],0)),"")</f>
        <v>Brandon Bolden</v>
      </c>
      <c r="AQ294" s="127" t="str">
        <f>IFERROR(INDEX(TableOverallMaster[POS RK],MATCH(TableOverallRank[[#This Row],[OVERALL PLAYER]],TableOverallMaster[OVERALL PLAYER],0)),"")</f>
        <v>RB97</v>
      </c>
      <c r="AR294" s="128">
        <f>IFERROR(INDEX(TableOverallMaster[BYE],MATCH(TableOverallRank[[#This Row],[OVERALL PLAYER]],TableOverallMaster[OVERALL PLAYER],0)),"")</f>
        <v>13</v>
      </c>
      <c r="AS294" s="127">
        <f>IFERROR(INDEX(TableOverallMaster[Custom],MATCH(TableOverallRank[[#This Row],[OVERALL PLAYER]],TableOverallMaster[OVERALL PLAYER],0)),"")</f>
        <v>22.341095421120002</v>
      </c>
      <c r="AT294" s="129">
        <f>IFERROR(INDEX(TableOverallMaster[VORP],MATCH(TableOverallRank[[#This Row],[OVERALL PLAYER]],TableOverallMaster[OVERALL PLAYER],0)),"")</f>
        <v>-0.81756848329695342</v>
      </c>
      <c r="AY294" s="58"/>
      <c r="AZ294" s="122"/>
    </row>
    <row r="295" spans="32:52" x14ac:dyDescent="0.2">
      <c r="AF295" t="s">
        <v>10</v>
      </c>
      <c r="AG295">
        <v>44</v>
      </c>
      <c r="AH295" s="86">
        <f>RANK(TableOverallMaster[[#This Row],[VORP]],TableOverallMaster[VORP])+COUNTIF($AM$2:AM295,AM295)-1</f>
        <v>264</v>
      </c>
      <c r="AI295" s="123" t="str">
        <f>IFERROR(INDEX(TableTEVORP[TIGHT END],MATCH(TableOverallMaster[[#This Row],[RK]],TableTEVORP[RK],0)),"")</f>
        <v>C.J. Uzomah</v>
      </c>
      <c r="AJ295" s="123" t="str">
        <f t="shared" si="4"/>
        <v>TE44</v>
      </c>
      <c r="AK295" s="123">
        <f>IFERROR(INDEX(TableTEVORP[BYE],MATCH(TableOverallMaster[[#This Row],[RK]],TableTEVORP[RK],0)),"")</f>
        <v>7</v>
      </c>
      <c r="AL295" s="124">
        <f>IFERROR(INDEX(TableTEVORP[FPS],MATCH(TableOverallMaster[[#This Row],[RK]],TableTEVORP[RK],0)),"")</f>
        <v>39.827848874302617</v>
      </c>
      <c r="AM295" s="125">
        <f>IFERROR(INDEX(TableTEVORP[VORP],MATCH(TableOverallMaster[[#This Row],[RK]],TableTEVORP[RK],0)),"")</f>
        <v>-0.66483391275837433</v>
      </c>
      <c r="AO295">
        <v>294</v>
      </c>
      <c r="AP295" s="126" t="str">
        <f>IFERROR(INDEX(TableOverallMaster[OVERALL PLAYER],MATCH(TableOverallRank[[#This Row],[RK]],TableOverallMaster[OVR RK],0)),"")</f>
        <v>Justice Hill</v>
      </c>
      <c r="AQ295" s="127" t="str">
        <f>IFERROR(INDEX(TableOverallMaster[POS RK],MATCH(TableOverallRank[[#This Row],[OVERALL PLAYER]],TableOverallMaster[OVERALL PLAYER],0)),"")</f>
        <v>RB98</v>
      </c>
      <c r="AR295" s="128">
        <f>IFERROR(INDEX(TableOverallMaster[BYE],MATCH(TableOverallRank[[#This Row],[OVERALL PLAYER]],TableOverallMaster[OVERALL PLAYER],0)),"")</f>
        <v>13</v>
      </c>
      <c r="AS295" s="127">
        <f>IFERROR(INDEX(TableOverallMaster[Custom],MATCH(TableOverallRank[[#This Row],[OVERALL PLAYER]],TableOverallMaster[OVERALL PLAYER],0)),"")</f>
        <v>21.261982117647044</v>
      </c>
      <c r="AT295" s="129">
        <f>IFERROR(INDEX(TableOverallMaster[VORP],MATCH(TableOverallRank[[#This Row],[OVERALL PLAYER]],TableOverallMaster[OVERALL PLAYER],0)),"")</f>
        <v>-0.82638023907419711</v>
      </c>
      <c r="AY295" s="58"/>
      <c r="AZ295" s="122"/>
    </row>
    <row r="296" spans="32:52" x14ac:dyDescent="0.2">
      <c r="AF296" t="s">
        <v>10</v>
      </c>
      <c r="AG296">
        <v>45</v>
      </c>
      <c r="AH296" s="86">
        <f>RANK(TableOverallMaster[[#This Row],[VORP]],TableOverallMaster[VORP])+COUNTIF($AM$2:AM296,AM296)-1</f>
        <v>266</v>
      </c>
      <c r="AI296" s="123" t="str">
        <f>IFERROR(INDEX(TableTEVORP[TIGHT END],MATCH(TableOverallMaster[[#This Row],[RK]],TableTEVORP[RK],0)),"")</f>
        <v>Cole Turner</v>
      </c>
      <c r="AJ296" s="123" t="str">
        <f t="shared" si="4"/>
        <v>TE45</v>
      </c>
      <c r="AK296" s="123">
        <f>IFERROR(INDEX(TableTEVORP[BYE],MATCH(TableOverallMaster[[#This Row],[RK]],TableTEVORP[RK],0)),"")</f>
        <v>14</v>
      </c>
      <c r="AL296" s="124">
        <f>IFERROR(INDEX(TableTEVORP[FPS],MATCH(TableOverallMaster[[#This Row],[RK]],TableTEVORP[RK],0)),"")</f>
        <v>38.146037279319202</v>
      </c>
      <c r="AM296" s="125">
        <f>IFERROR(INDEX(TableTEVORP[VORP],MATCH(TableOverallMaster[[#This Row],[RK]],TableTEVORP[RK],0)),"")</f>
        <v>-0.67898697971278588</v>
      </c>
      <c r="AO296">
        <v>295</v>
      </c>
      <c r="AP296" s="126" t="str">
        <f>IFERROR(INDEX(TableOverallMaster[OVERALL PLAYER],MATCH(TableOverallRank[[#This Row],[RK]],TableOverallMaster[OVR RK],0)),"")</f>
        <v>Ke'Shawn Vaughn</v>
      </c>
      <c r="AQ296" s="127" t="str">
        <f>IFERROR(INDEX(TableOverallMaster[POS RK],MATCH(TableOverallRank[[#This Row],[OVERALL PLAYER]],TableOverallMaster[OVERALL PLAYER],0)),"")</f>
        <v>RB99</v>
      </c>
      <c r="AR296" s="128">
        <f>IFERROR(INDEX(TableOverallMaster[BYE],MATCH(TableOverallRank[[#This Row],[OVERALL PLAYER]],TableOverallMaster[OVERALL PLAYER],0)),"")</f>
        <v>5</v>
      </c>
      <c r="AS296" s="127">
        <f>IFERROR(INDEX(TableOverallMaster[Custom],MATCH(TableOverallRank[[#This Row],[OVERALL PLAYER]],TableOverallMaster[OVERALL PLAYER],0)),"")</f>
        <v>20.166868055698529</v>
      </c>
      <c r="AT296" s="129">
        <f>IFERROR(INDEX(TableOverallMaster[VORP],MATCH(TableOverallRank[[#This Row],[OVERALL PLAYER]],TableOverallMaster[OVERALL PLAYER],0)),"")</f>
        <v>-0.83532265284211105</v>
      </c>
      <c r="AY296" s="58"/>
      <c r="AZ296" s="122"/>
    </row>
    <row r="297" spans="32:52" x14ac:dyDescent="0.2">
      <c r="AF297" t="s">
        <v>10</v>
      </c>
      <c r="AG297">
        <v>46</v>
      </c>
      <c r="AH297" s="86">
        <f>RANK(TableOverallMaster[[#This Row],[VORP]],TableOverallMaster[VORP])+COUNTIF($AM$2:AM297,AM297)-1</f>
        <v>269</v>
      </c>
      <c r="AI297" s="123" t="str">
        <f>IFERROR(INDEX(TableTEVORP[TIGHT END],MATCH(TableOverallMaster[[#This Row],[RK]],TableTEVORP[RK],0)),"")</f>
        <v>Teagan Quitoriano</v>
      </c>
      <c r="AJ297" s="123" t="str">
        <f t="shared" si="4"/>
        <v>TE46</v>
      </c>
      <c r="AK297" s="123">
        <f>IFERROR(INDEX(TableTEVORP[BYE],MATCH(TableOverallMaster[[#This Row],[RK]],TableTEVORP[RK],0)),"")</f>
        <v>7</v>
      </c>
      <c r="AL297" s="124">
        <f>IFERROR(INDEX(TableTEVORP[FPS],MATCH(TableOverallMaster[[#This Row],[RK]],TableTEVORP[RK],0)),"")</f>
        <v>36.024327486654819</v>
      </c>
      <c r="AM297" s="125">
        <f>IFERROR(INDEX(TableTEVORP[VORP],MATCH(TableOverallMaster[[#This Row],[RK]],TableTEVORP[RK],0)),"")</f>
        <v>-0.69684195279239869</v>
      </c>
      <c r="AO297">
        <v>296</v>
      </c>
      <c r="AP297" s="126" t="str">
        <f>IFERROR(INDEX(TableOverallMaster[OVERALL PLAYER],MATCH(TableOverallRank[[#This Row],[RK]],TableOverallMaster[OVR RK],0)),"")</f>
        <v>Tyrion Davis-Price</v>
      </c>
      <c r="AQ297" s="127" t="str">
        <f>IFERROR(INDEX(TableOverallMaster[POS RK],MATCH(TableOverallRank[[#This Row],[OVERALL PLAYER]],TableOverallMaster[OVERALL PLAYER],0)),"")</f>
        <v>RB100</v>
      </c>
      <c r="AR297" s="128">
        <f>IFERROR(INDEX(TableOverallMaster[BYE],MATCH(TableOverallRank[[#This Row],[OVERALL PLAYER]],TableOverallMaster[OVERALL PLAYER],0)),"")</f>
        <v>9</v>
      </c>
      <c r="AS297" s="127">
        <f>IFERROR(INDEX(TableOverallMaster[Custom],MATCH(TableOverallRank[[#This Row],[OVERALL PLAYER]],TableOverallMaster[OVERALL PLAYER],0)),"")</f>
        <v>18.938193866605488</v>
      </c>
      <c r="AT297" s="129">
        <f>IFERROR(INDEX(TableOverallMaster[VORP],MATCH(TableOverallRank[[#This Row],[OVERALL PLAYER]],TableOverallMaster[OVERALL PLAYER],0)),"")</f>
        <v>-0.84535568352503054</v>
      </c>
      <c r="AY297" s="58"/>
      <c r="AZ297" s="122"/>
    </row>
    <row r="298" spans="32:52" x14ac:dyDescent="0.2">
      <c r="AF298" t="s">
        <v>10</v>
      </c>
      <c r="AG298">
        <v>47</v>
      </c>
      <c r="AH298" s="86">
        <f>RANK(TableOverallMaster[[#This Row],[VORP]],TableOverallMaster[VORP])+COUNTIF($AM$2:AM298,AM298)-1</f>
        <v>270</v>
      </c>
      <c r="AI298" s="123" t="str">
        <f>IFERROR(INDEX(TableTEVORP[TIGHT END],MATCH(TableOverallMaster[[#This Row],[RK]],TableTEVORP[RK],0)),"")</f>
        <v>Tucker Kraft</v>
      </c>
      <c r="AJ298" s="123" t="str">
        <f t="shared" si="4"/>
        <v>TE47</v>
      </c>
      <c r="AK298" s="123">
        <f>IFERROR(INDEX(TableTEVORP[BYE],MATCH(TableOverallMaster[[#This Row],[RK]],TableTEVORP[RK],0)),"")</f>
        <v>6</v>
      </c>
      <c r="AL298" s="124">
        <f>IFERROR(INDEX(TableTEVORP[FPS],MATCH(TableOverallMaster[[#This Row],[RK]],TableTEVORP[RK],0)),"")</f>
        <v>35.669760428570214</v>
      </c>
      <c r="AM298" s="125">
        <f>IFERROR(INDEX(TableTEVORP[VORP],MATCH(TableOverallMaster[[#This Row],[RK]],TableTEVORP[RK],0)),"")</f>
        <v>-0.69982576579967537</v>
      </c>
      <c r="AO298">
        <v>297</v>
      </c>
      <c r="AP298" s="126" t="str">
        <f>IFERROR(INDEX(TableOverallMaster[OVERALL PLAYER],MATCH(TableOverallRank[[#This Row],[RK]],TableOverallMaster[OVR RK],0)),"")</f>
        <v>Tyrod Taylor</v>
      </c>
      <c r="AQ298" s="127" t="str">
        <f>IFERROR(INDEX(TableOverallMaster[POS RK],MATCH(TableOverallRank[[#This Row],[OVERALL PLAYER]],TableOverallMaster[OVERALL PLAYER],0)),"")</f>
        <v>QB37</v>
      </c>
      <c r="AR298" s="128">
        <f>IFERROR(INDEX(TableOverallMaster[BYE],MATCH(TableOverallRank[[#This Row],[OVERALL PLAYER]],TableOverallMaster[OVERALL PLAYER],0)),"")</f>
        <v>13</v>
      </c>
      <c r="AS298" s="127">
        <f>IFERROR(INDEX(TableOverallMaster[Custom],MATCH(TableOverallRank[[#This Row],[OVERALL PLAYER]],TableOverallMaster[OVERALL PLAYER],0)),"")</f>
        <v>23.9509264864007</v>
      </c>
      <c r="AT298" s="129">
        <f>IFERROR(INDEX(TableOverallMaster[VORP],MATCH(TableOverallRank[[#This Row],[OVERALL PLAYER]],TableOverallMaster[OVERALL PLAYER],0)),"")</f>
        <v>-0.84777793350761788</v>
      </c>
      <c r="AY298" s="58"/>
      <c r="AZ298" s="122"/>
    </row>
    <row r="299" spans="32:52" x14ac:dyDescent="0.2">
      <c r="AF299" t="s">
        <v>10</v>
      </c>
      <c r="AG299">
        <v>48</v>
      </c>
      <c r="AH299" s="86">
        <f>RANK(TableOverallMaster[[#This Row],[VORP]],TableOverallMaster[VORP])+COUNTIF($AM$2:AM299,AM299)-1</f>
        <v>278</v>
      </c>
      <c r="AI299" s="123" t="str">
        <f>IFERROR(INDEX(TableTEVORP[TIGHT END],MATCH(TableOverallMaster[[#This Row],[RK]],TableTEVORP[RK],0)),"")</f>
        <v>Donald Parham</v>
      </c>
      <c r="AJ299" s="123" t="str">
        <f t="shared" si="4"/>
        <v>TE48</v>
      </c>
      <c r="AK299" s="123">
        <f>IFERROR(INDEX(TableTEVORP[BYE],MATCH(TableOverallMaster[[#This Row],[RK]],TableTEVORP[RK],0)),"")</f>
        <v>5</v>
      </c>
      <c r="AL299" s="124">
        <f>IFERROR(INDEX(TableTEVORP[FPS],MATCH(TableOverallMaster[[#This Row],[RK]],TableTEVORP[RK],0)),"")</f>
        <v>32.990479742088795</v>
      </c>
      <c r="AM299" s="125">
        <f>IFERROR(INDEX(TableTEVORP[VORP],MATCH(TableOverallMaster[[#This Row],[RK]],TableTEVORP[RK],0)),"")</f>
        <v>-0.72237290428923195</v>
      </c>
      <c r="AO299">
        <v>298</v>
      </c>
      <c r="AP299" s="126" t="str">
        <f>IFERROR(INDEX(TableOverallMaster[OVERALL PLAYER],MATCH(TableOverallRank[[#This Row],[RK]],TableOverallMaster[OVR RK],0)),"")</f>
        <v>Brian Hoyer</v>
      </c>
      <c r="AQ299" s="127" t="str">
        <f>IFERROR(INDEX(TableOverallMaster[POS RK],MATCH(TableOverallRank[[#This Row],[OVERALL PLAYER]],TableOverallMaster[OVERALL PLAYER],0)),"")</f>
        <v>QB38</v>
      </c>
      <c r="AR299" s="128">
        <f>IFERROR(INDEX(TableOverallMaster[BYE],MATCH(TableOverallRank[[#This Row],[OVERALL PLAYER]],TableOverallMaster[OVERALL PLAYER],0)),"")</f>
        <v>13</v>
      </c>
      <c r="AS299" s="127">
        <f>IFERROR(INDEX(TableOverallMaster[Custom],MATCH(TableOverallRank[[#This Row],[OVERALL PLAYER]],TableOverallMaster[OVERALL PLAYER],0)),"")</f>
        <v>23.338961302415605</v>
      </c>
      <c r="AT299" s="129">
        <f>IFERROR(INDEX(TableOverallMaster[VORP],MATCH(TableOverallRank[[#This Row],[OVERALL PLAYER]],TableOverallMaster[OVERALL PLAYER],0)),"")</f>
        <v>-0.90383868550910584</v>
      </c>
      <c r="AY299" s="58"/>
      <c r="AZ299" s="122"/>
    </row>
    <row r="300" spans="32:52" x14ac:dyDescent="0.2">
      <c r="AF300" t="s">
        <v>10</v>
      </c>
      <c r="AG300">
        <v>49</v>
      </c>
      <c r="AH300" s="86">
        <f>RANK(TableOverallMaster[[#This Row],[VORP]],TableOverallMaster[VORP])+COUNTIF($AM$2:AM300,AM300)-1</f>
        <v>280</v>
      </c>
      <c r="AI300" s="123" t="str">
        <f>IFERROR(INDEX(TableTEVORP[TIGHT END],MATCH(TableOverallMaster[[#This Row],[RK]],TableTEVORP[RK],0)),"")</f>
        <v>Julian Hill</v>
      </c>
      <c r="AJ300" s="123" t="str">
        <f t="shared" si="4"/>
        <v>TE49</v>
      </c>
      <c r="AK300" s="123">
        <f>IFERROR(INDEX(TableTEVORP[BYE],MATCH(TableOverallMaster[[#This Row],[RK]],TableTEVORP[RK],0)),"")</f>
        <v>10</v>
      </c>
      <c r="AL300" s="124">
        <f>IFERROR(INDEX(TableTEVORP[FPS],MATCH(TableOverallMaster[[#This Row],[RK]],TableTEVORP[RK],0)),"")</f>
        <v>31.534379794827011</v>
      </c>
      <c r="AM300" s="125">
        <f>IFERROR(INDEX(TableTEVORP[VORP],MATCH(TableOverallMaster[[#This Row],[RK]],TableTEVORP[RK],0)),"")</f>
        <v>-0.73462652419968</v>
      </c>
      <c r="AO300">
        <v>299</v>
      </c>
      <c r="AP300" s="126" t="str">
        <f>IFERROR(INDEX(TableOverallMaster[OVERALL PLAYER],MATCH(TableOverallRank[[#This Row],[RK]],TableOverallMaster[OVR RK],0)),"")</f>
        <v>Malik Willis</v>
      </c>
      <c r="AQ300" s="127" t="str">
        <f>IFERROR(INDEX(TableOverallMaster[POS RK],MATCH(TableOverallRank[[#This Row],[OVERALL PLAYER]],TableOverallMaster[OVERALL PLAYER],0)),"")</f>
        <v>QB39</v>
      </c>
      <c r="AR300" s="128">
        <f>IFERROR(INDEX(TableOverallMaster[BYE],MATCH(TableOverallRank[[#This Row],[OVERALL PLAYER]],TableOverallMaster[OVERALL PLAYER],0)),"")</f>
        <v>7</v>
      </c>
      <c r="AS300" s="127">
        <f>IFERROR(INDEX(TableOverallMaster[Custom],MATCH(TableOverallRank[[#This Row],[OVERALL PLAYER]],TableOverallMaster[OVERALL PLAYER],0)),"")</f>
        <v>21.063395821755705</v>
      </c>
      <c r="AT300" s="129">
        <f>IFERROR(INDEX(TableOverallMaster[VORP],MATCH(TableOverallRank[[#This Row],[OVERALL PLAYER]],TableOverallMaster[OVERALL PLAYER],0)),"")</f>
        <v>-0.91523208367249753</v>
      </c>
      <c r="AY300" s="58"/>
      <c r="AZ300" s="122"/>
    </row>
    <row r="301" spans="32:52" x14ac:dyDescent="0.2">
      <c r="AF301" t="s">
        <v>10</v>
      </c>
      <c r="AG301">
        <v>50</v>
      </c>
      <c r="AH301" s="86">
        <f>RANK(TableOverallMaster[[#This Row],[VORP]],TableOverallMaster[VORP])+COUNTIF($AM$2:AM301,AM301)-1</f>
        <v>281</v>
      </c>
      <c r="AI301" s="123" t="str">
        <f>IFERROR(INDEX(TableTEVORP[TIGHT END],MATCH(TableOverallMaster[[#This Row],[RK]],TableTEVORP[RK],0)),"")</f>
        <v>Luke Schoonmaker</v>
      </c>
      <c r="AJ301" s="123" t="str">
        <f t="shared" si="4"/>
        <v>TE50</v>
      </c>
      <c r="AK301" s="123">
        <f>IFERROR(INDEX(TableTEVORP[BYE],MATCH(TableOverallMaster[[#This Row],[RK]],TableTEVORP[RK],0)),"")</f>
        <v>7</v>
      </c>
      <c r="AL301" s="124">
        <f>IFERROR(INDEX(TableTEVORP[FPS],MATCH(TableOverallMaster[[#This Row],[RK]],TableTEVORP[RK],0)),"")</f>
        <v>31.070588099084844</v>
      </c>
      <c r="AM301" s="125">
        <f>IFERROR(INDEX(TableTEVORP[VORP],MATCH(TableOverallMaster[[#This Row],[RK]],TableTEVORP[RK],0)),"")</f>
        <v>-0.73852950295325659</v>
      </c>
      <c r="AO301">
        <v>300</v>
      </c>
      <c r="AP301" s="126" t="str">
        <f>IFERROR(INDEX(TableOverallMaster[OVERALL PLAYER],MATCH(TableOverallRank[[#This Row],[RK]],TableOverallMaster[OVR RK],0)),"")</f>
        <v>Jacoby Brissett</v>
      </c>
      <c r="AQ301" s="127" t="str">
        <f>IFERROR(INDEX(TableOverallMaster[POS RK],MATCH(TableOverallRank[[#This Row],[OVERALL PLAYER]],TableOverallMaster[OVERALL PLAYER],0)),"")</f>
        <v>QB40</v>
      </c>
      <c r="AR301" s="128">
        <f>IFERROR(INDEX(TableOverallMaster[BYE],MATCH(TableOverallRank[[#This Row],[OVERALL PLAYER]],TableOverallMaster[OVERALL PLAYER],0)),"")</f>
        <v>14</v>
      </c>
      <c r="AS301" s="127">
        <f>IFERROR(INDEX(TableOverallMaster[Custom],MATCH(TableOverallRank[[#This Row],[OVERALL PLAYER]],TableOverallMaster[OVERALL PLAYER],0)),"")</f>
        <v>14.244298191012943</v>
      </c>
      <c r="AT301" s="129">
        <f>IFERROR(INDEX(TableOverallMaster[VORP],MATCH(TableOverallRank[[#This Row],[OVERALL PLAYER]],TableOverallMaster[OVERALL PLAYER],0)),"")</f>
        <v>-0.94090010513191313</v>
      </c>
      <c r="AY301" s="58"/>
      <c r="AZ301" s="122"/>
    </row>
    <row r="302" spans="32:52" x14ac:dyDescent="0.2">
      <c r="AY302" s="58"/>
      <c r="AZ302" s="122"/>
    </row>
    <row r="303" spans="32:52" x14ac:dyDescent="0.2">
      <c r="AY303" s="58"/>
      <c r="AZ303" s="122"/>
    </row>
    <row r="304" spans="32:52" x14ac:dyDescent="0.2">
      <c r="AY304" s="58"/>
      <c r="AZ304" s="122"/>
    </row>
    <row r="305" spans="51:52" x14ac:dyDescent="0.2">
      <c r="AY305" s="58"/>
      <c r="AZ305" s="122"/>
    </row>
    <row r="306" spans="51:52" x14ac:dyDescent="0.2">
      <c r="AY306" s="58"/>
      <c r="AZ306" s="122"/>
    </row>
  </sheetData>
  <sheetProtection sheet="1" objects="1" scenarios="1" sort="0" autoFilter="0"/>
  <protectedRanges>
    <protectedRange sqref="A1:AE239 AS1 AZ1" name="VORPSort"/>
  </protectedRanges>
  <sortState xmlns:xlrd2="http://schemas.microsoft.com/office/spreadsheetml/2017/richdata2" ref="AW2:AZ281">
    <sortCondition descending="1" ref="AZ2:AZ281"/>
  </sortState>
  <pageMargins left="0.7" right="0.7" top="0.75" bottom="0.75" header="0.3" footer="0.3"/>
  <pageSetup orientation="portrait" verticalDpi="90" r:id="rId1"/>
  <ignoredErrors>
    <ignoredError sqref="AI42:AI141 AI142:AI251 AI252:AI301 AL2:AL301 A2:A101 V2:V101 O2:O226 H2:H176" calculatedColumn="1"/>
  </ignoredErrors>
  <tableParts count="9"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0A53-FD7F-45F9-8CCB-FEE11D881F35}">
  <sheetPr>
    <tabColor rgb="FFFFD5D5"/>
  </sheetPr>
  <dimension ref="A1:AZ221"/>
  <sheetViews>
    <sheetView showGridLines="0" topLeftCell="C1" zoomScale="85" zoomScaleNormal="85" workbookViewId="0">
      <selection activeCell="N2" sqref="N2"/>
    </sheetView>
  </sheetViews>
  <sheetFormatPr baseColWidth="10" defaultColWidth="9" defaultRowHeight="14" x14ac:dyDescent="0.2"/>
  <cols>
    <col min="1" max="1" width="3.59765625" bestFit="1" customWidth="1"/>
    <col min="2" max="2" width="19.59765625" bestFit="1" customWidth="1"/>
    <col min="3" max="3" width="5.19921875" bestFit="1" customWidth="1"/>
    <col min="4" max="4" width="4.19921875" bestFit="1" customWidth="1"/>
    <col min="5" max="12" width="6.796875" style="86" customWidth="1"/>
    <col min="13" max="13" width="7.796875" bestFit="1" customWidth="1"/>
    <col min="14" max="14" width="5.796875" bestFit="1" customWidth="1"/>
    <col min="15" max="15" width="5.796875" customWidth="1"/>
    <col min="16" max="16" width="4.19921875" bestFit="1" customWidth="1"/>
    <col min="17" max="17" width="22.19921875" bestFit="1" customWidth="1"/>
    <col min="18" max="18" width="5.19921875" bestFit="1" customWidth="1"/>
    <col min="19" max="19" width="4.19921875" bestFit="1" customWidth="1"/>
    <col min="20" max="26" width="6.796875" style="86" customWidth="1"/>
    <col min="27" max="27" width="7.796875" bestFit="1" customWidth="1"/>
    <col min="28" max="28" width="5.796875" bestFit="1" customWidth="1"/>
    <col min="29" max="29" width="5.796875" customWidth="1"/>
    <col min="30" max="30" width="4.19921875" bestFit="1" customWidth="1"/>
    <col min="31" max="31" width="25.59765625" bestFit="1" customWidth="1"/>
    <col min="32" max="32" width="5.19921875" bestFit="1" customWidth="1"/>
    <col min="33" max="33" width="4.19921875" bestFit="1" customWidth="1"/>
    <col min="34" max="39" width="6.796875" style="86" customWidth="1"/>
    <col min="40" max="40" width="7.796875" bestFit="1" customWidth="1"/>
    <col min="41" max="41" width="5.796875" bestFit="1" customWidth="1"/>
    <col min="42" max="42" width="5.796875" customWidth="1"/>
    <col min="43" max="43" width="4.19921875" bestFit="1" customWidth="1"/>
    <col min="44" max="44" width="21.3984375" bestFit="1" customWidth="1"/>
    <col min="45" max="45" width="5.19921875" bestFit="1" customWidth="1"/>
    <col min="46" max="46" width="4.19921875" customWidth="1"/>
    <col min="47" max="50" width="6.796875" style="86" customWidth="1"/>
    <col min="51" max="51" width="7.796875" bestFit="1" customWidth="1"/>
    <col min="52" max="52" width="5.796875" bestFit="1" customWidth="1"/>
  </cols>
  <sheetData>
    <row r="1" spans="1:52" s="136" customFormat="1" ht="45" x14ac:dyDescent="0.2">
      <c r="A1" s="135" t="s">
        <v>158</v>
      </c>
      <c r="B1" s="135" t="s">
        <v>405</v>
      </c>
      <c r="C1" s="135" t="s">
        <v>106</v>
      </c>
      <c r="D1" s="135" t="s">
        <v>143</v>
      </c>
      <c r="E1" s="137" t="s">
        <v>259</v>
      </c>
      <c r="F1" s="137" t="s">
        <v>1</v>
      </c>
      <c r="G1" s="137" t="s">
        <v>262</v>
      </c>
      <c r="H1" s="137" t="s">
        <v>308</v>
      </c>
      <c r="I1" s="137" t="s">
        <v>2</v>
      </c>
      <c r="J1" s="137" t="s">
        <v>309</v>
      </c>
      <c r="K1" s="137" t="s">
        <v>266</v>
      </c>
      <c r="L1" s="137" t="s">
        <v>310</v>
      </c>
      <c r="M1" s="135" t="s">
        <v>138</v>
      </c>
      <c r="N1" s="135" t="s">
        <v>375</v>
      </c>
      <c r="P1" s="135" t="s">
        <v>158</v>
      </c>
      <c r="Q1" s="135" t="s">
        <v>405</v>
      </c>
      <c r="R1" s="135" t="s">
        <v>106</v>
      </c>
      <c r="S1" s="135" t="s">
        <v>143</v>
      </c>
      <c r="T1" s="137" t="s">
        <v>309</v>
      </c>
      <c r="U1" s="137" t="s">
        <v>266</v>
      </c>
      <c r="V1" s="137" t="s">
        <v>310</v>
      </c>
      <c r="W1" s="137" t="s">
        <v>567</v>
      </c>
      <c r="X1" s="137" t="s">
        <v>4</v>
      </c>
      <c r="Y1" s="137" t="s">
        <v>272</v>
      </c>
      <c r="Z1" s="137" t="s">
        <v>311</v>
      </c>
      <c r="AA1" s="135" t="s">
        <v>138</v>
      </c>
      <c r="AB1" s="135" t="s">
        <v>375</v>
      </c>
      <c r="AD1" s="135" t="s">
        <v>158</v>
      </c>
      <c r="AE1" s="135" t="s">
        <v>405</v>
      </c>
      <c r="AF1" s="135" t="s">
        <v>106</v>
      </c>
      <c r="AG1" s="135" t="s">
        <v>143</v>
      </c>
      <c r="AH1" s="137" t="s">
        <v>266</v>
      </c>
      <c r="AI1" s="137" t="s">
        <v>310</v>
      </c>
      <c r="AJ1" s="137" t="s">
        <v>567</v>
      </c>
      <c r="AK1" s="137" t="s">
        <v>4</v>
      </c>
      <c r="AL1" s="137" t="s">
        <v>272</v>
      </c>
      <c r="AM1" s="137" t="s">
        <v>311</v>
      </c>
      <c r="AN1" s="135" t="s">
        <v>138</v>
      </c>
      <c r="AO1" s="135" t="s">
        <v>375</v>
      </c>
      <c r="AQ1" s="135" t="s">
        <v>158</v>
      </c>
      <c r="AR1" s="135" t="s">
        <v>405</v>
      </c>
      <c r="AS1" s="135" t="s">
        <v>106</v>
      </c>
      <c r="AT1" s="135" t="s">
        <v>143</v>
      </c>
      <c r="AU1" s="137" t="s">
        <v>567</v>
      </c>
      <c r="AV1" s="137" t="s">
        <v>4</v>
      </c>
      <c r="AW1" s="137" t="s">
        <v>272</v>
      </c>
      <c r="AX1" s="137" t="s">
        <v>311</v>
      </c>
      <c r="AY1" s="135" t="s">
        <v>138</v>
      </c>
      <c r="AZ1" s="135" t="s">
        <v>375</v>
      </c>
    </row>
    <row r="2" spans="1:52" x14ac:dyDescent="0.2">
      <c r="A2">
        <v>1</v>
      </c>
      <c r="B2" t="str">
        <f>IFERROR(INDEX(TableQBCalcPts[PLAYER],MATCH(TableQBRanks30[[#This Row],[RK]],TableQBCalcPts[RK],0)),"")</f>
        <v>Josh Allen</v>
      </c>
      <c r="C2" t="str">
        <f>IFERROR(INDEX(TableQBCalcPts[TM],MATCH(TableQBRanks30[[#This Row],[Player]],TableQBCalcPts[PLAYER],0)),"")</f>
        <v>BUF</v>
      </c>
      <c r="D2">
        <f>IFERROR(INDEX(TableQBCalcPts[BYE],MATCH(TableQBRanks30[[#This Row],[Player]],TableQBCalcPts[PLAYER],0)),"")</f>
        <v>13</v>
      </c>
      <c r="E2" s="86">
        <f>VLOOKUP(TableQBRanks30[[#This Row],[Player]],QB!B:O,4,FALSE)</f>
        <v>647.95500000000004</v>
      </c>
      <c r="F2" s="86">
        <f>VLOOKUP(TableQBRanks30[[#This Row],[Player]],QB!B:O,5,FALSE)</f>
        <v>413.06163771301863</v>
      </c>
      <c r="G2" s="86">
        <f>VLOOKUP(TableQBRanks30[[#This Row],[Player]],QB!B:O,6,FALSE)</f>
        <v>4671.7271225342411</v>
      </c>
      <c r="H2" s="86">
        <f>VLOOKUP(TableQBRanks30[[#This Row],[Player]],QB!B:O,7,FALSE)</f>
        <v>36.803791920229962</v>
      </c>
      <c r="I2" s="86">
        <f>VLOOKUP(TableQBRanks30[[#This Row],[Player]],QB!B:O,8,FALSE)</f>
        <v>14.129749309292048</v>
      </c>
      <c r="J2" s="86">
        <f>VLOOKUP(TableQBRanks30[[#This Row],[Player]],QB!B:O,9,FALSE)</f>
        <v>113.51340000000003</v>
      </c>
      <c r="K2" s="86">
        <f>VLOOKUP(TableQBRanks30[[#This Row],[Player]],QB!B:O,10,FALSE)</f>
        <v>620.00335416991459</v>
      </c>
      <c r="L2" s="86">
        <f>VLOOKUP(TableQBRanks30[[#This Row],[Player]],QB!B:O,11,FALSE)</f>
        <v>6.4702638000000023</v>
      </c>
      <c r="M2" s="58">
        <f>IFERROR(INDEX(TableQBCalcPts[Custom],MATCH(TableQBRanks30[[#This Row],[RK]],TableQBCalcPts[RK],0)),"")</f>
        <v>420.77642148998893</v>
      </c>
      <c r="N2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29.74088903549006</v>
      </c>
      <c r="P2">
        <v>1</v>
      </c>
      <c r="Q2" t="str">
        <f>IFERROR(INDEX(TableRBCalcPts[PLAYER],MATCH(TableRBRanks31[[#This Row],[RK]],TableRBCalcPts[RK],0)),"")</f>
        <v>Christian McCaffrey</v>
      </c>
      <c r="R2" t="str">
        <f>IFERROR(INDEX(TableRBCalcPts[TM],MATCH(TableRBRanks31[[#This Row],[Player]],TableRBCalcPts[PLAYER],0)),"")</f>
        <v>SF</v>
      </c>
      <c r="S2">
        <f>IFERROR(INDEX(TableRBCalcPts[BYE],MATCH(TableRBRanks31[[#This Row],[Player]],TableRBCalcPts[PLAYER],0)),"")</f>
        <v>9</v>
      </c>
      <c r="T2" s="86">
        <f>VLOOKUP(TableRBRanks31[[#This Row],[Player]],RB!B:O,4,FALSE)</f>
        <v>224.68610724000001</v>
      </c>
      <c r="U2" s="86">
        <f>VLOOKUP(TableRBRanks31[[#This Row],[Player]],RB!B:O,5,FALSE)</f>
        <v>1049.2841208108</v>
      </c>
      <c r="V2" s="86">
        <f>VLOOKUP(TableRBRanks31[[#This Row],[Player]],RB!B:O,6,FALSE)</f>
        <v>11.458991469240001</v>
      </c>
      <c r="W2" s="86">
        <f>VLOOKUP(TableRBRanks31[[#This Row],[Player]],RB!B:O,7,FALSE)</f>
        <v>91.676767559999988</v>
      </c>
      <c r="X2" s="86">
        <f>VLOOKUP(TableRBRanks31[[#This Row],[Player]],RB!B:O,8,FALSE)</f>
        <v>73.807327028610942</v>
      </c>
      <c r="Y2" s="86">
        <f>VLOOKUP(TableRBRanks31[[#This Row],[Player]],RB!B:O,9,FALSE)</f>
        <v>642.12374514891519</v>
      </c>
      <c r="Z2" s="86">
        <f>VLOOKUP(TableRBRanks31[[#This Row],[Player]],RB!B:O,10,FALSE)</f>
        <v>4.2808249676594352</v>
      </c>
      <c r="AA2" s="58">
        <f>IFERROR(INDEX(TableRBCalcPts[Custom],MATCH(TableRBRanks31[[#This Row],[RK]],TableRBCalcPts[RK],0)),"")</f>
        <v>300.48334873167357</v>
      </c>
      <c r="AB2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64.863856393764181</v>
      </c>
      <c r="AD2">
        <v>1</v>
      </c>
      <c r="AE2" t="str">
        <f>IFERROR(INDEX(TableWRCalcPts[PLAYER],MATCH(TableWRRanks32[[#This Row],[RK]],TableWRCalcPts[RK],0)),"")</f>
        <v>Justin Jefferson</v>
      </c>
      <c r="AF2" t="str">
        <f>IFERROR(INDEX(TableWRCalcPts[TM],MATCH(TableWRRanks32[[#This Row],[Player]],TableWRCalcPts[PLAYER],0)),"")</f>
        <v>MIN</v>
      </c>
      <c r="AG2">
        <f>IFERROR(INDEX(TableWRCalcPts[BYE],MATCH(TableWRRanks32[[#This Row],[Player]],TableWRCalcPts[PLAYER],0)),"")</f>
        <v>13</v>
      </c>
      <c r="AH2" s="86">
        <f>VLOOKUP(TableWRRanks32[[#This Row],[Player]],WR!B:O,4,FALSE)</f>
        <v>18.76137968694097</v>
      </c>
      <c r="AI2" s="86">
        <f>VLOOKUP(TableWRRanks32[[#This Row],[Player]],WR!B:O,5,FALSE)</f>
        <v>0.31477686240000002</v>
      </c>
      <c r="AJ2" s="86">
        <f>VLOOKUP(TableWRRanks32[[#This Row],[Player]],WR!B:O,6,FALSE)</f>
        <v>167.13725951999996</v>
      </c>
      <c r="AK2" s="86">
        <f>VLOOKUP(TableWRRanks32[[#This Row],[Player]],WR!B:O,7,FALSE)</f>
        <v>118.16604248063996</v>
      </c>
      <c r="AL2" s="86">
        <f>VLOOKUP(TableWRRanks32[[#This Row],[Player]],WR!B:O,8,FALSE)</f>
        <v>1577.5166671165434</v>
      </c>
      <c r="AM2" s="86">
        <f>VLOOKUP(TableWRRanks32[[#This Row],[Player]],WR!B:O,9,FALSE)</f>
        <v>9.4532833984511964</v>
      </c>
      <c r="AN2" s="58">
        <f>IFERROR(INDEX(TableWRCalcPts[Custom],MATCH(TableWRRanks32[[#This Row],[RK]],TableWRCalcPts[RK],0)),"")</f>
        <v>277.31918748577561</v>
      </c>
      <c r="AO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50.352012565327399</v>
      </c>
      <c r="AQ2">
        <v>1</v>
      </c>
      <c r="AR2" t="str">
        <f>IFERROR(INDEX(TableTECalcPts[PLAYER],MATCH(TableTERanks33[[#This Row],[RK]],TableTECalcPts[RK],0)),"")</f>
        <v>Travis Kelce</v>
      </c>
      <c r="AS2" t="str">
        <f>IFERROR(INDEX(TableTECalcPts[TM],MATCH(TableTERanks33[[#This Row],[Player]],TableTECalcPts[PLAYER],0)),"")</f>
        <v>KC</v>
      </c>
      <c r="AT2">
        <f>IFERROR(INDEX(TableTECalcPts[BYE],MATCH(TableTERanks33[[#This Row],[Player]],TableTECalcPts[PLAYER],0)),"")</f>
        <v>10</v>
      </c>
      <c r="AU2" s="86">
        <f>VLOOKUP(TableTERanks33[[#This Row],[Player]],TE!B:O,4,FALSE)</f>
        <v>132.73515528000001</v>
      </c>
      <c r="AV2" s="86">
        <f>VLOOKUP(TableTERanks33[[#This Row],[Player]],TE!B:O,5,FALSE)</f>
        <v>96.243603028615581</v>
      </c>
      <c r="AW2" s="86">
        <f>VLOOKUP(TableTERanks33[[#This Row],[Player]],TE!B:O,6,FALSE)</f>
        <v>1116.4257951319407</v>
      </c>
      <c r="AX2" s="86">
        <f>VLOOKUP(TableTERanks33[[#This Row],[Player]],TE!B:O,7,FALSE)</f>
        <v>10.798062778820285</v>
      </c>
      <c r="AY2" s="58">
        <f>IFERROR(INDEX(TableTECalcPts[Custom],MATCH(TableTERanks33[[#This Row],[RK]],TableTECalcPts[RK],0)),"")</f>
        <v>224.5527577004236</v>
      </c>
      <c r="AZ2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39.698896925430851</v>
      </c>
    </row>
    <row r="3" spans="1:52" x14ac:dyDescent="0.2">
      <c r="A3">
        <v>2</v>
      </c>
      <c r="B3" t="str">
        <f>IFERROR(INDEX(TableQBCalcPts[PLAYER],MATCH(TableQBRanks30[[#This Row],[RK]],TableQBCalcPts[RK],0)),"")</f>
        <v>Patrick Mahomes</v>
      </c>
      <c r="C3" t="str">
        <f>IFERROR(INDEX(TableQBCalcPts[TM],MATCH(TableQBRanks30[[#This Row],[Player]],TableQBCalcPts[PLAYER],0)),"")</f>
        <v>KC</v>
      </c>
      <c r="D3">
        <f>IFERROR(INDEX(TableQBCalcPts[BYE],MATCH(TableQBRanks30[[#This Row],[Player]],TableQBCalcPts[PLAYER],0)),"")</f>
        <v>10</v>
      </c>
      <c r="E3" s="86">
        <f>VLOOKUP(TableQBRanks30[[#This Row],[Player]],QB!B:O,4,FALSE)</f>
        <v>660.53988000000004</v>
      </c>
      <c r="F3" s="86">
        <f>VLOOKUP(TableQBRanks30[[#This Row],[Player]],QB!B:O,5,FALSE)</f>
        <v>438.97811428608662</v>
      </c>
      <c r="G3" s="86">
        <f>VLOOKUP(TableQBRanks30[[#This Row],[Player]],QB!B:O,6,FALSE)</f>
        <v>5188.7213108615442</v>
      </c>
      <c r="H3" s="86">
        <f>VLOOKUP(TableQBRanks30[[#This Row],[Player]],QB!B:O,7,FALSE)</f>
        <v>42.317490217178751</v>
      </c>
      <c r="I3" s="86">
        <f>VLOOKUP(TableQBRanks30[[#This Row],[Player]],QB!B:O,8,FALSE)</f>
        <v>11.641744819906185</v>
      </c>
      <c r="J3" s="86">
        <f>VLOOKUP(TableQBRanks30[[#This Row],[Player]],QB!B:O,9,FALSE)</f>
        <v>58.280913600000005</v>
      </c>
      <c r="K3" s="86">
        <f>VLOOKUP(TableQBRanks30[[#This Row],[Player]],QB!B:O,10,FALSE)</f>
        <v>326.22201775695424</v>
      </c>
      <c r="L3" s="86">
        <f>VLOOKUP(TableQBRanks30[[#This Row],[Player]],QB!B:O,11,FALSE)</f>
        <v>2.9723265936000001</v>
      </c>
      <c r="M3" s="58">
        <f>IFERROR(INDEX(TableQBCalcPts[Custom],MATCH(TableQBRanks30[[#This Row],[RK]],TableQBCalcPts[RK],0)),"")</f>
        <v>415.63322982056599</v>
      </c>
      <c r="N3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24.743641536801469</v>
      </c>
      <c r="P3">
        <v>2</v>
      </c>
      <c r="Q3" t="str">
        <f>IFERROR(INDEX(TableRBCalcPts[PLAYER],MATCH(TableRBRanks31[[#This Row],[RK]],TableRBCalcPts[RK],0)),"")</f>
        <v>Austin Ekeler</v>
      </c>
      <c r="R3" t="str">
        <f>IFERROR(INDEX(TableRBCalcPts[TM],MATCH(TableRBRanks31[[#This Row],[Player]],TableRBCalcPts[PLAYER],0)),"")</f>
        <v>LAC</v>
      </c>
      <c r="S3">
        <f>IFERROR(INDEX(TableRBCalcPts[BYE],MATCH(TableRBRanks31[[#This Row],[Player]],TableRBCalcPts[PLAYER],0)),"")</f>
        <v>5</v>
      </c>
      <c r="T3" s="86">
        <f>VLOOKUP(TableRBRanks31[[#This Row],[Player]],RB!B:O,4,FALSE)</f>
        <v>214.18020540000001</v>
      </c>
      <c r="U3" s="86">
        <f>VLOOKUP(TableRBRanks31[[#This Row],[Player]],RB!B:O,5,FALSE)</f>
        <v>965.95272635399999</v>
      </c>
      <c r="V3" s="86">
        <f>VLOOKUP(TableRBRanks31[[#This Row],[Player]],RB!B:O,6,FALSE)</f>
        <v>10.70901027</v>
      </c>
      <c r="W3" s="86">
        <f>VLOOKUP(TableRBRanks31[[#This Row],[Player]],RB!B:O,7,FALSE)</f>
        <v>86.498592599999995</v>
      </c>
      <c r="X3" s="86">
        <f>VLOOKUP(TableRBRanks31[[#This Row],[Player]],RB!B:O,8,FALSE)</f>
        <v>71.847002291877516</v>
      </c>
      <c r="Y3" s="86">
        <f>VLOOKUP(TableRBRanks31[[#This Row],[Player]],RB!B:O,9,FALSE)</f>
        <v>540.59903372044425</v>
      </c>
      <c r="Z3" s="86">
        <f>VLOOKUP(TableRBRanks31[[#This Row],[Player]],RB!B:O,10,FALSE)</f>
        <v>3.7567060021896741</v>
      </c>
      <c r="AA3" s="58">
        <f>IFERROR(INDEX(TableRBCalcPts[Custom],MATCH(TableRBRanks31[[#This Row],[RK]],TableRBCalcPts[RK],0)),"")</f>
        <v>273.37297478652124</v>
      </c>
      <c r="AB3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54.985870081781037</v>
      </c>
      <c r="AD3">
        <v>2</v>
      </c>
      <c r="AE3" t="str">
        <f>IFERROR(INDEX(TableWRCalcPts[PLAYER],MATCH(TableWRRanks32[[#This Row],[RK]],TableWRCalcPts[RK],0)),"")</f>
        <v>Tyreek Hill</v>
      </c>
      <c r="AF3" t="str">
        <f>IFERROR(INDEX(TableWRCalcPts[TM],MATCH(TableWRRanks32[[#This Row],[Player]],TableWRCalcPts[PLAYER],0)),"")</f>
        <v>MIA</v>
      </c>
      <c r="AG3">
        <f>IFERROR(INDEX(TableWRCalcPts[BYE],MATCH(TableWRRanks32[[#This Row],[Player]],TableWRCalcPts[PLAYER],0)),"")</f>
        <v>10</v>
      </c>
      <c r="AH3" s="86">
        <f>VLOOKUP(TableWRRanks32[[#This Row],[Player]],WR!B:O,4,FALSE)</f>
        <v>64.341061376335063</v>
      </c>
      <c r="AI3" s="86">
        <f>VLOOKUP(TableWRRanks32[[#This Row],[Player]],WR!B:O,5,FALSE)</f>
        <v>1.0669074780000001</v>
      </c>
      <c r="AJ3" s="86">
        <f>VLOOKUP(TableWRRanks32[[#This Row],[Player]],WR!B:O,6,FALSE)</f>
        <v>152.35516296000003</v>
      </c>
      <c r="AK3" s="86">
        <f>VLOOKUP(TableWRRanks32[[#This Row],[Player]],WR!B:O,7,FALSE)</f>
        <v>103.41876448699821</v>
      </c>
      <c r="AL3" s="86">
        <f>VLOOKUP(TableWRRanks32[[#This Row],[Player]],WR!B:O,8,FALSE)</f>
        <v>1447.8627028179749</v>
      </c>
      <c r="AM3" s="86">
        <f>VLOOKUP(TableWRRanks32[[#This Row],[Player]],WR!B:O,9,FALSE)</f>
        <v>9.4111075683168366</v>
      </c>
      <c r="AN3" s="58">
        <f>IFERROR(INDEX(TableWRCalcPts[Custom],MATCH(TableWRRanks32[[#This Row],[RK]],TableWRCalcPts[RK],0)),"")</f>
        <v>265.79784894083116</v>
      </c>
      <c r="AO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46.406327743995682</v>
      </c>
      <c r="AQ3">
        <v>2</v>
      </c>
      <c r="AR3" t="str">
        <f>IFERROR(INDEX(TableTECalcPts[PLAYER],MATCH(TableTERanks33[[#This Row],[RK]],TableTECalcPts[RK],0)),"")</f>
        <v>Mark Andrews</v>
      </c>
      <c r="AS3" t="str">
        <f>IFERROR(INDEX(TableTECalcPts[TM],MATCH(TableTERanks33[[#This Row],[Player]],TableTECalcPts[PLAYER],0)),"")</f>
        <v>BAL</v>
      </c>
      <c r="AT3">
        <f>IFERROR(INDEX(TableTECalcPts[BYE],MATCH(TableTERanks33[[#This Row],[Player]],TableTECalcPts[PLAYER],0)),"")</f>
        <v>13</v>
      </c>
      <c r="AU3" s="86">
        <f>VLOOKUP(TableTERanks33[[#This Row],[Player]],TE!B:O,4,FALSE)</f>
        <v>125.10139824000001</v>
      </c>
      <c r="AV3" s="86">
        <f>VLOOKUP(TableTERanks33[[#This Row],[Player]],TE!B:O,5,FALSE)</f>
        <v>80.850665364446556</v>
      </c>
      <c r="AW3" s="86">
        <f>VLOOKUP(TableTERanks33[[#This Row],[Player]],TE!B:O,6,FALSE)</f>
        <v>976.47426787722952</v>
      </c>
      <c r="AX3" s="86">
        <f>VLOOKUP(TableTERanks33[[#This Row],[Player]],TE!B:O,7,FALSE)</f>
        <v>7.3948779296749896</v>
      </c>
      <c r="AY3" s="58">
        <f>IFERROR(INDEX(TableTECalcPts[Custom],MATCH(TableTERanks33[[#This Row],[RK]],TableTECalcPts[RK],0)),"")</f>
        <v>182.44202704799619</v>
      </c>
      <c r="AZ3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23.88628901237065</v>
      </c>
    </row>
    <row r="4" spans="1:52" x14ac:dyDescent="0.2">
      <c r="A4">
        <v>3</v>
      </c>
      <c r="B4" t="str">
        <f>IFERROR(INDEX(TableQBCalcPts[PLAYER],MATCH(TableQBRanks30[[#This Row],[RK]],TableQBCalcPts[RK],0)),"")</f>
        <v>Jalen Hurts</v>
      </c>
      <c r="C4" t="str">
        <f>IFERROR(INDEX(TableQBCalcPts[TM],MATCH(TableQBRanks30[[#This Row],[Player]],TableQBCalcPts[PLAYER],0)),"")</f>
        <v>PHI</v>
      </c>
      <c r="D4">
        <f>IFERROR(INDEX(TableQBCalcPts[BYE],MATCH(TableQBRanks30[[#This Row],[Player]],TableQBCalcPts[PLAYER],0)),"")</f>
        <v>10</v>
      </c>
      <c r="E4" s="86">
        <f>VLOOKUP(TableQBRanks30[[#This Row],[Player]],QB!B:O,4,FALSE)</f>
        <v>542.50644</v>
      </c>
      <c r="F4" s="86">
        <f>VLOOKUP(TableQBRanks30[[#This Row],[Player]],QB!B:O,5,FALSE)</f>
        <v>357.51174395999999</v>
      </c>
      <c r="G4" s="86">
        <f>VLOOKUP(TableQBRanks30[[#This Row],[Player]],QB!B:O,6,FALSE)</f>
        <v>4250.8146356843999</v>
      </c>
      <c r="H4" s="86">
        <f>VLOOKUP(TableQBRanks30[[#This Row],[Player]],QB!B:O,7,FALSE)</f>
        <v>26.598873750623998</v>
      </c>
      <c r="I4" s="86">
        <f>VLOOKUP(TableQBRanks30[[#This Row],[Player]],QB!B:O,8,FALSE)</f>
        <v>10.02798044533713</v>
      </c>
      <c r="J4" s="86">
        <f>VLOOKUP(TableQBRanks30[[#This Row],[Player]],QB!B:O,9,FALSE)</f>
        <v>135.93269340000001</v>
      </c>
      <c r="K4" s="86">
        <f>VLOOKUP(TableQBRanks30[[#This Row],[Player]],QB!B:O,10,FALSE)</f>
        <v>648.31768224345967</v>
      </c>
      <c r="L4" s="86">
        <f>VLOOKUP(TableQBRanks30[[#This Row],[Player]],QB!B:O,11,FALSE)</f>
        <v>11.1464808588</v>
      </c>
      <c r="M4" s="58">
        <f>IFERROR(INDEX(TableQBCalcPts[Custom],MATCH(TableQBRanks30[[#This Row],[RK]],TableQBCalcPts[RK],0)),"")</f>
        <v>398.11075336168085</v>
      </c>
      <c r="N4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21.569272032137302</v>
      </c>
      <c r="P4">
        <v>3</v>
      </c>
      <c r="Q4" t="str">
        <f>IFERROR(INDEX(TableRBCalcPts[PLAYER],MATCH(TableRBRanks31[[#This Row],[RK]],TableRBCalcPts[RK],0)),"")</f>
        <v>Nick Chubb</v>
      </c>
      <c r="R4" t="str">
        <f>IFERROR(INDEX(TableRBCalcPts[TM],MATCH(TableRBRanks31[[#This Row],[Player]],TableRBCalcPts[PLAYER],0)),"")</f>
        <v>CLE</v>
      </c>
      <c r="S4">
        <f>IFERROR(INDEX(TableRBCalcPts[BYE],MATCH(TableRBRanks31[[#This Row],[Player]],TableRBCalcPts[PLAYER],0)),"")</f>
        <v>5</v>
      </c>
      <c r="T4" s="86">
        <f>VLOOKUP(TableRBRanks31[[#This Row],[Player]],RB!B:O,4,FALSE)</f>
        <v>292.76578799999993</v>
      </c>
      <c r="U4" s="86">
        <f>VLOOKUP(TableRBRanks31[[#This Row],[Player]],RB!B:O,5,FALSE)</f>
        <v>1425.7693875599996</v>
      </c>
      <c r="V4" s="86">
        <f>VLOOKUP(TableRBRanks31[[#This Row],[Player]],RB!B:O,6,FALSE)</f>
        <v>12.296163095999997</v>
      </c>
      <c r="W4" s="86">
        <f>VLOOKUP(TableRBRanks31[[#This Row],[Player]],RB!B:O,7,FALSE)</f>
        <v>39.127372199999996</v>
      </c>
      <c r="X4" s="86">
        <f>VLOOKUP(TableRBRanks31[[#This Row],[Player]],RB!B:O,8,FALSE)</f>
        <v>28.482183767202592</v>
      </c>
      <c r="Y4" s="86">
        <f>VLOOKUP(TableRBRanks31[[#This Row],[Player]],RB!B:O,9,FALSE)</f>
        <v>236.11730343010947</v>
      </c>
      <c r="Z4" s="86">
        <f>VLOOKUP(TableRBRanks31[[#This Row],[Player]],RB!B:O,10,FALSE)</f>
        <v>1.8798241286353712</v>
      </c>
      <c r="AA4" s="58">
        <f>IFERROR(INDEX(TableRBCalcPts[Custom],MATCH(TableRBRanks31[[#This Row],[RK]],TableRBCalcPts[RK],0)),"")</f>
        <v>265.48568433042442</v>
      </c>
      <c r="AB4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52.112042250354513</v>
      </c>
      <c r="AD4">
        <v>3</v>
      </c>
      <c r="AE4" t="str">
        <f>IFERROR(INDEX(TableWRCalcPts[PLAYER],MATCH(TableWRRanks32[[#This Row],[RK]],TableWRCalcPts[RK],0)),"")</f>
        <v>Cooper Kupp</v>
      </c>
      <c r="AF4" t="str">
        <f>IFERROR(INDEX(TableWRCalcPts[TM],MATCH(TableWRRanks32[[#This Row],[Player]],TableWRCalcPts[PLAYER],0)),"")</f>
        <v>LAR</v>
      </c>
      <c r="AG4">
        <f>IFERROR(INDEX(TableWRCalcPts[BYE],MATCH(TableWRRanks32[[#This Row],[Player]],TableWRCalcPts[PLAYER],0)),"")</f>
        <v>10</v>
      </c>
      <c r="AH4" s="86">
        <f>VLOOKUP(TableWRRanks32[[#This Row],[Player]],WR!B:O,4,FALSE)</f>
        <v>91.973417960264896</v>
      </c>
      <c r="AI4" s="86">
        <f>VLOOKUP(TableWRRanks32[[#This Row],[Player]],WR!B:O,5,FALSE)</f>
        <v>2.1761588139317252</v>
      </c>
      <c r="AJ4" s="86">
        <f>VLOOKUP(TableWRRanks32[[#This Row],[Player]],WR!B:O,6,FALSE)</f>
        <v>140.86372607999999</v>
      </c>
      <c r="AK4" s="86">
        <f>VLOOKUP(TableWRRanks32[[#This Row],[Player]],WR!B:O,7,FALSE)</f>
        <v>104.09829357311999</v>
      </c>
      <c r="AL4" s="86">
        <f>VLOOKUP(TableWRRanks32[[#This Row],[Player]],WR!B:O,8,FALSE)</f>
        <v>1275.0401129399734</v>
      </c>
      <c r="AM4" s="86">
        <f>VLOOKUP(TableWRRanks32[[#This Row],[Player]],WR!B:O,9,FALSE)</f>
        <v>9.4729447151539183</v>
      </c>
      <c r="AN4" s="58">
        <f>IFERROR(INDEX(TableWRCalcPts[Custom],MATCH(TableWRRanks32[[#This Row],[RK]],TableWRCalcPts[RK],0)),"")</f>
        <v>258.64512105109765</v>
      </c>
      <c r="AO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43.956750400569597</v>
      </c>
      <c r="AQ4">
        <v>3</v>
      </c>
      <c r="AR4" t="str">
        <f>IFERROR(INDEX(TableTECalcPts[PLAYER],MATCH(TableTERanks33[[#This Row],[RK]],TableTECalcPts[RK],0)),"")</f>
        <v>Darren Waller</v>
      </c>
      <c r="AS4" t="str">
        <f>IFERROR(INDEX(TableTECalcPts[TM],MATCH(TableTERanks33[[#This Row],[Player]],TableTECalcPts[PLAYER],0)),"")</f>
        <v>NYG</v>
      </c>
      <c r="AT4">
        <f>IFERROR(INDEX(TableTECalcPts[BYE],MATCH(TableTERanks33[[#This Row],[Player]],TableTECalcPts[PLAYER],0)),"")</f>
        <v>13</v>
      </c>
      <c r="AU4" s="86">
        <f>VLOOKUP(TableTERanks33[[#This Row],[Player]],TE!B:O,4,FALSE)</f>
        <v>119.94075547999999</v>
      </c>
      <c r="AV4" s="86">
        <f>VLOOKUP(TableTERanks33[[#This Row],[Player]],TE!B:O,5,FALSE)</f>
        <v>80.840069193519994</v>
      </c>
      <c r="AW4" s="86">
        <f>VLOOKUP(TableTERanks33[[#This Row],[Player]],TE!B:O,6,FALSE)</f>
        <v>962.80522409482319</v>
      </c>
      <c r="AX4" s="86">
        <f>VLOOKUP(TableTERanks33[[#This Row],[Player]],TE!B:O,7,FALSE)</f>
        <v>7.5181264349973596</v>
      </c>
      <c r="AY4" s="58">
        <f>IFERROR(INDEX(TableTECalcPts[Custom],MATCH(TableTERanks33[[#This Row],[RK]],TableTECalcPts[RK],0)),"")</f>
        <v>181.80931561622648</v>
      </c>
      <c r="AZ4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23.648705440732751</v>
      </c>
    </row>
    <row r="5" spans="1:52" x14ac:dyDescent="0.2">
      <c r="A5">
        <v>4</v>
      </c>
      <c r="B5" t="str">
        <f>IFERROR(INDEX(TableQBCalcPts[PLAYER],MATCH(TableQBRanks30[[#This Row],[RK]],TableQBCalcPts[RK],0)),"")</f>
        <v>Lamar Jackson</v>
      </c>
      <c r="C5" t="str">
        <f>IFERROR(INDEX(TableQBCalcPts[TM],MATCH(TableQBRanks30[[#This Row],[Player]],TableQBCalcPts[PLAYER],0)),"")</f>
        <v>BAL</v>
      </c>
      <c r="D5">
        <f>IFERROR(INDEX(TableQBCalcPts[BYE],MATCH(TableQBRanks30[[#This Row],[Player]],TableQBCalcPts[PLAYER],0)),"")</f>
        <v>13</v>
      </c>
      <c r="E5" s="86">
        <f>VLOOKUP(TableQBRanks30[[#This Row],[Player]],QB!B:O,4,FALSE)</f>
        <v>529.16604000000007</v>
      </c>
      <c r="F5" s="86">
        <f>VLOOKUP(TableQBRanks30[[#This Row],[Player]],QB!B:O,5,FALSE)</f>
        <v>334.43293728000003</v>
      </c>
      <c r="G5" s="86">
        <f>VLOOKUP(TableQBRanks30[[#This Row],[Player]],QB!B:O,6,FALSE)</f>
        <v>3800.6263447656765</v>
      </c>
      <c r="H5" s="86">
        <f>VLOOKUP(TableQBRanks30[[#This Row],[Player]],QB!B:O,7,FALSE)</f>
        <v>25.483789820736003</v>
      </c>
      <c r="I5" s="86">
        <f>VLOOKUP(TableQBRanks30[[#This Row],[Player]],QB!B:O,8,FALSE)</f>
        <v>11.440068825320637</v>
      </c>
      <c r="J5" s="86">
        <f>VLOOKUP(TableQBRanks30[[#This Row],[Player]],QB!B:O,9,FALSE)</f>
        <v>145.56041920000001</v>
      </c>
      <c r="K5" s="86">
        <f>VLOOKUP(TableQBRanks30[[#This Row],[Player]],QB!B:O,10,FALSE)</f>
        <v>802.03790979200005</v>
      </c>
      <c r="L5" s="86">
        <f>VLOOKUP(TableQBRanks30[[#This Row],[Player]],QB!B:O,11,FALSE)</f>
        <v>6.4800678281624418</v>
      </c>
      <c r="M5" s="58">
        <f>IFERROR(INDEX(TableQBCalcPts[Custom],MATCH(TableQBRanks30[[#This Row],[RK]],TableQBCalcPts[RK],0)),"")</f>
        <v>361.60434219642514</v>
      </c>
      <c r="N5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16.412885664211021</v>
      </c>
      <c r="P5">
        <v>4</v>
      </c>
      <c r="Q5" t="str">
        <f>IFERROR(INDEX(TableRBCalcPts[PLAYER],MATCH(TableRBRanks31[[#This Row],[RK]],TableRBCalcPts[RK],0)),"")</f>
        <v>Derrick Henry</v>
      </c>
      <c r="R5" t="str">
        <f>IFERROR(INDEX(TableRBCalcPts[TM],MATCH(TableRBRanks31[[#This Row],[Player]],TableRBCalcPts[PLAYER],0)),"")</f>
        <v>TEN</v>
      </c>
      <c r="S5">
        <f>IFERROR(INDEX(TableRBCalcPts[BYE],MATCH(TableRBRanks31[[#This Row],[Player]],TableRBCalcPts[PLAYER],0)),"")</f>
        <v>7</v>
      </c>
      <c r="T5" s="86">
        <f>VLOOKUP(TableRBRanks31[[#This Row],[Player]],RB!B:O,4,FALSE)</f>
        <v>316.8067413</v>
      </c>
      <c r="U5" s="86">
        <f>VLOOKUP(TableRBRanks31[[#This Row],[Player]],RB!B:O,5,FALSE)</f>
        <v>1387.613526894</v>
      </c>
      <c r="V5" s="86">
        <f>VLOOKUP(TableRBRanks31[[#This Row],[Player]],RB!B:O,6,FALSE)</f>
        <v>12.989076393300001</v>
      </c>
      <c r="W5" s="86">
        <f>VLOOKUP(TableRBRanks31[[#This Row],[Player]],RB!B:O,7,FALSE)</f>
        <v>34.662521599999998</v>
      </c>
      <c r="X5" s="86">
        <f>VLOOKUP(TableRBRanks31[[#This Row],[Player]],RB!B:O,8,FALSE)</f>
        <v>26.655267412287635</v>
      </c>
      <c r="Y5" s="86">
        <f>VLOOKUP(TableRBRanks31[[#This Row],[Player]],RB!B:O,9,FALSE)</f>
        <v>227.98841805430919</v>
      </c>
      <c r="Z5" s="86">
        <f>VLOOKUP(TableRBRanks31[[#This Row],[Player]],RB!B:O,10,FALSE)</f>
        <v>0.8529685571932043</v>
      </c>
      <c r="AA5" s="58">
        <f>IFERROR(INDEX(TableRBCalcPts[Custom],MATCH(TableRBRanks31[[#This Row],[RK]],TableRBCalcPts[RK],0)),"")</f>
        <v>257.94009790393397</v>
      </c>
      <c r="AB5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49.362718335178997</v>
      </c>
      <c r="AD5">
        <v>4</v>
      </c>
      <c r="AE5" t="str">
        <f>IFERROR(INDEX(TableWRCalcPts[PLAYER],MATCH(TableWRRanks32[[#This Row],[RK]],TableWRCalcPts[RK],0)),"")</f>
        <v>Davante Adams</v>
      </c>
      <c r="AF5" t="str">
        <f>IFERROR(INDEX(TableWRCalcPts[TM],MATCH(TableWRRanks32[[#This Row],[Player]],TableWRCalcPts[PLAYER],0)),"")</f>
        <v>LV</v>
      </c>
      <c r="AG5">
        <f>IFERROR(INDEX(TableWRCalcPts[BYE],MATCH(TableWRRanks32[[#This Row],[Player]],TableWRCalcPts[PLAYER],0)),"")</f>
        <v>13</v>
      </c>
      <c r="AH5" s="86">
        <f>VLOOKUP(TableWRRanks32[[#This Row],[Player]],WR!B:O,4,FALSE)</f>
        <v>0</v>
      </c>
      <c r="AI5" s="86">
        <f>VLOOKUP(TableWRRanks32[[#This Row],[Player]],WR!B:O,5,FALSE)</f>
        <v>0</v>
      </c>
      <c r="AJ5" s="86">
        <f>VLOOKUP(TableWRRanks32[[#This Row],[Player]],WR!B:O,6,FALSE)</f>
        <v>155.30123700000001</v>
      </c>
      <c r="AK5" s="86">
        <f>VLOOKUP(TableWRRanks32[[#This Row],[Player]],WR!B:O,7,FALSE)</f>
        <v>97.431002286752246</v>
      </c>
      <c r="AL5" s="86">
        <f>VLOOKUP(TableWRRanks32[[#This Row],[Player]],WR!B:O,8,FALSE)</f>
        <v>1446.8503839582709</v>
      </c>
      <c r="AM5" s="86">
        <f>VLOOKUP(TableWRRanks32[[#This Row],[Player]],WR!B:O,9,FALSE)</f>
        <v>10.230255240108985</v>
      </c>
      <c r="AN5" s="58">
        <f>IFERROR(INDEX(TableWRCalcPts[Custom],MATCH(TableWRRanks32[[#This Row],[RK]],TableWRCalcPts[RK],0)),"")</f>
        <v>254.78207097985711</v>
      </c>
      <c r="AO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42.633781027637966</v>
      </c>
      <c r="AQ5">
        <v>4</v>
      </c>
      <c r="AR5" t="str">
        <f>IFERROR(INDEX(TableTECalcPts[PLAYER],MATCH(TableTERanks33[[#This Row],[RK]],TableTECalcPts[RK],0)),"")</f>
        <v>T.J. Hockenson</v>
      </c>
      <c r="AS5" t="str">
        <f>IFERROR(INDEX(TableTECalcPts[TM],MATCH(TableTERanks33[[#This Row],[Player]],TableTECalcPts[PLAYER],0)),"")</f>
        <v>MIN</v>
      </c>
      <c r="AT5">
        <f>IFERROR(INDEX(TableTECalcPts[BYE],MATCH(TableTERanks33[[#This Row],[Player]],TableTECalcPts[PLAYER],0)),"")</f>
        <v>13</v>
      </c>
      <c r="AU5" s="86">
        <f>VLOOKUP(TableTERanks33[[#This Row],[Player]],TE!B:O,4,FALSE)</f>
        <v>127.96446431999995</v>
      </c>
      <c r="AV5" s="86">
        <f>VLOOKUP(TableTERanks33[[#This Row],[Player]],TE!B:O,5,FALSE)</f>
        <v>88.235084478884062</v>
      </c>
      <c r="AW5" s="86">
        <f>VLOOKUP(TableTERanks33[[#This Row],[Player]],TE!B:O,6,FALSE)</f>
        <v>887.82414826217337</v>
      </c>
      <c r="AX5" s="86">
        <f>VLOOKUP(TableTERanks33[[#This Row],[Player]],TE!B:O,7,FALSE)</f>
        <v>6.7941015048740727</v>
      </c>
      <c r="AY5" s="58">
        <f>IFERROR(INDEX(TableTECalcPts[Custom],MATCH(TableTERanks33[[#This Row],[RK]],TableTECalcPts[RK],0)),"")</f>
        <v>173.66456609490382</v>
      </c>
      <c r="AZ5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20.59034647294941</v>
      </c>
    </row>
    <row r="6" spans="1:52" x14ac:dyDescent="0.2">
      <c r="A6">
        <v>5</v>
      </c>
      <c r="B6" t="str">
        <f>IFERROR(INDEX(TableQBCalcPts[PLAYER],MATCH(TableQBRanks30[[#This Row],[RK]],TableQBCalcPts[RK],0)),"")</f>
        <v>Justin Fields</v>
      </c>
      <c r="C6" t="str">
        <f>IFERROR(INDEX(TableQBCalcPts[TM],MATCH(TableQBRanks30[[#This Row],[Player]],TableQBCalcPts[PLAYER],0)),"")</f>
        <v>CHI</v>
      </c>
      <c r="D6">
        <f>IFERROR(INDEX(TableQBCalcPts[BYE],MATCH(TableQBRanks30[[#This Row],[Player]],TableQBCalcPts[PLAYER],0)),"")</f>
        <v>13</v>
      </c>
      <c r="E6" s="86">
        <f>VLOOKUP(TableQBRanks30[[#This Row],[Player]],QB!B:O,4,FALSE)</f>
        <v>454.26263999999992</v>
      </c>
      <c r="F6" s="86">
        <f>VLOOKUP(TableQBRanks30[[#This Row],[Player]],QB!B:O,5,FALSE)</f>
        <v>283.00562471999996</v>
      </c>
      <c r="G6" s="86">
        <f>VLOOKUP(TableQBRanks30[[#This Row],[Player]],QB!B:O,6,FALSE)</f>
        <v>3298.3833288393953</v>
      </c>
      <c r="H6" s="86">
        <f>VLOOKUP(TableQBRanks30[[#This Row],[Player]],QB!B:O,7,FALSE)</f>
        <v>24.055478101199999</v>
      </c>
      <c r="I6" s="86">
        <f>VLOOKUP(TableQBRanks30[[#This Row],[Player]],QB!B:O,8,FALSE)</f>
        <v>12.452247487679998</v>
      </c>
      <c r="J6" s="86">
        <f>VLOOKUP(TableQBRanks30[[#This Row],[Player]],QB!B:O,9,FALSE)</f>
        <v>143.11168144000001</v>
      </c>
      <c r="K6" s="86">
        <f>VLOOKUP(TableQBRanks30[[#This Row],[Player]],QB!B:O,10,FALSE)</f>
        <v>981.74613467840015</v>
      </c>
      <c r="L6" s="86">
        <f>VLOOKUP(TableQBRanks30[[#This Row],[Player]],QB!B:O,11,FALSE)</f>
        <v>7.1555840720000008</v>
      </c>
      <c r="M6" s="58">
        <f>IFERROR(INDEX(TableQBCalcPts[Custom],MATCH(TableQBRanks30[[#This Row],[RK]],TableQBCalcPts[RK],0)),"")</f>
        <v>356.81311597053582</v>
      </c>
      <c r="N6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15.816170139592867</v>
      </c>
      <c r="P6">
        <v>5</v>
      </c>
      <c r="Q6" t="str">
        <f>IFERROR(INDEX(TableRBCalcPts[PLAYER],MATCH(TableRBRanks31[[#This Row],[RK]],TableRBCalcPts[RK],0)),"")</f>
        <v>Saquon Barkley</v>
      </c>
      <c r="R6" t="str">
        <f>IFERROR(INDEX(TableRBCalcPts[TM],MATCH(TableRBRanks31[[#This Row],[Player]],TableRBCalcPts[PLAYER],0)),"")</f>
        <v>NYG</v>
      </c>
      <c r="S6">
        <f>IFERROR(INDEX(TableRBCalcPts[BYE],MATCH(TableRBRanks31[[#This Row],[Player]],TableRBCalcPts[PLAYER],0)),"")</f>
        <v>13</v>
      </c>
      <c r="T6" s="86">
        <f>VLOOKUP(TableRBRanks31[[#This Row],[Player]],RB!B:O,4,FALSE)</f>
        <v>280.40050178000001</v>
      </c>
      <c r="U6" s="86">
        <f>VLOOKUP(TableRBRanks31[[#This Row],[Player]],RB!B:O,5,FALSE)</f>
        <v>1222.2939505946047</v>
      </c>
      <c r="V6" s="86">
        <f>VLOOKUP(TableRBRanks31[[#This Row],[Player]],RB!B:O,6,FALSE)</f>
        <v>9.7591637255991657</v>
      </c>
      <c r="W6" s="86">
        <f>VLOOKUP(TableRBRanks31[[#This Row],[Player]],RB!B:O,7,FALSE)</f>
        <v>76.224031520000011</v>
      </c>
      <c r="X6" s="86">
        <f>VLOOKUP(TableRBRanks31[[#This Row],[Player]],RB!B:O,8,FALSE)</f>
        <v>55.988812987558781</v>
      </c>
      <c r="Y6" s="86">
        <f>VLOOKUP(TableRBRanks31[[#This Row],[Player]],RB!B:O,9,FALSE)</f>
        <v>379.09228897605504</v>
      </c>
      <c r="Z6" s="86">
        <f>VLOOKUP(TableRBRanks31[[#This Row],[Player]],RB!B:O,10,FALSE)</f>
        <v>1.7916420156018811</v>
      </c>
      <c r="AA6" s="58">
        <f>IFERROR(INDEX(TableRBCalcPts[Custom],MATCH(TableRBRanks31[[#This Row],[RK]],TableRBCalcPts[RK],0)),"")</f>
        <v>257.43786489805166</v>
      </c>
      <c r="AB6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49.179723782334811</v>
      </c>
      <c r="AD6">
        <v>5</v>
      </c>
      <c r="AE6" t="str">
        <f>IFERROR(INDEX(TableWRCalcPts[PLAYER],MATCH(TableWRRanks32[[#This Row],[RK]],TableWRCalcPts[RK],0)),"")</f>
        <v>Ja'Marr Chase</v>
      </c>
      <c r="AF6" t="str">
        <f>IFERROR(INDEX(TableWRCalcPts[TM],MATCH(TableWRRanks32[[#This Row],[Player]],TableWRCalcPts[PLAYER],0)),"")</f>
        <v>CIN</v>
      </c>
      <c r="AG6">
        <f>IFERROR(INDEX(TableWRCalcPts[BYE],MATCH(TableWRRanks32[[#This Row],[Player]],TableWRCalcPts[PLAYER],0)),"")</f>
        <v>7</v>
      </c>
      <c r="AH6" s="86">
        <f>VLOOKUP(TableWRRanks32[[#This Row],[Player]],WR!B:O,4,FALSE)</f>
        <v>0</v>
      </c>
      <c r="AI6" s="86">
        <f>VLOOKUP(TableWRRanks32[[#This Row],[Player]],WR!B:O,5,FALSE)</f>
        <v>0</v>
      </c>
      <c r="AJ6" s="86">
        <f>VLOOKUP(TableWRRanks32[[#This Row],[Player]],WR!B:O,6,FALSE)</f>
        <v>155.08766951999999</v>
      </c>
      <c r="AK6" s="86">
        <f>VLOOKUP(TableWRRanks32[[#This Row],[Player]],WR!B:O,7,FALSE)</f>
        <v>101.13754359443969</v>
      </c>
      <c r="AL6" s="86">
        <f>VLOOKUP(TableWRRanks32[[#This Row],[Player]],WR!B:O,8,FALSE)</f>
        <v>1355.2430841654918</v>
      </c>
      <c r="AM6" s="86">
        <f>VLOOKUP(TableWRRanks32[[#This Row],[Player]],WR!B:O,9,FALSE)</f>
        <v>10.922854708199486</v>
      </c>
      <c r="AN6" s="58">
        <f>IFERROR(INDEX(TableWRCalcPts[Custom],MATCH(TableWRRanks32[[#This Row],[RK]],TableWRCalcPts[RK],0)),"")</f>
        <v>251.63020846296595</v>
      </c>
      <c r="AO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41.554370328672015</v>
      </c>
      <c r="AQ6">
        <v>5</v>
      </c>
      <c r="AR6" t="str">
        <f>IFERROR(INDEX(TableTECalcPts[PLAYER],MATCH(TableTERanks33[[#This Row],[RK]],TableTECalcPts[RK],0)),"")</f>
        <v>George Kittle</v>
      </c>
      <c r="AS6" t="str">
        <f>IFERROR(INDEX(TableTECalcPts[TM],MATCH(TableTERanks33[[#This Row],[Player]],TableTECalcPts[PLAYER],0)),"")</f>
        <v>SF</v>
      </c>
      <c r="AT6">
        <f>IFERROR(INDEX(TableTECalcPts[BYE],MATCH(TableTERanks33[[#This Row],[Player]],TableTECalcPts[PLAYER],0)),"")</f>
        <v>9</v>
      </c>
      <c r="AU6" s="86">
        <f>VLOOKUP(TableTERanks33[[#This Row],[Player]],TE!B:O,4,FALSE)</f>
        <v>93.736919639999996</v>
      </c>
      <c r="AV6" s="86">
        <f>VLOOKUP(TableTERanks33[[#This Row],[Player]],TE!B:O,5,FALSE)</f>
        <v>64.034860232221803</v>
      </c>
      <c r="AW6" s="86">
        <f>VLOOKUP(TableTERanks33[[#This Row],[Player]],TE!B:O,6,FALSE)</f>
        <v>826.04969699566129</v>
      </c>
      <c r="AX6" s="86">
        <f>VLOOKUP(TableTERanks33[[#This Row],[Player]],TE!B:O,7,FALSE)</f>
        <v>7.6841832278666162</v>
      </c>
      <c r="AY6" s="58">
        <f>IFERROR(INDEX(TableTECalcPts[Custom],MATCH(TableTERanks33[[#This Row],[RK]],TableTECalcPts[RK],0)),"")</f>
        <v>160.72749918287673</v>
      </c>
      <c r="AZ6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15.732469075537956</v>
      </c>
    </row>
    <row r="7" spans="1:52" x14ac:dyDescent="0.2">
      <c r="A7">
        <v>6</v>
      </c>
      <c r="B7" t="str">
        <f>IFERROR(INDEX(TableQBCalcPts[PLAYER],MATCH(TableQBRanks30[[#This Row],[RK]],TableQBCalcPts[RK],0)),"")</f>
        <v>Joe Burrow</v>
      </c>
      <c r="C7" t="str">
        <f>IFERROR(INDEX(TableQBCalcPts[TM],MATCH(TableQBRanks30[[#This Row],[Player]],TableQBCalcPts[PLAYER],0)),"")</f>
        <v>CIN</v>
      </c>
      <c r="D7">
        <f>IFERROR(INDEX(TableQBCalcPts[BYE],MATCH(TableQBRanks30[[#This Row],[Player]],TableQBCalcPts[PLAYER],0)),"")</f>
        <v>7</v>
      </c>
      <c r="E7" s="86">
        <f>VLOOKUP(TableQBRanks30[[#This Row],[Player]],QB!B:O,4,FALSE)</f>
        <v>596.58764999999994</v>
      </c>
      <c r="F7" s="86">
        <f>VLOOKUP(TableQBRanks30[[#This Row],[Player]],QB!B:O,5,FALSE)</f>
        <v>407.69404727119201</v>
      </c>
      <c r="G7" s="86">
        <f>VLOOKUP(TableQBRanks30[[#This Row],[Player]],QB!B:O,6,FALSE)</f>
        <v>4588.4764989764508</v>
      </c>
      <c r="H7" s="86">
        <f>VLOOKUP(TableQBRanks30[[#This Row],[Player]],QB!B:O,7,FALSE)</f>
        <v>34.001683542417418</v>
      </c>
      <c r="I7" s="86">
        <f>VLOOKUP(TableQBRanks30[[#This Row],[Player]],QB!B:O,8,FALSE)</f>
        <v>12.65827113916224</v>
      </c>
      <c r="J7" s="86">
        <f>VLOOKUP(TableQBRanks30[[#This Row],[Player]],QB!B:O,9,FALSE)</f>
        <v>59.134983600000012</v>
      </c>
      <c r="K7" s="86">
        <f>VLOOKUP(TableQBRanks30[[#This Row],[Player]],QB!B:O,10,FALSE)</f>
        <v>214.29424620604701</v>
      </c>
      <c r="L7" s="86">
        <f>VLOOKUP(TableQBRanks30[[#This Row],[Player]],QB!B:O,11,FALSE)</f>
        <v>3.5480990160000005</v>
      </c>
      <c r="M7" s="58">
        <f>IFERROR(INDEX(TableQBCalcPts[Custom],MATCH(TableQBRanks30[[#This Row],[RK]],TableQBCalcPts[RK],0)),"")</f>
        <v>349.60554170617019</v>
      </c>
      <c r="N7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14.607735660791997</v>
      </c>
      <c r="P7">
        <v>6</v>
      </c>
      <c r="Q7" t="str">
        <f>IFERROR(INDEX(TableRBCalcPts[PLAYER],MATCH(TableRBRanks31[[#This Row],[RK]],TableRBCalcPts[RK],0)),"")</f>
        <v>Tony Pollard</v>
      </c>
      <c r="R7" t="str">
        <f>IFERROR(INDEX(TableRBCalcPts[TM],MATCH(TableRBRanks31[[#This Row],[Player]],TableRBCalcPts[PLAYER],0)),"")</f>
        <v>DAL</v>
      </c>
      <c r="S7">
        <f>IFERROR(INDEX(TableRBCalcPts[BYE],MATCH(TableRBRanks31[[#This Row],[Player]],TableRBCalcPts[PLAYER],0)),"")</f>
        <v>7</v>
      </c>
      <c r="T7" s="86">
        <f>VLOOKUP(TableRBRanks31[[#This Row],[Player]],RB!B:O,4,FALSE)</f>
        <v>259.92911615999998</v>
      </c>
      <c r="U7" s="86">
        <f>VLOOKUP(TableRBRanks31[[#This Row],[Player]],RB!B:O,5,FALSE)</f>
        <v>1169.6810227199999</v>
      </c>
      <c r="V7" s="86">
        <f>VLOOKUP(TableRBRanks31[[#This Row],[Player]],RB!B:O,6,FALSE)</f>
        <v>11.176951994879998</v>
      </c>
      <c r="W7" s="86">
        <f>VLOOKUP(TableRBRanks31[[#This Row],[Player]],RB!B:O,7,FALSE)</f>
        <v>53.697853440000003</v>
      </c>
      <c r="X7" s="86">
        <f>VLOOKUP(TableRBRanks31[[#This Row],[Player]],RB!B:O,8,FALSE)</f>
        <v>40.876432981688012</v>
      </c>
      <c r="Y7" s="86">
        <f>VLOOKUP(TableRBRanks31[[#This Row],[Player]],RB!B:O,9,FALSE)</f>
        <v>341.31821539709489</v>
      </c>
      <c r="Z7" s="86">
        <f>VLOOKUP(TableRBRanks31[[#This Row],[Player]],RB!B:O,10,FALSE)</f>
        <v>2.6978445767914088</v>
      </c>
      <c r="AA7" s="58">
        <f>IFERROR(INDEX(TableRBCalcPts[Custom],MATCH(TableRBRanks31[[#This Row],[RK]],TableRBCalcPts[RK],0)),"")</f>
        <v>254.78691973258191</v>
      </c>
      <c r="AB7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48.213820467562925</v>
      </c>
      <c r="AD7">
        <v>6</v>
      </c>
      <c r="AE7" t="str">
        <f>IFERROR(INDEX(TableWRCalcPts[PLAYER],MATCH(TableWRRanks32[[#This Row],[RK]],TableWRCalcPts[RK],0)),"")</f>
        <v>Amon-Ra St. Brown</v>
      </c>
      <c r="AF7" t="str">
        <f>IFERROR(INDEX(TableWRCalcPts[TM],MATCH(TableWRRanks32[[#This Row],[Player]],TableWRCalcPts[PLAYER],0)),"")</f>
        <v>DET</v>
      </c>
      <c r="AG7">
        <f>IFERROR(INDEX(TableWRCalcPts[BYE],MATCH(TableWRRanks32[[#This Row],[Player]],TableWRCalcPts[PLAYER],0)),"")</f>
        <v>9</v>
      </c>
      <c r="AH7" s="86">
        <f>VLOOKUP(TableWRRanks32[[#This Row],[Player]],WR!B:O,4,FALSE)</f>
        <v>91.988576189862215</v>
      </c>
      <c r="AI7" s="86">
        <f>VLOOKUP(TableWRRanks32[[#This Row],[Player]],WR!B:O,5,FALSE)</f>
        <v>0.91752920248237113</v>
      </c>
      <c r="AJ7" s="86">
        <f>VLOOKUP(TableWRRanks32[[#This Row],[Player]],WR!B:O,6,FALSE)</f>
        <v>153.50841323999998</v>
      </c>
      <c r="AK7" s="86">
        <f>VLOOKUP(TableWRRanks32[[#This Row],[Player]],WR!B:O,7,FALSE)</f>
        <v>109.44093405896524</v>
      </c>
      <c r="AL7" s="86">
        <f>VLOOKUP(TableWRRanks32[[#This Row],[Player]],WR!B:O,8,FALSE)</f>
        <v>1249.8154669533831</v>
      </c>
      <c r="AM7" s="86">
        <f>VLOOKUP(TableWRRanks32[[#This Row],[Player]],WR!B:O,9,FALSE)</f>
        <v>6.8947788457148098</v>
      </c>
      <c r="AN7" s="58">
        <f>IFERROR(INDEX(TableWRCalcPts[Custom],MATCH(TableWRRanks32[[#This Row],[RK]],TableWRCalcPts[RK],0)),"")</f>
        <v>235.77471963299024</v>
      </c>
      <c r="AO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36.124379588691426</v>
      </c>
      <c r="AQ7">
        <v>6</v>
      </c>
      <c r="AR7" t="str">
        <f>IFERROR(INDEX(TableTECalcPts[PLAYER],MATCH(TableTERanks33[[#This Row],[RK]],TableTECalcPts[RK],0)),"")</f>
        <v>Dallas Goedert</v>
      </c>
      <c r="AS7" t="str">
        <f>IFERROR(INDEX(TableTECalcPts[TM],MATCH(TableTERanks33[[#This Row],[Player]],TableTECalcPts[PLAYER],0)),"")</f>
        <v>PHI</v>
      </c>
      <c r="AT7">
        <f>IFERROR(INDEX(TableTECalcPts[BYE],MATCH(TableTERanks33[[#This Row],[Player]],TableTECalcPts[PLAYER],0)),"")</f>
        <v>10</v>
      </c>
      <c r="AU7" s="86">
        <f>VLOOKUP(TableTERanks33[[#This Row],[Player]],TE!B:O,4,FALSE)</f>
        <v>92.226094799999998</v>
      </c>
      <c r="AV7" s="86">
        <f>VLOOKUP(TableTERanks33[[#This Row],[Player]],TE!B:O,5,FALSE)</f>
        <v>66.556717988062132</v>
      </c>
      <c r="AW7" s="86">
        <f>VLOOKUP(TableTERanks33[[#This Row],[Player]],TE!B:O,6,FALSE)</f>
        <v>805.33628765555181</v>
      </c>
      <c r="AX7" s="86">
        <f>VLOOKUP(TableTERanks33[[#This Row],[Player]],TE!B:O,7,FALSE)</f>
        <v>4.4593001052001631</v>
      </c>
      <c r="AY7" s="58">
        <f>IFERROR(INDEX(TableTECalcPts[Custom],MATCH(TableTERanks33[[#This Row],[RK]],TableTECalcPts[RK],0)),"")</f>
        <v>140.56778839078723</v>
      </c>
      <c r="AZ7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8.1624840038677693</v>
      </c>
    </row>
    <row r="8" spans="1:52" x14ac:dyDescent="0.2">
      <c r="A8">
        <v>7</v>
      </c>
      <c r="B8" t="str">
        <f>IFERROR(INDEX(TableQBCalcPts[PLAYER],MATCH(TableQBRanks30[[#This Row],[RK]],TableQBCalcPts[RK],0)),"")</f>
        <v>Trevor Lawrence</v>
      </c>
      <c r="C8" t="str">
        <f>IFERROR(INDEX(TableQBCalcPts[TM],MATCH(TableQBRanks30[[#This Row],[Player]],TableQBCalcPts[PLAYER],0)),"")</f>
        <v>JAX</v>
      </c>
      <c r="D8">
        <f>IFERROR(INDEX(TableQBCalcPts[BYE],MATCH(TableQBRanks30[[#This Row],[Player]],TableQBCalcPts[PLAYER],0)),"")</f>
        <v>9</v>
      </c>
      <c r="E8" s="86">
        <f>VLOOKUP(TableQBRanks30[[#This Row],[Player]],QB!B:O,4,FALSE)</f>
        <v>624.40289999999993</v>
      </c>
      <c r="F8" s="86">
        <f>VLOOKUP(TableQBRanks30[[#This Row],[Player]],QB!B:O,5,FALSE)</f>
        <v>408.98323722422987</v>
      </c>
      <c r="G8" s="86">
        <f>VLOOKUP(TableQBRanks30[[#This Row],[Player]],QB!B:O,6,FALSE)</f>
        <v>4480.3963671244492</v>
      </c>
      <c r="H8" s="86">
        <f>VLOOKUP(TableQBRanks30[[#This Row],[Player]],QB!B:O,7,FALSE)</f>
        <v>29.896674641091202</v>
      </c>
      <c r="I8" s="86">
        <f>VLOOKUP(TableQBRanks30[[#This Row],[Player]],QB!B:O,8,FALSE)</f>
        <v>12.408233141275876</v>
      </c>
      <c r="J8" s="86">
        <f>VLOOKUP(TableQBRanks30[[#This Row],[Player]],QB!B:O,9,FALSE)</f>
        <v>70.871493000000001</v>
      </c>
      <c r="K8" s="86">
        <f>VLOOKUP(TableQBRanks30[[#This Row],[Player]],QB!B:O,10,FALSE)</f>
        <v>336.16586305667852</v>
      </c>
      <c r="L8" s="86">
        <f>VLOOKUP(TableQBRanks30[[#This Row],[Player]],QB!B:O,11,FALSE)</f>
        <v>3.7631583657528882</v>
      </c>
      <c r="M8" s="58">
        <f>IFERROR(INDEX(TableQBCalcPts[Custom],MATCH(TableQBRanks30[[#This Row],[RK]],TableQBCalcPts[RK],0)),"")</f>
        <v>342.58985660825209</v>
      </c>
      <c r="N8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13.752552921681017</v>
      </c>
      <c r="P8">
        <v>7</v>
      </c>
      <c r="Q8" t="str">
        <f>IFERROR(INDEX(TableRBCalcPts[PLAYER],MATCH(TableRBRanks31[[#This Row],[RK]],TableRBCalcPts[RK],0)),"")</f>
        <v>Bijan Robinson</v>
      </c>
      <c r="R8" t="str">
        <f>IFERROR(INDEX(TableRBCalcPts[TM],MATCH(TableRBRanks31[[#This Row],[Player]],TableRBCalcPts[PLAYER],0)),"")</f>
        <v>ATL</v>
      </c>
      <c r="S8">
        <f>IFERROR(INDEX(TableRBCalcPts[BYE],MATCH(TableRBRanks31[[#This Row],[Player]],TableRBCalcPts[PLAYER],0)),"")</f>
        <v>11</v>
      </c>
      <c r="T8" s="86">
        <f>VLOOKUP(TableRBRanks31[[#This Row],[Player]],RB!B:O,4,FALSE)</f>
        <v>303.70152960000001</v>
      </c>
      <c r="U8" s="86">
        <f>VLOOKUP(TableRBRanks31[[#This Row],[Player]],RB!B:O,5,FALSE)</f>
        <v>1369.693898496</v>
      </c>
      <c r="V8" s="86">
        <f>VLOOKUP(TableRBRanks31[[#This Row],[Player]],RB!B:O,6,FALSE)</f>
        <v>11.337991951933537</v>
      </c>
      <c r="W8" s="86">
        <f>VLOOKUP(TableRBRanks31[[#This Row],[Player]],RB!B:O,7,FALSE)</f>
        <v>40.461926399999989</v>
      </c>
      <c r="X8" s="86">
        <f>VLOOKUP(TableRBRanks31[[#This Row],[Player]],RB!B:O,8,FALSE)</f>
        <v>32.628219304098906</v>
      </c>
      <c r="Y8" s="86">
        <f>VLOOKUP(TableRBRanks31[[#This Row],[Player]],RB!B:O,9,FALSE)</f>
        <v>249.43472973369643</v>
      </c>
      <c r="Z8" s="86">
        <f>VLOOKUP(TableRBRanks31[[#This Row],[Player]],RB!B:O,10,FALSE)</f>
        <v>1.3183118910747034</v>
      </c>
      <c r="AA8" s="58">
        <f>IFERROR(INDEX(TableRBCalcPts[Custom],MATCH(TableRBRanks31[[#This Row],[RK]],TableRBCalcPts[RK],0)),"")</f>
        <v>254.16479553306854</v>
      </c>
      <c r="AB8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47.98714213625037</v>
      </c>
      <c r="AD8">
        <v>7</v>
      </c>
      <c r="AE8" t="str">
        <f>IFERROR(INDEX(TableWRCalcPts[PLAYER],MATCH(TableWRRanks32[[#This Row],[RK]],TableWRCalcPts[RK],0)),"")</f>
        <v>Stefon Diggs</v>
      </c>
      <c r="AF8" t="str">
        <f>IFERROR(INDEX(TableWRCalcPts[TM],MATCH(TableWRRanks32[[#This Row],[Player]],TableWRCalcPts[PLAYER],0)),"")</f>
        <v>BUF</v>
      </c>
      <c r="AG8">
        <f>IFERROR(INDEX(TableWRCalcPts[BYE],MATCH(TableWRRanks32[[#This Row],[Player]],TableWRCalcPts[PLAYER],0)),"")</f>
        <v>13</v>
      </c>
      <c r="AH8" s="86">
        <f>VLOOKUP(TableWRRanks32[[#This Row],[Player]],WR!B:O,4,FALSE)</f>
        <v>0</v>
      </c>
      <c r="AI8" s="86">
        <f>VLOOKUP(TableWRRanks32[[#This Row],[Player]],WR!B:O,5,FALSE)</f>
        <v>0</v>
      </c>
      <c r="AJ8" s="86">
        <f>VLOOKUP(TableWRRanks32[[#This Row],[Player]],WR!B:O,6,FALSE)</f>
        <v>147.52430000000001</v>
      </c>
      <c r="AK8" s="86">
        <f>VLOOKUP(TableWRRanks32[[#This Row],[Player]],WR!B:O,7,FALSE)</f>
        <v>99.755838968248113</v>
      </c>
      <c r="AL8" s="86">
        <f>VLOOKUP(TableWRRanks32[[#This Row],[Player]],WR!B:O,8,FALSE)</f>
        <v>1264.9040381173861</v>
      </c>
      <c r="AM8" s="86">
        <f>VLOOKUP(TableWRRanks32[[#This Row],[Player]],WR!B:O,9,FALSE)</f>
        <v>9.0777813461105783</v>
      </c>
      <c r="AN8" s="58">
        <f>IFERROR(INDEX(TableWRCalcPts[Custom],MATCH(TableWRRanks32[[#This Row],[RK]],TableWRCalcPts[RK],0)),"")</f>
        <v>230.83501137252614</v>
      </c>
      <c r="AO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34.432689701349943</v>
      </c>
      <c r="AQ8">
        <v>7</v>
      </c>
      <c r="AR8" t="str">
        <f>IFERROR(INDEX(TableTECalcPts[PLAYER],MATCH(TableTERanks33[[#This Row],[RK]],TableTECalcPts[RK],0)),"")</f>
        <v>Kyle Pitts</v>
      </c>
      <c r="AS8" t="str">
        <f>IFERROR(INDEX(TableTECalcPts[TM],MATCH(TableTERanks33[[#This Row],[Player]],TableTECalcPts[PLAYER],0)),"")</f>
        <v>ATL</v>
      </c>
      <c r="AT8">
        <f>IFERROR(INDEX(TableTECalcPts[BYE],MATCH(TableTERanks33[[#This Row],[Player]],TableTECalcPts[PLAYER],0)),"")</f>
        <v>11</v>
      </c>
      <c r="AU8" s="86">
        <f>VLOOKUP(TableTERanks33[[#This Row],[Player]],TE!B:O,4,FALSE)</f>
        <v>98.625945599999966</v>
      </c>
      <c r="AV8" s="86">
        <f>VLOOKUP(TableTERanks33[[#This Row],[Player]],TE!B:O,5,FALSE)</f>
        <v>58.500637645071741</v>
      </c>
      <c r="AW8" s="86">
        <f>VLOOKUP(TableTERanks33[[#This Row],[Player]],TE!B:O,6,FALSE)</f>
        <v>801.45873573748281</v>
      </c>
      <c r="AX8" s="86">
        <f>VLOOKUP(TableTERanks33[[#This Row],[Player]],TE!B:O,7,FALSE)</f>
        <v>4.8555529245409543</v>
      </c>
      <c r="AY8" s="58">
        <f>IFERROR(INDEX(TableTECalcPts[Custom],MATCH(TableTERanks33[[#This Row],[RK]],TableTECalcPts[RK],0)),"")</f>
        <v>138.52950994352989</v>
      </c>
      <c r="AZ8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7.3971090648731259</v>
      </c>
    </row>
    <row r="9" spans="1:52" x14ac:dyDescent="0.2">
      <c r="A9">
        <v>8</v>
      </c>
      <c r="B9" t="str">
        <f>IFERROR(INDEX(TableQBCalcPts[PLAYER],MATCH(TableQBRanks30[[#This Row],[RK]],TableQBCalcPts[RK],0)),"")</f>
        <v>Justin Herbert</v>
      </c>
      <c r="C9" t="str">
        <f>IFERROR(INDEX(TableQBCalcPts[TM],MATCH(TableQBRanks30[[#This Row],[Player]],TableQBCalcPts[PLAYER],0)),"")</f>
        <v>LAC</v>
      </c>
      <c r="D9">
        <f>IFERROR(INDEX(TableQBCalcPts[BYE],MATCH(TableQBRanks30[[#This Row],[Player]],TableQBCalcPts[PLAYER],0)),"")</f>
        <v>5</v>
      </c>
      <c r="E9" s="86">
        <f>VLOOKUP(TableQBRanks30[[#This Row],[Player]],QB!B:O,4,FALSE)</f>
        <v>667.03229999999996</v>
      </c>
      <c r="F9" s="86">
        <f>VLOOKUP(TableQBRanks30[[#This Row],[Player]],QB!B:O,5,FALSE)</f>
        <v>445.5775764</v>
      </c>
      <c r="G9" s="86">
        <f>VLOOKUP(TableQBRanks30[[#This Row],[Player]],QB!B:O,6,FALSE)</f>
        <v>4785.5031705359997</v>
      </c>
      <c r="H9" s="86">
        <f>VLOOKUP(TableQBRanks30[[#This Row],[Player]],QB!B:O,7,FALSE)</f>
        <v>32.215258773720002</v>
      </c>
      <c r="I9" s="86">
        <f>VLOOKUP(TableQBRanks30[[#This Row],[Player]],QB!B:O,8,FALSE)</f>
        <v>12.272600328966291</v>
      </c>
      <c r="J9" s="86">
        <f>VLOOKUP(TableQBRanks30[[#This Row],[Player]],QB!B:O,9,FALSE)</f>
        <v>59.850756000000011</v>
      </c>
      <c r="K9" s="86">
        <f>VLOOKUP(TableQBRanks30[[#This Row],[Player]],QB!B:O,10,FALSE)</f>
        <v>226.83436524000004</v>
      </c>
      <c r="L9" s="86">
        <f>VLOOKUP(TableQBRanks30[[#This Row],[Player]],QB!B:O,11,FALSE)</f>
        <v>1.5955992236678396</v>
      </c>
      <c r="M9" s="58">
        <f>IFERROR(INDEX(TableQBCalcPts[Custom],MATCH(TableQBRanks30[[#This Row],[RK]],TableQBCalcPts[RK],0)),"")</f>
        <v>340.26559345336074</v>
      </c>
      <c r="N9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9.2204045523835276</v>
      </c>
      <c r="P9">
        <v>8</v>
      </c>
      <c r="Q9" t="str">
        <f>IFERROR(INDEX(TableRBCalcPts[PLAYER],MATCH(TableRBRanks31[[#This Row],[RK]],TableRBCalcPts[RK],0)),"")</f>
        <v>Josh Jacobs</v>
      </c>
      <c r="R9" t="str">
        <f>IFERROR(INDEX(TableRBCalcPts[TM],MATCH(TableRBRanks31[[#This Row],[Player]],TableRBCalcPts[PLAYER],0)),"")</f>
        <v>LV</v>
      </c>
      <c r="S9">
        <f>IFERROR(INDEX(TableRBCalcPts[BYE],MATCH(TableRBRanks31[[#This Row],[Player]],TableRBCalcPts[PLAYER],0)),"")</f>
        <v>13</v>
      </c>
      <c r="T9" s="86">
        <f>VLOOKUP(TableRBRanks31[[#This Row],[Player]],RB!B:O,4,FALSE)</f>
        <v>260.556422</v>
      </c>
      <c r="U9" s="86">
        <f>VLOOKUP(TableRBRanks31[[#This Row],[Player]],RB!B:O,5,FALSE)</f>
        <v>1156.8705136800002</v>
      </c>
      <c r="V9" s="86">
        <f>VLOOKUP(TableRBRanks31[[#This Row],[Player]],RB!B:O,6,FALSE)</f>
        <v>9.3591640216440837</v>
      </c>
      <c r="W9" s="86">
        <f>VLOOKUP(TableRBRanks31[[#This Row],[Player]],RB!B:O,7,FALSE)</f>
        <v>49.011417000000002</v>
      </c>
      <c r="X9" s="86">
        <f>VLOOKUP(TableRBRanks31[[#This Row],[Player]],RB!B:O,8,FALSE)</f>
        <v>38.390217826885419</v>
      </c>
      <c r="Y9" s="86">
        <f>VLOOKUP(TableRBRanks31[[#This Row],[Player]],RB!B:O,9,FALSE)</f>
        <v>291.76565548432916</v>
      </c>
      <c r="Z9" s="86">
        <f>VLOOKUP(TableRBRanks31[[#This Row],[Player]],RB!B:O,10,FALSE)</f>
        <v>1.3052674061141043</v>
      </c>
      <c r="AA9" s="58">
        <f>IFERROR(INDEX(TableRBCalcPts[Custom],MATCH(TableRBRanks31[[#This Row],[RK]],TableRBCalcPts[RK],0)),"")</f>
        <v>228.04531439642474</v>
      </c>
      <c r="AB9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38.470199372353001</v>
      </c>
      <c r="AD9">
        <v>8</v>
      </c>
      <c r="AE9" t="str">
        <f>IFERROR(INDEX(TableWRCalcPts[PLAYER],MATCH(TableWRRanks32[[#This Row],[RK]],TableWRCalcPts[RK],0)),"")</f>
        <v>CeeDee Lamb</v>
      </c>
      <c r="AF9" t="str">
        <f>IFERROR(INDEX(TableWRCalcPts[TM],MATCH(TableWRRanks32[[#This Row],[Player]],TableWRCalcPts[PLAYER],0)),"")</f>
        <v>DAL</v>
      </c>
      <c r="AG9">
        <f>IFERROR(INDEX(TableWRCalcPts[BYE],MATCH(TableWRRanks32[[#This Row],[Player]],TableWRCalcPts[PLAYER],0)),"")</f>
        <v>7</v>
      </c>
      <c r="AH9" s="86">
        <f>VLOOKUP(TableWRRanks32[[#This Row],[Player]],WR!B:O,4,FALSE)</f>
        <v>68.484851270411014</v>
      </c>
      <c r="AI9" s="86">
        <f>VLOOKUP(TableWRRanks32[[#This Row],[Player]],WR!B:O,5,FALSE)</f>
        <v>0.57146128062020396</v>
      </c>
      <c r="AJ9" s="86">
        <f>VLOOKUP(TableWRRanks32[[#This Row],[Player]],WR!B:O,6,FALSE)</f>
        <v>133.67337984</v>
      </c>
      <c r="AK9" s="86">
        <f>VLOOKUP(TableWRRanks32[[#This Row],[Player]],WR!B:O,7,FALSE)</f>
        <v>91.865365346597017</v>
      </c>
      <c r="AL9" s="86">
        <f>VLOOKUP(TableWRRanks32[[#This Row],[Player]],WR!B:O,8,FALSE)</f>
        <v>1182.3072520107035</v>
      </c>
      <c r="AM9" s="86">
        <f>VLOOKUP(TableWRRanks32[[#This Row],[Player]],WR!B:O,9,FALSE)</f>
        <v>7.1654984970345676</v>
      </c>
      <c r="AN9" s="58">
        <f>IFERROR(INDEX(TableWRCalcPts[Custom],MATCH(TableWRRanks32[[#This Row],[RK]],TableWRCalcPts[RK],0)),"")</f>
        <v>217.43365166733861</v>
      </c>
      <c r="AO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29.84315860062836</v>
      </c>
      <c r="AQ9">
        <v>8</v>
      </c>
      <c r="AR9" t="str">
        <f>IFERROR(INDEX(TableTECalcPts[PLAYER],MATCH(TableTERanks33[[#This Row],[RK]],TableTECalcPts[RK],0)),"")</f>
        <v>Tyler Higbee</v>
      </c>
      <c r="AS9" t="str">
        <f>IFERROR(INDEX(TableTECalcPts[TM],MATCH(TableTERanks33[[#This Row],[Player]],TableTECalcPts[PLAYER],0)),"")</f>
        <v>LAR</v>
      </c>
      <c r="AT9">
        <f>IFERROR(INDEX(TableTECalcPts[BYE],MATCH(TableTERanks33[[#This Row],[Player]],TableTECalcPts[PLAYER],0)),"")</f>
        <v>10</v>
      </c>
      <c r="AU9" s="86">
        <f>VLOOKUP(TableTERanks33[[#This Row],[Player]],TE!B:O,4,FALSE)</f>
        <v>105.02997120000001</v>
      </c>
      <c r="AV9" s="86">
        <f>VLOOKUP(TableTERanks33[[#This Row],[Player]],TE!B:O,5,FALSE)</f>
        <v>71.630440358400008</v>
      </c>
      <c r="AW9" s="86">
        <f>VLOOKUP(TableTERanks33[[#This Row],[Player]],TE!B:O,6,FALSE)</f>
        <v>694.81527147648001</v>
      </c>
      <c r="AX9" s="86">
        <f>VLOOKUP(TableTERanks33[[#This Row],[Player]],TE!B:O,7,FALSE)</f>
        <v>5.5155439075968005</v>
      </c>
      <c r="AY9" s="58">
        <f>IFERROR(INDEX(TableTECalcPts[Custom],MATCH(TableTERanks33[[#This Row],[RK]],TableTECalcPts[RK],0)),"")</f>
        <v>138.39001077242881</v>
      </c>
      <c r="AZ9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7.3447270315376123</v>
      </c>
    </row>
    <row r="10" spans="1:52" x14ac:dyDescent="0.2">
      <c r="A10">
        <v>9</v>
      </c>
      <c r="B10" t="str">
        <f>IFERROR(INDEX(TableQBCalcPts[PLAYER],MATCH(TableQBRanks30[[#This Row],[RK]],TableQBCalcPts[RK],0)),"")</f>
        <v>Deshaun Watson</v>
      </c>
      <c r="C10" t="str">
        <f>IFERROR(INDEX(TableQBCalcPts[TM],MATCH(TableQBRanks30[[#This Row],[Player]],TableQBCalcPts[PLAYER],0)),"")</f>
        <v>CLE</v>
      </c>
      <c r="D10">
        <f>IFERROR(INDEX(TableQBCalcPts[BYE],MATCH(TableQBRanks30[[#This Row],[Player]],TableQBCalcPts[PLAYER],0)),"")</f>
        <v>5</v>
      </c>
      <c r="E10" s="86">
        <f>VLOOKUP(TableQBRanks30[[#This Row],[Player]],QB!B:O,4,FALSE)</f>
        <v>535.9914</v>
      </c>
      <c r="F10" s="86">
        <f>VLOOKUP(TableQBRanks30[[#This Row],[Player]],QB!B:O,5,FALSE)</f>
        <v>350.3998126353959</v>
      </c>
      <c r="G10" s="86">
        <f>VLOOKUP(TableQBRanks30[[#This Row],[Player]],QB!B:O,6,FALSE)</f>
        <v>4064.6378265705926</v>
      </c>
      <c r="H10" s="86">
        <f>VLOOKUP(TableQBRanks30[[#This Row],[Player]],QB!B:O,7,FALSE)</f>
        <v>27.681585198196277</v>
      </c>
      <c r="I10" s="86">
        <f>VLOOKUP(TableQBRanks30[[#This Row],[Player]],QB!B:O,8,FALSE)</f>
        <v>12.868455864832363</v>
      </c>
      <c r="J10" s="86">
        <f>VLOOKUP(TableQBRanks30[[#This Row],[Player]],QB!B:O,9,FALSE)</f>
        <v>95.906033999999991</v>
      </c>
      <c r="K10" s="86">
        <f>VLOOKUP(TableQBRanks30[[#This Row],[Player]],QB!B:O,10,FALSE)</f>
        <v>470.89862693999999</v>
      </c>
      <c r="L10" s="86">
        <f>VLOOKUP(TableQBRanks30[[#This Row],[Player]],QB!B:O,11,FALSE)</f>
        <v>4.699395666</v>
      </c>
      <c r="M10" s="58">
        <f>IFERROR(INDEX(TableQBCalcPts[Custom],MATCH(TableQBRanks30[[#This Row],[RK]],TableQBCalcPts[RK],0)),"")</f>
        <v>335.72963468077643</v>
      </c>
      <c r="N10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7.3595471522134748</v>
      </c>
      <c r="P10">
        <v>9</v>
      </c>
      <c r="Q10" t="str">
        <f>IFERROR(INDEX(TableRBCalcPts[PLAYER],MATCH(TableRBRanks31[[#This Row],[RK]],TableRBCalcPts[RK],0)),"")</f>
        <v>Rhamondre Stevenson</v>
      </c>
      <c r="R10" t="str">
        <f>IFERROR(INDEX(TableRBCalcPts[TM],MATCH(TableRBRanks31[[#This Row],[Player]],TableRBCalcPts[PLAYER],0)),"")</f>
        <v>NE</v>
      </c>
      <c r="S10">
        <f>IFERROR(INDEX(TableRBCalcPts[BYE],MATCH(TableRBRanks31[[#This Row],[Player]],TableRBCalcPts[PLAYER],0)),"")</f>
        <v>11</v>
      </c>
      <c r="T10" s="86">
        <f>VLOOKUP(TableRBRanks31[[#This Row],[Player]],RB!B:O,4,FALSE)</f>
        <v>226.28144924000003</v>
      </c>
      <c r="U10" s="86">
        <f>VLOOKUP(TableRBRanks31[[#This Row],[Player]],RB!B:O,5,FALSE)</f>
        <v>1055.3703652018612</v>
      </c>
      <c r="V10" s="86">
        <f>VLOOKUP(TableRBRanks31[[#This Row],[Player]],RB!B:O,6,FALSE)</f>
        <v>5.430754781760001</v>
      </c>
      <c r="W10" s="86">
        <f>VLOOKUP(TableRBRanks31[[#This Row],[Player]],RB!B:O,7,FALSE)</f>
        <v>72.740298119999977</v>
      </c>
      <c r="X10" s="86">
        <f>VLOOKUP(TableRBRanks31[[#This Row],[Player]],RB!B:O,8,FALSE)</f>
        <v>56.354145229868308</v>
      </c>
      <c r="Y10" s="86">
        <f>VLOOKUP(TableRBRanks31[[#This Row],[Player]],RB!B:O,9,FALSE)</f>
        <v>405.18630420275315</v>
      </c>
      <c r="Z10" s="86">
        <f>VLOOKUP(TableRBRanks31[[#This Row],[Player]],RB!B:O,10,FALSE)</f>
        <v>2.1414575187349958</v>
      </c>
      <c r="AA10" s="58">
        <f>IFERROR(INDEX(TableRBCalcPts[Custom],MATCH(TableRBRanks31[[#This Row],[RK]],TableRBCalcPts[RK],0)),"")</f>
        <v>219.66601335836557</v>
      </c>
      <c r="AB10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35.417101649489062</v>
      </c>
      <c r="AD10">
        <v>9</v>
      </c>
      <c r="AE10" t="str">
        <f>IFERROR(INDEX(TableWRCalcPts[PLAYER],MATCH(TableWRRanks32[[#This Row],[RK]],TableWRCalcPts[RK],0)),"")</f>
        <v>Jaylen Waddle</v>
      </c>
      <c r="AF10" t="str">
        <f>IFERROR(INDEX(TableWRCalcPts[TM],MATCH(TableWRRanks32[[#This Row],[Player]],TableWRCalcPts[PLAYER],0)),"")</f>
        <v>MIA</v>
      </c>
      <c r="AG10">
        <f>IFERROR(INDEX(TableWRCalcPts[BYE],MATCH(TableWRRanks32[[#This Row],[Player]],TableWRCalcPts[PLAYER],0)),"")</f>
        <v>10</v>
      </c>
      <c r="AH10" s="86">
        <f>VLOOKUP(TableWRRanks32[[#This Row],[Player]],WR!B:O,4,FALSE)</f>
        <v>23.815669442314594</v>
      </c>
      <c r="AI10" s="86">
        <f>VLOOKUP(TableWRRanks32[[#This Row],[Player]],WR!B:O,5,FALSE)</f>
        <v>0.37977990960000002</v>
      </c>
      <c r="AJ10" s="86">
        <f>VLOOKUP(TableWRRanks32[[#This Row],[Player]],WR!B:O,6,FALSE)</f>
        <v>133.68713904000003</v>
      </c>
      <c r="AK10" s="86">
        <f>VLOOKUP(TableWRRanks32[[#This Row],[Player]],WR!B:O,7,FALSE)</f>
        <v>88.768260322560025</v>
      </c>
      <c r="AL10" s="86">
        <f>VLOOKUP(TableWRRanks32[[#This Row],[Player]],WR!B:O,8,FALSE)</f>
        <v>1207.2483403868164</v>
      </c>
      <c r="AM10" s="86">
        <f>VLOOKUP(TableWRRanks32[[#This Row],[Player]],WR!B:O,9,FALSE)</f>
        <v>7.3677656067724824</v>
      </c>
      <c r="AN10" s="58">
        <f>IFERROR(INDEX(TableWRCalcPts[Custom],MATCH(TableWRRanks32[[#This Row],[RK]],TableWRCalcPts[RK],0)),"")</f>
        <v>213.97580424242801</v>
      </c>
      <c r="AO1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28.658957993578451</v>
      </c>
      <c r="AQ10">
        <v>9</v>
      </c>
      <c r="AR10" t="str">
        <f>IFERROR(INDEX(TableTECalcPts[PLAYER],MATCH(TableTERanks33[[#This Row],[RK]],TableTECalcPts[RK],0)),"")</f>
        <v>David Njoku</v>
      </c>
      <c r="AS10" t="str">
        <f>IFERROR(INDEX(TableTECalcPts[TM],MATCH(TableTERanks33[[#This Row],[Player]],TableTECalcPts[PLAYER],0)),"")</f>
        <v>CLE</v>
      </c>
      <c r="AT10">
        <f>IFERROR(INDEX(TableTECalcPts[BYE],MATCH(TableTERanks33[[#This Row],[Player]],TableTECalcPts[PLAYER],0)),"")</f>
        <v>5</v>
      </c>
      <c r="AU10" s="86">
        <f>VLOOKUP(TableTERanks33[[#This Row],[Player]],TE!B:O,4,FALSE)</f>
        <v>88.438580999999999</v>
      </c>
      <c r="AV10" s="86">
        <f>VLOOKUP(TableTERanks33[[#This Row],[Player]],TE!B:O,5,FALSE)</f>
        <v>62.079510416968382</v>
      </c>
      <c r="AW10" s="86">
        <f>VLOOKUP(TableTERanks33[[#This Row],[Player]],TE!B:O,6,FALSE)</f>
        <v>682.80338389024371</v>
      </c>
      <c r="AX10" s="86">
        <f>VLOOKUP(TableTERanks33[[#This Row],[Player]],TE!B:O,7,FALSE)</f>
        <v>5.5871559375271538</v>
      </c>
      <c r="AY10" s="58">
        <f>IFERROR(INDEX(TableTECalcPts[Custom],MATCH(TableTERanks33[[#This Row],[RK]],TableTECalcPts[RK],0)),"")</f>
        <v>132.8430292226715</v>
      </c>
      <c r="AZ10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5.2618316984870264</v>
      </c>
    </row>
    <row r="11" spans="1:52" x14ac:dyDescent="0.2">
      <c r="A11">
        <v>10</v>
      </c>
      <c r="B11" t="str">
        <f>IFERROR(INDEX(TableQBCalcPts[PLAYER],MATCH(TableQBRanks30[[#This Row],[RK]],TableQBCalcPts[RK],0)),"")</f>
        <v>Anthony Richardson</v>
      </c>
      <c r="C11" t="str">
        <f>IFERROR(INDEX(TableQBCalcPts[TM],MATCH(TableQBRanks30[[#This Row],[Player]],TableQBCalcPts[PLAYER],0)),"")</f>
        <v>IND</v>
      </c>
      <c r="D11">
        <f>IFERROR(INDEX(TableQBCalcPts[BYE],MATCH(TableQBRanks30[[#This Row],[Player]],TableQBCalcPts[PLAYER],0)),"")</f>
        <v>11</v>
      </c>
      <c r="E11" s="86">
        <f>VLOOKUP(TableQBRanks30[[#This Row],[Player]],QB!B:O,4,FALSE)</f>
        <v>518.21550000000002</v>
      </c>
      <c r="F11" s="86">
        <f>VLOOKUP(TableQBRanks30[[#This Row],[Player]],QB!B:O,5,FALSE)</f>
        <v>312.4839465</v>
      </c>
      <c r="G11" s="86">
        <f>VLOOKUP(TableQBRanks30[[#This Row],[Player]],QB!B:O,6,FALSE)</f>
        <v>3506.0698797300001</v>
      </c>
      <c r="H11" s="86">
        <f>VLOOKUP(TableQBRanks30[[#This Row],[Player]],QB!B:O,7,FALSE)</f>
        <v>19.498998261600001</v>
      </c>
      <c r="I11" s="86">
        <f>VLOOKUP(TableQBRanks30[[#This Row],[Player]],QB!B:O,8,FALSE)</f>
        <v>15.157748978709568</v>
      </c>
      <c r="J11" s="86">
        <f>VLOOKUP(TableQBRanks30[[#This Row],[Player]],QB!B:O,9,FALSE)</f>
        <v>121.4009104</v>
      </c>
      <c r="K11" s="86">
        <f>VLOOKUP(TableQBRanks30[[#This Row],[Player]],QB!B:O,10,FALSE)</f>
        <v>718.69338956800004</v>
      </c>
      <c r="L11" s="86">
        <f>VLOOKUP(TableQBRanks30[[#This Row],[Player]],QB!B:O,11,FALSE)</f>
        <v>7.0412528032000008</v>
      </c>
      <c r="M11" s="58">
        <f>IFERROR(INDEX(TableQBCalcPts[Custom],MATCH(TableQBRanks30[[#This Row],[RK]],TableQBCalcPts[RK],0)),"")</f>
        <v>317.19789503289041</v>
      </c>
      <c r="N11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5.2274953845680132</v>
      </c>
      <c r="P11">
        <v>10</v>
      </c>
      <c r="Q11" t="str">
        <f>IFERROR(INDEX(TableRBCalcPts[PLAYER],MATCH(TableRBRanks31[[#This Row],[RK]],TableRBCalcPts[RK],0)),"")</f>
        <v>Joe Mixon</v>
      </c>
      <c r="R11" t="str">
        <f>IFERROR(INDEX(TableRBCalcPts[TM],MATCH(TableRBRanks31[[#This Row],[Player]],TableRBCalcPts[PLAYER],0)),"")</f>
        <v>CIN</v>
      </c>
      <c r="S11">
        <f>IFERROR(INDEX(TableRBCalcPts[BYE],MATCH(TableRBRanks31[[#This Row],[Player]],TableRBCalcPts[PLAYER],0)),"")</f>
        <v>7</v>
      </c>
      <c r="T11" s="86">
        <f>VLOOKUP(TableRBRanks31[[#This Row],[Player]],RB!B:O,4,FALSE)</f>
        <v>250.90128756000001</v>
      </c>
      <c r="U11" s="86">
        <f>VLOOKUP(TableRBRanks31[[#This Row],[Player]],RB!B:O,5,FALSE)</f>
        <v>1028.6952789960001</v>
      </c>
      <c r="V11" s="86">
        <f>VLOOKUP(TableRBRanks31[[#This Row],[Player]],RB!B:O,6,FALSE)</f>
        <v>9.7851502148399998</v>
      </c>
      <c r="W11" s="86">
        <f>VLOOKUP(TableRBRanks31[[#This Row],[Player]],RB!B:O,7,FALSE)</f>
        <v>49.234180799999997</v>
      </c>
      <c r="X11" s="86">
        <f>VLOOKUP(TableRBRanks31[[#This Row],[Player]],RB!B:O,8,FALSE)</f>
        <v>39.402501507583622</v>
      </c>
      <c r="Y11" s="86">
        <f>VLOOKUP(TableRBRanks31[[#This Row],[Player]],RB!B:O,9,FALSE)</f>
        <v>280.58303736916434</v>
      </c>
      <c r="Z11" s="86">
        <f>VLOOKUP(TableRBRanks31[[#This Row],[Player]],RB!B:O,10,FALSE)</f>
        <v>1.5761000603033448</v>
      </c>
      <c r="AA11" s="58">
        <f>IFERROR(INDEX(TableRBCalcPts[Custom],MATCH(TableRBRanks31[[#This Row],[RK]],TableRBCalcPts[RK],0)),"")</f>
        <v>218.79658404116833</v>
      </c>
      <c r="AB11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35.100314765180997</v>
      </c>
      <c r="AD11">
        <v>10</v>
      </c>
      <c r="AE11" t="str">
        <f>IFERROR(INDEX(TableWRCalcPts[PLAYER],MATCH(TableWRRanks32[[#This Row],[RK]],TableWRCalcPts[RK],0)),"")</f>
        <v>Garrett Wilson</v>
      </c>
      <c r="AF11" t="str">
        <f>IFERROR(INDEX(TableWRCalcPts[TM],MATCH(TableWRRanks32[[#This Row],[Player]],TableWRCalcPts[PLAYER],0)),"")</f>
        <v>NYJ</v>
      </c>
      <c r="AG11">
        <f>IFERROR(INDEX(TableWRCalcPts[BYE],MATCH(TableWRRanks32[[#This Row],[Player]],TableWRCalcPts[PLAYER],0)),"")</f>
        <v>7</v>
      </c>
      <c r="AH11" s="86">
        <f>VLOOKUP(TableWRRanks32[[#This Row],[Player]],WR!B:O,4,FALSE)</f>
        <v>43.031130913705582</v>
      </c>
      <c r="AI11" s="86">
        <f>VLOOKUP(TableWRRanks32[[#This Row],[Player]],WR!B:O,5,FALSE)</f>
        <v>0.44957897969543154</v>
      </c>
      <c r="AJ11" s="86">
        <f>VLOOKUP(TableWRRanks32[[#This Row],[Player]],WR!B:O,6,FALSE)</f>
        <v>130.79266199999998</v>
      </c>
      <c r="AK11" s="86">
        <f>VLOOKUP(TableWRRanks32[[#This Row],[Player]],WR!B:O,7,FALSE)</f>
        <v>82.288203060966879</v>
      </c>
      <c r="AL11" s="86">
        <f>VLOOKUP(TableWRRanks32[[#This Row],[Player]],WR!B:O,8,FALSE)</f>
        <v>1111.8057029179306</v>
      </c>
      <c r="AM11" s="86">
        <f>VLOOKUP(TableWRRanks32[[#This Row],[Player]],WR!B:O,9,FALSE)</f>
        <v>8.0642438999747537</v>
      </c>
      <c r="AN11" s="58">
        <f>IFERROR(INDEX(TableWRCalcPts[Custom],MATCH(TableWRRanks32[[#This Row],[RK]],TableWRCalcPts[RK],0)),"")</f>
        <v>207.71072219166814</v>
      </c>
      <c r="AO1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26.513370564162262</v>
      </c>
      <c r="AQ11">
        <v>10</v>
      </c>
      <c r="AR11" t="str">
        <f>IFERROR(INDEX(TableTECalcPts[PLAYER],MATCH(TableTERanks33[[#This Row],[RK]],TableTECalcPts[RK],0)),"")</f>
        <v>Evan Engram</v>
      </c>
      <c r="AS11" t="str">
        <f>IFERROR(INDEX(TableTECalcPts[TM],MATCH(TableTERanks33[[#This Row],[Player]],TableTECalcPts[PLAYER],0)),"")</f>
        <v>JAX</v>
      </c>
      <c r="AT11">
        <f>IFERROR(INDEX(TableTECalcPts[BYE],MATCH(TableTERanks33[[#This Row],[Player]],TableTECalcPts[PLAYER],0)),"")</f>
        <v>9</v>
      </c>
      <c r="AU11" s="86">
        <f>VLOOKUP(TableTERanks33[[#This Row],[Player]],TE!B:O,4,FALSE)</f>
        <v>96.422944799999982</v>
      </c>
      <c r="AV11" s="86">
        <f>VLOOKUP(TableTERanks33[[#This Row],[Player]],TE!B:O,5,FALSE)</f>
        <v>66.462875643477659</v>
      </c>
      <c r="AW11" s="86">
        <f>VLOOKUP(TableTERanks33[[#This Row],[Player]],TE!B:O,6,FALSE)</f>
        <v>709.67573884925434</v>
      </c>
      <c r="AX11" s="86">
        <f>VLOOKUP(TableTERanks33[[#This Row],[Player]],TE!B:O,7,FALSE)</f>
        <v>4.6524012950434361</v>
      </c>
      <c r="AY11" s="58">
        <f>IFERROR(INDEX(TableTECalcPts[Custom],MATCH(TableTERanks33[[#This Row],[RK]],TableTECalcPts[RK],0)),"")</f>
        <v>132.11341947692489</v>
      </c>
      <c r="AZ11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4.9878627442491421</v>
      </c>
    </row>
    <row r="12" spans="1:52" x14ac:dyDescent="0.2">
      <c r="A12">
        <v>11</v>
      </c>
      <c r="B12" t="str">
        <f>IFERROR(INDEX(TableQBCalcPts[PLAYER],MATCH(TableQBRanks30[[#This Row],[RK]],TableQBCalcPts[RK],0)),"")</f>
        <v>Tua Tagovailoa</v>
      </c>
      <c r="C12" t="str">
        <f>IFERROR(INDEX(TableQBCalcPts[TM],MATCH(TableQBRanks30[[#This Row],[Player]],TableQBCalcPts[PLAYER],0)),"")</f>
        <v>MIA</v>
      </c>
      <c r="D12">
        <f>IFERROR(INDEX(TableQBCalcPts[BYE],MATCH(TableQBRanks30[[#This Row],[Player]],TableQBCalcPts[PLAYER],0)),"")</f>
        <v>10</v>
      </c>
      <c r="E12" s="86">
        <f>VLOOKUP(TableQBRanks30[[#This Row],[Player]],QB!B:O,4,FALSE)</f>
        <v>596.04948000000002</v>
      </c>
      <c r="F12" s="86">
        <f>VLOOKUP(TableQBRanks30[[#This Row],[Player]],QB!B:O,5,FALSE)</f>
        <v>395.77685472000002</v>
      </c>
      <c r="G12" s="86">
        <f>VLOOKUP(TableQBRanks30[[#This Row],[Player]],QB!B:O,6,FALSE)</f>
        <v>4527.6872179968004</v>
      </c>
      <c r="H12" s="86">
        <f>VLOOKUP(TableQBRanks30[[#This Row],[Player]],QB!B:O,7,FALSE)</f>
        <v>30.751861611744005</v>
      </c>
      <c r="I12" s="86">
        <f>VLOOKUP(TableQBRanks30[[#This Row],[Player]],QB!B:O,8,FALSE)</f>
        <v>13.338919533595861</v>
      </c>
      <c r="J12" s="86">
        <f>VLOOKUP(TableQBRanks30[[#This Row],[Player]],QB!B:O,9,FALSE)</f>
        <v>44.242401840000007</v>
      </c>
      <c r="K12" s="86">
        <f>VLOOKUP(TableQBRanks30[[#This Row],[Player]],QB!B:O,10,FALSE)</f>
        <v>139.01369284484511</v>
      </c>
      <c r="L12" s="86">
        <f>VLOOKUP(TableQBRanks30[[#This Row],[Player]],QB!B:O,11,FALSE)</f>
        <v>1.5714405338178845</v>
      </c>
      <c r="M12" s="58">
        <f>IFERROR(INDEX(TableQBCalcPts[Custom],MATCH(TableQBRanks30[[#This Row],[RK]],TableQBCalcPts[RK],0)),"")</f>
        <v>314.106028120644</v>
      </c>
      <c r="N12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4.8372348258666884</v>
      </c>
      <c r="P12">
        <v>11</v>
      </c>
      <c r="Q12" t="str">
        <f>IFERROR(INDEX(TableRBCalcPts[PLAYER],MATCH(TableRBRanks31[[#This Row],[RK]],TableRBCalcPts[RK],0)),"")</f>
        <v>Jahmyr Gibbs</v>
      </c>
      <c r="R12" t="str">
        <f>IFERROR(INDEX(TableRBCalcPts[TM],MATCH(TableRBRanks31[[#This Row],[Player]],TableRBCalcPts[PLAYER],0)),"")</f>
        <v>DET</v>
      </c>
      <c r="S12">
        <f>IFERROR(INDEX(TableRBCalcPts[BYE],MATCH(TableRBRanks31[[#This Row],[Player]],TableRBCalcPts[PLAYER],0)),"")</f>
        <v>9</v>
      </c>
      <c r="T12" s="86">
        <f>VLOOKUP(TableRBRanks31[[#This Row],[Player]],RB!B:O,4,FALSE)</f>
        <v>197.21886912000002</v>
      </c>
      <c r="U12" s="86">
        <f>VLOOKUP(TableRBRanks31[[#This Row],[Player]],RB!B:O,5,FALSE)</f>
        <v>899.31804318720003</v>
      </c>
      <c r="V12" s="86">
        <f>VLOOKUP(TableRBRanks31[[#This Row],[Player]],RB!B:O,6,FALSE)</f>
        <v>7.0998792883200004</v>
      </c>
      <c r="W12" s="86">
        <f>VLOOKUP(TableRBRanks31[[#This Row],[Player]],RB!B:O,7,FALSE)</f>
        <v>74.107509839999977</v>
      </c>
      <c r="X12" s="86">
        <f>VLOOKUP(TableRBRanks31[[#This Row],[Player]],RB!B:O,8,FALSE)</f>
        <v>54.188982044519221</v>
      </c>
      <c r="Y12" s="86">
        <f>VLOOKUP(TableRBRanks31[[#This Row],[Player]],RB!B:O,9,FALSE)</f>
        <v>435.33972414884522</v>
      </c>
      <c r="Z12" s="86">
        <f>VLOOKUP(TableRBRanks31[[#This Row],[Player]],RB!B:O,10,FALSE)</f>
        <v>2.5468821560924035</v>
      </c>
      <c r="AA12" s="58">
        <f>IFERROR(INDEX(TableRBCalcPts[Custom],MATCH(TableRBRanks31[[#This Row],[RK]],TableRBCalcPts[RK],0)),"")</f>
        <v>218.44083642233855</v>
      </c>
      <c r="AB12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34.970693900620795</v>
      </c>
      <c r="AD12">
        <v>11</v>
      </c>
      <c r="AE12" t="str">
        <f>IFERROR(INDEX(TableWRCalcPts[PLAYER],MATCH(TableWRRanks32[[#This Row],[RK]],TableWRCalcPts[RK],0)),"")</f>
        <v>A.J. Brown</v>
      </c>
      <c r="AF12" t="str">
        <f>IFERROR(INDEX(TableWRCalcPts[TM],MATCH(TableWRRanks32[[#This Row],[Player]],TableWRCalcPts[PLAYER],0)),"")</f>
        <v>PHI</v>
      </c>
      <c r="AG12">
        <f>IFERROR(INDEX(TableWRCalcPts[BYE],MATCH(TableWRRanks32[[#This Row],[Player]],TableWRCalcPts[PLAYER],0)),"")</f>
        <v>10</v>
      </c>
      <c r="AH12" s="86">
        <f>VLOOKUP(TableWRRanks32[[#This Row],[Player]],WR!B:O,4,FALSE)</f>
        <v>0</v>
      </c>
      <c r="AI12" s="86">
        <f>VLOOKUP(TableWRRanks32[[#This Row],[Player]],WR!B:O,5,FALSE)</f>
        <v>0</v>
      </c>
      <c r="AJ12" s="86">
        <f>VLOOKUP(TableWRRanks32[[#This Row],[Player]],WR!B:O,6,FALSE)</f>
        <v>124.77648120000001</v>
      </c>
      <c r="AK12" s="86">
        <f>VLOOKUP(TableWRRanks32[[#This Row],[Player]],WR!B:O,7,FALSE)</f>
        <v>76.485837068931659</v>
      </c>
      <c r="AL12" s="86">
        <f>VLOOKUP(TableWRRanks32[[#This Row],[Player]],WR!B:O,8,FALSE)</f>
        <v>1223.7733931029065</v>
      </c>
      <c r="AM12" s="86">
        <f>VLOOKUP(TableWRRanks32[[#This Row],[Player]],WR!B:O,9,FALSE)</f>
        <v>7.6485837068931666</v>
      </c>
      <c r="AN12" s="58">
        <f>IFERROR(INDEX(TableWRCalcPts[Custom],MATCH(TableWRRanks32[[#This Row],[RK]],TableWRCalcPts[RK],0)),"")</f>
        <v>206.51176008611552</v>
      </c>
      <c r="AO1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26.102764924654629</v>
      </c>
      <c r="AQ12">
        <v>11</v>
      </c>
      <c r="AR12" t="str">
        <f>IFERROR(INDEX(TableTECalcPts[PLAYER],MATCH(TableTERanks33[[#This Row],[RK]],TableTECalcPts[RK],0)),"")</f>
        <v>Pat Freiermuth</v>
      </c>
      <c r="AS12" t="str">
        <f>IFERROR(INDEX(TableTECalcPts[TM],MATCH(TableTERanks33[[#This Row],[Player]],TableTECalcPts[PLAYER],0)),"")</f>
        <v>PIT</v>
      </c>
      <c r="AT12">
        <f>IFERROR(INDEX(TableTECalcPts[BYE],MATCH(TableTERanks33[[#This Row],[Player]],TableTECalcPts[PLAYER],0)),"")</f>
        <v>6</v>
      </c>
      <c r="AU12" s="86">
        <f>VLOOKUP(TableTERanks33[[#This Row],[Player]],TE!B:O,4,FALSE)</f>
        <v>90.615077700000001</v>
      </c>
      <c r="AV12" s="86">
        <f>VLOOKUP(TableTERanks33[[#This Row],[Player]],TE!B:O,5,FALSE)</f>
        <v>61.708867913700004</v>
      </c>
      <c r="AW12" s="86">
        <f>VLOOKUP(TableTERanks33[[#This Row],[Player]],TE!B:O,6,FALSE)</f>
        <v>660.28488667658996</v>
      </c>
      <c r="AX12" s="86">
        <f>VLOOKUP(TableTERanks33[[#This Row],[Player]],TE!B:O,7,FALSE)</f>
        <v>4.0727852823042001</v>
      </c>
      <c r="AY12" s="58">
        <f>IFERROR(INDEX(TableTECalcPts[Custom],MATCH(TableTERanks33[[#This Row],[RK]],TableTECalcPts[RK],0)),"")</f>
        <v>121.31963431833421</v>
      </c>
      <c r="AZ12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0.93478909849979397</v>
      </c>
    </row>
    <row r="13" spans="1:52" x14ac:dyDescent="0.2">
      <c r="A13">
        <v>12</v>
      </c>
      <c r="B13" t="str">
        <f>IFERROR(INDEX(TableQBCalcPts[PLAYER],MATCH(TableQBRanks30[[#This Row],[RK]],TableQBCalcPts[RK],0)),"")</f>
        <v>Daniel Jones</v>
      </c>
      <c r="C13" t="str">
        <f>IFERROR(INDEX(TableQBCalcPts[TM],MATCH(TableQBRanks30[[#This Row],[Player]],TableQBCalcPts[PLAYER],0)),"")</f>
        <v>NYG</v>
      </c>
      <c r="D13">
        <f>IFERROR(INDEX(TableQBCalcPts[BYE],MATCH(TableQBRanks30[[#This Row],[Player]],TableQBCalcPts[PLAYER],0)),"")</f>
        <v>13</v>
      </c>
      <c r="E13" s="86">
        <f>VLOOKUP(TableQBRanks30[[#This Row],[Player]],QB!B:O,4,FALSE)</f>
        <v>526.15628000000004</v>
      </c>
      <c r="F13" s="86">
        <f>VLOOKUP(TableQBRanks30[[#This Row],[Player]],QB!B:O,5,FALSE)</f>
        <v>351.47239504000004</v>
      </c>
      <c r="G13" s="86">
        <f>VLOOKUP(TableQBRanks30[[#This Row],[Player]],QB!B:O,6,FALSE)</f>
        <v>3711.5484916224004</v>
      </c>
      <c r="H13" s="86">
        <f>VLOOKUP(TableQBRanks30[[#This Row],[Player]],QB!B:O,7,FALSE)</f>
        <v>20.877460265376001</v>
      </c>
      <c r="I13" s="86">
        <f>VLOOKUP(TableQBRanks30[[#This Row],[Player]],QB!B:O,8,FALSE)</f>
        <v>9.3890380988590607</v>
      </c>
      <c r="J13" s="86">
        <f>VLOOKUP(TableQBRanks30[[#This Row],[Player]],QB!B:O,9,FALSE)</f>
        <v>101.65132025999999</v>
      </c>
      <c r="K13" s="86">
        <f>VLOOKUP(TableQBRanks30[[#This Row],[Player]],QB!B:O,10,FALSE)</f>
        <v>576.21100381432632</v>
      </c>
      <c r="L13" s="86">
        <f>VLOOKUP(TableQBRanks30[[#This Row],[Player]],QB!B:O,11,FALSE)</f>
        <v>5.5908226142999995</v>
      </c>
      <c r="M13" s="58">
        <f>IFERROR(INDEX(TableQBCalcPts[Custom],MATCH(TableQBRanks30[[#This Row],[RK]],TableQBCalcPts[RK],0)),"")</f>
        <v>313.74877869477359</v>
      </c>
      <c r="N13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4.7382266370280046</v>
      </c>
      <c r="P13">
        <v>12</v>
      </c>
      <c r="Q13" t="str">
        <f>IFERROR(INDEX(TableRBCalcPts[PLAYER],MATCH(TableRBRanks31[[#This Row],[RK]],TableRBCalcPts[RK],0)),"")</f>
        <v>Dameon Pierce</v>
      </c>
      <c r="R13" t="str">
        <f>IFERROR(INDEX(TableRBCalcPts[TM],MATCH(TableRBRanks31[[#This Row],[Player]],TableRBCalcPts[PLAYER],0)),"")</f>
        <v>HOU</v>
      </c>
      <c r="S13">
        <f>IFERROR(INDEX(TableRBCalcPts[BYE],MATCH(TableRBRanks31[[#This Row],[Player]],TableRBCalcPts[PLAYER],0)),"")</f>
        <v>7</v>
      </c>
      <c r="T13" s="86">
        <f>VLOOKUP(TableRBRanks31[[#This Row],[Player]],RB!B:O,4,FALSE)</f>
        <v>272.64793247999995</v>
      </c>
      <c r="U13" s="86">
        <f>VLOOKUP(TableRBRanks31[[#This Row],[Player]],RB!B:O,5,FALSE)</f>
        <v>1160.5043291467803</v>
      </c>
      <c r="V13" s="86">
        <f>VLOOKUP(TableRBRanks31[[#This Row],[Player]],RB!B:O,6,FALSE)</f>
        <v>8.179437974399999</v>
      </c>
      <c r="W13" s="86">
        <f>VLOOKUP(TableRBRanks31[[#This Row],[Player]],RB!B:O,7,FALSE)</f>
        <v>49.016315039999995</v>
      </c>
      <c r="X13" s="86">
        <f>VLOOKUP(TableRBRanks31[[#This Row],[Player]],RB!B:O,8,FALSE)</f>
        <v>36.690119766097098</v>
      </c>
      <c r="Y13" s="86">
        <f>VLOOKUP(TableRBRanks31[[#This Row],[Player]],RB!B:O,9,FALSE)</f>
        <v>271.13998507145755</v>
      </c>
      <c r="Z13" s="86">
        <f>VLOOKUP(TableRBRanks31[[#This Row],[Player]],RB!B:O,10,FALSE)</f>
        <v>1.2474640720473014</v>
      </c>
      <c r="AA13" s="58">
        <f>IFERROR(INDEX(TableRBCalcPts[Custom],MATCH(TableRBRanks31[[#This Row],[RK]],TableRBCalcPts[RK],0)),"")</f>
        <v>218.07090358355615</v>
      </c>
      <c r="AB13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34.835904482915282</v>
      </c>
      <c r="AD13">
        <v>12</v>
      </c>
      <c r="AE13" t="str">
        <f>IFERROR(INDEX(TableWRCalcPts[PLAYER],MATCH(TableWRRanks32[[#This Row],[RK]],TableWRCalcPts[RK],0)),"")</f>
        <v>Tee Higgins</v>
      </c>
      <c r="AF13" t="str">
        <f>IFERROR(INDEX(TableWRCalcPts[TM],MATCH(TableWRRanks32[[#This Row],[Player]],TableWRCalcPts[PLAYER],0)),"")</f>
        <v>CIN</v>
      </c>
      <c r="AG13">
        <f>IFERROR(INDEX(TableWRCalcPts[BYE],MATCH(TableWRRanks32[[#This Row],[Player]],TableWRCalcPts[PLAYER],0)),"")</f>
        <v>7</v>
      </c>
      <c r="AH13" s="86">
        <f>VLOOKUP(TableWRRanks32[[#This Row],[Player]],WR!B:O,4,FALSE)</f>
        <v>0</v>
      </c>
      <c r="AI13" s="86">
        <f>VLOOKUP(TableWRRanks32[[#This Row],[Player]],WR!B:O,5,FALSE)</f>
        <v>0</v>
      </c>
      <c r="AJ13" s="86">
        <f>VLOOKUP(TableWRRanks32[[#This Row],[Player]],WR!B:O,6,FALSE)</f>
        <v>126.1625883</v>
      </c>
      <c r="AK13" s="86">
        <f>VLOOKUP(TableWRRanks32[[#This Row],[Player]],WR!B:O,7,FALSE)</f>
        <v>83.121709677132088</v>
      </c>
      <c r="AL13" s="86">
        <f>VLOOKUP(TableWRRanks32[[#This Row],[Player]],WR!B:O,8,FALSE)</f>
        <v>1136.2737712863957</v>
      </c>
      <c r="AM13" s="86">
        <f>VLOOKUP(TableWRRanks32[[#This Row],[Player]],WR!B:O,9,FALSE)</f>
        <v>8.4784143870674722</v>
      </c>
      <c r="AN13" s="58">
        <f>IFERROR(INDEX(TableWRCalcPts[Custom],MATCH(TableWRRanks32[[#This Row],[RK]],TableWRCalcPts[RK],0)),"")</f>
        <v>206.05871828961045</v>
      </c>
      <c r="AO1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25.947612801233753</v>
      </c>
      <c r="AQ13">
        <v>12</v>
      </c>
      <c r="AR13" t="str">
        <f>IFERROR(INDEX(TableTECalcPts[PLAYER],MATCH(TableTERanks33[[#This Row],[RK]],TableTECalcPts[RK],0)),"")</f>
        <v>Chigoziem Okonkwo</v>
      </c>
      <c r="AS13" t="str">
        <f>IFERROR(INDEX(TableTECalcPts[TM],MATCH(TableTERanks33[[#This Row],[Player]],TableTECalcPts[PLAYER],0)),"")</f>
        <v>TEN</v>
      </c>
      <c r="AT13">
        <f>IFERROR(INDEX(TableTECalcPts[BYE],MATCH(TableTERanks33[[#This Row],[Player]],TableTECalcPts[PLAYER],0)),"")</f>
        <v>7</v>
      </c>
      <c r="AU13" s="86">
        <f>VLOOKUP(TableTERanks33[[#This Row],[Player]],TE!B:O,4,FALSE)</f>
        <v>81.240284999999986</v>
      </c>
      <c r="AV13" s="86">
        <f>VLOOKUP(TableTERanks33[[#This Row],[Player]],TE!B:O,5,FALSE)</f>
        <v>54.338071629249782</v>
      </c>
      <c r="AW13" s="86">
        <f>VLOOKUP(TableTERanks33[[#This Row],[Player]],TE!B:O,6,FALSE)</f>
        <v>665.56962245785576</v>
      </c>
      <c r="AX13" s="86">
        <f>VLOOKUP(TableTERanks33[[#This Row],[Player]],TE!B:O,7,FALSE)</f>
        <v>4.184031515452233</v>
      </c>
      <c r="AY13" s="58">
        <f>IFERROR(INDEX(TableTECalcPts[Custom],MATCH(TableTERanks33[[#This Row],[RK]],TableTECalcPts[RK],0)),"")</f>
        <v>118.83018715312387</v>
      </c>
      <c r="AZ13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14" spans="1:52" x14ac:dyDescent="0.2">
      <c r="A14">
        <v>13</v>
      </c>
      <c r="B14" t="str">
        <f>IFERROR(INDEX(TableQBCalcPts[PLAYER],MATCH(TableQBRanks30[[#This Row],[RK]],TableQBCalcPts[RK],0)),"")</f>
        <v>Kirk Cousins</v>
      </c>
      <c r="C14" t="str">
        <f>IFERROR(INDEX(TableQBCalcPts[TM],MATCH(TableQBRanks30[[#This Row],[Player]],TableQBCalcPts[PLAYER],0)),"")</f>
        <v>MIN</v>
      </c>
      <c r="D14">
        <f>IFERROR(INDEX(TableQBCalcPts[BYE],MATCH(TableQBRanks30[[#This Row],[Player]],TableQBCalcPts[PLAYER],0)),"")</f>
        <v>13</v>
      </c>
      <c r="E14" s="86">
        <f>VLOOKUP(TableQBRanks30[[#This Row],[Player]],QB!B:O,4,FALSE)</f>
        <v>646.21787999999992</v>
      </c>
      <c r="F14" s="86">
        <f>VLOOKUP(TableQBRanks30[[#This Row],[Player]],QB!B:O,5,FALSE)</f>
        <v>425.9364473122526</v>
      </c>
      <c r="G14" s="86">
        <f>VLOOKUP(TableQBRanks30[[#This Row],[Player]],QB!B:O,6,FALSE)</f>
        <v>4731.9508707950426</v>
      </c>
      <c r="H14" s="86">
        <f>VLOOKUP(TableQBRanks30[[#This Row],[Player]],QB!B:O,7,FALSE)</f>
        <v>30.241487759169932</v>
      </c>
      <c r="I14" s="86">
        <f>VLOOKUP(TableQBRanks30[[#This Row],[Player]],QB!B:O,8,FALSE)</f>
        <v>13.443975806147556</v>
      </c>
      <c r="J14" s="86">
        <f>VLOOKUP(TableQBRanks30[[#This Row],[Player]],QB!B:O,9,FALSE)</f>
        <v>26.231405200000008</v>
      </c>
      <c r="K14" s="86">
        <f>VLOOKUP(TableQBRanks30[[#This Row],[Player]],QB!B:O,10,FALSE)</f>
        <v>83.650231302493069</v>
      </c>
      <c r="L14" s="86">
        <f>VLOOKUP(TableQBRanks30[[#This Row],[Player]],QB!B:O,11,FALSE)</f>
        <v>1.4164958808000003</v>
      </c>
      <c r="M14" s="58">
        <f>IFERROR(INDEX(TableQBCalcPts[Custom],MATCH(TableQBRanks30[[#This Row],[RK]],TableQBCalcPts[RK],0)),"")</f>
        <v>313.66400847738322</v>
      </c>
      <c r="N14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4.4285211326922749</v>
      </c>
      <c r="P14">
        <v>13</v>
      </c>
      <c r="Q14" t="str">
        <f>IFERROR(INDEX(TableRBCalcPts[PLAYER],MATCH(TableRBRanks31[[#This Row],[RK]],TableRBCalcPts[RK],0)),"")</f>
        <v>Najee Harris</v>
      </c>
      <c r="R14" t="str">
        <f>IFERROR(INDEX(TableRBCalcPts[TM],MATCH(TableRBRanks31[[#This Row],[Player]],TableRBCalcPts[PLAYER],0)),"")</f>
        <v>PIT</v>
      </c>
      <c r="S14">
        <f>IFERROR(INDEX(TableRBCalcPts[BYE],MATCH(TableRBRanks31[[#This Row],[Player]],TableRBCalcPts[PLAYER],0)),"")</f>
        <v>6</v>
      </c>
      <c r="T14" s="86">
        <f>VLOOKUP(TableRBRanks31[[#This Row],[Player]],RB!B:O,4,FALSE)</f>
        <v>274.78846709999993</v>
      </c>
      <c r="U14" s="86">
        <f>VLOOKUP(TableRBRanks31[[#This Row],[Player]],RB!B:O,5,FALSE)</f>
        <v>1099.1538683999997</v>
      </c>
      <c r="V14" s="86">
        <f>VLOOKUP(TableRBRanks31[[#This Row],[Player]],RB!B:O,6,FALSE)</f>
        <v>8.5184424800999974</v>
      </c>
      <c r="W14" s="86">
        <f>VLOOKUP(TableRBRanks31[[#This Row],[Player]],RB!B:O,7,FALSE)</f>
        <v>53.676447300000007</v>
      </c>
      <c r="X14" s="86">
        <f>VLOOKUP(TableRBRanks31[[#This Row],[Player]],RB!B:O,8,FALSE)</f>
        <v>40.827308698376712</v>
      </c>
      <c r="Y14" s="86">
        <f>VLOOKUP(TableRBRanks31[[#This Row],[Player]],RB!B:O,9,FALSE)</f>
        <v>257.34172872678101</v>
      </c>
      <c r="Z14" s="86">
        <f>VLOOKUP(TableRBRanks31[[#This Row],[Player]],RB!B:O,10,FALSE)</f>
        <v>1.5106104218399383</v>
      </c>
      <c r="AA14" s="58">
        <f>IFERROR(INDEX(TableRBCalcPts[Custom],MATCH(TableRBRanks31[[#This Row],[RK]],TableRBCalcPts[RK],0)),"")</f>
        <v>216.23753147350604</v>
      </c>
      <c r="AB14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34.167893608388603</v>
      </c>
      <c r="AD14">
        <v>13</v>
      </c>
      <c r="AE14" t="str">
        <f>IFERROR(INDEX(TableWRCalcPts[PLAYER],MATCH(TableWRRanks32[[#This Row],[RK]],TableWRCalcPts[RK],0)),"")</f>
        <v>Calvin Ridley</v>
      </c>
      <c r="AF14" t="str">
        <f>IFERROR(INDEX(TableWRCalcPts[TM],MATCH(TableWRRanks32[[#This Row],[Player]],TableWRCalcPts[PLAYER],0)),"")</f>
        <v>JAX</v>
      </c>
      <c r="AG14">
        <f>IFERROR(INDEX(TableWRCalcPts[BYE],MATCH(TableWRRanks32[[#This Row],[Player]],TableWRCalcPts[PLAYER],0)),"")</f>
        <v>9</v>
      </c>
      <c r="AH14" s="86">
        <f>VLOOKUP(TableWRRanks32[[#This Row],[Player]],WR!B:O,4,FALSE)</f>
        <v>0</v>
      </c>
      <c r="AI14" s="86">
        <f>VLOOKUP(TableWRRanks32[[#This Row],[Player]],WR!B:O,5,FALSE)</f>
        <v>0</v>
      </c>
      <c r="AJ14" s="86">
        <f>VLOOKUP(TableWRRanks32[[#This Row],[Player]],WR!B:O,6,FALSE)</f>
        <v>142.78012979999997</v>
      </c>
      <c r="AK14" s="86">
        <f>VLOOKUP(TableWRRanks32[[#This Row],[Player]],WR!B:O,7,FALSE)</f>
        <v>89.808701644199985</v>
      </c>
      <c r="AL14" s="86">
        <f>VLOOKUP(TableWRRanks32[[#This Row],[Player]],WR!B:O,8,FALSE)</f>
        <v>1151.4668800917343</v>
      </c>
      <c r="AM14" s="86">
        <f>VLOOKUP(TableWRRanks32[[#This Row],[Player]],WR!B:O,9,FALSE)</f>
        <v>7.6337396397569997</v>
      </c>
      <c r="AN14" s="58">
        <f>IFERROR(INDEX(TableWRCalcPts[Custom],MATCH(TableWRRanks32[[#This Row],[RK]],TableWRCalcPts[RK],0)),"")</f>
        <v>205.85347666981542</v>
      </c>
      <c r="AO1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25.877324202320381</v>
      </c>
      <c r="AQ14">
        <v>13</v>
      </c>
      <c r="AR14" t="str">
        <f>IFERROR(INDEX(TableTECalcPts[PLAYER],MATCH(TableTERanks33[[#This Row],[RK]],TableTECalcPts[RK],0)),"")</f>
        <v>Hunter Henry</v>
      </c>
      <c r="AS14" t="str">
        <f>IFERROR(INDEX(TableTECalcPts[TM],MATCH(TableTERanks33[[#This Row],[Player]],TableTECalcPts[PLAYER],0)),"")</f>
        <v>NE</v>
      </c>
      <c r="AT14">
        <f>IFERROR(INDEX(TableTECalcPts[BYE],MATCH(TableTERanks33[[#This Row],[Player]],TableTECalcPts[PLAYER],0)),"")</f>
        <v>11</v>
      </c>
      <c r="AU14" s="86">
        <f>VLOOKUP(TableTERanks33[[#This Row],[Player]],TE!B:O,4,FALSE)</f>
        <v>79.506837479999973</v>
      </c>
      <c r="AV14" s="86">
        <f>VLOOKUP(TableTERanks33[[#This Row],[Player]],TE!B:O,5,FALSE)</f>
        <v>52.685122952160945</v>
      </c>
      <c r="AW14" s="86">
        <f>VLOOKUP(TableTERanks33[[#This Row],[Player]],TE!B:O,6,FALSE)</f>
        <v>616.41593854028304</v>
      </c>
      <c r="AX14" s="86">
        <f>VLOOKUP(TableTERanks33[[#This Row],[Player]],TE!B:O,7,FALSE)</f>
        <v>4.0567544673163924</v>
      </c>
      <c r="AY14" s="58">
        <f>IFERROR(INDEX(TableTECalcPts[Custom],MATCH(TableTERanks33[[#This Row],[RK]],TableTECalcPts[RK],0)),"")</f>
        <v>112.32468213400713</v>
      </c>
      <c r="AZ14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15" spans="1:52" x14ac:dyDescent="0.2">
      <c r="A15">
        <v>14</v>
      </c>
      <c r="B15" t="str">
        <f>IFERROR(INDEX(TableQBCalcPts[PLAYER],MATCH(TableQBRanks30[[#This Row],[RK]],TableQBCalcPts[RK],0)),"")</f>
        <v>Geno Smith</v>
      </c>
      <c r="C15" t="str">
        <f>IFERROR(INDEX(TableQBCalcPts[TM],MATCH(TableQBRanks30[[#This Row],[Player]],TableQBCalcPts[PLAYER],0)),"")</f>
        <v>SEA</v>
      </c>
      <c r="D15">
        <f>IFERROR(INDEX(TableQBCalcPts[BYE],MATCH(TableQBRanks30[[#This Row],[Player]],TableQBCalcPts[PLAYER],0)),"")</f>
        <v>5</v>
      </c>
      <c r="E15" s="86">
        <f>VLOOKUP(TableQBRanks30[[#This Row],[Player]],QB!B:O,4,FALSE)</f>
        <v>569.29319999999996</v>
      </c>
      <c r="F15" s="86">
        <f>VLOOKUP(TableQBRanks30[[#This Row],[Player]],QB!B:O,5,FALSE)</f>
        <v>387.67187174223392</v>
      </c>
      <c r="G15" s="86">
        <f>VLOOKUP(TableQBRanks30[[#This Row],[Player]],QB!B:O,6,FALSE)</f>
        <v>4186.8562148161263</v>
      </c>
      <c r="H15" s="86">
        <f>VLOOKUP(TableQBRanks30[[#This Row],[Player]],QB!B:O,7,FALSE)</f>
        <v>30.393474744591138</v>
      </c>
      <c r="I15" s="86">
        <f>VLOOKUP(TableQBRanks30[[#This Row],[Player]],QB!B:O,8,FALSE)</f>
        <v>11.740403702137638</v>
      </c>
      <c r="J15" s="86">
        <f>VLOOKUP(TableQBRanks30[[#This Row],[Player]],QB!B:O,9,FALSE)</f>
        <v>48.815101439999999</v>
      </c>
      <c r="K15" s="86">
        <f>VLOOKUP(TableQBRanks30[[#This Row],[Player]],QB!B:O,10,FALSE)</f>
        <v>244.19655701793263</v>
      </c>
      <c r="L15" s="86">
        <f>VLOOKUP(TableQBRanks30[[#This Row],[Player]],QB!B:O,11,FALSE)</f>
        <v>1.12274733312</v>
      </c>
      <c r="M15" s="58">
        <f>IFERROR(INDEX(TableQBCalcPts[Custom],MATCH(TableQBRanks30[[#This Row],[RK]],TableQBCalcPts[RK],0)),"")</f>
        <v>308.46388356938525</v>
      </c>
      <c r="N15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2.2788162672342485</v>
      </c>
      <c r="P15">
        <v>14</v>
      </c>
      <c r="Q15" t="str">
        <f>IFERROR(INDEX(TableRBCalcPts[PLAYER],MATCH(TableRBRanks31[[#This Row],[RK]],TableRBCalcPts[RK],0)),"")</f>
        <v>Rachaad White</v>
      </c>
      <c r="R15" t="str">
        <f>IFERROR(INDEX(TableRBCalcPts[TM],MATCH(TableRBRanks31[[#This Row],[Player]],TableRBCalcPts[PLAYER],0)),"")</f>
        <v>TB</v>
      </c>
      <c r="S15">
        <f>IFERROR(INDEX(TableRBCalcPts[BYE],MATCH(TableRBRanks31[[#This Row],[Player]],TableRBCalcPts[PLAYER],0)),"")</f>
        <v>5</v>
      </c>
      <c r="T15" s="86">
        <f>VLOOKUP(TableRBRanks31[[#This Row],[Player]],RB!B:O,4,FALSE)</f>
        <v>241.43035391999999</v>
      </c>
      <c r="U15" s="86">
        <f>VLOOKUP(TableRBRanks31[[#This Row],[Player]],RB!B:O,5,FALSE)</f>
        <v>1028.4933076991999</v>
      </c>
      <c r="V15" s="86">
        <f>VLOOKUP(TableRBRanks31[[#This Row],[Player]],RB!B:O,6,FALSE)</f>
        <v>6.0357588480000004</v>
      </c>
      <c r="W15" s="86">
        <f>VLOOKUP(TableRBRanks31[[#This Row],[Player]],RB!B:O,7,FALSE)</f>
        <v>62.593054719999991</v>
      </c>
      <c r="X15" s="86">
        <f>VLOOKUP(TableRBRanks31[[#This Row],[Player]],RB!B:O,8,FALSE)</f>
        <v>47.445535477759996</v>
      </c>
      <c r="Y15" s="86">
        <f>VLOOKUP(TableRBRanks31[[#This Row],[Player]],RB!B:O,9,FALSE)</f>
        <v>332.11874834431995</v>
      </c>
      <c r="Z15" s="86">
        <f>VLOOKUP(TableRBRanks31[[#This Row],[Player]],RB!B:O,10,FALSE)</f>
        <v>1.7554848126771199</v>
      </c>
      <c r="AA15" s="58">
        <f>IFERROR(INDEX(TableRBCalcPts[Custom],MATCH(TableRBRanks31[[#This Row],[RK]],TableRBCalcPts[RK],0)),"")</f>
        <v>206.53143530729474</v>
      </c>
      <c r="AB15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30.63136234302879</v>
      </c>
      <c r="AD15">
        <v>14</v>
      </c>
      <c r="AE15" t="str">
        <f>IFERROR(INDEX(TableWRCalcPts[PLAYER],MATCH(TableWRRanks32[[#This Row],[RK]],TableWRCalcPts[RK],0)),"")</f>
        <v>Christian Watson</v>
      </c>
      <c r="AF15" t="str">
        <f>IFERROR(INDEX(TableWRCalcPts[TM],MATCH(TableWRRanks32[[#This Row],[Player]],TableWRCalcPts[PLAYER],0)),"")</f>
        <v>GB</v>
      </c>
      <c r="AG15">
        <f>IFERROR(INDEX(TableWRCalcPts[BYE],MATCH(TableWRRanks32[[#This Row],[Player]],TableWRCalcPts[PLAYER],0)),"")</f>
        <v>6</v>
      </c>
      <c r="AH15" s="86">
        <f>VLOOKUP(TableWRRanks32[[#This Row],[Player]],WR!B:O,4,FALSE)</f>
        <v>39.708913834515045</v>
      </c>
      <c r="AI15" s="86">
        <f>VLOOKUP(TableWRRanks32[[#This Row],[Player]],WR!B:O,5,FALSE)</f>
        <v>0.49317966100344179</v>
      </c>
      <c r="AJ15" s="86">
        <f>VLOOKUP(TableWRRanks32[[#This Row],[Player]],WR!B:O,6,FALSE)</f>
        <v>119.01240736</v>
      </c>
      <c r="AK15" s="86">
        <f>VLOOKUP(TableWRRanks32[[#This Row],[Player]],WR!B:O,7,FALSE)</f>
        <v>71.126713359302286</v>
      </c>
      <c r="AL15" s="86">
        <f>VLOOKUP(TableWRRanks32[[#This Row],[Player]],WR!B:O,8,FALSE)</f>
        <v>1059.7880290536041</v>
      </c>
      <c r="AM15" s="86">
        <f>VLOOKUP(TableWRRanks32[[#This Row],[Player]],WR!B:O,9,FALSE)</f>
        <v>7.7528117561639496</v>
      </c>
      <c r="AN15" s="58">
        <f>IFERROR(INDEX(TableWRCalcPts[Custom],MATCH(TableWRRanks32[[#This Row],[RK]],TableWRCalcPts[RK],0)),"")</f>
        <v>194.98899947146739</v>
      </c>
      <c r="AO1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22.156593090566293</v>
      </c>
      <c r="AQ15">
        <v>14</v>
      </c>
      <c r="AR15" t="str">
        <f>IFERROR(INDEX(TableTECalcPts[PLAYER],MATCH(TableTERanks33[[#This Row],[RK]],TableTECalcPts[RK],0)),"")</f>
        <v>Cole Kmet</v>
      </c>
      <c r="AS15" t="str">
        <f>IFERROR(INDEX(TableTECalcPts[TM],MATCH(TableTERanks33[[#This Row],[Player]],TableTECalcPts[PLAYER],0)),"")</f>
        <v>CHI</v>
      </c>
      <c r="AT15">
        <f>IFERROR(INDEX(TableTECalcPts[BYE],MATCH(TableTERanks33[[#This Row],[Player]],TableTECalcPts[PLAYER],0)),"")</f>
        <v>13</v>
      </c>
      <c r="AU15" s="86">
        <f>VLOOKUP(TableTERanks33[[#This Row],[Player]],TE!B:O,4,FALSE)</f>
        <v>81.233399519999978</v>
      </c>
      <c r="AV15" s="86">
        <f>VLOOKUP(TableTERanks33[[#This Row],[Player]],TE!B:O,5,FALSE)</f>
        <v>54.141437951405258</v>
      </c>
      <c r="AW15" s="86">
        <f>VLOOKUP(TableTERanks33[[#This Row],[Player]],TE!B:O,6,FALSE)</f>
        <v>582.36968269780061</v>
      </c>
      <c r="AX15" s="86">
        <f>VLOOKUP(TableTERanks33[[#This Row],[Player]],TE!B:O,7,FALSE)</f>
        <v>4.4937393499666367</v>
      </c>
      <c r="AY15" s="58">
        <f>IFERROR(INDEX(TableTECalcPts[Custom],MATCH(TableTERanks33[[#This Row],[RK]],TableTECalcPts[RK],0)),"")</f>
        <v>112.27012334528251</v>
      </c>
      <c r="AZ15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16" spans="1:52" x14ac:dyDescent="0.2">
      <c r="A16">
        <v>15</v>
      </c>
      <c r="B16" t="str">
        <f>IFERROR(INDEX(TableQBCalcPts[PLAYER],MATCH(TableQBRanks30[[#This Row],[RK]],TableQBCalcPts[RK],0)),"")</f>
        <v>Dak Prescott</v>
      </c>
      <c r="C16" t="str">
        <f>IFERROR(INDEX(TableQBCalcPts[TM],MATCH(TableQBRanks30[[#This Row],[Player]],TableQBCalcPts[PLAYER],0)),"")</f>
        <v>DAL</v>
      </c>
      <c r="D16">
        <f>IFERROR(INDEX(TableQBCalcPts[BYE],MATCH(TableQBRanks30[[#This Row],[Player]],TableQBCalcPts[PLAYER],0)),"")</f>
        <v>7</v>
      </c>
      <c r="E16" s="86">
        <f>VLOOKUP(TableQBRanks30[[#This Row],[Player]],QB!B:O,4,FALSE)</f>
        <v>571.25376000000006</v>
      </c>
      <c r="F16" s="86">
        <f>VLOOKUP(TableQBRanks30[[#This Row],[Player]],QB!B:O,5,FALSE)</f>
        <v>378.92361453139858</v>
      </c>
      <c r="G16" s="86">
        <f>VLOOKUP(TableQBRanks30[[#This Row],[Player]],QB!B:O,6,FALSE)</f>
        <v>4202.2628851532099</v>
      </c>
      <c r="H16" s="86">
        <f>VLOOKUP(TableQBRanks30[[#This Row],[Player]],QB!B:O,7,FALSE)</f>
        <v>29.770406194613113</v>
      </c>
      <c r="I16" s="86">
        <f>VLOOKUP(TableQBRanks30[[#This Row],[Player]],QB!B:O,8,FALSE)</f>
        <v>14.844459046545014</v>
      </c>
      <c r="J16" s="86">
        <f>VLOOKUP(TableQBRanks30[[#This Row],[Player]],QB!B:O,9,FALSE)</f>
        <v>51.577290239999996</v>
      </c>
      <c r="K16" s="86">
        <f>VLOOKUP(TableQBRanks30[[#This Row],[Player]],QB!B:O,10,FALSE)</f>
        <v>208.88802547199998</v>
      </c>
      <c r="L16" s="86">
        <f>VLOOKUP(TableQBRanks30[[#This Row],[Player]],QB!B:O,11,FALSE)</f>
        <v>2.1662461900799999</v>
      </c>
      <c r="M16" s="58">
        <f>IFERROR(INDEX(TableQBCalcPts[Custom],MATCH(TableQBRanks30[[#This Row],[RK]],TableQBCalcPts[RK],0)),"")</f>
        <v>306.21396082571579</v>
      </c>
      <c r="N16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1.6449408348223691</v>
      </c>
      <c r="P16">
        <v>15</v>
      </c>
      <c r="Q16" t="str">
        <f>IFERROR(INDEX(TableRBCalcPts[PLAYER],MATCH(TableRBRanks31[[#This Row],[RK]],TableRBCalcPts[RK],0)),"")</f>
        <v>Aaron Jones</v>
      </c>
      <c r="R16" t="str">
        <f>IFERROR(INDEX(TableRBCalcPts[TM],MATCH(TableRBRanks31[[#This Row],[Player]],TableRBCalcPts[PLAYER],0)),"")</f>
        <v>GB</v>
      </c>
      <c r="S16">
        <f>IFERROR(INDEX(TableRBCalcPts[BYE],MATCH(TableRBRanks31[[#This Row],[Player]],TableRBCalcPts[PLAYER],0)),"")</f>
        <v>6</v>
      </c>
      <c r="T16" s="86">
        <f>VLOOKUP(TableRBRanks31[[#This Row],[Player]],RB!B:O,4,FALSE)</f>
        <v>189.36316167999996</v>
      </c>
      <c r="U16" s="86">
        <f>VLOOKUP(TableRBRanks31[[#This Row],[Player]],RB!B:O,5,FALSE)</f>
        <v>900.76717084429811</v>
      </c>
      <c r="V16" s="86">
        <f>VLOOKUP(TableRBRanks31[[#This Row],[Player]],RB!B:O,6,FALSE)</f>
        <v>6.4383474971199988</v>
      </c>
      <c r="W16" s="86">
        <f>VLOOKUP(TableRBRanks31[[#This Row],[Player]],RB!B:O,7,FALSE)</f>
        <v>62.874479360000002</v>
      </c>
      <c r="X16" s="86">
        <f>VLOOKUP(TableRBRanks31[[#This Row],[Player]],RB!B:O,8,FALSE)</f>
        <v>47.153337694349538</v>
      </c>
      <c r="Y16" s="86">
        <f>VLOOKUP(TableRBRanks31[[#This Row],[Player]],RB!B:O,9,FALSE)</f>
        <v>351.62871046425124</v>
      </c>
      <c r="Z16" s="86">
        <f>VLOOKUP(TableRBRanks31[[#This Row],[Player]],RB!B:O,10,FALSE)</f>
        <v>2.7820469239666226</v>
      </c>
      <c r="AA16" s="58">
        <f>IFERROR(INDEX(TableRBCalcPts[Custom],MATCH(TableRBRanks31[[#This Row],[RK]],TableRBCalcPts[RK],0)),"")</f>
        <v>204.13862350454943</v>
      </c>
      <c r="AB16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29.759512980770317</v>
      </c>
      <c r="AD16">
        <v>15</v>
      </c>
      <c r="AE16" t="str">
        <f>IFERROR(INDEX(TableWRCalcPts[PLAYER],MATCH(TableWRRanks32[[#This Row],[RK]],TableWRCalcPts[RK],0)),"")</f>
        <v>Jahan Dotson</v>
      </c>
      <c r="AF16" t="str">
        <f>IFERROR(INDEX(TableWRCalcPts[TM],MATCH(TableWRRanks32[[#This Row],[Player]],TableWRCalcPts[PLAYER],0)),"")</f>
        <v>WSH</v>
      </c>
      <c r="AG16">
        <f>IFERROR(INDEX(TableWRCalcPts[BYE],MATCH(TableWRRanks32[[#This Row],[Player]],TableWRCalcPts[PLAYER],0)),"")</f>
        <v>14</v>
      </c>
      <c r="AH16" s="86">
        <f>VLOOKUP(TableWRRanks32[[#This Row],[Player]],WR!B:O,4,FALSE)</f>
        <v>0</v>
      </c>
      <c r="AI16" s="86">
        <f>VLOOKUP(TableWRRanks32[[#This Row],[Player]],WR!B:O,5,FALSE)</f>
        <v>0</v>
      </c>
      <c r="AJ16" s="86">
        <f>VLOOKUP(TableWRRanks32[[#This Row],[Player]],WR!B:O,6,FALSE)</f>
        <v>132.76679850000002</v>
      </c>
      <c r="AK16" s="86">
        <f>VLOOKUP(TableWRRanks32[[#This Row],[Player]],WR!B:O,7,FALSE)</f>
        <v>79.925612697000005</v>
      </c>
      <c r="AL16" s="86">
        <f>VLOOKUP(TableWRRanks32[[#This Row],[Player]],WR!B:O,8,FALSE)</f>
        <v>1086.9883326792001</v>
      </c>
      <c r="AM16" s="86">
        <f>VLOOKUP(TableWRRanks32[[#This Row],[Player]],WR!B:O,9,FALSE)</f>
        <v>7.1933051427299999</v>
      </c>
      <c r="AN16" s="58">
        <f>IFERROR(INDEX(TableWRCalcPts[Custom],MATCH(TableWRRanks32[[#This Row],[RK]],TableWRCalcPts[RK],0)),"")</f>
        <v>191.8214704728</v>
      </c>
      <c r="AO1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21.071817129646881</v>
      </c>
      <c r="AQ16">
        <v>15</v>
      </c>
      <c r="AR16" t="str">
        <f>IFERROR(INDEX(TableTECalcPts[PLAYER],MATCH(TableTERanks33[[#This Row],[RK]],TableTECalcPts[RK],0)),"")</f>
        <v>Dalton Kincaid</v>
      </c>
      <c r="AS16" t="str">
        <f>IFERROR(INDEX(TableTECalcPts[TM],MATCH(TableTERanks33[[#This Row],[Player]],TableTECalcPts[PLAYER],0)),"")</f>
        <v>BUF</v>
      </c>
      <c r="AT16">
        <f>IFERROR(INDEX(TableTECalcPts[BYE],MATCH(TableTERanks33[[#This Row],[Player]],TableTECalcPts[PLAYER],0)),"")</f>
        <v>13</v>
      </c>
      <c r="AU16" s="86">
        <f>VLOOKUP(TableTERanks33[[#This Row],[Player]],TE!B:O,4,FALSE)</f>
        <v>70.555099999999996</v>
      </c>
      <c r="AV16" s="86">
        <f>VLOOKUP(TableTERanks33[[#This Row],[Player]],TE!B:O,5,FALSE)</f>
        <v>47.641053856637697</v>
      </c>
      <c r="AW16" s="86">
        <f>VLOOKUP(TableTERanks33[[#This Row],[Player]],TE!B:O,6,FALSE)</f>
        <v>525.00441350014739</v>
      </c>
      <c r="AX16" s="86">
        <f>VLOOKUP(TableTERanks33[[#This Row],[Player]],TE!B:O,7,FALSE)</f>
        <v>5.8122085705097986</v>
      </c>
      <c r="AY16" s="58">
        <f>IFERROR(INDEX(TableTECalcPts[Custom],MATCH(TableTERanks33[[#This Row],[RK]],TableTECalcPts[RK],0)),"")</f>
        <v>111.19421970139238</v>
      </c>
      <c r="AZ16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17" spans="1:52" x14ac:dyDescent="0.2">
      <c r="A17">
        <v>16</v>
      </c>
      <c r="B17" t="str">
        <f>IFERROR(INDEX(TableQBCalcPts[PLAYER],MATCH(TableQBRanks30[[#This Row],[RK]],TableQBCalcPts[RK],0)),"")</f>
        <v>Aaron Rodgers</v>
      </c>
      <c r="C17" t="str">
        <f>IFERROR(INDEX(TableQBCalcPts[TM],MATCH(TableQBRanks30[[#This Row],[Player]],TableQBCalcPts[PLAYER],0)),"")</f>
        <v>NYJ</v>
      </c>
      <c r="D17">
        <f>IFERROR(INDEX(TableQBCalcPts[BYE],MATCH(TableQBRanks30[[#This Row],[Player]],TableQBCalcPts[PLAYER],0)),"")</f>
        <v>7</v>
      </c>
      <c r="E17" s="86">
        <f>VLOOKUP(TableQBRanks30[[#This Row],[Player]],QB!B:O,4,FALSE)</f>
        <v>600.57854999999995</v>
      </c>
      <c r="F17" s="86">
        <f>VLOOKUP(TableQBRanks30[[#This Row],[Player]],QB!B:O,5,FALSE)</f>
        <v>388.72674360807815</v>
      </c>
      <c r="G17" s="86">
        <f>VLOOKUP(TableQBRanks30[[#This Row],[Player]],QB!B:O,6,FALSE)</f>
        <v>4352.7314809277532</v>
      </c>
      <c r="H17" s="86">
        <f>VLOOKUP(TableQBRanks30[[#This Row],[Player]],QB!B:O,7,FALSE)</f>
        <v>31.564611580975942</v>
      </c>
      <c r="I17" s="86">
        <f>VLOOKUP(TableQBRanks30[[#This Row],[Player]],QB!B:O,8,FALSE)</f>
        <v>12.050529051850422</v>
      </c>
      <c r="J17" s="86">
        <f>VLOOKUP(TableQBRanks30[[#This Row],[Player]],QB!B:O,9,FALSE)</f>
        <v>30.828272893401014</v>
      </c>
      <c r="K17" s="86">
        <f>VLOOKUP(TableQBRanks30[[#This Row],[Player]],QB!B:O,10,FALSE)</f>
        <v>97.745588056618487</v>
      </c>
      <c r="L17" s="86">
        <f>VLOOKUP(TableQBRanks30[[#This Row],[Player]],QB!B:O,11,FALSE)</f>
        <v>1.1988738482545129</v>
      </c>
      <c r="M17" s="58">
        <f>IFERROR(INDEX(TableQBCalcPts[Custom],MATCH(TableQBRanks30[[#This Row],[RK]],TableQBCalcPts[RK],0)),"")</f>
        <v>305.28497840435239</v>
      </c>
      <c r="N17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0.56952206366340763</v>
      </c>
      <c r="P17">
        <v>16</v>
      </c>
      <c r="Q17" t="str">
        <f>IFERROR(INDEX(TableRBCalcPts[PLAYER],MATCH(TableRBRanks31[[#This Row],[RK]],TableRBCalcPts[RK],0)),"")</f>
        <v>Cam Akers</v>
      </c>
      <c r="R17" t="str">
        <f>IFERROR(INDEX(TableRBCalcPts[TM],MATCH(TableRBRanks31[[#This Row],[Player]],TableRBCalcPts[PLAYER],0)),"")</f>
        <v>LAR</v>
      </c>
      <c r="S17">
        <f>IFERROR(INDEX(TableRBCalcPts[BYE],MATCH(TableRBRanks31[[#This Row],[Player]],TableRBCalcPts[PLAYER],0)),"")</f>
        <v>10</v>
      </c>
      <c r="T17" s="86">
        <f>VLOOKUP(TableRBRanks31[[#This Row],[Player]],RB!B:O,4,FALSE)</f>
        <v>237.72228480000001</v>
      </c>
      <c r="U17" s="86">
        <f>VLOOKUP(TableRBRanks31[[#This Row],[Player]],RB!B:O,5,FALSE)</f>
        <v>1007.9424875520001</v>
      </c>
      <c r="V17" s="86">
        <f>VLOOKUP(TableRBRanks31[[#This Row],[Player]],RB!B:O,6,FALSE)</f>
        <v>7.6071131136000005</v>
      </c>
      <c r="W17" s="86">
        <f>VLOOKUP(TableRBRanks31[[#This Row],[Player]],RB!B:O,7,FALSE)</f>
        <v>45.718928640000001</v>
      </c>
      <c r="X17" s="86">
        <f>VLOOKUP(TableRBRanks31[[#This Row],[Player]],RB!B:O,8,FALSE)</f>
        <v>33.237661121279999</v>
      </c>
      <c r="Y17" s="86">
        <f>VLOOKUP(TableRBRanks31[[#This Row],[Player]],RB!B:O,9,FALSE)</f>
        <v>271.5516913608576</v>
      </c>
      <c r="Z17" s="86">
        <f>VLOOKUP(TableRBRanks31[[#This Row],[Player]],RB!B:O,10,FALSE)</f>
        <v>1.3295064448512</v>
      </c>
      <c r="AA17" s="58">
        <f>IFERROR(INDEX(TableRBCalcPts[Custom],MATCH(TableRBRanks31[[#This Row],[RK]],TableRBCalcPts[RK],0)),"")</f>
        <v>198.18796580263299</v>
      </c>
      <c r="AB17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27.591320264367809</v>
      </c>
      <c r="AD17">
        <v>16</v>
      </c>
      <c r="AE17" t="str">
        <f>IFERROR(INDEX(TableWRCalcPts[PLAYER],MATCH(TableWRRanks32[[#This Row],[RK]],TableWRCalcPts[RK],0)),"")</f>
        <v>Chris Olave</v>
      </c>
      <c r="AF17" t="str">
        <f>IFERROR(INDEX(TableWRCalcPts[TM],MATCH(TableWRRanks32[[#This Row],[Player]],TableWRCalcPts[PLAYER],0)),"")</f>
        <v>NO</v>
      </c>
      <c r="AG17">
        <f>IFERROR(INDEX(TableWRCalcPts[BYE],MATCH(TableWRRanks32[[#This Row],[Player]],TableWRCalcPts[PLAYER],0)),"")</f>
        <v>11</v>
      </c>
      <c r="AH17" s="86">
        <f>VLOOKUP(TableWRRanks32[[#This Row],[Player]],WR!B:O,4,FALSE)</f>
        <v>0</v>
      </c>
      <c r="AI17" s="86">
        <f>VLOOKUP(TableWRRanks32[[#This Row],[Player]],WR!B:O,5,FALSE)</f>
        <v>0</v>
      </c>
      <c r="AJ17" s="86">
        <f>VLOOKUP(TableWRRanks32[[#This Row],[Player]],WR!B:O,6,FALSE)</f>
        <v>115.32793271999999</v>
      </c>
      <c r="AK17" s="86">
        <f>VLOOKUP(TableWRRanks32[[#This Row],[Player]],WR!B:O,7,FALSE)</f>
        <v>79.114961845920007</v>
      </c>
      <c r="AL17" s="86">
        <f>VLOOKUP(TableWRRanks32[[#This Row],[Player]],WR!B:O,8,FALSE)</f>
        <v>1118.6855605013091</v>
      </c>
      <c r="AM17" s="86">
        <f>VLOOKUP(TableWRRanks32[[#This Row],[Player]],WR!B:O,9,FALSE)</f>
        <v>6.7247717569032011</v>
      </c>
      <c r="AN17" s="58">
        <f>IFERROR(INDEX(TableWRCalcPts[Custom],MATCH(TableWRRanks32[[#This Row],[RK]],TableWRCalcPts[RK],0)),"")</f>
        <v>191.7746675145101</v>
      </c>
      <c r="AO1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21.055788634225319</v>
      </c>
      <c r="AQ17">
        <v>16</v>
      </c>
      <c r="AR17" t="str">
        <f>IFERROR(INDEX(TableTECalcPts[PLAYER],MATCH(TableTERanks33[[#This Row],[RK]],TableTECalcPts[RK],0)),"")</f>
        <v>Dalton Schultz</v>
      </c>
      <c r="AS17" t="str">
        <f>IFERROR(INDEX(TableTECalcPts[TM],MATCH(TableTERanks33[[#This Row],[Player]],TableTECalcPts[PLAYER],0)),"")</f>
        <v>HOU</v>
      </c>
      <c r="AT17">
        <f>IFERROR(INDEX(TableTECalcPts[BYE],MATCH(TableTERanks33[[#This Row],[Player]],TableTECalcPts[PLAYER],0)),"")</f>
        <v>7</v>
      </c>
      <c r="AU17" s="86">
        <f>VLOOKUP(TableTERanks33[[#This Row],[Player]],TE!B:O,4,FALSE)</f>
        <v>77.186611040000017</v>
      </c>
      <c r="AV17" s="86">
        <f>VLOOKUP(TableTERanks33[[#This Row],[Player]],TE!B:O,5,FALSE)</f>
        <v>51.302760687430293</v>
      </c>
      <c r="AW17" s="86">
        <f>VLOOKUP(TableTERanks33[[#This Row],[Player]],TE!B:O,6,FALSE)</f>
        <v>541.24412525238961</v>
      </c>
      <c r="AX17" s="86">
        <f>VLOOKUP(TableTERanks33[[#This Row],[Player]],TE!B:O,7,FALSE)</f>
        <v>4.6685512225561565</v>
      </c>
      <c r="AY17" s="58">
        <f>IFERROR(INDEX(TableTECalcPts[Custom],MATCH(TableTERanks33[[#This Row],[RK]],TableTECalcPts[RK],0)),"")</f>
        <v>107.78710020429105</v>
      </c>
      <c r="AZ17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18" spans="1:52" x14ac:dyDescent="0.2">
      <c r="A18">
        <v>17</v>
      </c>
      <c r="B18" t="str">
        <f>IFERROR(INDEX(TableQBCalcPts[PLAYER],MATCH(TableQBRanks30[[#This Row],[RK]],TableQBCalcPts[RK],0)),"")</f>
        <v>Russell Wilson</v>
      </c>
      <c r="C18" t="str">
        <f>IFERROR(INDEX(TableQBCalcPts[TM],MATCH(TableQBRanks30[[#This Row],[Player]],TableQBCalcPts[PLAYER],0)),"")</f>
        <v>DEN</v>
      </c>
      <c r="D18">
        <f>IFERROR(INDEX(TableQBCalcPts[BYE],MATCH(TableQBRanks30[[#This Row],[Player]],TableQBCalcPts[PLAYER],0)),"")</f>
        <v>9</v>
      </c>
      <c r="E18" s="86">
        <f>VLOOKUP(TableQBRanks30[[#This Row],[Player]],QB!B:O,4,FALSE)</f>
        <v>567.2106</v>
      </c>
      <c r="F18" s="86">
        <f>VLOOKUP(TableQBRanks30[[#This Row],[Player]],QB!B:O,5,FALSE)</f>
        <v>360.6066049805948</v>
      </c>
      <c r="G18" s="86">
        <f>VLOOKUP(TableQBRanks30[[#This Row],[Player]],QB!B:O,6,FALSE)</f>
        <v>4197.4608819741234</v>
      </c>
      <c r="H18" s="86">
        <f>VLOOKUP(TableQBRanks30[[#This Row],[Player]],QB!B:O,7,FALSE)</f>
        <v>27.346201667745099</v>
      </c>
      <c r="I18" s="86">
        <f>VLOOKUP(TableQBRanks30[[#This Row],[Player]],QB!B:O,8,FALSE)</f>
        <v>12.995693147501363</v>
      </c>
      <c r="J18" s="86">
        <f>VLOOKUP(TableQBRanks30[[#This Row],[Player]],QB!B:O,9,FALSE)</f>
        <v>40.655397999999998</v>
      </c>
      <c r="K18" s="86">
        <f>VLOOKUP(TableQBRanks30[[#This Row],[Player]],QB!B:O,10,FALSE)</f>
        <v>196.21147612433944</v>
      </c>
      <c r="L18" s="86">
        <f>VLOOKUP(TableQBRanks30[[#This Row],[Player]],QB!B:O,11,FALSE)</f>
        <v>2.1140806959999998</v>
      </c>
      <c r="M18" s="58">
        <f>IFERROR(INDEX(TableQBCalcPts[Custom],MATCH(TableQBRanks30[[#This Row],[RK]],TableQBCalcPts[RK],0)),"")</f>
        <v>296.59318059087798</v>
      </c>
      <c r="N18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18">
        <v>17</v>
      </c>
      <c r="Q18" t="str">
        <f>IFERROR(INDEX(TableRBCalcPts[PLAYER],MATCH(TableRBRanks31[[#This Row],[RK]],TableRBCalcPts[RK],0)),"")</f>
        <v>Miles Sanders</v>
      </c>
      <c r="R18" t="str">
        <f>IFERROR(INDEX(TableRBCalcPts[TM],MATCH(TableRBRanks31[[#This Row],[Player]],TableRBCalcPts[PLAYER],0)),"")</f>
        <v>CAR</v>
      </c>
      <c r="S18">
        <f>IFERROR(INDEX(TableRBCalcPts[BYE],MATCH(TableRBRanks31[[#This Row],[Player]],TableRBCalcPts[PLAYER],0)),"")</f>
        <v>7</v>
      </c>
      <c r="T18" s="86">
        <f>VLOOKUP(TableRBRanks31[[#This Row],[Player]],RB!B:O,4,FALSE)</f>
        <v>242.21369634000004</v>
      </c>
      <c r="U18" s="86">
        <f>VLOOKUP(TableRBRanks31[[#This Row],[Player]],RB!B:O,5,FALSE)</f>
        <v>1073.0066747862002</v>
      </c>
      <c r="V18" s="86">
        <f>VLOOKUP(TableRBRanks31[[#This Row],[Player]],RB!B:O,6,FALSE)</f>
        <v>7.0241971938600019</v>
      </c>
      <c r="W18" s="86">
        <f>VLOOKUP(TableRBRanks31[[#This Row],[Player]],RB!B:O,7,FALSE)</f>
        <v>48.252403080000001</v>
      </c>
      <c r="X18" s="86">
        <f>VLOOKUP(TableRBRanks31[[#This Row],[Player]],RB!B:O,8,FALSE)</f>
        <v>33.779714624507861</v>
      </c>
      <c r="Y18" s="86">
        <f>VLOOKUP(TableRBRanks31[[#This Row],[Player]],RB!B:O,9,FALSE)</f>
        <v>263.67834617161469</v>
      </c>
      <c r="Z18" s="86">
        <f>VLOOKUP(TableRBRanks31[[#This Row],[Player]],RB!B:O,10,FALSE)</f>
        <v>0.91205229486171224</v>
      </c>
      <c r="AA18" s="58">
        <f>IFERROR(INDEX(TableRBCalcPts[Custom],MATCH(TableRBRanks31[[#This Row],[RK]],TableRBCalcPts[RK],0)),"")</f>
        <v>198.17585634036573</v>
      </c>
      <c r="AB18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27.586908038156412</v>
      </c>
      <c r="AD18">
        <v>17</v>
      </c>
      <c r="AE18" t="str">
        <f>IFERROR(INDEX(TableWRCalcPts[PLAYER],MATCH(TableWRRanks32[[#This Row],[RK]],TableWRCalcPts[RK],0)),"")</f>
        <v>DeAndre Hopkins</v>
      </c>
      <c r="AF18" t="str">
        <f>IFERROR(INDEX(TableWRCalcPts[TM],MATCH(TableWRRanks32[[#This Row],[Player]],TableWRCalcPts[PLAYER],0)),"")</f>
        <v>TEN</v>
      </c>
      <c r="AG18">
        <f>IFERROR(INDEX(TableWRCalcPts[BYE],MATCH(TableWRRanks32[[#This Row],[Player]],TableWRCalcPts[PLAYER],0)),"")</f>
        <v>7</v>
      </c>
      <c r="AH18" s="86">
        <f>VLOOKUP(TableWRRanks32[[#This Row],[Player]],WR!B:O,4,FALSE)</f>
        <v>0</v>
      </c>
      <c r="AI18" s="86">
        <f>VLOOKUP(TableWRRanks32[[#This Row],[Player]],WR!B:O,5,FALSE)</f>
        <v>0</v>
      </c>
      <c r="AJ18" s="86">
        <f>VLOOKUP(TableWRRanks32[[#This Row],[Player]],WR!B:O,6,FALSE)</f>
        <v>126.7348446</v>
      </c>
      <c r="AK18" s="86">
        <f>VLOOKUP(TableWRRanks32[[#This Row],[Player]],WR!B:O,7,FALSE)</f>
        <v>84.072364058386626</v>
      </c>
      <c r="AL18" s="86">
        <f>VLOOKUP(TableWRRanks32[[#This Row],[Player]],WR!B:O,8,FALSE)</f>
        <v>1053.3639602982939</v>
      </c>
      <c r="AM18" s="86">
        <f>VLOOKUP(TableWRRanks32[[#This Row],[Player]],WR!B:O,9,FALSE)</f>
        <v>6.9780062168460901</v>
      </c>
      <c r="AN18" s="58">
        <f>IFERROR(INDEX(TableWRCalcPts[Custom],MATCH(TableWRRanks32[[#This Row],[RK]],TableWRCalcPts[RK],0)),"")</f>
        <v>189.24061536009924</v>
      </c>
      <c r="AO1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20.187957949177946</v>
      </c>
      <c r="AQ18">
        <v>17</v>
      </c>
      <c r="AR18" t="str">
        <f>IFERROR(INDEX(TableTECalcPts[PLAYER],MATCH(TableTERanks33[[#This Row],[RK]],TableTECalcPts[RK],0)),"")</f>
        <v>Zach Ertz</v>
      </c>
      <c r="AS18" t="str">
        <f>IFERROR(INDEX(TableTECalcPts[TM],MATCH(TableTERanks33[[#This Row],[Player]],TableTECalcPts[PLAYER],0)),"")</f>
        <v>ARI</v>
      </c>
      <c r="AT18">
        <f>IFERROR(INDEX(TableTECalcPts[BYE],MATCH(TableTERanks33[[#This Row],[Player]],TableTECalcPts[PLAYER],0)),"")</f>
        <v>14</v>
      </c>
      <c r="AU18" s="86">
        <f>VLOOKUP(TableTERanks33[[#This Row],[Player]],TE!B:O,4,FALSE)</f>
        <v>82.868309999999994</v>
      </c>
      <c r="AV18" s="86">
        <f>VLOOKUP(TableTERanks33[[#This Row],[Player]],TE!B:O,5,FALSE)</f>
        <v>52.45564023</v>
      </c>
      <c r="AW18" s="86">
        <f>VLOOKUP(TableTERanks33[[#This Row],[Player]],TE!B:O,6,FALSE)</f>
        <v>521.40906388619999</v>
      </c>
      <c r="AX18" s="86">
        <f>VLOOKUP(TableTERanks33[[#This Row],[Player]],TE!B:O,7,FALSE)</f>
        <v>3.9866286574799998</v>
      </c>
      <c r="AY18" s="58">
        <f>IFERROR(INDEX(TableTECalcPts[Custom],MATCH(TableTERanks33[[#This Row],[RK]],TableTECalcPts[RK],0)),"")</f>
        <v>102.28849844849999</v>
      </c>
      <c r="AZ18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19" spans="1:52" x14ac:dyDescent="0.2">
      <c r="A19">
        <v>18</v>
      </c>
      <c r="B19" t="str">
        <f>IFERROR(INDEX(TableQBCalcPts[PLAYER],MATCH(TableQBRanks30[[#This Row],[RK]],TableQBCalcPts[RK],0)),"")</f>
        <v>Bryce Young</v>
      </c>
      <c r="C19" t="str">
        <f>IFERROR(INDEX(TableQBCalcPts[TM],MATCH(TableQBRanks30[[#This Row],[Player]],TableQBCalcPts[PLAYER],0)),"")</f>
        <v>CAR</v>
      </c>
      <c r="D19">
        <f>IFERROR(INDEX(TableQBCalcPts[BYE],MATCH(TableQBRanks30[[#This Row],[Player]],TableQBCalcPts[PLAYER],0)),"")</f>
        <v>7</v>
      </c>
      <c r="E19" s="86">
        <f>VLOOKUP(TableQBRanks30[[#This Row],[Player]],QB!B:O,4,FALSE)</f>
        <v>570.43034999999998</v>
      </c>
      <c r="F19" s="86">
        <f>VLOOKUP(TableQBRanks30[[#This Row],[Player]],QB!B:O,5,FALSE)</f>
        <v>354.81103382308135</v>
      </c>
      <c r="G19" s="86">
        <f>VLOOKUP(TableQBRanks30[[#This Row],[Player]],QB!B:O,6,FALSE)</f>
        <v>3966.7873581420495</v>
      </c>
      <c r="H19" s="86">
        <f>VLOOKUP(TableQBRanks30[[#This Row],[Player]],QB!B:O,7,FALSE)</f>
        <v>23.45300933570568</v>
      </c>
      <c r="I19" s="86">
        <f>VLOOKUP(TableQBRanks30[[#This Row],[Player]],QB!B:O,8,FALSE)</f>
        <v>12.1371497674011</v>
      </c>
      <c r="J19" s="86">
        <f>VLOOKUP(TableQBRanks30[[#This Row],[Player]],QB!B:O,9,FALSE)</f>
        <v>62.912648400000016</v>
      </c>
      <c r="K19" s="86">
        <f>VLOOKUP(TableQBRanks30[[#This Row],[Player]],QB!B:O,10,FALSE)</f>
        <v>316.45062145200012</v>
      </c>
      <c r="L19" s="86">
        <f>VLOOKUP(TableQBRanks30[[#This Row],[Player]],QB!B:O,11,FALSE)</f>
        <v>3.7118462556000007</v>
      </c>
      <c r="M19" s="58">
        <f>IFERROR(INDEX(TableQBCalcPts[Custom],MATCH(TableQBRanks30[[#This Row],[RK]],TableQBCalcPts[RK],0)),"")</f>
        <v>294.26252157990365</v>
      </c>
      <c r="N19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19">
        <v>18</v>
      </c>
      <c r="Q19" t="str">
        <f>IFERROR(INDEX(TableRBCalcPts[PLAYER],MATCH(TableRBRanks31[[#This Row],[RK]],TableRBCalcPts[RK],0)),"")</f>
        <v>J.K. Dobbins</v>
      </c>
      <c r="R19" t="str">
        <f>IFERROR(INDEX(TableRBCalcPts[TM],MATCH(TableRBRanks31[[#This Row],[Player]],TableRBCalcPts[PLAYER],0)),"")</f>
        <v>BAL</v>
      </c>
      <c r="S19">
        <f>IFERROR(INDEX(TableRBCalcPts[BYE],MATCH(TableRBRanks31[[#This Row],[Player]],TableRBCalcPts[PLAYER],0)),"")</f>
        <v>13</v>
      </c>
      <c r="T19" s="86">
        <f>VLOOKUP(TableRBRanks31[[#This Row],[Player]],RB!B:O,4,FALSE)</f>
        <v>203.26472823999998</v>
      </c>
      <c r="U19" s="86">
        <f>VLOOKUP(TableRBRanks31[[#This Row],[Player]],RB!B:O,5,FALSE)</f>
        <v>1022.4215830472</v>
      </c>
      <c r="V19" s="86">
        <f>VLOOKUP(TableRBRanks31[[#This Row],[Player]],RB!B:O,6,FALSE)</f>
        <v>9.5534422272799997</v>
      </c>
      <c r="W19" s="86">
        <f>VLOOKUP(TableRBRanks31[[#This Row],[Player]],RB!B:O,7,FALSE)</f>
        <v>32.077281599999999</v>
      </c>
      <c r="X19" s="86">
        <f>VLOOKUP(TableRBRanks31[[#This Row],[Player]],RB!B:O,8,FALSE)</f>
        <v>23.860068804751904</v>
      </c>
      <c r="Y19" s="86">
        <f>VLOOKUP(TableRBRanks31[[#This Row],[Player]],RB!B:O,9,FALSE)</f>
        <v>167.11783718776312</v>
      </c>
      <c r="Z19" s="86">
        <f>VLOOKUP(TableRBRanks31[[#This Row],[Player]],RB!B:O,10,FALSE)</f>
        <v>1.3765424310433791</v>
      </c>
      <c r="AA19" s="58">
        <f>IFERROR(INDEX(TableRBCalcPts[Custom],MATCH(TableRBRanks31[[#This Row],[RK]],TableRBCalcPts[RK],0)),"")</f>
        <v>196.46388437581254</v>
      </c>
      <c r="AB19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26.963130746608613</v>
      </c>
      <c r="AD19">
        <v>18</v>
      </c>
      <c r="AE19" t="str">
        <f>IFERROR(INDEX(TableWRCalcPts[PLAYER],MATCH(TableWRRanks32[[#This Row],[RK]],TableWRCalcPts[RK],0)),"")</f>
        <v>DeVonta Smith</v>
      </c>
      <c r="AF19" t="str">
        <f>IFERROR(INDEX(TableWRCalcPts[TM],MATCH(TableWRRanks32[[#This Row],[Player]],TableWRCalcPts[PLAYER],0)),"")</f>
        <v>PHI</v>
      </c>
      <c r="AG19">
        <f>IFERROR(INDEX(TableWRCalcPts[BYE],MATCH(TableWRRanks32[[#This Row],[Player]],TableWRCalcPts[PLAYER],0)),"")</f>
        <v>10</v>
      </c>
      <c r="AH19" s="86">
        <f>VLOOKUP(TableWRRanks32[[#This Row],[Player]],WR!B:O,4,FALSE)</f>
        <v>0</v>
      </c>
      <c r="AI19" s="86">
        <f>VLOOKUP(TableWRRanks32[[#This Row],[Player]],WR!B:O,5,FALSE)</f>
        <v>0</v>
      </c>
      <c r="AJ19" s="86">
        <f>VLOOKUP(TableWRRanks32[[#This Row],[Player]],WR!B:O,6,FALSE)</f>
        <v>121.52144256</v>
      </c>
      <c r="AK19" s="86">
        <f>VLOOKUP(TableWRRanks32[[#This Row],[Player]],WR!B:O,7,FALSE)</f>
        <v>80.672617761767455</v>
      </c>
      <c r="AL19" s="86">
        <f>VLOOKUP(TableWRRanks32[[#This Row],[Player]],WR!B:O,8,FALSE)</f>
        <v>1056.8112926791537</v>
      </c>
      <c r="AM19" s="86">
        <f>VLOOKUP(TableWRRanks32[[#This Row],[Player]],WR!B:O,9,FALSE)</f>
        <v>7.1798629807973029</v>
      </c>
      <c r="AN19" s="58">
        <f>IFERROR(INDEX(TableWRCalcPts[Custom],MATCH(TableWRRanks32[[#This Row],[RK]],TableWRCalcPts[RK],0)),"")</f>
        <v>189.0966160335829</v>
      </c>
      <c r="AO1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20.138642849660553</v>
      </c>
      <c r="AQ19">
        <v>18</v>
      </c>
      <c r="AR19" t="str">
        <f>IFERROR(INDEX(TableTECalcPts[PLAYER],MATCH(TableTERanks33[[#This Row],[RK]],TableTECalcPts[RK],0)),"")</f>
        <v>Dawson Knox</v>
      </c>
      <c r="AS19" t="str">
        <f>IFERROR(INDEX(TableTECalcPts[TM],MATCH(TableTERanks33[[#This Row],[Player]],TableTECalcPts[PLAYER],0)),"")</f>
        <v>BUF</v>
      </c>
      <c r="AT19">
        <f>IFERROR(INDEX(TableTECalcPts[BYE],MATCH(TableTERanks33[[#This Row],[Player]],TableTECalcPts[PLAYER],0)),"")</f>
        <v>13</v>
      </c>
      <c r="AU19" s="86">
        <f>VLOOKUP(TableTERanks33[[#This Row],[Player]],TE!B:O,4,FALSE)</f>
        <v>68.630870000000002</v>
      </c>
      <c r="AV19" s="86">
        <f>VLOOKUP(TableTERanks33[[#This Row],[Player]],TE!B:O,5,FALSE)</f>
        <v>45.817149323990378</v>
      </c>
      <c r="AW19" s="86">
        <f>VLOOKUP(TableTERanks33[[#This Row],[Player]],TE!B:O,6,FALSE)</f>
        <v>485.66178283429798</v>
      </c>
      <c r="AX19" s="86">
        <f>VLOOKUP(TableTERanks33[[#This Row],[Player]],TE!B:O,7,FALSE)</f>
        <v>5.085703574962932</v>
      </c>
      <c r="AY19" s="58">
        <f>IFERROR(INDEX(TableTECalcPts[Custom],MATCH(TableTERanks33[[#This Row],[RK]],TableTECalcPts[RK],0)),"")</f>
        <v>101.98897439520259</v>
      </c>
      <c r="AZ19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20" spans="1:52" x14ac:dyDescent="0.2">
      <c r="A20">
        <v>19</v>
      </c>
      <c r="B20" t="str">
        <f>IFERROR(INDEX(TableQBCalcPts[PLAYER],MATCH(TableQBRanks30[[#This Row],[RK]],TableQBCalcPts[RK],0)),"")</f>
        <v>Matthew Stafford</v>
      </c>
      <c r="C20" t="str">
        <f>IFERROR(INDEX(TableQBCalcPts[TM],MATCH(TableQBRanks30[[#This Row],[Player]],TableQBCalcPts[PLAYER],0)),"")</f>
        <v>LAR</v>
      </c>
      <c r="D20">
        <f>IFERROR(INDEX(TableQBCalcPts[BYE],MATCH(TableQBRanks30[[#This Row],[Player]],TableQBCalcPts[PLAYER],0)),"")</f>
        <v>10</v>
      </c>
      <c r="E20" s="86">
        <f>VLOOKUP(TableQBRanks30[[#This Row],[Player]],QB!B:O,4,FALSE)</f>
        <v>605.21471999999994</v>
      </c>
      <c r="F20" s="86">
        <f>VLOOKUP(TableQBRanks30[[#This Row],[Player]],QB!B:O,5,FALSE)</f>
        <v>403.22042572745528</v>
      </c>
      <c r="G20" s="86">
        <f>VLOOKUP(TableQBRanks30[[#This Row],[Player]],QB!B:O,6,FALSE)</f>
        <v>4520.7123721191228</v>
      </c>
      <c r="H20" s="86">
        <f>VLOOKUP(TableQBRanks30[[#This Row],[Player]],QB!B:O,7,FALSE)</f>
        <v>28.144785715776379</v>
      </c>
      <c r="I20" s="86">
        <f>VLOOKUP(TableQBRanks30[[#This Row],[Player]],QB!B:O,8,FALSE)</f>
        <v>16.334362899087708</v>
      </c>
      <c r="J20" s="86">
        <f>VLOOKUP(TableQBRanks30[[#This Row],[Player]],QB!B:O,9,FALSE)</f>
        <v>25.023398400000001</v>
      </c>
      <c r="K20" s="86">
        <f>VLOOKUP(TableQBRanks30[[#This Row],[Player]],QB!B:O,10,FALSE)</f>
        <v>55.022129781943526</v>
      </c>
      <c r="L20" s="86">
        <f>VLOOKUP(TableQBRanks30[[#This Row],[Player]],QB!B:O,11,FALSE)</f>
        <v>0.80746585895939871</v>
      </c>
      <c r="M20" s="58">
        <f>IFERROR(INDEX(TableQBCalcPts[Custom],MATCH(TableQBRanks30[[#This Row],[RK]],TableQBCalcPts[RK],0)),"")</f>
        <v>287.42028298073348</v>
      </c>
      <c r="N20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20">
        <v>19</v>
      </c>
      <c r="Q20" t="str">
        <f>IFERROR(INDEX(TableRBCalcPts[PLAYER],MATCH(TableRBRanks31[[#This Row],[RK]],TableRBCalcPts[RK],0)),"")</f>
        <v>Khalil Herbert</v>
      </c>
      <c r="R20" t="str">
        <f>IFERROR(INDEX(TableRBCalcPts[TM],MATCH(TableRBRanks31[[#This Row],[Player]],TableRBCalcPts[PLAYER],0)),"")</f>
        <v>CHI</v>
      </c>
      <c r="S20">
        <f>IFERROR(INDEX(TableRBCalcPts[BYE],MATCH(TableRBRanks31[[#This Row],[Player]],TableRBCalcPts[PLAYER],0)),"")</f>
        <v>13</v>
      </c>
      <c r="T20" s="86">
        <f>VLOOKUP(TableRBRanks31[[#This Row],[Player]],RB!B:O,4,FALSE)</f>
        <v>216.95934623999997</v>
      </c>
      <c r="U20" s="86">
        <f>VLOOKUP(TableRBRanks31[[#This Row],[Player]],RB!B:O,5,FALSE)</f>
        <v>1008.8609600159999</v>
      </c>
      <c r="V20" s="86">
        <f>VLOOKUP(TableRBRanks31[[#This Row],[Player]],RB!B:O,6,FALSE)</f>
        <v>8.8953331958399993</v>
      </c>
      <c r="W20" s="86">
        <f>VLOOKUP(TableRBRanks31[[#This Row],[Player]],RB!B:O,7,FALSE)</f>
        <v>36.715660799999995</v>
      </c>
      <c r="X20" s="86">
        <f>VLOOKUP(TableRBRanks31[[#This Row],[Player]],RB!B:O,8,FALSE)</f>
        <v>25.299428871841087</v>
      </c>
      <c r="Y20" s="86">
        <f>VLOOKUP(TableRBRanks31[[#This Row],[Player]],RB!B:O,9,FALSE)</f>
        <v>195.05859660189478</v>
      </c>
      <c r="Z20" s="86">
        <f>VLOOKUP(TableRBRanks31[[#This Row],[Player]],RB!B:O,10,FALSE)</f>
        <v>1.2649714435920545</v>
      </c>
      <c r="AA20" s="58">
        <f>IFERROR(INDEX(TableRBCalcPts[Custom],MATCH(TableRBRanks31[[#This Row],[RK]],TableRBCalcPts[RK],0)),"")</f>
        <v>194.00349793430235</v>
      </c>
      <c r="AB20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26.066659763191122</v>
      </c>
      <c r="AD20">
        <v>19</v>
      </c>
      <c r="AE20" t="str">
        <f>IFERROR(INDEX(TableWRCalcPts[PLAYER],MATCH(TableWRRanks32[[#This Row],[RK]],TableWRCalcPts[RK],0)),"")</f>
        <v>Keenan Allen</v>
      </c>
      <c r="AF20" t="str">
        <f>IFERROR(INDEX(TableWRCalcPts[TM],MATCH(TableWRRanks32[[#This Row],[Player]],TableWRCalcPts[PLAYER],0)),"")</f>
        <v>LAC</v>
      </c>
      <c r="AG20">
        <f>IFERROR(INDEX(TableWRCalcPts[BYE],MATCH(TableWRRanks32[[#This Row],[Player]],TableWRCalcPts[PLAYER],0)),"")</f>
        <v>5</v>
      </c>
      <c r="AH20" s="86">
        <f>VLOOKUP(TableWRRanks32[[#This Row],[Player]],WR!B:O,4,FALSE)</f>
        <v>0</v>
      </c>
      <c r="AI20" s="86">
        <f>VLOOKUP(TableWRRanks32[[#This Row],[Player]],WR!B:O,5,FALSE)</f>
        <v>0</v>
      </c>
      <c r="AJ20" s="86">
        <f>VLOOKUP(TableWRRanks32[[#This Row],[Player]],WR!B:O,6,FALSE)</f>
        <v>139.32216059999999</v>
      </c>
      <c r="AK20" s="86">
        <f>VLOOKUP(TableWRRanks32[[#This Row],[Player]],WR!B:O,7,FALSE)</f>
        <v>97.804156741199989</v>
      </c>
      <c r="AL20" s="86">
        <f>VLOOKUP(TableWRRanks32[[#This Row],[Player]],WR!B:O,8,FALSE)</f>
        <v>1007.3828144343599</v>
      </c>
      <c r="AM20" s="86">
        <f>VLOOKUP(TableWRRanks32[[#This Row],[Player]],WR!B:O,9,FALSE)</f>
        <v>6.4550743449191996</v>
      </c>
      <c r="AN20" s="58">
        <f>IFERROR(INDEX(TableWRCalcPts[Custom],MATCH(TableWRRanks32[[#This Row],[RK]],TableWRCalcPts[RK],0)),"")</f>
        <v>188.37080588355121</v>
      </c>
      <c r="AO2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19.89007641087596</v>
      </c>
      <c r="AQ20">
        <v>19</v>
      </c>
      <c r="AR20" t="str">
        <f>IFERROR(INDEX(TableTECalcPts[PLAYER],MATCH(TableTERanks33[[#This Row],[RK]],TableTECalcPts[RK],0)),"")</f>
        <v>Jake Ferguson</v>
      </c>
      <c r="AS20" t="str">
        <f>IFERROR(INDEX(TableTECalcPts[TM],MATCH(TableTERanks33[[#This Row],[Player]],TableTECalcPts[PLAYER],0)),"")</f>
        <v>DAL</v>
      </c>
      <c r="AT20">
        <f>IFERROR(INDEX(TableTECalcPts[BYE],MATCH(TableTERanks33[[#This Row],[Player]],TableTECalcPts[PLAYER],0)),"")</f>
        <v>7</v>
      </c>
      <c r="AU20" s="86">
        <f>VLOOKUP(TableTERanks33[[#This Row],[Player]],TE!B:O,4,FALSE)</f>
        <v>65.694182400000003</v>
      </c>
      <c r="AV20" s="86">
        <f>VLOOKUP(TableTERanks33[[#This Row],[Player]],TE!B:O,5,FALSE)</f>
        <v>47.068609710189847</v>
      </c>
      <c r="AW20" s="86">
        <f>VLOOKUP(TableTERanks33[[#This Row],[Player]],TE!B:O,6,FALSE)</f>
        <v>470.68609710189844</v>
      </c>
      <c r="AX20" s="86">
        <f>VLOOKUP(TableTERanks33[[#This Row],[Player]],TE!B:O,7,FALSE)</f>
        <v>5.0363412389903139</v>
      </c>
      <c r="AY20" s="58">
        <f>IFERROR(INDEX(TableTECalcPts[Custom],MATCH(TableTERanks33[[#This Row],[RK]],TableTECalcPts[RK],0)),"")</f>
        <v>100.82096199922665</v>
      </c>
      <c r="AZ20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21" spans="1:52" x14ac:dyDescent="0.2">
      <c r="A21">
        <v>20</v>
      </c>
      <c r="B21" t="str">
        <f>IFERROR(INDEX(TableQBCalcPts[PLAYER],MATCH(TableQBRanks30[[#This Row],[RK]],TableQBCalcPts[RK],0)),"")</f>
        <v>Jared Goff</v>
      </c>
      <c r="C21" t="str">
        <f>IFERROR(INDEX(TableQBCalcPts[TM],MATCH(TableQBRanks30[[#This Row],[Player]],TableQBCalcPts[PLAYER],0)),"")</f>
        <v>DET</v>
      </c>
      <c r="D21">
        <f>IFERROR(INDEX(TableQBCalcPts[BYE],MATCH(TableQBRanks30[[#This Row],[Player]],TableQBCalcPts[PLAYER],0)),"")</f>
        <v>9</v>
      </c>
      <c r="E21" s="86">
        <f>VLOOKUP(TableQBRanks30[[#This Row],[Player]],QB!B:O,4,FALSE)</f>
        <v>588.15483999999992</v>
      </c>
      <c r="F21" s="86">
        <f>VLOOKUP(TableQBRanks30[[#This Row],[Player]],QB!B:O,5,FALSE)</f>
        <v>387.59403955999994</v>
      </c>
      <c r="G21" s="86">
        <f>VLOOKUP(TableQBRanks30[[#This Row],[Player]],QB!B:O,6,FALSE)</f>
        <v>4290.6660179291994</v>
      </c>
      <c r="H21" s="86">
        <f>VLOOKUP(TableQBRanks30[[#This Row],[Player]],QB!B:O,7,FALSE)</f>
        <v>27.209101577111994</v>
      </c>
      <c r="I21" s="86">
        <f>VLOOKUP(TableQBRanks30[[#This Row],[Player]],QB!B:O,8,FALSE)</f>
        <v>9.7378920453390236</v>
      </c>
      <c r="J21" s="86">
        <f>VLOOKUP(TableQBRanks30[[#This Row],[Player]],QB!B:O,9,FALSE)</f>
        <v>31.043710880000006</v>
      </c>
      <c r="K21" s="86">
        <f>VLOOKUP(TableQBRanks30[[#This Row],[Player]],QB!B:O,10,FALSE)</f>
        <v>84.158756935074848</v>
      </c>
      <c r="L21" s="86">
        <f>VLOOKUP(TableQBRanks30[[#This Row],[Player]],QB!B:O,11,FALSE)</f>
        <v>1.1486173025600002</v>
      </c>
      <c r="M21" s="58">
        <f>IFERROR(INDEX(TableQBCalcPts[Custom],MATCH(TableQBRanks30[[#This Row],[RK]],TableQBCalcPts[RK],0)),"")</f>
        <v>286.03273448914445</v>
      </c>
      <c r="N21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21">
        <v>20</v>
      </c>
      <c r="Q21" t="str">
        <f>IFERROR(INDEX(TableRBCalcPts[PLAYER],MATCH(TableRBRanks31[[#This Row],[RK]],TableRBCalcPts[RK],0)),"")</f>
        <v>David Montgomery</v>
      </c>
      <c r="R21" t="str">
        <f>IFERROR(INDEX(TableRBCalcPts[TM],MATCH(TableRBRanks31[[#This Row],[Player]],TableRBCalcPts[PLAYER],0)),"")</f>
        <v>DET</v>
      </c>
      <c r="S21">
        <f>IFERROR(INDEX(TableRBCalcPts[BYE],MATCH(TableRBRanks31[[#This Row],[Player]],TableRBCalcPts[PLAYER],0)),"")</f>
        <v>9</v>
      </c>
      <c r="T21" s="86">
        <f>VLOOKUP(TableRBRanks31[[#This Row],[Player]],RB!B:O,4,FALSE)</f>
        <v>213.65377488000001</v>
      </c>
      <c r="U21" s="86">
        <f>VLOOKUP(TableRBRanks31[[#This Row],[Player]],RB!B:O,5,FALSE)</f>
        <v>897.34585449600013</v>
      </c>
      <c r="V21" s="86">
        <f>VLOOKUP(TableRBRanks31[[#This Row],[Player]],RB!B:O,6,FALSE)</f>
        <v>9.4007660947199998</v>
      </c>
      <c r="W21" s="86">
        <f>VLOOKUP(TableRBRanks31[[#This Row],[Player]],RB!B:O,7,FALSE)</f>
        <v>42.935303319999989</v>
      </c>
      <c r="X21" s="86">
        <f>VLOOKUP(TableRBRanks31[[#This Row],[Player]],RB!B:O,8,FALSE)</f>
        <v>31.530908994953407</v>
      </c>
      <c r="Y21" s="86">
        <f>VLOOKUP(TableRBRanks31[[#This Row],[Player]],RB!B:O,9,FALSE)</f>
        <v>243.51341267988894</v>
      </c>
      <c r="Z21" s="86">
        <f>VLOOKUP(TableRBRanks31[[#This Row],[Player]],RB!B:O,10,FALSE)</f>
        <v>0.97745817884355557</v>
      </c>
      <c r="AA21" s="58">
        <f>IFERROR(INDEX(TableRBCalcPts[Custom],MATCH(TableRBRanks31[[#This Row],[RK]],TableRBCalcPts[RK],0)),"")</f>
        <v>192.12072685644694</v>
      </c>
      <c r="AB21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25.380649788807162</v>
      </c>
      <c r="AD21">
        <v>20</v>
      </c>
      <c r="AE21" t="str">
        <f>IFERROR(INDEX(TableWRCalcPts[PLAYER],MATCH(TableWRRanks32[[#This Row],[RK]],TableWRCalcPts[RK],0)),"")</f>
        <v>DK Metcalf</v>
      </c>
      <c r="AF21" t="str">
        <f>IFERROR(INDEX(TableWRCalcPts[TM],MATCH(TableWRRanks32[[#This Row],[Player]],TableWRCalcPts[PLAYER],0)),"")</f>
        <v>SEA</v>
      </c>
      <c r="AG21">
        <f>IFERROR(INDEX(TableWRCalcPts[BYE],MATCH(TableWRRanks32[[#This Row],[Player]],TableWRCalcPts[PLAYER],0)),"")</f>
        <v>5</v>
      </c>
      <c r="AH21" s="86">
        <f>VLOOKUP(TableWRRanks32[[#This Row],[Player]],WR!B:O,4,FALSE)</f>
        <v>0</v>
      </c>
      <c r="AI21" s="86">
        <f>VLOOKUP(TableWRRanks32[[#This Row],[Player]],WR!B:O,5,FALSE)</f>
        <v>0</v>
      </c>
      <c r="AJ21" s="86">
        <f>VLOOKUP(TableWRRanks32[[#This Row],[Player]],WR!B:O,6,FALSE)</f>
        <v>128.61232272000001</v>
      </c>
      <c r="AK21" s="86">
        <f>VLOOKUP(TableWRRanks32[[#This Row],[Player]],WR!B:O,7,FALSE)</f>
        <v>81.258506313851001</v>
      </c>
      <c r="AL21" s="86">
        <f>VLOOKUP(TableWRRanks32[[#This Row],[Player]],WR!B:O,8,FALSE)</f>
        <v>1009.2306484180294</v>
      </c>
      <c r="AM21" s="86">
        <f>VLOOKUP(TableWRRanks32[[#This Row],[Player]],WR!B:O,9,FALSE)</f>
        <v>7.800816606129696</v>
      </c>
      <c r="AN21" s="58">
        <f>IFERROR(INDEX(TableWRCalcPts[Custom],MATCH(TableWRRanks32[[#This Row],[RK]],TableWRCalcPts[RK],0)),"")</f>
        <v>188.35721763550663</v>
      </c>
      <c r="AO2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19.885422876579675</v>
      </c>
      <c r="AQ21">
        <v>20</v>
      </c>
      <c r="AR21" t="str">
        <f>IFERROR(INDEX(TableTECalcPts[PLAYER],MATCH(TableTERanks33[[#This Row],[RK]],TableTECalcPts[RK],0)),"")</f>
        <v>Sam LaPorta</v>
      </c>
      <c r="AS21" t="str">
        <f>IFERROR(INDEX(TableTECalcPts[TM],MATCH(TableTERanks33[[#This Row],[Player]],TableTECalcPts[PLAYER],0)),"")</f>
        <v>DET</v>
      </c>
      <c r="AT21">
        <f>IFERROR(INDEX(TableTECalcPts[BYE],MATCH(TableTERanks33[[#This Row],[Player]],TableTECalcPts[PLAYER],0)),"")</f>
        <v>9</v>
      </c>
      <c r="AU21" s="86">
        <f>VLOOKUP(TableTERanks33[[#This Row],[Player]],TE!B:O,4,FALSE)</f>
        <v>68.814116279999993</v>
      </c>
      <c r="AV21" s="86">
        <f>VLOOKUP(TableTERanks33[[#This Row],[Player]],TE!B:O,5,FALSE)</f>
        <v>45.839211494643195</v>
      </c>
      <c r="AW21" s="86">
        <f>VLOOKUP(TableTERanks33[[#This Row],[Player]],TE!B:O,6,FALSE)</f>
        <v>486.37922143101332</v>
      </c>
      <c r="AX21" s="86">
        <f>VLOOKUP(TableTERanks33[[#This Row],[Player]],TE!B:O,7,FALSE)</f>
        <v>4.6755995724536055</v>
      </c>
      <c r="AY21" s="58">
        <f>IFERROR(INDEX(TableTECalcPts[Custom],MATCH(TableTERanks33[[#This Row],[RK]],TableTECalcPts[RK],0)),"")</f>
        <v>99.61112532514457</v>
      </c>
      <c r="AZ21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22" spans="1:52" x14ac:dyDescent="0.2">
      <c r="A22">
        <v>21</v>
      </c>
      <c r="B22" t="str">
        <f>IFERROR(INDEX(TableQBCalcPts[PLAYER],MATCH(TableQBRanks30[[#This Row],[RK]],TableQBCalcPts[RK],0)),"")</f>
        <v>Jordan Love</v>
      </c>
      <c r="C22" t="str">
        <f>IFERROR(INDEX(TableQBCalcPts[TM],MATCH(TableQBRanks30[[#This Row],[Player]],TableQBCalcPts[PLAYER],0)),"")</f>
        <v>GB</v>
      </c>
      <c r="D22">
        <f>IFERROR(INDEX(TableQBCalcPts[BYE],MATCH(TableQBRanks30[[#This Row],[Player]],TableQBCalcPts[PLAYER],0)),"")</f>
        <v>6</v>
      </c>
      <c r="E22" s="86">
        <f>VLOOKUP(TableQBRanks30[[#This Row],[Player]],QB!B:O,4,FALSE)</f>
        <v>567.10764000000006</v>
      </c>
      <c r="F22" s="86">
        <f>VLOOKUP(TableQBRanks30[[#This Row],[Player]],QB!B:O,5,FALSE)</f>
        <v>357.27781320000003</v>
      </c>
      <c r="G22" s="86">
        <f>VLOOKUP(TableQBRanks30[[#This Row],[Player]],QB!B:O,6,FALSE)</f>
        <v>4030.0937328959999</v>
      </c>
      <c r="H22" s="86">
        <f>VLOOKUP(TableQBRanks30[[#This Row],[Player]],QB!B:O,7,FALSE)</f>
        <v>26.617197083400001</v>
      </c>
      <c r="I22" s="86">
        <f>VLOOKUP(TableQBRanks30[[#This Row],[Player]],QB!B:O,8,FALSE)</f>
        <v>13.900885172159247</v>
      </c>
      <c r="J22" s="86">
        <f>VLOOKUP(TableQBRanks30[[#This Row],[Player]],QB!B:O,9,FALSE)</f>
        <v>49.713479199999988</v>
      </c>
      <c r="K22" s="86">
        <f>VLOOKUP(TableQBRanks30[[#This Row],[Player]],QB!B:O,10,FALSE)</f>
        <v>182.87766554013086</v>
      </c>
      <c r="L22" s="86">
        <f>VLOOKUP(TableQBRanks30[[#This Row],[Player]],QB!B:O,11,FALSE)</f>
        <v>2.0382526471999998</v>
      </c>
      <c r="M22" s="58">
        <f>IFERROR(INDEX(TableQBCalcPts[Custom],MATCH(TableQBRanks30[[#This Row],[RK]],TableQBCalcPts[RK],0)),"")</f>
        <v>284.28893491449384</v>
      </c>
      <c r="N22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22">
        <v>21</v>
      </c>
      <c r="Q22" t="str">
        <f>IFERROR(INDEX(TableRBCalcPts[PLAYER],MATCH(TableRBRanks31[[#This Row],[RK]],TableRBCalcPts[RK],0)),"")</f>
        <v>Alexander Mattison</v>
      </c>
      <c r="R22" t="str">
        <f>IFERROR(INDEX(TableRBCalcPts[TM],MATCH(TableRBRanks31[[#This Row],[Player]],TableRBCalcPts[PLAYER],0)),"")</f>
        <v>MIN</v>
      </c>
      <c r="S22">
        <f>IFERROR(INDEX(TableRBCalcPts[BYE],MATCH(TableRBRanks31[[#This Row],[Player]],TableRBCalcPts[PLAYER],0)),"")</f>
        <v>13</v>
      </c>
      <c r="T22" s="86">
        <f>VLOOKUP(TableRBRanks31[[#This Row],[Player]],RB!B:O,4,FALSE)</f>
        <v>227.20432503999999</v>
      </c>
      <c r="U22" s="86">
        <f>VLOOKUP(TableRBRanks31[[#This Row],[Player]],RB!B:O,5,FALSE)</f>
        <v>938.35386241519996</v>
      </c>
      <c r="V22" s="86">
        <f>VLOOKUP(TableRBRanks31[[#This Row],[Player]],RB!B:O,6,FALSE)</f>
        <v>9.0881730015999995</v>
      </c>
      <c r="W22" s="86">
        <f>VLOOKUP(TableRBRanks31[[#This Row],[Player]],RB!B:O,7,FALSE)</f>
        <v>39.172795199999989</v>
      </c>
      <c r="X22" s="86">
        <f>VLOOKUP(TableRBRanks31[[#This Row],[Player]],RB!B:O,8,FALSE)</f>
        <v>30.281067668428712</v>
      </c>
      <c r="Y22" s="86">
        <f>VLOOKUP(TableRBRanks31[[#This Row],[Player]],RB!B:O,9,FALSE)</f>
        <v>208.62430165368994</v>
      </c>
      <c r="Z22" s="86">
        <f>VLOOKUP(TableRBRanks31[[#This Row],[Player]],RB!B:O,10,FALSE)</f>
        <v>1.271804842074006</v>
      </c>
      <c r="AA22" s="58">
        <f>IFERROR(INDEX(TableRBCalcPts[Custom],MATCH(TableRBRanks31[[#This Row],[RK]],TableRBCalcPts[RK],0)),"")</f>
        <v>191.99821730314738</v>
      </c>
      <c r="AB22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25.336011979936341</v>
      </c>
      <c r="AD22">
        <v>21</v>
      </c>
      <c r="AE22" t="str">
        <f>IFERROR(INDEX(TableWRCalcPts[PLAYER],MATCH(TableWRRanks32[[#This Row],[RK]],TableWRCalcPts[RK],0)),"")</f>
        <v>Deebo Samuel</v>
      </c>
      <c r="AF22" t="str">
        <f>IFERROR(INDEX(TableWRCalcPts[TM],MATCH(TableWRRanks32[[#This Row],[Player]],TableWRCalcPts[PLAYER],0)),"")</f>
        <v>SF</v>
      </c>
      <c r="AG22">
        <f>IFERROR(INDEX(TableWRCalcPts[BYE],MATCH(TableWRRanks32[[#This Row],[Player]],TableWRCalcPts[PLAYER],0)),"")</f>
        <v>9</v>
      </c>
      <c r="AH22" s="86">
        <f>VLOOKUP(TableWRRanks32[[#This Row],[Player]],WR!B:O,4,FALSE)</f>
        <v>275.66400954286775</v>
      </c>
      <c r="AI22" s="86">
        <f>VLOOKUP(TableWRRanks32[[#This Row],[Player]],WR!B:O,5,FALSE)</f>
        <v>3.5395756619999998</v>
      </c>
      <c r="AJ22" s="86">
        <f>VLOOKUP(TableWRRanks32[[#This Row],[Player]],WR!B:O,6,FALSE)</f>
        <v>101.97752796</v>
      </c>
      <c r="AK22" s="86">
        <f>VLOOKUP(TableWRRanks32[[#This Row],[Player]],WR!B:O,7,FALSE)</f>
        <v>64.041887558880006</v>
      </c>
      <c r="AL22" s="86">
        <f>VLOOKUP(TableWRRanks32[[#This Row],[Player]],WR!B:O,8,FALSE)</f>
        <v>800.52359448600009</v>
      </c>
      <c r="AM22" s="86">
        <f>VLOOKUP(TableWRRanks32[[#This Row],[Player]],WR!B:O,9,FALSE)</f>
        <v>4.4829321291216004</v>
      </c>
      <c r="AN22" s="58">
        <f>IFERROR(INDEX(TableWRCalcPts[Custom],MATCH(TableWRRanks32[[#This Row],[RK]],TableWRCalcPts[RK],0)),"")</f>
        <v>187.77475092905638</v>
      </c>
      <c r="AO2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19.685946918677171</v>
      </c>
      <c r="AQ22">
        <v>21</v>
      </c>
      <c r="AR22" t="str">
        <f>IFERROR(INDEX(TableTECalcPts[PLAYER],MATCH(TableTERanks33[[#This Row],[RK]],TableTECalcPts[RK],0)),"")</f>
        <v>Juwan Johnson</v>
      </c>
      <c r="AS22" t="str">
        <f>IFERROR(INDEX(TableTECalcPts[TM],MATCH(TableTERanks33[[#This Row],[Player]],TableTECalcPts[PLAYER],0)),"")</f>
        <v>NO</v>
      </c>
      <c r="AT22">
        <f>IFERROR(INDEX(TableTECalcPts[BYE],MATCH(TableTERanks33[[#This Row],[Player]],TableTECalcPts[PLAYER],0)),"")</f>
        <v>11</v>
      </c>
      <c r="AU22" s="86">
        <f>VLOOKUP(TableTERanks33[[#This Row],[Player]],TE!B:O,4,FALSE)</f>
        <v>68.672541756000001</v>
      </c>
      <c r="AV22" s="86">
        <f>VLOOKUP(TableTERanks33[[#This Row],[Player]],TE!B:O,5,FALSE)</f>
        <v>43.63790423856031</v>
      </c>
      <c r="AW22" s="86">
        <f>VLOOKUP(TableTERanks33[[#This Row],[Player]],TE!B:O,6,FALSE)</f>
        <v>495.54532169522929</v>
      </c>
      <c r="AX22" s="86">
        <f>VLOOKUP(TableTERanks33[[#This Row],[Player]],TE!B:O,7,FALSE)</f>
        <v>4.4510662323331509</v>
      </c>
      <c r="AY22" s="58">
        <f>IFERROR(INDEX(TableTECalcPts[Custom],MATCH(TableTERanks33[[#This Row],[RK]],TableTECalcPts[RK],0)),"")</f>
        <v>98.079881682801982</v>
      </c>
      <c r="AZ22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23" spans="1:52" x14ac:dyDescent="0.2">
      <c r="A23">
        <v>22</v>
      </c>
      <c r="B23" t="str">
        <f>IFERROR(INDEX(TableQBCalcPts[PLAYER],MATCH(TableQBRanks30[[#This Row],[RK]],TableQBCalcPts[RK],0)),"")</f>
        <v>Sam Howell</v>
      </c>
      <c r="C23" t="str">
        <f>IFERROR(INDEX(TableQBCalcPts[TM],MATCH(TableQBRanks30[[#This Row],[Player]],TableQBCalcPts[PLAYER],0)),"")</f>
        <v>WSH</v>
      </c>
      <c r="D23">
        <f>IFERROR(INDEX(TableQBCalcPts[BYE],MATCH(TableQBRanks30[[#This Row],[Player]],TableQBCalcPts[PLAYER],0)),"")</f>
        <v>14</v>
      </c>
      <c r="E23" s="86">
        <f>VLOOKUP(TableQBRanks30[[#This Row],[Player]],QB!B:O,4,FALSE)</f>
        <v>572.01115000000004</v>
      </c>
      <c r="F23" s="86">
        <f>VLOOKUP(TableQBRanks30[[#This Row],[Player]],QB!B:O,5,FALSE)</f>
        <v>360.93903565000005</v>
      </c>
      <c r="G23" s="86">
        <f>VLOOKUP(TableQBRanks30[[#This Row],[Player]],QB!B:O,6,FALSE)</f>
        <v>4031.6890282105005</v>
      </c>
      <c r="H23" s="86">
        <f>VLOOKUP(TableQBRanks30[[#This Row],[Player]],QB!B:O,7,FALSE)</f>
        <v>24.110727581420004</v>
      </c>
      <c r="I23" s="86">
        <f>VLOOKUP(TableQBRanks30[[#This Row],[Player]],QB!B:O,8,FALSE)</f>
        <v>16.206230066165517</v>
      </c>
      <c r="J23" s="86">
        <f>VLOOKUP(TableQBRanks30[[#This Row],[Player]],QB!B:O,9,FALSE)</f>
        <v>41.298869919999994</v>
      </c>
      <c r="K23" s="86">
        <f>VLOOKUP(TableQBRanks30[[#This Row],[Player]],QB!B:O,10,FALSE)</f>
        <v>190.80077903039998</v>
      </c>
      <c r="L23" s="86">
        <f>VLOOKUP(TableQBRanks30[[#This Row],[Player]],QB!B:O,11,FALSE)</f>
        <v>2.2714378455999995</v>
      </c>
      <c r="M23" s="58">
        <f>IFERROR(INDEX(TableQBCalcPts[Custom],MATCH(TableQBRanks30[[#This Row],[RK]],TableQBCalcPts[RK],0)),"")</f>
        <v>274.21294636457452</v>
      </c>
      <c r="N23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23">
        <v>22</v>
      </c>
      <c r="Q23" t="str">
        <f>IFERROR(INDEX(TableRBCalcPts[PLAYER],MATCH(TableRBRanks31[[#This Row],[RK]],TableRBCalcPts[RK],0)),"")</f>
        <v>Travis Etienne</v>
      </c>
      <c r="R23" t="str">
        <f>IFERROR(INDEX(TableRBCalcPts[TM],MATCH(TableRBRanks31[[#This Row],[Player]],TableRBCalcPts[PLAYER],0)),"")</f>
        <v>JAX</v>
      </c>
      <c r="S23">
        <f>IFERROR(INDEX(TableRBCalcPts[BYE],MATCH(TableRBRanks31[[#This Row],[Player]],TableRBCalcPts[PLAYER],0)),"")</f>
        <v>9</v>
      </c>
      <c r="T23" s="86">
        <f>VLOOKUP(TableRBRanks31[[#This Row],[Player]],RB!B:O,4,FALSE)</f>
        <v>202.7354224</v>
      </c>
      <c r="U23" s="86">
        <f>VLOOKUP(TableRBRanks31[[#This Row],[Player]],RB!B:O,5,FALSE)</f>
        <v>954.88383950399998</v>
      </c>
      <c r="V23" s="86">
        <f>VLOOKUP(TableRBRanks31[[#This Row],[Player]],RB!B:O,6,FALSE)</f>
        <v>6.4875335168000001</v>
      </c>
      <c r="W23" s="86">
        <f>VLOOKUP(TableRBRanks31[[#This Row],[Player]],RB!B:O,7,FALSE)</f>
        <v>45.739089199999995</v>
      </c>
      <c r="X23" s="86">
        <f>VLOOKUP(TableRBRanks31[[#This Row],[Player]],RB!B:O,8,FALSE)</f>
        <v>35.23341853337844</v>
      </c>
      <c r="Y23" s="86">
        <f>VLOOKUP(TableRBRanks31[[#This Row],[Player]],RB!B:O,9,FALSE)</f>
        <v>288.56169778836943</v>
      </c>
      <c r="Z23" s="86">
        <f>VLOOKUP(TableRBRanks31[[#This Row],[Player]],RB!B:O,10,FALSE)</f>
        <v>1.4445701598685161</v>
      </c>
      <c r="AA23" s="58">
        <f>IFERROR(INDEX(TableRBCalcPts[Custom],MATCH(TableRBRanks31[[#This Row],[RK]],TableRBCalcPts[RK],0)),"")</f>
        <v>189.55388505593726</v>
      </c>
      <c r="AB23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24.445390532636164</v>
      </c>
      <c r="AD23">
        <v>22</v>
      </c>
      <c r="AE23" t="str">
        <f>IFERROR(INDEX(TableWRCalcPts[PLAYER],MATCH(TableWRRanks32[[#This Row],[RK]],TableWRCalcPts[RK],0)),"")</f>
        <v>Terry McLaurin</v>
      </c>
      <c r="AF23" t="str">
        <f>IFERROR(INDEX(TableWRCalcPts[TM],MATCH(TableWRRanks32[[#This Row],[Player]],TableWRCalcPts[PLAYER],0)),"")</f>
        <v>WSH</v>
      </c>
      <c r="AG23">
        <f>IFERROR(INDEX(TableWRCalcPts[BYE],MATCH(TableWRRanks32[[#This Row],[Player]],TableWRCalcPts[PLAYER],0)),"")</f>
        <v>14</v>
      </c>
      <c r="AH23" s="86">
        <f>VLOOKUP(TableWRRanks32[[#This Row],[Player]],WR!B:O,4,FALSE)</f>
        <v>33.508401275999994</v>
      </c>
      <c r="AI23" s="86">
        <f>VLOOKUP(TableWRRanks32[[#This Row],[Player]],WR!B:O,5,FALSE)</f>
        <v>0.19085472524455457</v>
      </c>
      <c r="AJ23" s="86">
        <f>VLOOKUP(TableWRRanks32[[#This Row],[Player]],WR!B:O,6,FALSE)</f>
        <v>127.45612656000002</v>
      </c>
      <c r="AK23" s="86">
        <f>VLOOKUP(TableWRRanks32[[#This Row],[Player]],WR!B:O,7,FALSE)</f>
        <v>78.610051405787686</v>
      </c>
      <c r="AL23" s="86">
        <f>VLOOKUP(TableWRRanks32[[#This Row],[Player]],WR!B:O,8,FALSE)</f>
        <v>1086.3909104279858</v>
      </c>
      <c r="AM23" s="86">
        <f>VLOOKUP(TableWRRanks32[[#This Row],[Player]],WR!B:O,9,FALSE)</f>
        <v>5.5027035984051382</v>
      </c>
      <c r="AN23" s="58">
        <f>IFERROR(INDEX(TableWRCalcPts[Custom],MATCH(TableWRRanks32[[#This Row],[RK]],TableWRCalcPts[RK],0)),"")</f>
        <v>185.45630681519057</v>
      </c>
      <c r="AO2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18.89195499547305</v>
      </c>
      <c r="AQ23">
        <v>22</v>
      </c>
      <c r="AR23" t="str">
        <f>IFERROR(INDEX(TableTECalcPts[PLAYER],MATCH(TableTERanks33[[#This Row],[RK]],TableTECalcPts[RK],0)),"")</f>
        <v>Irv Smith</v>
      </c>
      <c r="AS23" t="str">
        <f>IFERROR(INDEX(TableTECalcPts[TM],MATCH(TableTERanks33[[#This Row],[Player]],TableTECalcPts[PLAYER],0)),"")</f>
        <v>CIN</v>
      </c>
      <c r="AT23">
        <f>IFERROR(INDEX(TableTECalcPts[BYE],MATCH(TableTERanks33[[#This Row],[Player]],TableTECalcPts[PLAYER],0)),"")</f>
        <v>7</v>
      </c>
      <c r="AU23" s="86">
        <f>VLOOKUP(TableTERanks33[[#This Row],[Player]],TE!B:O,4,FALSE)</f>
        <v>69.543280379999999</v>
      </c>
      <c r="AV23" s="86">
        <f>VLOOKUP(TableTERanks33[[#This Row],[Player]],TE!B:O,5,FALSE)</f>
        <v>48.738250068498253</v>
      </c>
      <c r="AW23" s="86">
        <f>VLOOKUP(TableTERanks33[[#This Row],[Player]],TE!B:O,6,FALSE)</f>
        <v>482.5086756781327</v>
      </c>
      <c r="AX23" s="86">
        <f>VLOOKUP(TableTERanks33[[#This Row],[Player]],TE!B:O,7,FALSE)</f>
        <v>4.2402277559593475</v>
      </c>
      <c r="AY23" s="58">
        <f>IFERROR(INDEX(TableTECalcPts[Custom],MATCH(TableTERanks33[[#This Row],[RK]],TableTECalcPts[RK],0)),"")</f>
        <v>98.061359137818485</v>
      </c>
      <c r="AZ23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24" spans="1:52" x14ac:dyDescent="0.2">
      <c r="A24">
        <v>23</v>
      </c>
      <c r="B24" t="str">
        <f>IFERROR(INDEX(TableQBCalcPts[PLAYER],MATCH(TableQBRanks30[[#This Row],[RK]],TableQBCalcPts[RK],0)),"")</f>
        <v>Jimmy Garoppolo</v>
      </c>
      <c r="C24" t="str">
        <f>IFERROR(INDEX(TableQBCalcPts[TM],MATCH(TableQBRanks30[[#This Row],[Player]],TableQBCalcPts[PLAYER],0)),"")</f>
        <v>LV</v>
      </c>
      <c r="D24">
        <f>IFERROR(INDEX(TableQBCalcPts[BYE],MATCH(TableQBRanks30[[#This Row],[Player]],TableQBCalcPts[PLAYER],0)),"")</f>
        <v>13</v>
      </c>
      <c r="E24" s="86">
        <f>VLOOKUP(TableQBRanks30[[#This Row],[Player]],QB!B:O,4,FALSE)</f>
        <v>542.29499999999996</v>
      </c>
      <c r="F24" s="86">
        <f>VLOOKUP(TableQBRanks30[[#This Row],[Player]],QB!B:O,5,FALSE)</f>
        <v>363.89972198767197</v>
      </c>
      <c r="G24" s="86">
        <f>VLOOKUP(TableQBRanks30[[#This Row],[Player]],QB!B:O,6,FALSE)</f>
        <v>4127.4649398998135</v>
      </c>
      <c r="H24" s="86">
        <f>VLOOKUP(TableQBRanks30[[#This Row],[Player]],QB!B:O,7,FALSE)</f>
        <v>25.109080817149369</v>
      </c>
      <c r="I24" s="86">
        <f>VLOOKUP(TableQBRanks30[[#This Row],[Player]],QB!B:O,8,FALSE)</f>
        <v>13.894698426490692</v>
      </c>
      <c r="J24" s="86">
        <f>VLOOKUP(TableQBRanks30[[#This Row],[Player]],QB!B:O,9,FALSE)</f>
        <v>30.579772999999999</v>
      </c>
      <c r="K24" s="86">
        <f>VLOOKUP(TableQBRanks30[[#This Row],[Player]],QB!B:O,10,FALSE)</f>
        <v>58.522448980284132</v>
      </c>
      <c r="L24" s="86">
        <f>VLOOKUP(TableQBRanks30[[#This Row],[Player]],QB!B:O,11,FALSE)</f>
        <v>1.652763725478072</v>
      </c>
      <c r="M24" s="58">
        <f>IFERROR(INDEX(TableQBCalcPts[Custom],MATCH(TableQBRanks30[[#This Row],[RK]],TableQBCalcPts[RK],0)),"")</f>
        <v>267.40904968899622</v>
      </c>
      <c r="N24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24">
        <v>23</v>
      </c>
      <c r="Q24" t="str">
        <f>IFERROR(INDEX(TableRBCalcPts[PLAYER],MATCH(TableRBRanks31[[#This Row],[RK]],TableRBCalcPts[RK],0)),"")</f>
        <v>Javonte Williams</v>
      </c>
      <c r="R24" t="str">
        <f>IFERROR(INDEX(TableRBCalcPts[TM],MATCH(TableRBRanks31[[#This Row],[Player]],TableRBCalcPts[PLAYER],0)),"")</f>
        <v>DEN</v>
      </c>
      <c r="S24">
        <f>IFERROR(INDEX(TableRBCalcPts[BYE],MATCH(TableRBRanks31[[#This Row],[Player]],TableRBCalcPts[PLAYER],0)),"")</f>
        <v>9</v>
      </c>
      <c r="T24" s="86">
        <f>VLOOKUP(TableRBRanks31[[#This Row],[Player]],RB!B:O,4,FALSE)</f>
        <v>210.92977079999997</v>
      </c>
      <c r="U24" s="86">
        <f>VLOOKUP(TableRBRanks31[[#This Row],[Player]],RB!B:O,5,FALSE)</f>
        <v>906.99801443999979</v>
      </c>
      <c r="V24" s="86">
        <f>VLOOKUP(TableRBRanks31[[#This Row],[Player]],RB!B:O,6,FALSE)</f>
        <v>8.2262610611999989</v>
      </c>
      <c r="W24" s="86">
        <f>VLOOKUP(TableRBRanks31[[#This Row],[Player]],RB!B:O,7,FALSE)</f>
        <v>43.234052400000003</v>
      </c>
      <c r="X24" s="86">
        <f>VLOOKUP(TableRBRanks31[[#This Row],[Player]],RB!B:O,8,FALSE)</f>
        <v>32.857593009495929</v>
      </c>
      <c r="Y24" s="86">
        <f>VLOOKUP(TableRBRanks31[[#This Row],[Player]],RB!B:O,9,FALSE)</f>
        <v>239.20327710913037</v>
      </c>
      <c r="Z24" s="86">
        <f>VLOOKUP(TableRBRanks31[[#This Row],[Player]],RB!B:O,10,FALSE)</f>
        <v>1.4128764994083249</v>
      </c>
      <c r="AA24" s="58">
        <f>IFERROR(INDEX(TableRBCalcPts[Custom],MATCH(TableRBRanks31[[#This Row],[RK]],TableRBCalcPts[RK],0)),"")</f>
        <v>188.88375102331094</v>
      </c>
      <c r="AB24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24.201219249168471</v>
      </c>
      <c r="AD24">
        <v>23</v>
      </c>
      <c r="AE24" t="str">
        <f>IFERROR(INDEX(TableWRCalcPts[PLAYER],MATCH(TableWRRanks32[[#This Row],[RK]],TableWRCalcPts[RK],0)),"")</f>
        <v>Mike Williams</v>
      </c>
      <c r="AF24" t="str">
        <f>IFERROR(INDEX(TableWRCalcPts[TM],MATCH(TableWRRanks32[[#This Row],[Player]],TableWRCalcPts[PLAYER],0)),"")</f>
        <v>LAC</v>
      </c>
      <c r="AG24">
        <f>IFERROR(INDEX(TableWRCalcPts[BYE],MATCH(TableWRRanks32[[#This Row],[Player]],TableWRCalcPts[PLAYER],0)),"")</f>
        <v>5</v>
      </c>
      <c r="AH24" s="86">
        <f>VLOOKUP(TableWRRanks32[[#This Row],[Player]],WR!B:O,4,FALSE)</f>
        <v>0</v>
      </c>
      <c r="AI24" s="86">
        <f>VLOOKUP(TableWRRanks32[[#This Row],[Player]],WR!B:O,5,FALSE)</f>
        <v>0</v>
      </c>
      <c r="AJ24" s="86">
        <f>VLOOKUP(TableWRRanks32[[#This Row],[Player]],WR!B:O,6,FALSE)</f>
        <v>118.85302799999999</v>
      </c>
      <c r="AK24" s="86">
        <f>VLOOKUP(TableWRRanks32[[#This Row],[Player]],WR!B:O,7,FALSE)</f>
        <v>75.828231864000003</v>
      </c>
      <c r="AL24" s="86">
        <f>VLOOKUP(TableWRRanks32[[#This Row],[Player]],WR!B:O,8,FALSE)</f>
        <v>1059.3203991400801</v>
      </c>
      <c r="AM24" s="86">
        <f>VLOOKUP(TableWRRanks32[[#This Row],[Player]],WR!B:O,9,FALSE)</f>
        <v>6.8245408677599997</v>
      </c>
      <c r="AN24" s="58">
        <f>IFERROR(INDEX(TableWRCalcPts[Custom],MATCH(TableWRRanks32[[#This Row],[RK]],TableWRCalcPts[RK],0)),"")</f>
        <v>184.79340105256802</v>
      </c>
      <c r="AO2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18.664931269423366</v>
      </c>
      <c r="AQ24">
        <v>23</v>
      </c>
      <c r="AR24" t="str">
        <f>IFERROR(INDEX(TableTECalcPts[PLAYER],MATCH(TableTERanks33[[#This Row],[RK]],TableTECalcPts[RK],0)),"")</f>
        <v>Luke Musgrave</v>
      </c>
      <c r="AS24" t="str">
        <f>IFERROR(INDEX(TableTECalcPts[TM],MATCH(TableTERanks33[[#This Row],[Player]],TableTECalcPts[PLAYER],0)),"")</f>
        <v>GB</v>
      </c>
      <c r="AT24">
        <f>IFERROR(INDEX(TableTECalcPts[BYE],MATCH(TableTERanks33[[#This Row],[Player]],TableTECalcPts[PLAYER],0)),"")</f>
        <v>6</v>
      </c>
      <c r="AU24" s="86">
        <f>VLOOKUP(TableTERanks33[[#This Row],[Player]],TE!B:O,4,FALSE)</f>
        <v>70.733789279999996</v>
      </c>
      <c r="AV24" s="86">
        <f>VLOOKUP(TableTERanks33[[#This Row],[Player]],TE!B:O,5,FALSE)</f>
        <v>46.773212267423354</v>
      </c>
      <c r="AW24" s="86">
        <f>VLOOKUP(TableTERanks33[[#This Row],[Player]],TE!B:O,6,FALSE)</f>
        <v>502.81203187480105</v>
      </c>
      <c r="AX24" s="86">
        <f>VLOOKUP(TableTERanks33[[#This Row],[Player]],TE!B:O,7,FALSE)</f>
        <v>4.0224962549984085</v>
      </c>
      <c r="AY24" s="58">
        <f>IFERROR(INDEX(TableTECalcPts[Custom],MATCH(TableTERanks33[[#This Row],[RK]],TableTECalcPts[RK],0)),"")</f>
        <v>97.802786851182233</v>
      </c>
      <c r="AZ24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25" spans="1:52" x14ac:dyDescent="0.2">
      <c r="A25">
        <v>24</v>
      </c>
      <c r="B25" t="str">
        <f>IFERROR(INDEX(TableQBCalcPts[PLAYER],MATCH(TableQBRanks30[[#This Row],[RK]],TableQBCalcPts[RK],0)),"")</f>
        <v>Kenny Pickett</v>
      </c>
      <c r="C25" t="str">
        <f>IFERROR(INDEX(TableQBCalcPts[TM],MATCH(TableQBRanks30[[#This Row],[Player]],TableQBCalcPts[PLAYER],0)),"")</f>
        <v>PIT</v>
      </c>
      <c r="D25">
        <f>IFERROR(INDEX(TableQBCalcPts[BYE],MATCH(TableQBRanks30[[#This Row],[Player]],TableQBCalcPts[PLAYER],0)),"")</f>
        <v>6</v>
      </c>
      <c r="E25" s="86">
        <f>VLOOKUP(TableQBRanks30[[#This Row],[Player]],QB!B:O,4,FALSE)</f>
        <v>559.49775</v>
      </c>
      <c r="F25" s="86">
        <f>VLOOKUP(TableQBRanks30[[#This Row],[Player]],QB!B:O,5,FALSE)</f>
        <v>358.99556788353641</v>
      </c>
      <c r="G25" s="86">
        <f>VLOOKUP(TableQBRanks30[[#This Row],[Player]],QB!B:O,6,FALSE)</f>
        <v>3760.0993396576532</v>
      </c>
      <c r="H25" s="86">
        <f>VLOOKUP(TableQBRanks30[[#This Row],[Player]],QB!B:O,7,FALSE)</f>
        <v>20.10375180147804</v>
      </c>
      <c r="I25" s="86">
        <f>VLOOKUP(TableQBRanks30[[#This Row],[Player]],QB!B:O,8,FALSE)</f>
        <v>11.702218747879131</v>
      </c>
      <c r="J25" s="86">
        <f>VLOOKUP(TableQBRanks30[[#This Row],[Player]],QB!B:O,9,FALSE)</f>
        <v>60.182873099999995</v>
      </c>
      <c r="K25" s="86">
        <f>VLOOKUP(TableQBRanks30[[#This Row],[Player]],QB!B:O,10,FALSE)</f>
        <v>247.95343717199998</v>
      </c>
      <c r="L25" s="86">
        <f>VLOOKUP(TableQBRanks30[[#This Row],[Player]],QB!B:O,11,FALSE)</f>
        <v>3.3100580204999996</v>
      </c>
      <c r="M25" s="58">
        <f>IFERROR(INDEX(TableQBCalcPts[Custom],MATCH(TableQBRanks30[[#This Row],[RK]],TableQBCalcPts[RK],0)),"")</f>
        <v>263.77245388453917</v>
      </c>
      <c r="N25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25">
        <v>24</v>
      </c>
      <c r="Q25" t="str">
        <f>IFERROR(INDEX(TableRBCalcPts[PLAYER],MATCH(TableRBRanks31[[#This Row],[RK]],TableRBCalcPts[RK],0)),"")</f>
        <v>Samaje Perine</v>
      </c>
      <c r="R25" t="str">
        <f>IFERROR(INDEX(TableRBCalcPts[TM],MATCH(TableRBRanks31[[#This Row],[Player]],TableRBCalcPts[PLAYER],0)),"")</f>
        <v>DEN</v>
      </c>
      <c r="S25">
        <f>IFERROR(INDEX(TableRBCalcPts[BYE],MATCH(TableRBRanks31[[#This Row],[Player]],TableRBCalcPts[PLAYER],0)),"")</f>
        <v>9</v>
      </c>
      <c r="T25" s="86">
        <f>VLOOKUP(TableRBRanks31[[#This Row],[Player]],RB!B:O,4,FALSE)</f>
        <v>205.66848399999998</v>
      </c>
      <c r="U25" s="86">
        <f>VLOOKUP(TableRBRanks31[[#This Row],[Player]],RB!B:O,5,FALSE)</f>
        <v>904.94132960000002</v>
      </c>
      <c r="V25" s="86">
        <f>VLOOKUP(TableRBRanks31[[#This Row],[Player]],RB!B:O,6,FALSE)</f>
        <v>7.8154023919999993</v>
      </c>
      <c r="W25" s="86">
        <f>VLOOKUP(TableRBRanks31[[#This Row],[Player]],RB!B:O,7,FALSE)</f>
        <v>42.6725712</v>
      </c>
      <c r="X25" s="86">
        <f>VLOOKUP(TableRBRanks31[[#This Row],[Player]],RB!B:O,8,FALSE)</f>
        <v>32.288758597727011</v>
      </c>
      <c r="Y25" s="86">
        <f>VLOOKUP(TableRBRanks31[[#This Row],[Player]],RB!B:O,9,FALSE)</f>
        <v>241.19702672502075</v>
      </c>
      <c r="Z25" s="86">
        <f>VLOOKUP(TableRBRanks31[[#This Row],[Player]],RB!B:O,10,FALSE)</f>
        <v>1.3884166197022614</v>
      </c>
      <c r="AA25" s="58">
        <f>IFERROR(INDEX(TableRBCalcPts[Custom],MATCH(TableRBRanks31[[#This Row],[RK]],TableRBCalcPts[RK],0)),"")</f>
        <v>185.98112900157915</v>
      </c>
      <c r="AB25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23.143614486595496</v>
      </c>
      <c r="AD25">
        <v>24</v>
      </c>
      <c r="AE25" t="str">
        <f>IFERROR(INDEX(TableWRCalcPts[PLAYER],MATCH(TableWRRanks32[[#This Row],[RK]],TableWRCalcPts[RK],0)),"")</f>
        <v>Amari Cooper</v>
      </c>
      <c r="AF25" t="str">
        <f>IFERROR(INDEX(TableWRCalcPts[TM],MATCH(TableWRRanks32[[#This Row],[Player]],TableWRCalcPts[PLAYER],0)),"")</f>
        <v>CLE</v>
      </c>
      <c r="AG25">
        <f>IFERROR(INDEX(TableWRCalcPts[BYE],MATCH(TableWRRanks32[[#This Row],[Player]],TableWRCalcPts[PLAYER],0)),"")</f>
        <v>5</v>
      </c>
      <c r="AH25" s="86">
        <f>VLOOKUP(TableWRRanks32[[#This Row],[Player]],WR!B:O,4,FALSE)</f>
        <v>0</v>
      </c>
      <c r="AI25" s="86">
        <f>VLOOKUP(TableWRRanks32[[#This Row],[Player]],WR!B:O,5,FALSE)</f>
        <v>0</v>
      </c>
      <c r="AJ25" s="86">
        <f>VLOOKUP(TableWRRanks32[[#This Row],[Player]],WR!B:O,6,FALSE)</f>
        <v>123.27802199999999</v>
      </c>
      <c r="AK25" s="86">
        <f>VLOOKUP(TableWRRanks32[[#This Row],[Player]],WR!B:O,7,FALSE)</f>
        <v>78.649828128964074</v>
      </c>
      <c r="AL25" s="86">
        <f>VLOOKUP(TableWRRanks32[[#This Row],[Player]],WR!B:O,8,FALSE)</f>
        <v>1030.3127484894294</v>
      </c>
      <c r="AM25" s="86">
        <f>VLOOKUP(TableWRRanks32[[#This Row],[Player]],WR!B:O,9,FALSE)</f>
        <v>6.9211848753488381</v>
      </c>
      <c r="AN25" s="58">
        <f>IFERROR(INDEX(TableWRCalcPts[Custom],MATCH(TableWRRanks32[[#This Row],[RK]],TableWRCalcPts[RK],0)),"")</f>
        <v>183.883298165518</v>
      </c>
      <c r="AO2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18.353250544716328</v>
      </c>
      <c r="AQ25">
        <v>24</v>
      </c>
      <c r="AR25" t="str">
        <f>IFERROR(INDEX(TableTECalcPts[PLAYER],MATCH(TableTERanks33[[#This Row],[RK]],TableTECalcPts[RK],0)),"")</f>
        <v>Noah Fant</v>
      </c>
      <c r="AS25" t="str">
        <f>IFERROR(INDEX(TableTECalcPts[TM],MATCH(TableTERanks33[[#This Row],[Player]],TableTECalcPts[PLAYER],0)),"")</f>
        <v>SEA</v>
      </c>
      <c r="AT25">
        <f>IFERROR(INDEX(TableTECalcPts[BYE],MATCH(TableTERanks33[[#This Row],[Player]],TableTECalcPts[PLAYER],0)),"")</f>
        <v>5</v>
      </c>
      <c r="AU25" s="86">
        <f>VLOOKUP(TableTERanks33[[#This Row],[Player]],TE!B:O,4,FALSE)</f>
        <v>64.599796799999993</v>
      </c>
      <c r="AV25" s="86">
        <f>VLOOKUP(TableTERanks33[[#This Row],[Player]],TE!B:O,5,FALSE)</f>
        <v>47.044538013627665</v>
      </c>
      <c r="AW25" s="86">
        <f>VLOOKUP(TableTERanks33[[#This Row],[Player]],TE!B:O,6,FALSE)</f>
        <v>478.08159677085217</v>
      </c>
      <c r="AX25" s="86">
        <f>VLOOKUP(TableTERanks33[[#This Row],[Player]],TE!B:O,7,FALSE)</f>
        <v>4.2340084212264895</v>
      </c>
      <c r="AY25" s="58">
        <f>IFERROR(INDEX(TableTECalcPts[Custom],MATCH(TableTERanks33[[#This Row],[RK]],TableTECalcPts[RK],0)),"")</f>
        <v>96.734479211257991</v>
      </c>
      <c r="AZ25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26" spans="1:52" x14ac:dyDescent="0.2">
      <c r="A26">
        <v>25</v>
      </c>
      <c r="B26" t="str">
        <f>IFERROR(INDEX(TableQBCalcPts[PLAYER],MATCH(TableQBRanks30[[#This Row],[RK]],TableQBCalcPts[RK],0)),"")</f>
        <v>Brock Purdy</v>
      </c>
      <c r="C26" t="str">
        <f>IFERROR(INDEX(TableQBCalcPts[TM],MATCH(TableQBRanks30[[#This Row],[Player]],TableQBCalcPts[PLAYER],0)),"")</f>
        <v>SF</v>
      </c>
      <c r="D26">
        <f>IFERROR(INDEX(TableQBCalcPts[BYE],MATCH(TableQBRanks30[[#This Row],[Player]],TableQBCalcPts[PLAYER],0)),"")</f>
        <v>9</v>
      </c>
      <c r="E26" s="86">
        <f>VLOOKUP(TableQBRanks30[[#This Row],[Player]],QB!B:O,4,FALSE)</f>
        <v>499.27154999999993</v>
      </c>
      <c r="F26" s="86">
        <f>VLOOKUP(TableQBRanks30[[#This Row],[Player]],QB!B:O,5,FALSE)</f>
        <v>331.41645488999995</v>
      </c>
      <c r="G26" s="86">
        <f>VLOOKUP(TableQBRanks30[[#This Row],[Player]],QB!B:O,6,FALSE)</f>
        <v>3831.0891816412814</v>
      </c>
      <c r="H26" s="86">
        <f>VLOOKUP(TableQBRanks30[[#This Row],[Player]],QB!B:O,7,FALSE)</f>
        <v>25.680823869983815</v>
      </c>
      <c r="I26" s="86">
        <f>VLOOKUP(TableQBRanks30[[#This Row],[Player]],QB!B:O,8,FALSE)</f>
        <v>11.439424053314205</v>
      </c>
      <c r="J26" s="86">
        <f>VLOOKUP(TableQBRanks30[[#This Row],[Player]],QB!B:O,9,FALSE)</f>
        <v>41.038558399999999</v>
      </c>
      <c r="K26" s="86">
        <f>VLOOKUP(TableQBRanks30[[#This Row],[Player]],QB!B:O,10,FALSE)</f>
        <v>109.572950928</v>
      </c>
      <c r="L26" s="86">
        <f>VLOOKUP(TableQBRanks30[[#This Row],[Player]],QB!B:O,11,FALSE)</f>
        <v>0.9028482847999999</v>
      </c>
      <c r="M26" s="58">
        <f>IFERROR(INDEX(TableQBCalcPts[Custom],MATCH(TableQBRanks30[[#This Row],[RK]],TableQBCalcPts[RK],0)),"")</f>
        <v>260.90182349387231</v>
      </c>
      <c r="N26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26">
        <v>25</v>
      </c>
      <c r="Q26" t="str">
        <f>IFERROR(INDEX(TableRBCalcPts[PLAYER],MATCH(TableRBRanks31[[#This Row],[RK]],TableRBCalcPts[RK],0)),"")</f>
        <v>James Conner</v>
      </c>
      <c r="R26" t="str">
        <f>IFERROR(INDEX(TableRBCalcPts[TM],MATCH(TableRBRanks31[[#This Row],[Player]],TableRBCalcPts[PLAYER],0)),"")</f>
        <v>ARI</v>
      </c>
      <c r="S26">
        <f>IFERROR(INDEX(TableRBCalcPts[BYE],MATCH(TableRBRanks31[[#This Row],[Player]],TableRBCalcPts[PLAYER],0)),"")</f>
        <v>14</v>
      </c>
      <c r="T26" s="86">
        <f>VLOOKUP(TableRBRanks31[[#This Row],[Player]],RB!B:O,4,FALSE)</f>
        <v>213.36535500000002</v>
      </c>
      <c r="U26" s="86">
        <f>VLOOKUP(TableRBRanks31[[#This Row],[Player]],RB!B:O,5,FALSE)</f>
        <v>879.0652626000001</v>
      </c>
      <c r="V26" s="86">
        <f>VLOOKUP(TableRBRanks31[[#This Row],[Player]],RB!B:O,6,FALSE)</f>
        <v>7.0410567150000007</v>
      </c>
      <c r="W26" s="86">
        <f>VLOOKUP(TableRBRanks31[[#This Row],[Player]],RB!B:O,7,FALSE)</f>
        <v>49.841085000000007</v>
      </c>
      <c r="X26" s="86">
        <f>VLOOKUP(TableRBRanks31[[#This Row],[Player]],RB!B:O,8,FALSE)</f>
        <v>38.776364130000005</v>
      </c>
      <c r="Y26" s="86">
        <f>VLOOKUP(TableRBRanks31[[#This Row],[Player]],RB!B:O,9,FALSE)</f>
        <v>281.90416722510003</v>
      </c>
      <c r="Z26" s="86">
        <f>VLOOKUP(TableRBRanks31[[#This Row],[Player]],RB!B:O,10,FALSE)</f>
        <v>1.3571727445500004</v>
      </c>
      <c r="AA26" s="58">
        <f>IFERROR(INDEX(TableRBCalcPts[Custom],MATCH(TableRBRanks31[[#This Row],[RK]],TableRBCalcPts[RK],0)),"")</f>
        <v>185.87450180481002</v>
      </c>
      <c r="AB26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23.104763602712399</v>
      </c>
      <c r="AD26">
        <v>25</v>
      </c>
      <c r="AE26" t="str">
        <f>IFERROR(INDEX(TableWRCalcPts[PLAYER],MATCH(TableWRRanks32[[#This Row],[RK]],TableWRCalcPts[RK],0)),"")</f>
        <v>DJ Moore</v>
      </c>
      <c r="AF26" t="str">
        <f>IFERROR(INDEX(TableWRCalcPts[TM],MATCH(TableWRRanks32[[#This Row],[Player]],TableWRCalcPts[PLAYER],0)),"")</f>
        <v>CHI</v>
      </c>
      <c r="AG26">
        <f>IFERROR(INDEX(TableWRCalcPts[BYE],MATCH(TableWRRanks32[[#This Row],[Player]],TableWRCalcPts[PLAYER],0)),"")</f>
        <v>13</v>
      </c>
      <c r="AH26" s="86">
        <f>VLOOKUP(TableWRRanks32[[#This Row],[Player]],WR!B:O,4,FALSE)</f>
        <v>32.281688763447846</v>
      </c>
      <c r="AI26" s="86">
        <f>VLOOKUP(TableWRRanks32[[#This Row],[Player]],WR!B:O,5,FALSE)</f>
        <v>0.40743539200000001</v>
      </c>
      <c r="AJ26" s="86">
        <f>VLOOKUP(TableWRRanks32[[#This Row],[Player]],WR!B:O,6,FALSE)</f>
        <v>110.60592815999999</v>
      </c>
      <c r="AK26" s="86">
        <f>VLOOKUP(TableWRRanks32[[#This Row],[Player]],WR!B:O,7,FALSE)</f>
        <v>68.133251746559992</v>
      </c>
      <c r="AL26" s="86">
        <f>VLOOKUP(TableWRRanks32[[#This Row],[Player]],WR!B:O,8,FALSE)</f>
        <v>964.64658978249417</v>
      </c>
      <c r="AM26" s="86">
        <f>VLOOKUP(TableWRRanks32[[#This Row],[Player]],WR!B:O,9,FALSE)</f>
        <v>7.7671906991078394</v>
      </c>
      <c r="AN26" s="58">
        <f>IFERROR(INDEX(TableWRCalcPts[Custom],MATCH(TableWRRanks32[[#This Row],[RK]],TableWRCalcPts[RK],0)),"")</f>
        <v>182.80721027452122</v>
      </c>
      <c r="AO2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17.984725338954718</v>
      </c>
      <c r="AQ26">
        <v>25</v>
      </c>
      <c r="AR26" t="str">
        <f>IFERROR(INDEX(TableTECalcPts[PLAYER],MATCH(TableTERanks33[[#This Row],[RK]],TableTECalcPts[RK],0)),"")</f>
        <v>Trey McBride</v>
      </c>
      <c r="AS26" t="str">
        <f>IFERROR(INDEX(TableTECalcPts[TM],MATCH(TableTERanks33[[#This Row],[Player]],TableTECalcPts[PLAYER],0)),"")</f>
        <v>ARI</v>
      </c>
      <c r="AT26">
        <f>IFERROR(INDEX(TableTECalcPts[BYE],MATCH(TableTERanks33[[#This Row],[Player]],TableTECalcPts[PLAYER],0)),"")</f>
        <v>14</v>
      </c>
      <c r="AU26" s="86">
        <f>VLOOKUP(TableTERanks33[[#This Row],[Player]],TE!B:O,4,FALSE)</f>
        <v>74.461380000000005</v>
      </c>
      <c r="AV26" s="86">
        <f>VLOOKUP(TableTERanks33[[#This Row],[Player]],TE!B:O,5,FALSE)</f>
        <v>47.655283200000007</v>
      </c>
      <c r="AW26" s="86">
        <f>VLOOKUP(TableTERanks33[[#This Row],[Player]],TE!B:O,6,FALSE)</f>
        <v>484.17767731200007</v>
      </c>
      <c r="AX26" s="86">
        <f>VLOOKUP(TableTERanks33[[#This Row],[Player]],TE!B:O,7,FALSE)</f>
        <v>3.5264909568000005</v>
      </c>
      <c r="AY26" s="58">
        <f>IFERROR(INDEX(TableTECalcPts[Custom],MATCH(TableTERanks33[[#This Row],[RK]],TableTECalcPts[RK],0)),"")</f>
        <v>93.404355072000016</v>
      </c>
      <c r="AZ26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27" spans="1:52" x14ac:dyDescent="0.2">
      <c r="A27">
        <v>26</v>
      </c>
      <c r="B27" t="str">
        <f>IFERROR(INDEX(TableQBCalcPts[PLAYER],MATCH(TableQBRanks30[[#This Row],[RK]],TableQBCalcPts[RK],0)),"")</f>
        <v>Derek Carr</v>
      </c>
      <c r="C27" t="str">
        <f>IFERROR(INDEX(TableQBCalcPts[TM],MATCH(TableQBRanks30[[#This Row],[Player]],TableQBCalcPts[PLAYER],0)),"")</f>
        <v>NO</v>
      </c>
      <c r="D27">
        <f>IFERROR(INDEX(TableQBCalcPts[BYE],MATCH(TableQBRanks30[[#This Row],[Player]],TableQBCalcPts[PLAYER],0)),"")</f>
        <v>11</v>
      </c>
      <c r="E27" s="86">
        <f>VLOOKUP(TableQBRanks30[[#This Row],[Player]],QB!B:O,4,FALSE)</f>
        <v>518.37239999999997</v>
      </c>
      <c r="F27" s="86">
        <f>VLOOKUP(TableQBRanks30[[#This Row],[Player]],QB!B:O,5,FALSE)</f>
        <v>345.75439080000001</v>
      </c>
      <c r="G27" s="86">
        <f>VLOOKUP(TableQBRanks30[[#This Row],[Player]],QB!B:O,6,FALSE)</f>
        <v>3941.6000551200004</v>
      </c>
      <c r="H27" s="86">
        <f>VLOOKUP(TableQBRanks30[[#This Row],[Player]],QB!B:O,7,FALSE)</f>
        <v>25.5858249192</v>
      </c>
      <c r="I27" s="86">
        <f>VLOOKUP(TableQBRanks30[[#This Row],[Player]],QB!B:O,8,FALSE)</f>
        <v>12.762952847056509</v>
      </c>
      <c r="J27" s="86">
        <f>VLOOKUP(TableQBRanks30[[#This Row],[Player]],QB!B:O,9,FALSE)</f>
        <v>27.411521199999999</v>
      </c>
      <c r="K27" s="86">
        <f>VLOOKUP(TableQBRanks30[[#This Row],[Player]],QB!B:O,10,FALSE)</f>
        <v>94.517947385877136</v>
      </c>
      <c r="L27" s="86">
        <f>VLOOKUP(TableQBRanks30[[#This Row],[Player]],QB!B:O,11,FALSE)</f>
        <v>0.497336619910278</v>
      </c>
      <c r="M27" s="58">
        <f>IFERROR(INDEX(TableQBCalcPts[Custom],MATCH(TableQBRanks30[[#This Row],[RK]],TableQBCalcPts[RK],0)),"")</f>
        <v>259.6801634925929</v>
      </c>
      <c r="N27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27">
        <v>26</v>
      </c>
      <c r="Q27" t="str">
        <f>IFERROR(INDEX(TableRBCalcPts[PLAYER],MATCH(TableRBRanks31[[#This Row],[RK]],TableRBCalcPts[RK],0)),"")</f>
        <v>Breece Hall</v>
      </c>
      <c r="R27" t="str">
        <f>IFERROR(INDEX(TableRBCalcPts[TM],MATCH(TableRBRanks31[[#This Row],[Player]],TableRBCalcPts[PLAYER],0)),"")</f>
        <v>NYJ</v>
      </c>
      <c r="S27">
        <f>IFERROR(INDEX(TableRBCalcPts[BYE],MATCH(TableRBRanks31[[#This Row],[Player]],TableRBCalcPts[PLAYER],0)),"")</f>
        <v>7</v>
      </c>
      <c r="T27" s="86">
        <f>VLOOKUP(TableRBRanks31[[#This Row],[Player]],RB!B:O,4,FALSE)</f>
        <v>174.69354639593911</v>
      </c>
      <c r="U27" s="86">
        <f>VLOOKUP(TableRBRanks31[[#This Row],[Player]],RB!B:O,5,FALSE)</f>
        <v>796.60257156548232</v>
      </c>
      <c r="V27" s="86">
        <f>VLOOKUP(TableRBRanks31[[#This Row],[Player]],RB!B:O,6,FALSE)</f>
        <v>7.3371289486294433</v>
      </c>
      <c r="W27" s="86">
        <f>VLOOKUP(TableRBRanks31[[#This Row],[Player]],RB!B:O,7,FALSE)</f>
        <v>51.722552699999994</v>
      </c>
      <c r="X27" s="86">
        <f>VLOOKUP(TableRBRanks31[[#This Row],[Player]],RB!B:O,8,FALSE)</f>
        <v>37.395405602099991</v>
      </c>
      <c r="Y27" s="86">
        <f>VLOOKUP(TableRBRanks31[[#This Row],[Player]],RB!B:O,9,FALSE)</f>
        <v>304.88295483841551</v>
      </c>
      <c r="Z27" s="86">
        <f>VLOOKUP(TableRBRanks31[[#This Row],[Player]],RB!B:O,10,FALSE)</f>
        <v>1.9071656857070995</v>
      </c>
      <c r="AA27" s="58">
        <f>IFERROR(INDEX(TableRBCalcPts[Custom],MATCH(TableRBRanks31[[#This Row],[RK]],TableRBCalcPts[RK],0)),"")</f>
        <v>184.31202324745902</v>
      </c>
      <c r="AB27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22.535456007269211</v>
      </c>
      <c r="AD27">
        <v>26</v>
      </c>
      <c r="AE27" t="str">
        <f>IFERROR(INDEX(TableWRCalcPts[PLAYER],MATCH(TableWRRanks32[[#This Row],[RK]],TableWRCalcPts[RK],0)),"")</f>
        <v>Tyler Lockett</v>
      </c>
      <c r="AF27" t="str">
        <f>IFERROR(INDEX(TableWRCalcPts[TM],MATCH(TableWRRanks32[[#This Row],[Player]],TableWRCalcPts[PLAYER],0)),"")</f>
        <v>SEA</v>
      </c>
      <c r="AG27">
        <f>IFERROR(INDEX(TableWRCalcPts[BYE],MATCH(TableWRRanks32[[#This Row],[Player]],TableWRCalcPts[PLAYER],0)),"")</f>
        <v>5</v>
      </c>
      <c r="AH27" s="86">
        <f>VLOOKUP(TableWRRanks32[[#This Row],[Player]],WR!B:O,4,FALSE)</f>
        <v>0</v>
      </c>
      <c r="AI27" s="86">
        <f>VLOOKUP(TableWRRanks32[[#This Row],[Player]],WR!B:O,5,FALSE)</f>
        <v>0</v>
      </c>
      <c r="AJ27" s="86">
        <f>VLOOKUP(TableWRRanks32[[#This Row],[Player]],WR!B:O,6,FALSE)</f>
        <v>118.62871775999999</v>
      </c>
      <c r="AK27" s="86">
        <f>VLOOKUP(TableWRRanks32[[#This Row],[Player]],WR!B:O,7,FALSE)</f>
        <v>79.499860399075558</v>
      </c>
      <c r="AL27" s="86">
        <f>VLOOKUP(TableWRRanks32[[#This Row],[Player]],WR!B:O,8,FALSE)</f>
        <v>1009.6482270682595</v>
      </c>
      <c r="AM27" s="86">
        <f>VLOOKUP(TableWRRanks32[[#This Row],[Player]],WR!B:O,9,FALSE)</f>
        <v>6.5984884131232713</v>
      </c>
      <c r="AN27" s="58">
        <f>IFERROR(INDEX(TableWRCalcPts[Custom],MATCH(TableWRRanks32[[#This Row],[RK]],TableWRCalcPts[RK],0)),"")</f>
        <v>180.30568338510338</v>
      </c>
      <c r="AO2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17.128033502392011</v>
      </c>
      <c r="AQ27">
        <v>26</v>
      </c>
      <c r="AR27" t="str">
        <f>IFERROR(INDEX(TableTECalcPts[PLAYER],MATCH(TableTERanks33[[#This Row],[RK]],TableTECalcPts[RK],0)),"")</f>
        <v>Michael Mayer</v>
      </c>
      <c r="AS27" t="str">
        <f>IFERROR(INDEX(TableTECalcPts[TM],MATCH(TableTERanks33[[#This Row],[Player]],TableTECalcPts[PLAYER],0)),"")</f>
        <v>LV</v>
      </c>
      <c r="AT27">
        <f>IFERROR(INDEX(TableTECalcPts[BYE],MATCH(TableTERanks33[[#This Row],[Player]],TableTECalcPts[PLAYER],0)),"")</f>
        <v>13</v>
      </c>
      <c r="AU27" s="86">
        <f>VLOOKUP(TableTERanks33[[#This Row],[Player]],TE!B:O,4,FALSE)</f>
        <v>65.545389</v>
      </c>
      <c r="AV27" s="86">
        <f>VLOOKUP(TableTERanks33[[#This Row],[Player]],TE!B:O,5,FALSE)</f>
        <v>44.069829796177089</v>
      </c>
      <c r="AW27" s="86">
        <f>VLOOKUP(TableTERanks33[[#This Row],[Player]],TE!B:O,6,FALSE)</f>
        <v>482.55391213149016</v>
      </c>
      <c r="AX27" s="86">
        <f>VLOOKUP(TableTERanks33[[#This Row],[Player]],TE!B:O,7,FALSE)</f>
        <v>3.7459355326750527</v>
      </c>
      <c r="AY27" s="58">
        <f>IFERROR(INDEX(TableTECalcPts[Custom],MATCH(TableTERanks33[[#This Row],[RK]],TableTECalcPts[RK],0)),"")</f>
        <v>92.765919307287874</v>
      </c>
      <c r="AZ27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28" spans="1:52" x14ac:dyDescent="0.2">
      <c r="A28">
        <v>27</v>
      </c>
      <c r="B28" t="str">
        <f>IFERROR(INDEX(TableQBCalcPts[PLAYER],MATCH(TableQBRanks30[[#This Row],[RK]],TableQBCalcPts[RK],0)),"")</f>
        <v>C.J. Stroud</v>
      </c>
      <c r="C28" t="str">
        <f>IFERROR(INDEX(TableQBCalcPts[TM],MATCH(TableQBRanks30[[#This Row],[Player]],TableQBCalcPts[PLAYER],0)),"")</f>
        <v>HOU</v>
      </c>
      <c r="D28">
        <f>IFERROR(INDEX(TableQBCalcPts[BYE],MATCH(TableQBRanks30[[#This Row],[Player]],TableQBCalcPts[PLAYER],0)),"")</f>
        <v>7</v>
      </c>
      <c r="E28" s="86">
        <f>VLOOKUP(TableQBRanks30[[#This Row],[Player]],QB!B:O,4,FALSE)</f>
        <v>557.65688</v>
      </c>
      <c r="F28" s="86">
        <f>VLOOKUP(TableQBRanks30[[#This Row],[Player]],QB!B:O,5,FALSE)</f>
        <v>346.49565326417127</v>
      </c>
      <c r="G28" s="86">
        <f>VLOOKUP(TableQBRanks30[[#This Row],[Player]],QB!B:O,6,FALSE)</f>
        <v>3825.3120120364506</v>
      </c>
      <c r="H28" s="86">
        <f>VLOOKUP(TableQBRanks30[[#This Row],[Player]],QB!B:O,7,FALSE)</f>
        <v>23.249858334025895</v>
      </c>
      <c r="I28" s="86">
        <f>VLOOKUP(TableQBRanks30[[#This Row],[Player]],QB!B:O,8,FALSE)</f>
        <v>14.500165092478301</v>
      </c>
      <c r="J28" s="86">
        <f>VLOOKUP(TableQBRanks30[[#This Row],[Player]],QB!B:O,9,FALSE)</f>
        <v>40.492267199999993</v>
      </c>
      <c r="K28" s="86">
        <f>VLOOKUP(TableQBRanks30[[#This Row],[Player]],QB!B:O,10,FALSE)</f>
        <v>153.69788333470098</v>
      </c>
      <c r="L28" s="86">
        <f>VLOOKUP(TableQBRanks30[[#This Row],[Player]],QB!B:O,11,FALSE)</f>
        <v>1.9031365583999997</v>
      </c>
      <c r="M28" s="58">
        <f>IFERROR(INDEX(TableQBCalcPts[Custom],MATCH(TableQBRanks30[[#This Row],[RK]],TableQBCalcPts[RK],0)),"")</f>
        <v>258.30035640895341</v>
      </c>
      <c r="N28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28">
        <v>27</v>
      </c>
      <c r="Q28" t="str">
        <f>IFERROR(INDEX(TableRBCalcPts[PLAYER],MATCH(TableRBRanks31[[#This Row],[RK]],TableRBCalcPts[RK],0)),"")</f>
        <v>James Cook</v>
      </c>
      <c r="R28" t="str">
        <f>IFERROR(INDEX(TableRBCalcPts[TM],MATCH(TableRBRanks31[[#This Row],[Player]],TableRBCalcPts[PLAYER],0)),"")</f>
        <v>BUF</v>
      </c>
      <c r="S28">
        <f>IFERROR(INDEX(TableRBCalcPts[BYE],MATCH(TableRBRanks31[[#This Row],[Player]],TableRBCalcPts[PLAYER],0)),"")</f>
        <v>13</v>
      </c>
      <c r="T28" s="86">
        <f>VLOOKUP(TableRBRanks31[[#This Row],[Player]],RB!B:O,4,FALSE)</f>
        <v>175.50918000000004</v>
      </c>
      <c r="U28" s="86">
        <f>VLOOKUP(TableRBRanks31[[#This Row],[Player]],RB!B:O,5,FALSE)</f>
        <v>856.94493228699912</v>
      </c>
      <c r="V28" s="86">
        <f>VLOOKUP(TableRBRanks31[[#This Row],[Player]],RB!B:O,6,FALSE)</f>
        <v>5.4407845800000016</v>
      </c>
      <c r="W28" s="86">
        <f>VLOOKUP(TableRBRanks31[[#This Row],[Player]],RB!B:O,7,FALSE)</f>
        <v>56.44408</v>
      </c>
      <c r="X28" s="86">
        <f>VLOOKUP(TableRBRanks31[[#This Row],[Player]],RB!B:O,8,FALSE)</f>
        <v>40.31128262375848</v>
      </c>
      <c r="Y28" s="86">
        <f>VLOOKUP(TableRBRanks31[[#This Row],[Player]],RB!B:O,9,FALSE)</f>
        <v>308.20688303593988</v>
      </c>
      <c r="Z28" s="86">
        <f>VLOOKUP(TableRBRanks31[[#This Row],[Player]],RB!B:O,10,FALSE)</f>
        <v>2.176809261682958</v>
      </c>
      <c r="AA28" s="58">
        <f>IFERROR(INDEX(TableRBCalcPts[Custom],MATCH(TableRBRanks31[[#This Row],[RK]],TableRBCalcPts[RK],0)),"")</f>
        <v>182.3763858942709</v>
      </c>
      <c r="AB28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21.830183578403489</v>
      </c>
      <c r="AD28">
        <v>27</v>
      </c>
      <c r="AE28" t="str">
        <f>IFERROR(INDEX(TableWRCalcPts[PLAYER],MATCH(TableWRRanks32[[#This Row],[RK]],TableWRCalcPts[RK],0)),"")</f>
        <v>Jordan Addison</v>
      </c>
      <c r="AF28" t="str">
        <f>IFERROR(INDEX(TableWRCalcPts[TM],MATCH(TableWRRanks32[[#This Row],[Player]],TableWRCalcPts[PLAYER],0)),"")</f>
        <v>MIN</v>
      </c>
      <c r="AG28">
        <f>IFERROR(INDEX(TableWRCalcPts[BYE],MATCH(TableWRRanks32[[#This Row],[Player]],TableWRCalcPts[PLAYER],0)),"")</f>
        <v>13</v>
      </c>
      <c r="AH28" s="86">
        <f>VLOOKUP(TableWRRanks32[[#This Row],[Player]],WR!B:O,4,FALSE)</f>
        <v>0</v>
      </c>
      <c r="AI28" s="86">
        <f>VLOOKUP(TableWRRanks32[[#This Row],[Player]],WR!B:O,5,FALSE)</f>
        <v>0</v>
      </c>
      <c r="AJ28" s="86">
        <f>VLOOKUP(TableWRRanks32[[#This Row],[Player]],WR!B:O,6,FALSE)</f>
        <v>127.31158439999994</v>
      </c>
      <c r="AK28" s="86">
        <f>VLOOKUP(TableWRRanks32[[#This Row],[Player]],WR!B:O,7,FALSE)</f>
        <v>79.951675003199966</v>
      </c>
      <c r="AL28" s="86">
        <f>VLOOKUP(TableWRRanks32[[#This Row],[Player]],WR!B:O,8,FALSE)</f>
        <v>969.81381778881564</v>
      </c>
      <c r="AM28" s="86">
        <f>VLOOKUP(TableWRRanks32[[#This Row],[Player]],WR!B:O,9,FALSE)</f>
        <v>6.635989025265598</v>
      </c>
      <c r="AN28" s="58">
        <f>IFERROR(INDEX(TableWRCalcPts[Custom],MATCH(TableWRRanks32[[#This Row],[RK]],TableWRCalcPts[RK],0)),"")</f>
        <v>176.77315343207513</v>
      </c>
      <c r="AO2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15.918256551372785</v>
      </c>
      <c r="AQ28">
        <v>27</v>
      </c>
      <c r="AR28" t="str">
        <f>IFERROR(INDEX(TableTECalcPts[PLAYER],MATCH(TableTERanks33[[#This Row],[RK]],TableTECalcPts[RK],0)),"")</f>
        <v>Gerald Everett</v>
      </c>
      <c r="AS28" t="str">
        <f>IFERROR(INDEX(TableTECalcPts[TM],MATCH(TableTERanks33[[#This Row],[Player]],TableTECalcPts[PLAYER],0)),"")</f>
        <v>LAC</v>
      </c>
      <c r="AT28">
        <f>IFERROR(INDEX(TableTECalcPts[BYE],MATCH(TableTERanks33[[#This Row],[Player]],TableTECalcPts[PLAYER],0)),"")</f>
        <v>5</v>
      </c>
      <c r="AU28" s="86">
        <f>VLOOKUP(TableTERanks33[[#This Row],[Player]],TE!B:O,4,FALSE)</f>
        <v>63.388281599999999</v>
      </c>
      <c r="AV28" s="86">
        <f>VLOOKUP(TableTERanks33[[#This Row],[Player]],TE!B:O,5,FALSE)</f>
        <v>43.144029170386133</v>
      </c>
      <c r="AW28" s="86">
        <f>VLOOKUP(TableTERanks33[[#This Row],[Player]],TE!B:O,6,FALSE)</f>
        <v>431.83305588632311</v>
      </c>
      <c r="AX28" s="86">
        <f>VLOOKUP(TableTERanks33[[#This Row],[Player]],TE!B:O,7,FALSE)</f>
        <v>4.0123947128459108</v>
      </c>
      <c r="AY28" s="58">
        <f>IFERROR(INDEX(TableTECalcPts[Custom],MATCH(TableTERanks33[[#This Row],[RK]],TableTECalcPts[RK],0)),"")</f>
        <v>88.829688450900846</v>
      </c>
      <c r="AZ28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29" spans="1:52" x14ac:dyDescent="0.2">
      <c r="A29">
        <v>28</v>
      </c>
      <c r="B29" t="str">
        <f>IFERROR(INDEX(TableQBCalcPts[PLAYER],MATCH(TableQBRanks30[[#This Row],[RK]],TableQBCalcPts[RK],0)),"")</f>
        <v>Ryan Tannehill</v>
      </c>
      <c r="C29" t="str">
        <f>IFERROR(INDEX(TableQBCalcPts[TM],MATCH(TableQBRanks30[[#This Row],[Player]],TableQBCalcPts[PLAYER],0)),"")</f>
        <v>TEN</v>
      </c>
      <c r="D29">
        <f>IFERROR(INDEX(TableQBCalcPts[BYE],MATCH(TableQBRanks30[[#This Row],[Player]],TableQBCalcPts[PLAYER],0)),"")</f>
        <v>7</v>
      </c>
      <c r="E29" s="86">
        <f>VLOOKUP(TableQBRanks30[[#This Row],[Player]],QB!B:O,4,FALSE)</f>
        <v>486.33640000000008</v>
      </c>
      <c r="F29" s="86">
        <f>VLOOKUP(TableQBRanks30[[#This Row],[Player]],QB!B:O,5,FALSE)</f>
        <v>316.66163085390934</v>
      </c>
      <c r="G29" s="86">
        <f>VLOOKUP(TableQBRanks30[[#This Row],[Player]],QB!B:O,6,FALSE)</f>
        <v>3638.4421385114183</v>
      </c>
      <c r="H29" s="86">
        <f>VLOOKUP(TableQBRanks30[[#This Row],[Player]],QB!B:O,7,FALSE)</f>
        <v>20.899667636358018</v>
      </c>
      <c r="I29" s="86">
        <f>VLOOKUP(TableQBRanks30[[#This Row],[Player]],QB!B:O,8,FALSE)</f>
        <v>11.769553831489979</v>
      </c>
      <c r="J29" s="86">
        <f>VLOOKUP(TableQBRanks30[[#This Row],[Player]],QB!B:O,9,FALSE)</f>
        <v>41.424952799999993</v>
      </c>
      <c r="K29" s="86">
        <f>VLOOKUP(TableQBRanks30[[#This Row],[Player]],QB!B:O,10,FALSE)</f>
        <v>163.21431403199998</v>
      </c>
      <c r="L29" s="86">
        <f>VLOOKUP(TableQBRanks30[[#This Row],[Player]],QB!B:O,11,FALSE)</f>
        <v>3.1897213655999992</v>
      </c>
      <c r="M29" s="58">
        <f>IFERROR(INDEX(TableQBCalcPts[Custom],MATCH(TableQBRanks30[[#This Row],[RK]],TableQBCalcPts[RK],0)),"")</f>
        <v>252.82656185119882</v>
      </c>
      <c r="N29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29">
        <v>28</v>
      </c>
      <c r="Q29" t="str">
        <f>IFERROR(INDEX(TableRBCalcPts[PLAYER],MATCH(TableRBRanks31[[#This Row],[RK]],TableRBCalcPts[RK],0)),"")</f>
        <v>Alvin Kamara</v>
      </c>
      <c r="R29" t="str">
        <f>IFERROR(INDEX(TableRBCalcPts[TM],MATCH(TableRBRanks31[[#This Row],[Player]],TableRBCalcPts[PLAYER],0)),"")</f>
        <v>NO</v>
      </c>
      <c r="S29">
        <f>IFERROR(INDEX(TableRBCalcPts[BYE],MATCH(TableRBRanks31[[#This Row],[Player]],TableRBCalcPts[PLAYER],0)),"")</f>
        <v>11</v>
      </c>
      <c r="T29" s="86">
        <f>VLOOKUP(TableRBRanks31[[#This Row],[Player]],RB!B:O,4,FALSE)</f>
        <v>173.45651119999999</v>
      </c>
      <c r="U29" s="86">
        <f>VLOOKUP(TableRBRanks31[[#This Row],[Player]],RB!B:O,5,FALSE)</f>
        <v>735.45560748800006</v>
      </c>
      <c r="V29" s="86">
        <f>VLOOKUP(TableRBRanks31[[#This Row],[Player]],RB!B:O,6,FALSE)</f>
        <v>5.3771518471999995</v>
      </c>
      <c r="W29" s="86">
        <f>VLOOKUP(TableRBRanks31[[#This Row],[Player]],RB!B:O,7,FALSE)</f>
        <v>63.430362995999992</v>
      </c>
      <c r="X29" s="86">
        <f>VLOOKUP(TableRBRanks31[[#This Row],[Player]],RB!B:O,8,FALSE)</f>
        <v>47.150199389255086</v>
      </c>
      <c r="Y29" s="86">
        <f>VLOOKUP(TableRBRanks31[[#This Row],[Player]],RB!B:O,9,FALSE)</f>
        <v>391.8181569247098</v>
      </c>
      <c r="Z29" s="86">
        <f>VLOOKUP(TableRBRanks31[[#This Row],[Player]],RB!B:O,10,FALSE)</f>
        <v>2.1217589725164787</v>
      </c>
      <c r="AA29" s="58">
        <f>IFERROR(INDEX(TableRBCalcPts[Custom],MATCH(TableRBRanks31[[#This Row],[RK]],TableRBCalcPts[RK],0)),"")</f>
        <v>181.29594105419741</v>
      </c>
      <c r="AB29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21.436510685410912</v>
      </c>
      <c r="AD29">
        <v>28</v>
      </c>
      <c r="AE29" t="str">
        <f>IFERROR(INDEX(TableWRCalcPts[PLAYER],MATCH(TableWRRanks32[[#This Row],[RK]],TableWRCalcPts[RK],0)),"")</f>
        <v>Gabe Davis</v>
      </c>
      <c r="AF29" t="str">
        <f>IFERROR(INDEX(TableWRCalcPts[TM],MATCH(TableWRRanks32[[#This Row],[Player]],TableWRCalcPts[PLAYER],0)),"")</f>
        <v>BUF</v>
      </c>
      <c r="AG29">
        <f>IFERROR(INDEX(TableWRCalcPts[BYE],MATCH(TableWRRanks32[[#This Row],[Player]],TableWRCalcPts[PLAYER],0)),"")</f>
        <v>13</v>
      </c>
      <c r="AH29" s="86">
        <f>VLOOKUP(TableWRRanks32[[#This Row],[Player]],WR!B:O,4,FALSE)</f>
        <v>0</v>
      </c>
      <c r="AI29" s="86">
        <f>VLOOKUP(TableWRRanks32[[#This Row],[Player]],WR!B:O,5,FALSE)</f>
        <v>0</v>
      </c>
      <c r="AJ29" s="86">
        <f>VLOOKUP(TableWRRanks32[[#This Row],[Player]],WR!B:O,6,FALSE)</f>
        <v>121.22649</v>
      </c>
      <c r="AK29" s="86">
        <f>VLOOKUP(TableWRRanks32[[#This Row],[Player]],WR!B:O,7,FALSE)</f>
        <v>63.429216999988654</v>
      </c>
      <c r="AL29" s="86">
        <f>VLOOKUP(TableWRRanks32[[#This Row],[Player]],WR!B:O,8,FALSE)</f>
        <v>941.28958027983163</v>
      </c>
      <c r="AM29" s="86">
        <f>VLOOKUP(TableWRRanks32[[#This Row],[Player]],WR!B:O,9,FALSE)</f>
        <v>8.4360858609984906</v>
      </c>
      <c r="AN29" s="58">
        <f>IFERROR(INDEX(TableWRCalcPts[Custom],MATCH(TableWRRanks32[[#This Row],[RK]],TableWRCalcPts[RK],0)),"")</f>
        <v>176.46008169396845</v>
      </c>
      <c r="AO2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15.811039633805724</v>
      </c>
      <c r="AQ29">
        <v>28</v>
      </c>
      <c r="AR29" t="str">
        <f>IFERROR(INDEX(TableTECalcPts[PLAYER],MATCH(TableTERanks33[[#This Row],[RK]],TableTECalcPts[RK],0)),"")</f>
        <v>Greg Dulcich</v>
      </c>
      <c r="AS29" t="str">
        <f>IFERROR(INDEX(TableTECalcPts[TM],MATCH(TableTERanks33[[#This Row],[Player]],TableTECalcPts[PLAYER],0)),"")</f>
        <v>DEN</v>
      </c>
      <c r="AT29">
        <f>IFERROR(INDEX(TableTECalcPts[BYE],MATCH(TableTERanks33[[#This Row],[Player]],TableTECalcPts[PLAYER],0)),"")</f>
        <v>9</v>
      </c>
      <c r="AU29" s="86">
        <f>VLOOKUP(TableTERanks33[[#This Row],[Player]],TE!B:O,4,FALSE)</f>
        <v>56.709601200000002</v>
      </c>
      <c r="AV29" s="86">
        <f>VLOOKUP(TableTERanks33[[#This Row],[Player]],TE!B:O,5,FALSE)</f>
        <v>38.314034518738929</v>
      </c>
      <c r="AW29" s="86">
        <f>VLOOKUP(TableTERanks33[[#This Row],[Player]],TE!B:O,6,FALSE)</f>
        <v>453.55572045140366</v>
      </c>
      <c r="AX29" s="86">
        <f>VLOOKUP(TableTERanks33[[#This Row],[Player]],TE!B:O,7,FALSE)</f>
        <v>3.6781473137989371</v>
      </c>
      <c r="AY29" s="58">
        <f>IFERROR(INDEX(TableTECalcPts[Custom],MATCH(TableTERanks33[[#This Row],[RK]],TableTECalcPts[RK],0)),"")</f>
        <v>86.581473187303459</v>
      </c>
      <c r="AZ29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30" spans="1:52" x14ac:dyDescent="0.2">
      <c r="A30">
        <v>29</v>
      </c>
      <c r="B30" t="str">
        <f>IFERROR(INDEX(TableQBCalcPts[PLAYER],MATCH(TableQBRanks30[[#This Row],[RK]],TableQBCalcPts[RK],0)),"")</f>
        <v>Mac Jones</v>
      </c>
      <c r="C30" t="str">
        <f>IFERROR(INDEX(TableQBCalcPts[TM],MATCH(TableQBRanks30[[#This Row],[Player]],TableQBCalcPts[PLAYER],0)),"")</f>
        <v>NE</v>
      </c>
      <c r="D30">
        <f>IFERROR(INDEX(TableQBCalcPts[BYE],MATCH(TableQBRanks30[[#This Row],[Player]],TableQBCalcPts[PLAYER],0)),"")</f>
        <v>11</v>
      </c>
      <c r="E30" s="86">
        <f>VLOOKUP(TableQBRanks30[[#This Row],[Player]],QB!B:O,4,FALSE)</f>
        <v>540.86283999999989</v>
      </c>
      <c r="F30" s="86">
        <f>VLOOKUP(TableQBRanks30[[#This Row],[Player]],QB!B:O,5,FALSE)</f>
        <v>359.13292575999992</v>
      </c>
      <c r="G30" s="86">
        <f>VLOOKUP(TableQBRanks30[[#This Row],[Player]],QB!B:O,6,FALSE)</f>
        <v>3882.2269274655991</v>
      </c>
      <c r="H30" s="86">
        <f>VLOOKUP(TableQBRanks30[[#This Row],[Player]],QB!B:O,7,FALSE)</f>
        <v>22.697200908031999</v>
      </c>
      <c r="I30" s="86">
        <f>VLOOKUP(TableQBRanks30[[#This Row],[Player]],QB!B:O,8,FALSE)</f>
        <v>13.742540428491383</v>
      </c>
      <c r="J30" s="86">
        <f>VLOOKUP(TableQBRanks30[[#This Row],[Player]],QB!B:O,9,FALSE)</f>
        <v>31.51308384</v>
      </c>
      <c r="K30" s="86">
        <f>VLOOKUP(TableQBRanks30[[#This Row],[Player]],QB!B:O,10,FALSE)</f>
        <v>97.690559903999997</v>
      </c>
      <c r="L30" s="86">
        <f>VLOOKUP(TableQBRanks30[[#This Row],[Player]],QB!B:O,11,FALSE)</f>
        <v>1.0399317667200001</v>
      </c>
      <c r="M30" s="58">
        <f>IFERROR(INDEX(TableQBCalcPts[Custom],MATCH(TableQBRanks30[[#This Row],[RK]],TableQBCalcPts[RK],0)),"")</f>
        <v>248.34398689298061</v>
      </c>
      <c r="N30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30">
        <v>29</v>
      </c>
      <c r="Q30" t="str">
        <f>IFERROR(INDEX(TableRBCalcPts[PLAYER],MATCH(TableRBRanks31[[#This Row],[RK]],TableRBCalcPts[RK],0)),"")</f>
        <v>Brian Robinson</v>
      </c>
      <c r="R30" t="str">
        <f>IFERROR(INDEX(TableRBCalcPts[TM],MATCH(TableRBRanks31[[#This Row],[Player]],TableRBCalcPts[PLAYER],0)),"")</f>
        <v>WSH</v>
      </c>
      <c r="S30">
        <f>IFERROR(INDEX(TableRBCalcPts[BYE],MATCH(TableRBRanks31[[#This Row],[Player]],TableRBCalcPts[PLAYER],0)),"")</f>
        <v>14</v>
      </c>
      <c r="T30" s="86">
        <f>VLOOKUP(TableRBRanks31[[#This Row],[Player]],RB!B:O,4,FALSE)</f>
        <v>231.83683795999997</v>
      </c>
      <c r="U30" s="86">
        <f>VLOOKUP(TableRBRanks31[[#This Row],[Player]],RB!B:O,5,FALSE)</f>
        <v>952.84940401559993</v>
      </c>
      <c r="V30" s="86">
        <f>VLOOKUP(TableRBRanks31[[#This Row],[Player]],RB!B:O,6,FALSE)</f>
        <v>7.1869419767599991</v>
      </c>
      <c r="W30" s="86">
        <f>VLOOKUP(TableRBRanks31[[#This Row],[Player]],RB!B:O,7,FALSE)</f>
        <v>31.273956980000005</v>
      </c>
      <c r="X30" s="86">
        <f>VLOOKUP(TableRBRanks31[[#This Row],[Player]],RB!B:O,8,FALSE)</f>
        <v>21.612449722127867</v>
      </c>
      <c r="Y30" s="86">
        <f>VLOOKUP(TableRBRanks31[[#This Row],[Player]],RB!B:O,9,FALSE)</f>
        <v>162.31291583170844</v>
      </c>
      <c r="Z30" s="86">
        <f>VLOOKUP(TableRBRanks31[[#This Row],[Player]],RB!B:O,10,FALSE)</f>
        <v>1.2006916512293258</v>
      </c>
      <c r="AA30" s="58">
        <f>IFERROR(INDEX(TableRBCalcPts[Custom],MATCH(TableRBRanks31[[#This Row],[RK]],TableRBCalcPts[RK],0)),"")</f>
        <v>172.64825861373072</v>
      </c>
      <c r="AB30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18.285625015219654</v>
      </c>
      <c r="AD30">
        <v>29</v>
      </c>
      <c r="AE30" t="str">
        <f>IFERROR(INDEX(TableWRCalcPts[PLAYER],MATCH(TableWRRanks32[[#This Row],[RK]],TableWRCalcPts[RK],0)),"")</f>
        <v>Christian Kirk</v>
      </c>
      <c r="AF30" t="str">
        <f>IFERROR(INDEX(TableWRCalcPts[TM],MATCH(TableWRRanks32[[#This Row],[Player]],TableWRCalcPts[PLAYER],0)),"")</f>
        <v>JAX</v>
      </c>
      <c r="AG30">
        <f>IFERROR(INDEX(TableWRCalcPts[BYE],MATCH(TableWRRanks32[[#This Row],[Player]],TableWRCalcPts[PLAYER],0)),"")</f>
        <v>9</v>
      </c>
      <c r="AH30" s="86">
        <f>VLOOKUP(TableWRRanks32[[#This Row],[Player]],WR!B:O,4,FALSE)</f>
        <v>0</v>
      </c>
      <c r="AI30" s="86">
        <f>VLOOKUP(TableWRRanks32[[#This Row],[Player]],WR!B:O,5,FALSE)</f>
        <v>0</v>
      </c>
      <c r="AJ30" s="86">
        <f>VLOOKUP(TableWRRanks32[[#This Row],[Player]],WR!B:O,6,FALSE)</f>
        <v>122.3829684</v>
      </c>
      <c r="AK30" s="86">
        <f>VLOOKUP(TableWRRanks32[[#This Row],[Player]],WR!B:O,7,FALSE)</f>
        <v>78.325099776000002</v>
      </c>
      <c r="AL30" s="86">
        <f>VLOOKUP(TableWRRanks32[[#This Row],[Player]],WR!B:O,8,FALSE)</f>
        <v>966.57125326129233</v>
      </c>
      <c r="AM30" s="86">
        <f>VLOOKUP(TableWRRanks32[[#This Row],[Player]],WR!B:O,9,FALSE)</f>
        <v>5.9527075829760001</v>
      </c>
      <c r="AN30" s="58">
        <f>IFERROR(INDEX(TableWRCalcPts[Custom],MATCH(TableWRRanks32[[#This Row],[RK]],TableWRCalcPts[RK],0)),"")</f>
        <v>171.53592071198523</v>
      </c>
      <c r="AO3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14.124674185154744</v>
      </c>
      <c r="AQ30">
        <v>29</v>
      </c>
      <c r="AR30" t="str">
        <f>IFERROR(INDEX(TableTECalcPts[PLAYER],MATCH(TableTERanks33[[#This Row],[RK]],TableTECalcPts[RK],0)),"")</f>
        <v>Mike Gesicki</v>
      </c>
      <c r="AS30" t="str">
        <f>IFERROR(INDEX(TableTECalcPts[TM],MATCH(TableTERanks33[[#This Row],[Player]],TableTECalcPts[PLAYER],0)),"")</f>
        <v>NE</v>
      </c>
      <c r="AT30">
        <f>IFERROR(INDEX(TableTECalcPts[BYE],MATCH(TableTERanks33[[#This Row],[Player]],TableTECalcPts[PLAYER],0)),"")</f>
        <v>11</v>
      </c>
      <c r="AU30" s="86">
        <f>VLOOKUP(TableTERanks33[[#This Row],[Player]],TE!B:O,4,FALSE)</f>
        <v>62.026610799999979</v>
      </c>
      <c r="AV30" s="86">
        <f>VLOOKUP(TableTERanks33[[#This Row],[Player]],TE!B:O,5,FALSE)</f>
        <v>37.865483265794772</v>
      </c>
      <c r="AW30" s="86">
        <f>VLOOKUP(TableTERanks33[[#This Row],[Player]],TE!B:O,6,FALSE)</f>
        <v>427.43839369701141</v>
      </c>
      <c r="AX30" s="86">
        <f>VLOOKUP(TableTERanks33[[#This Row],[Player]],TE!B:O,7,FALSE)</f>
        <v>3.7865483265794775</v>
      </c>
      <c r="AY30" s="58">
        <f>IFERROR(INDEX(TableTECalcPts[Custom],MATCH(TableTERanks33[[#This Row],[RK]],TableTECalcPts[RK],0)),"")</f>
        <v>84.395870962075392</v>
      </c>
      <c r="AZ30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31" spans="1:52" x14ac:dyDescent="0.2">
      <c r="A31">
        <v>30</v>
      </c>
      <c r="B31" t="str">
        <f>IFERROR(INDEX(TableQBCalcPts[PLAYER],MATCH(TableQBRanks30[[#This Row],[RK]],TableQBCalcPts[RK],0)),"")</f>
        <v>Desmond Ridder</v>
      </c>
      <c r="C31" t="str">
        <f>IFERROR(INDEX(TableQBCalcPts[TM],MATCH(TableQBRanks30[[#This Row],[Player]],TableQBCalcPts[PLAYER],0)),"")</f>
        <v>ATL</v>
      </c>
      <c r="D31">
        <f>IFERROR(INDEX(TableQBCalcPts[BYE],MATCH(TableQBRanks30[[#This Row],[Player]],TableQBCalcPts[PLAYER],0)),"")</f>
        <v>11</v>
      </c>
      <c r="E31" s="86">
        <f>VLOOKUP(TableQBRanks30[[#This Row],[Player]],QB!B:O,4,FALSE)</f>
        <v>438.6816</v>
      </c>
      <c r="F31" s="86">
        <f>VLOOKUP(TableQBRanks30[[#This Row],[Player]],QB!B:O,5,FALSE)</f>
        <v>275.58333306077373</v>
      </c>
      <c r="G31" s="86">
        <f>VLOOKUP(TableQBRanks30[[#This Row],[Player]],QB!B:O,6,FALSE)</f>
        <v>3047.9516636521575</v>
      </c>
      <c r="H31" s="86">
        <f>VLOOKUP(TableQBRanks30[[#This Row],[Player]],QB!B:O,7,FALSE)</f>
        <v>17.361749982828744</v>
      </c>
      <c r="I31" s="86">
        <f>VLOOKUP(TableQBRanks30[[#This Row],[Player]],QB!B:O,8,FALSE)</f>
        <v>9.4269790618349205</v>
      </c>
      <c r="J31" s="86">
        <f>VLOOKUP(TableQBRanks30[[#This Row],[Player]],QB!B:O,9,FALSE)</f>
        <v>36.154944000000008</v>
      </c>
      <c r="K31" s="86">
        <f>VLOOKUP(TableQBRanks30[[#This Row],[Player]],QB!B:O,10,FALSE)</f>
        <v>197.47612660554105</v>
      </c>
      <c r="L31" s="86">
        <f>VLOOKUP(TableQBRanks30[[#This Row],[Player]],QB!B:O,11,FALSE)</f>
        <v>1.6095480538669313</v>
      </c>
      <c r="M31" s="58">
        <f>IFERROR(INDEX(TableQBCalcPts[Custom],MATCH(TableQBRanks30[[#This Row],[RK]],TableQBCalcPts[RK],0)),"")</f>
        <v>211.34298839932205</v>
      </c>
      <c r="N31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31">
        <v>30</v>
      </c>
      <c r="Q31" t="str">
        <f>IFERROR(INDEX(TableRBCalcPts[PLAYER],MATCH(TableRBRanks31[[#This Row],[RK]],TableRBCalcPts[RK],0)),"")</f>
        <v>Isiah Pacheco</v>
      </c>
      <c r="R31" t="str">
        <f>IFERROR(INDEX(TableRBCalcPts[TM],MATCH(TableRBRanks31[[#This Row],[Player]],TableRBCalcPts[PLAYER],0)),"")</f>
        <v>KC</v>
      </c>
      <c r="S31">
        <f>IFERROR(INDEX(TableRBCalcPts[BYE],MATCH(TableRBRanks31[[#This Row],[Player]],TableRBCalcPts[PLAYER],0)),"")</f>
        <v>10</v>
      </c>
      <c r="T31" s="86">
        <f>VLOOKUP(TableRBRanks31[[#This Row],[Player]],RB!B:O,4,FALSE)</f>
        <v>205.64836656</v>
      </c>
      <c r="U31" s="86">
        <f>VLOOKUP(TableRBRanks31[[#This Row],[Player]],RB!B:O,5,FALSE)</f>
        <v>958.1256582082076</v>
      </c>
      <c r="V31" s="86">
        <f>VLOOKUP(TableRBRanks31[[#This Row],[Player]],RB!B:O,6,FALSE)</f>
        <v>8.0202862958400001</v>
      </c>
      <c r="W31" s="86">
        <f>VLOOKUP(TableRBRanks31[[#This Row],[Player]],RB!B:O,7,FALSE)</f>
        <v>18.962165039999999</v>
      </c>
      <c r="X31" s="86">
        <f>VLOOKUP(TableRBRanks31[[#This Row],[Player]],RB!B:O,8,FALSE)</f>
        <v>14.938583102731767</v>
      </c>
      <c r="Y31" s="86">
        <f>VLOOKUP(TableRBRanks31[[#This Row],[Player]],RB!B:O,9,FALSE)</f>
        <v>124.79251505220481</v>
      </c>
      <c r="Z31" s="86">
        <f>VLOOKUP(TableRBRanks31[[#This Row],[Player]],RB!B:O,10,FALSE)</f>
        <v>0.89631498616390604</v>
      </c>
      <c r="AA31" s="58">
        <f>IFERROR(INDEX(TableRBCalcPts[Custom],MATCH(TableRBRanks31[[#This Row],[RK]],TableRBCalcPts[RK],0)),"")</f>
        <v>169.26071656943054</v>
      </c>
      <c r="AB31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17.051333890627919</v>
      </c>
      <c r="AD31">
        <v>30</v>
      </c>
      <c r="AE31" t="str">
        <f>IFERROR(INDEX(TableWRCalcPts[PLAYER],MATCH(TableWRRanks32[[#This Row],[RK]],TableWRCalcPts[RK],0)),"")</f>
        <v>Jerry Jeudy</v>
      </c>
      <c r="AF31" t="str">
        <f>IFERROR(INDEX(TableWRCalcPts[TM],MATCH(TableWRRanks32[[#This Row],[Player]],TableWRCalcPts[PLAYER],0)),"")</f>
        <v>DEN</v>
      </c>
      <c r="AG31">
        <f>IFERROR(INDEX(TableWRCalcPts[BYE],MATCH(TableWRRanks32[[#This Row],[Player]],TableWRCalcPts[PLAYER],0)),"")</f>
        <v>9</v>
      </c>
      <c r="AH31" s="86">
        <f>VLOOKUP(TableWRRanks32[[#This Row],[Player]],WR!B:O,4,FALSE)</f>
        <v>0</v>
      </c>
      <c r="AI31" s="86">
        <f>VLOOKUP(TableWRRanks32[[#This Row],[Player]],WR!B:O,5,FALSE)</f>
        <v>0</v>
      </c>
      <c r="AJ31" s="86">
        <f>VLOOKUP(TableWRRanks32[[#This Row],[Player]],WR!B:O,6,FALSE)</f>
        <v>112.29624000000001</v>
      </c>
      <c r="AK31" s="86">
        <f>VLOOKUP(TableWRRanks32[[#This Row],[Player]],WR!B:O,7,FALSE)</f>
        <v>71.373409076756573</v>
      </c>
      <c r="AL31" s="86">
        <f>VLOOKUP(TableWRRanks32[[#This Row],[Player]],WR!B:O,8,FALSE)</f>
        <v>998.51399298382444</v>
      </c>
      <c r="AM31" s="86">
        <f>VLOOKUP(TableWRRanks32[[#This Row],[Player]],WR!B:O,9,FALSE)</f>
        <v>5.9239929533707958</v>
      </c>
      <c r="AN31" s="58">
        <f>IFERROR(INDEX(TableWRCalcPts[Custom],MATCH(TableWRRanks32[[#This Row],[RK]],TableWRCalcPts[RK],0)),"")</f>
        <v>171.08206155698551</v>
      </c>
      <c r="AO3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13.969242142955913</v>
      </c>
      <c r="AQ31">
        <v>30</v>
      </c>
      <c r="AR31" t="str">
        <f>IFERROR(INDEX(TableTECalcPts[PLAYER],MATCH(TableTERanks33[[#This Row],[RK]],TableTECalcPts[RK],0)),"")</f>
        <v>Hayden Hurst</v>
      </c>
      <c r="AS31" t="str">
        <f>IFERROR(INDEX(TableTECalcPts[TM],MATCH(TableTERanks33[[#This Row],[Player]],TableTECalcPts[PLAYER],0)),"")</f>
        <v>CAR</v>
      </c>
      <c r="AT31">
        <f>IFERROR(INDEX(TableTECalcPts[BYE],MATCH(TableTERanks33[[#This Row],[Player]],TableTECalcPts[PLAYER],0)),"")</f>
        <v>7</v>
      </c>
      <c r="AU31" s="86">
        <f>VLOOKUP(TableTERanks33[[#This Row],[Player]],TE!B:O,4,FALSE)</f>
        <v>62.375057639999994</v>
      </c>
      <c r="AV31" s="86">
        <f>VLOOKUP(TableTERanks33[[#This Row],[Player]],TE!B:O,5,FALSE)</f>
        <v>43.987078475378276</v>
      </c>
      <c r="AW31" s="86">
        <f>VLOOKUP(TableTERanks33[[#This Row],[Player]],TE!B:O,6,FALSE)</f>
        <v>400.2824141259423</v>
      </c>
      <c r="AX31" s="86">
        <f>VLOOKUP(TableTERanks33[[#This Row],[Player]],TE!B:O,7,FALSE)</f>
        <v>3.6949145919317754</v>
      </c>
      <c r="AY31" s="58">
        <f>IFERROR(INDEX(TableTECalcPts[Custom],MATCH(TableTERanks33[[#This Row],[RK]],TableTECalcPts[RK],0)),"")</f>
        <v>84.191268201874024</v>
      </c>
      <c r="AZ31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32" spans="1:52" x14ac:dyDescent="0.2">
      <c r="A32">
        <v>31</v>
      </c>
      <c r="B32" t="str">
        <f>IFERROR(INDEX(TableQBCalcPts[PLAYER],MATCH(TableQBRanks30[[#This Row],[RK]],TableQBCalcPts[RK],0)),"")</f>
        <v>Baker Mayfield</v>
      </c>
      <c r="C32" t="str">
        <f>IFERROR(INDEX(TableQBCalcPts[TM],MATCH(TableQBRanks30[[#This Row],[Player]],TableQBCalcPts[PLAYER],0)),"")</f>
        <v>TB</v>
      </c>
      <c r="D32">
        <f>IFERROR(INDEX(TableQBCalcPts[BYE],MATCH(TableQBRanks30[[#This Row],[Player]],TableQBCalcPts[PLAYER],0)),"")</f>
        <v>5</v>
      </c>
      <c r="E32" s="86">
        <f>VLOOKUP(TableQBRanks30[[#This Row],[Player]],QB!B:O,4,FALSE)</f>
        <v>456.21759999999995</v>
      </c>
      <c r="F32" s="86">
        <f>VLOOKUP(TableQBRanks30[[#This Row],[Player]],QB!B:O,5,FALSE)</f>
        <v>289.08781871504112</v>
      </c>
      <c r="G32" s="86">
        <f>VLOOKUP(TableQBRanks30[[#This Row],[Player]],QB!B:O,6,FALSE)</f>
        <v>3078.7852693151881</v>
      </c>
      <c r="H32" s="86">
        <f>VLOOKUP(TableQBRanks30[[#This Row],[Player]],QB!B:O,7,FALSE)</f>
        <v>17.952353542204055</v>
      </c>
      <c r="I32" s="86">
        <f>VLOOKUP(TableQBRanks30[[#This Row],[Player]],QB!B:O,8,FALSE)</f>
        <v>11.13476716499976</v>
      </c>
      <c r="J32" s="86">
        <f>VLOOKUP(TableQBRanks30[[#This Row],[Player]],QB!B:O,9,FALSE)</f>
        <v>27.203420160000004</v>
      </c>
      <c r="K32" s="86">
        <f>VLOOKUP(TableQBRanks30[[#This Row],[Player]],QB!B:O,10,FALSE)</f>
        <v>82.745715311845856</v>
      </c>
      <c r="L32" s="86">
        <f>VLOOKUP(TableQBRanks30[[#This Row],[Player]],QB!B:O,11,FALSE)</f>
        <v>0.95211970560000025</v>
      </c>
      <c r="M32" s="58">
        <f>IFERROR(INDEX(TableQBCalcPts[Custom],MATCH(TableQBRanks30[[#This Row],[RK]],TableQBCalcPts[RK],0)),"")</f>
        <v>197.81334754120857</v>
      </c>
      <c r="N32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32">
        <v>31</v>
      </c>
      <c r="Q32" t="str">
        <f>IFERROR(INDEX(TableRBCalcPts[PLAYER],MATCH(TableRBRanks31[[#This Row],[RK]],TableRBCalcPts[RK],0)),"")</f>
        <v>Kenneth Walker</v>
      </c>
      <c r="R32" t="str">
        <f>IFERROR(INDEX(TableRBCalcPts[TM],MATCH(TableRBRanks31[[#This Row],[Player]],TableRBCalcPts[PLAYER],0)),"")</f>
        <v>SEA</v>
      </c>
      <c r="S32">
        <f>IFERROR(INDEX(TableRBCalcPts[BYE],MATCH(TableRBRanks31[[#This Row],[Player]],TableRBCalcPts[PLAYER],0)),"")</f>
        <v>5</v>
      </c>
      <c r="T32" s="86">
        <f>VLOOKUP(TableRBRanks31[[#This Row],[Player]],RB!B:O,4,FALSE)</f>
        <v>211.38682320000001</v>
      </c>
      <c r="U32" s="86">
        <f>VLOOKUP(TableRBRanks31[[#This Row],[Player]],RB!B:O,5,FALSE)</f>
        <v>942.78523147200008</v>
      </c>
      <c r="V32" s="86">
        <f>VLOOKUP(TableRBRanks31[[#This Row],[Player]],RB!B:O,6,FALSE)</f>
        <v>8.0326992815999994</v>
      </c>
      <c r="W32" s="86">
        <f>VLOOKUP(TableRBRanks31[[#This Row],[Player]],RB!B:O,7,FALSE)</f>
        <v>24.66537696</v>
      </c>
      <c r="X32" s="86">
        <f>VLOOKUP(TableRBRanks31[[#This Row],[Player]],RB!B:O,8,FALSE)</f>
        <v>18.47870666302931</v>
      </c>
      <c r="Y32" s="86">
        <f>VLOOKUP(TableRBRanks31[[#This Row],[Player]],RB!B:O,9,FALSE)</f>
        <v>125.65520530859931</v>
      </c>
      <c r="Z32" s="86">
        <f>VLOOKUP(TableRBRanks31[[#This Row],[Player]],RB!B:O,10,FALSE)</f>
        <v>0.66523343986905514</v>
      </c>
      <c r="AA32" s="58">
        <f>IFERROR(INDEX(TableRBCalcPts[Custom],MATCH(TableRBRanks31[[#This Row],[RK]],TableRBCalcPts[RK],0)),"")</f>
        <v>168.27099333838893</v>
      </c>
      <c r="AB32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16.690716491964967</v>
      </c>
      <c r="AD32">
        <v>31</v>
      </c>
      <c r="AE32" t="str">
        <f>IFERROR(INDEX(TableWRCalcPts[PLAYER],MATCH(TableWRRanks32[[#This Row],[RK]],TableWRCalcPts[RK],0)),"")</f>
        <v>Marquise Brown</v>
      </c>
      <c r="AF32" t="str">
        <f>IFERROR(INDEX(TableWRCalcPts[TM],MATCH(TableWRRanks32[[#This Row],[Player]],TableWRCalcPts[PLAYER],0)),"")</f>
        <v>ARI</v>
      </c>
      <c r="AG32">
        <f>IFERROR(INDEX(TableWRCalcPts[BYE],MATCH(TableWRRanks32[[#This Row],[Player]],TableWRCalcPts[PLAYER],0)),"")</f>
        <v>14</v>
      </c>
      <c r="AH32" s="86">
        <f>VLOOKUP(TableWRRanks32[[#This Row],[Player]],WR!B:O,4,FALSE)</f>
        <v>0</v>
      </c>
      <c r="AI32" s="86">
        <f>VLOOKUP(TableWRRanks32[[#This Row],[Player]],WR!B:O,5,FALSE)</f>
        <v>0</v>
      </c>
      <c r="AJ32" s="86">
        <f>VLOOKUP(TableWRRanks32[[#This Row],[Player]],WR!B:O,6,FALSE)</f>
        <v>138.71434500000001</v>
      </c>
      <c r="AK32" s="86">
        <f>VLOOKUP(TableWRRanks32[[#This Row],[Player]],WR!B:O,7,FALSE)</f>
        <v>83.644750035000001</v>
      </c>
      <c r="AL32" s="86">
        <f>VLOOKUP(TableWRRanks32[[#This Row],[Player]],WR!B:O,8,FALSE)</f>
        <v>988.68094541369999</v>
      </c>
      <c r="AM32" s="86">
        <f>VLOOKUP(TableWRRanks32[[#This Row],[Player]],WR!B:O,9,FALSE)</f>
        <v>4.8513955020299999</v>
      </c>
      <c r="AN32" s="58">
        <f>IFERROR(INDEX(TableWRCalcPts[Custom],MATCH(TableWRRanks32[[#This Row],[RK]],TableWRCalcPts[RK],0)),"")</f>
        <v>169.79884257105002</v>
      </c>
      <c r="AO3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13.529781254318797</v>
      </c>
      <c r="AQ32">
        <v>31</v>
      </c>
      <c r="AR32" t="str">
        <f>IFERROR(INDEX(TableTECalcPts[PLAYER],MATCH(TableTERanks33[[#This Row],[RK]],TableTECalcPts[RK],0)),"")</f>
        <v>Cade Otton</v>
      </c>
      <c r="AS32" t="str">
        <f>IFERROR(INDEX(TableTECalcPts[TM],MATCH(TableTERanks33[[#This Row],[Player]],TableTECalcPts[PLAYER],0)),"")</f>
        <v>TB</v>
      </c>
      <c r="AT32">
        <f>IFERROR(INDEX(TableTECalcPts[BYE],MATCH(TableTERanks33[[#This Row],[Player]],TableTECalcPts[PLAYER],0)),"")</f>
        <v>5</v>
      </c>
      <c r="AU32" s="86">
        <f>VLOOKUP(TableTERanks33[[#This Row],[Player]],TE!B:O,4,FALSE)</f>
        <v>67.622853759999984</v>
      </c>
      <c r="AV32" s="86">
        <f>VLOOKUP(TableTERanks33[[#This Row],[Player]],TE!B:O,5,FALSE)</f>
        <v>41.723300769919987</v>
      </c>
      <c r="AW32" s="86">
        <f>VLOOKUP(TableTERanks33[[#This Row],[Player]],TE!B:O,6,FALSE)</f>
        <v>422.28289852482578</v>
      </c>
      <c r="AX32" s="86">
        <f>VLOOKUP(TableTERanks33[[#This Row],[Player]],TE!B:O,7,FALSE)</f>
        <v>3.1709708585139191</v>
      </c>
      <c r="AY32" s="58">
        <f>IFERROR(INDEX(TableTECalcPts[Custom],MATCH(TableTERanks33[[#This Row],[RK]],TableTECalcPts[RK],0)),"")</f>
        <v>82.115765388526086</v>
      </c>
      <c r="AZ32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33" spans="1:52" x14ac:dyDescent="0.2">
      <c r="A33">
        <v>32</v>
      </c>
      <c r="B33" t="str">
        <f>IFERROR(INDEX(TableQBCalcPts[PLAYER],MATCH(TableQBRanks30[[#This Row],[RK]],TableQBCalcPts[RK],0)),"")</f>
        <v>Joshua Dobbs</v>
      </c>
      <c r="C33" t="str">
        <f>IFERROR(INDEX(TableQBCalcPts[TM],MATCH(TableQBRanks30[[#This Row],[Player]],TableQBCalcPts[PLAYER],0)),"")</f>
        <v>ARI</v>
      </c>
      <c r="D33">
        <f>IFERROR(INDEX(TableQBCalcPts[BYE],MATCH(TableQBRanks30[[#This Row],[Player]],TableQBCalcPts[PLAYER],0)),"")</f>
        <v>14</v>
      </c>
      <c r="E33" s="86">
        <f>VLOOKUP(TableQBRanks30[[#This Row],[Player]],QB!B:O,4,FALSE)</f>
        <v>306.375</v>
      </c>
      <c r="F33" s="86">
        <f>VLOOKUP(TableQBRanks30[[#This Row],[Player]],QB!B:O,5,FALSE)</f>
        <v>189.46229999999997</v>
      </c>
      <c r="G33" s="86">
        <f>VLOOKUP(TableQBRanks30[[#This Row],[Player]],QB!B:O,6,FALSE)</f>
        <v>1993.1433959999997</v>
      </c>
      <c r="H33" s="86">
        <f>VLOOKUP(TableQBRanks30[[#This Row],[Player]],QB!B:O,7,FALSE)</f>
        <v>10.799351099999999</v>
      </c>
      <c r="I33" s="86">
        <f>VLOOKUP(TableQBRanks30[[#This Row],[Player]],QB!B:O,8,FALSE)</f>
        <v>8.7152657999999992</v>
      </c>
      <c r="J33" s="86">
        <f>VLOOKUP(TableQBRanks30[[#This Row],[Player]],QB!B:O,9,FALSE)</f>
        <v>10.419115</v>
      </c>
      <c r="K33" s="86">
        <f>VLOOKUP(TableQBRanks30[[#This Row],[Player]],QB!B:O,10,FALSE)</f>
        <v>55.221309499999997</v>
      </c>
      <c r="L33" s="86">
        <f>VLOOKUP(TableQBRanks30[[#This Row],[Player]],QB!B:O,11,FALSE)</f>
        <v>0.19278088770034277</v>
      </c>
      <c r="M33" s="58">
        <f>IFERROR(INDEX(TableQBCalcPts[Custom],MATCH(TableQBRanks30[[#This Row],[RK]],TableQBCalcPts[RK],0)),"")</f>
        <v>120.88669071620204</v>
      </c>
      <c r="N33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33">
        <v>32</v>
      </c>
      <c r="Q33" t="str">
        <f>IFERROR(INDEX(TableRBCalcPts[PLAYER],MATCH(TableRBRanks31[[#This Row],[RK]],TableRBCalcPts[RK],0)),"")</f>
        <v>AJ Dillon</v>
      </c>
      <c r="R33" t="str">
        <f>IFERROR(INDEX(TableRBCalcPts[TM],MATCH(TableRBRanks31[[#This Row],[Player]],TableRBCalcPts[PLAYER],0)),"")</f>
        <v>GB</v>
      </c>
      <c r="S33">
        <f>IFERROR(INDEX(TableRBCalcPts[BYE],MATCH(TableRBRanks31[[#This Row],[Player]],TableRBCalcPts[PLAYER],0)),"")</f>
        <v>6</v>
      </c>
      <c r="T33" s="86">
        <f>VLOOKUP(TableRBRanks31[[#This Row],[Player]],RB!B:O,4,FALSE)</f>
        <v>187.55539879999995</v>
      </c>
      <c r="U33" s="86">
        <f>VLOOKUP(TableRBRanks31[[#This Row],[Player]],RB!B:O,5,FALSE)</f>
        <v>804.48449024749721</v>
      </c>
      <c r="V33" s="86">
        <f>VLOOKUP(TableRBRanks31[[#This Row],[Player]],RB!B:O,6,FALSE)</f>
        <v>7.6897713507999983</v>
      </c>
      <c r="W33" s="86">
        <f>VLOOKUP(TableRBRanks31[[#This Row],[Player]],RB!B:O,7,FALSE)</f>
        <v>39.296549600000006</v>
      </c>
      <c r="X33" s="86">
        <f>VLOOKUP(TableRBRanks31[[#This Row],[Player]],RB!B:O,8,FALSE)</f>
        <v>27.391508066345079</v>
      </c>
      <c r="Y33" s="86">
        <f>VLOOKUP(TableRBRanks31[[#This Row],[Player]],RB!B:O,9,FALSE)</f>
        <v>213.06022464029101</v>
      </c>
      <c r="Z33" s="86">
        <f>VLOOKUP(TableRBRanks31[[#This Row],[Player]],RB!B:O,10,FALSE)</f>
        <v>1.0956603226538031</v>
      </c>
      <c r="AA33" s="58">
        <f>IFERROR(INDEX(TableRBCalcPts[Custom],MATCH(TableRBRanks31[[#This Row],[RK]],TableRBCalcPts[RK],0)),"")</f>
        <v>168.16281556267418</v>
      </c>
      <c r="AB33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16.651300636251097</v>
      </c>
      <c r="AD33">
        <v>32</v>
      </c>
      <c r="AE33" t="str">
        <f>IFERROR(INDEX(TableWRCalcPts[PLAYER],MATCH(TableWRRanks32[[#This Row],[RK]],TableWRCalcPts[RK],0)),"")</f>
        <v>George Pickens</v>
      </c>
      <c r="AF33" t="str">
        <f>IFERROR(INDEX(TableWRCalcPts[TM],MATCH(TableWRRanks32[[#This Row],[Player]],TableWRCalcPts[PLAYER],0)),"")</f>
        <v>PIT</v>
      </c>
      <c r="AG33">
        <f>IFERROR(INDEX(TableWRCalcPts[BYE],MATCH(TableWRRanks32[[#This Row],[Player]],TableWRCalcPts[PLAYER],0)),"")</f>
        <v>6</v>
      </c>
      <c r="AH33" s="86">
        <f>VLOOKUP(TableWRRanks32[[#This Row],[Player]],WR!B:O,4,FALSE)</f>
        <v>0</v>
      </c>
      <c r="AI33" s="86">
        <f>VLOOKUP(TableWRRanks32[[#This Row],[Player]],WR!B:O,5,FALSE)</f>
        <v>0</v>
      </c>
      <c r="AJ33" s="86">
        <f>VLOOKUP(TableWRRanks32[[#This Row],[Player]],WR!B:O,6,FALSE)</f>
        <v>118.8962166</v>
      </c>
      <c r="AK33" s="86">
        <f>VLOOKUP(TableWRRanks32[[#This Row],[Player]],WR!B:O,7,FALSE)</f>
        <v>71.813314826400003</v>
      </c>
      <c r="AL33" s="86">
        <f>VLOOKUP(TableWRRanks32[[#This Row],[Player]],WR!B:O,8,FALSE)</f>
        <v>1019.7490705348799</v>
      </c>
      <c r="AM33" s="86">
        <f>VLOOKUP(TableWRRanks32[[#This Row],[Player]],WR!B:O,9,FALSE)</f>
        <v>5.2423719823271995</v>
      </c>
      <c r="AN33" s="58">
        <f>IFERROR(INDEX(TableWRCalcPts[Custom],MATCH(TableWRRanks32[[#This Row],[RK]],TableWRCalcPts[RK],0)),"")</f>
        <v>169.33579636065119</v>
      </c>
      <c r="AO3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13.371202943576638</v>
      </c>
      <c r="AQ33">
        <v>32</v>
      </c>
      <c r="AR33" t="str">
        <f>IFERROR(INDEX(TableTECalcPts[PLAYER],MATCH(TableTERanks33[[#This Row],[RK]],TableTECalcPts[RK],0)),"")</f>
        <v>Tyler Conklin</v>
      </c>
      <c r="AS33" t="str">
        <f>IFERROR(INDEX(TableTECalcPts[TM],MATCH(TableTERanks33[[#This Row],[Player]],TableTECalcPts[PLAYER],0)),"")</f>
        <v>NYJ</v>
      </c>
      <c r="AT33">
        <f>IFERROR(INDEX(TableTECalcPts[BYE],MATCH(TableTERanks33[[#This Row],[Player]],TableTECalcPts[PLAYER],0)),"")</f>
        <v>7</v>
      </c>
      <c r="AU33" s="86">
        <f>VLOOKUP(TableTERanks33[[#This Row],[Player]],TE!B:O,4,FALSE)</f>
        <v>55.289625299999997</v>
      </c>
      <c r="AV33" s="86">
        <f>VLOOKUP(TableTERanks33[[#This Row],[Player]],TE!B:O,5,FALSE)</f>
        <v>39.723854619672842</v>
      </c>
      <c r="AW33" s="86">
        <f>VLOOKUP(TableTERanks33[[#This Row],[Player]],TE!B:O,6,FALSE)</f>
        <v>385.55270357340657</v>
      </c>
      <c r="AX33" s="86">
        <f>VLOOKUP(TableTERanks33[[#This Row],[Player]],TE!B:O,7,FALSE)</f>
        <v>3.734042334249247</v>
      </c>
      <c r="AY33" s="58">
        <f>IFERROR(INDEX(TableTECalcPts[Custom],MATCH(TableTERanks33[[#This Row],[RK]],TableTECalcPts[RK],0)),"")</f>
        <v>80.821451672672566</v>
      </c>
      <c r="AZ33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34" spans="1:52" x14ac:dyDescent="0.2">
      <c r="A34">
        <v>33</v>
      </c>
      <c r="B34" t="str">
        <f>IFERROR(INDEX(TableQBCalcPts[PLAYER],MATCH(TableQBRanks30[[#This Row],[RK]],TableQBCalcPts[RK],0)),"")</f>
        <v>Clayton Tune</v>
      </c>
      <c r="C34" t="str">
        <f>IFERROR(INDEX(TableQBCalcPts[TM],MATCH(TableQBRanks30[[#This Row],[Player]],TableQBCalcPts[PLAYER],0)),"")</f>
        <v>ARI</v>
      </c>
      <c r="D34">
        <f>IFERROR(INDEX(TableQBCalcPts[BYE],MATCH(TableQBRanks30[[#This Row],[Player]],TableQBCalcPts[PLAYER],0)),"")</f>
        <v>14</v>
      </c>
      <c r="E34" s="86">
        <f>VLOOKUP(TableQBRanks30[[#This Row],[Player]],QB!B:O,4,FALSE)</f>
        <v>245.10000000000002</v>
      </c>
      <c r="F34" s="86">
        <f>VLOOKUP(TableQBRanks30[[#This Row],[Player]],QB!B:O,5,FALSE)</f>
        <v>157.55028000000001</v>
      </c>
      <c r="G34" s="86">
        <f>VLOOKUP(TableQBRanks30[[#This Row],[Player]],QB!B:O,6,FALSE)</f>
        <v>1583.3803140000002</v>
      </c>
      <c r="H34" s="86">
        <f>VLOOKUP(TableQBRanks30[[#This Row],[Player]],QB!B:O,7,FALSE)</f>
        <v>9.1379162400000009</v>
      </c>
      <c r="I34" s="86">
        <f>VLOOKUP(TableQBRanks30[[#This Row],[Player]],QB!B:O,8,FALSE)</f>
        <v>5.9869106400000005</v>
      </c>
      <c r="J34" s="86">
        <f>VLOOKUP(TableQBRanks30[[#This Row],[Player]],QB!B:O,9,FALSE)</f>
        <v>8.1540900000000001</v>
      </c>
      <c r="K34" s="86">
        <f>VLOOKUP(TableQBRanks30[[#This Row],[Player]],QB!B:O,10,FALSE)</f>
        <v>31.800950999999998</v>
      </c>
      <c r="L34" s="86">
        <f>VLOOKUP(TableQBRanks30[[#This Row],[Player]],QB!B:O,11,FALSE)</f>
        <v>0.25277678999999997</v>
      </c>
      <c r="M34" s="58">
        <f>IFERROR(INDEX(TableQBCalcPts[Custom],MATCH(TableQBRanks30[[#This Row],[RK]],TableQBCalcPts[RK],0)),"")</f>
        <v>98.596722720000017</v>
      </c>
      <c r="N34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34">
        <v>33</v>
      </c>
      <c r="Q34" t="str">
        <f>IFERROR(INDEX(TableRBCalcPts[PLAYER],MATCH(TableRBRanks31[[#This Row],[RK]],TableRBCalcPts[RK],0)),"")</f>
        <v>Dalvin Cook</v>
      </c>
      <c r="R34" t="str">
        <f>IFERROR(INDEX(TableRBCalcPts[TM],MATCH(TableRBRanks31[[#This Row],[Player]],TableRBCalcPts[PLAYER],0)),"")</f>
        <v>NYJ</v>
      </c>
      <c r="S34">
        <f>IFERROR(INDEX(TableRBCalcPts[BYE],MATCH(TableRBRanks31[[#This Row],[Player]],TableRBCalcPts[PLAYER],0)),"")</f>
        <v>7</v>
      </c>
      <c r="T34" s="86">
        <f>VLOOKUP(TableRBRanks31[[#This Row],[Player]],RB!B:O,4,FALSE)</f>
        <v>180.25976233502541</v>
      </c>
      <c r="U34" s="86">
        <f>VLOOKUP(TableRBRanks31[[#This Row],[Player]],RB!B:O,5,FALSE)</f>
        <v>787.73516140406105</v>
      </c>
      <c r="V34" s="86">
        <f>VLOOKUP(TableRBRanks31[[#This Row],[Player]],RB!B:O,6,FALSE)</f>
        <v>6.6696112063959401</v>
      </c>
      <c r="W34" s="86">
        <f>VLOOKUP(TableRBRanks31[[#This Row],[Player]],RB!B:O,7,FALSE)</f>
        <v>40.426822800000004</v>
      </c>
      <c r="X34" s="86">
        <f>VLOOKUP(TableRBRanks31[[#This Row],[Player]],RB!B:O,8,FALSE)</f>
        <v>28.339202782800001</v>
      </c>
      <c r="Y34" s="86">
        <f>VLOOKUP(TableRBRanks31[[#This Row],[Player]],RB!B:O,9,FALSE)</f>
        <v>207.15957234226801</v>
      </c>
      <c r="Z34" s="86">
        <f>VLOOKUP(TableRBRanks31[[#This Row],[Player]],RB!B:O,10,FALSE)</f>
        <v>1.0768897057464</v>
      </c>
      <c r="AA34" s="58">
        <f>IFERROR(INDEX(TableRBCalcPts[Custom],MATCH(TableRBRanks31[[#This Row],[RK]],TableRBCalcPts[RK],0)),"")</f>
        <v>160.13808023888697</v>
      </c>
      <c r="AB34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13.727393137002762</v>
      </c>
      <c r="AD34">
        <v>33</v>
      </c>
      <c r="AE34" t="str">
        <f>IFERROR(INDEX(TableWRCalcPts[PLAYER],MATCH(TableWRRanks32[[#This Row],[RK]],TableWRCalcPts[RK],0)),"")</f>
        <v>Skyy Moore</v>
      </c>
      <c r="AF34" t="str">
        <f>IFERROR(INDEX(TableWRCalcPts[TM],MATCH(TableWRRanks32[[#This Row],[Player]],TableWRCalcPts[PLAYER],0)),"")</f>
        <v>KC</v>
      </c>
      <c r="AG34">
        <f>IFERROR(INDEX(TableWRCalcPts[BYE],MATCH(TableWRRanks32[[#This Row],[Player]],TableWRCalcPts[PLAYER],0)),"")</f>
        <v>10</v>
      </c>
      <c r="AH34" s="86">
        <f>VLOOKUP(TableWRRanks32[[#This Row],[Player]],WR!B:O,4,FALSE)</f>
        <v>18.371860673135078</v>
      </c>
      <c r="AI34" s="86">
        <f>VLOOKUP(TableWRRanks32[[#This Row],[Player]],WR!B:O,5,FALSE)</f>
        <v>0.16044962072211075</v>
      </c>
      <c r="AJ34" s="86">
        <f>VLOOKUP(TableWRRanks32[[#This Row],[Player]],WR!B:O,6,FALSE)</f>
        <v>111.1575192</v>
      </c>
      <c r="AK34" s="86">
        <f>VLOOKUP(TableWRRanks32[[#This Row],[Player]],WR!B:O,7,FALSE)</f>
        <v>73.697435229600003</v>
      </c>
      <c r="AL34" s="86">
        <f>VLOOKUP(TableWRRanks32[[#This Row],[Player]],WR!B:O,8,FALSE)</f>
        <v>929.81767578878191</v>
      </c>
      <c r="AM34" s="86">
        <f>VLOOKUP(TableWRRanks32[[#This Row],[Player]],WR!B:O,9,FALSE)</f>
        <v>6.0431896888272005</v>
      </c>
      <c r="AN34" s="58">
        <f>IFERROR(INDEX(TableWRCalcPts[Custom],MATCH(TableWRRanks32[[#This Row],[RK]],TableWRCalcPts[RK],0)),"")</f>
        <v>168.88950711828755</v>
      </c>
      <c r="AO3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13.218363350967797</v>
      </c>
      <c r="AQ34">
        <v>33</v>
      </c>
      <c r="AR34" t="str">
        <f>IFERROR(INDEX(TableTECalcPts[PLAYER],MATCH(TableTERanks33[[#This Row],[RK]],TableTECalcPts[RK],0)),"")</f>
        <v>Austin Hooper</v>
      </c>
      <c r="AS34" t="str">
        <f>IFERROR(INDEX(TableTECalcPts[TM],MATCH(TableTERanks33[[#This Row],[Player]],TableTECalcPts[PLAYER],0)),"")</f>
        <v>LV</v>
      </c>
      <c r="AT34">
        <f>IFERROR(INDEX(TableTECalcPts[BYE],MATCH(TableTERanks33[[#This Row],[Player]],TableTECalcPts[PLAYER],0)),"")</f>
        <v>13</v>
      </c>
      <c r="AU34" s="86">
        <f>VLOOKUP(TableTERanks33[[#This Row],[Player]],TE!B:O,4,FALSE)</f>
        <v>53.144909999999996</v>
      </c>
      <c r="AV34" s="86">
        <f>VLOOKUP(TableTERanks33[[#This Row],[Player]],TE!B:O,5,FALSE)</f>
        <v>35.388403875992303</v>
      </c>
      <c r="AW34" s="86">
        <f>VLOOKUP(TableTERanks33[[#This Row],[Player]],TE!B:O,6,FALSE)</f>
        <v>396.046323115132</v>
      </c>
      <c r="AX34" s="86">
        <f>VLOOKUP(TableTERanks33[[#This Row],[Player]],TE!B:O,7,FALSE)</f>
        <v>2.901849117831369</v>
      </c>
      <c r="AY34" s="58">
        <f>IFERROR(INDEX(TableTECalcPts[Custom],MATCH(TableTERanks33[[#This Row],[RK]],TableTECalcPts[RK],0)),"")</f>
        <v>74.709928956497578</v>
      </c>
      <c r="AZ34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35" spans="1:52" x14ac:dyDescent="0.2">
      <c r="A35">
        <v>34</v>
      </c>
      <c r="B35" t="str">
        <f>IFERROR(INDEX(TableQBCalcPts[PLAYER],MATCH(TableQBRanks30[[#This Row],[RK]],TableQBCalcPts[RK],0)),"")</f>
        <v>Kyler Murray</v>
      </c>
      <c r="C35" t="str">
        <f>IFERROR(INDEX(TableQBCalcPts[TM],MATCH(TableQBRanks30[[#This Row],[Player]],TableQBCalcPts[PLAYER],0)),"")</f>
        <v>ARI</v>
      </c>
      <c r="D35">
        <f>IFERROR(INDEX(TableQBCalcPts[BYE],MATCH(TableQBRanks30[[#This Row],[Player]],TableQBCalcPts[PLAYER],0)),"")</f>
        <v>14</v>
      </c>
      <c r="E35" s="86">
        <f>VLOOKUP(TableQBRanks30[[#This Row],[Player]],QB!B:O,4,FALSE)</f>
        <v>61.275000000000006</v>
      </c>
      <c r="F35" s="86">
        <f>VLOOKUP(TableQBRanks30[[#This Row],[Player]],QB!B:O,5,FALSE)</f>
        <v>40.679512158260401</v>
      </c>
      <c r="G35" s="86">
        <f>VLOOKUP(TableQBRanks30[[#This Row],[Player]],QB!B:O,6,FALSE)</f>
        <v>414.04910791167987</v>
      </c>
      <c r="H35" s="86">
        <f>VLOOKUP(TableQBRanks30[[#This Row],[Player]],QB!B:O,7,FALSE)</f>
        <v>2.5790810708337095</v>
      </c>
      <c r="I35" s="86">
        <f>VLOOKUP(TableQBRanks30[[#This Row],[Player]],QB!B:O,8,FALSE)</f>
        <v>1.3915388318386108</v>
      </c>
      <c r="J35" s="86">
        <f>VLOOKUP(TableQBRanks30[[#This Row],[Player]],QB!B:O,9,FALSE)</f>
        <v>49.830550000000002</v>
      </c>
      <c r="K35" s="86">
        <f>VLOOKUP(TableQBRanks30[[#This Row],[Player]],QB!B:O,10,FALSE)</f>
        <v>272.17146292976537</v>
      </c>
      <c r="L35" s="86">
        <f>VLOOKUP(TableQBRanks30[[#This Row],[Player]],QB!B:O,11,FALSE)</f>
        <v>2.5413580499999999</v>
      </c>
      <c r="M35" s="58">
        <f>IFERROR(INDEX(TableQBCalcPts[Custom],MATCH(TableQBRanks30[[#This Row],[RK]],TableQBCalcPts[RK],0)),"")</f>
        <v>67.952044360939965</v>
      </c>
      <c r="N35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35">
        <v>34</v>
      </c>
      <c r="Q35" t="str">
        <f>IFERROR(INDEX(TableRBCalcPts[PLAYER],MATCH(TableRBRanks31[[#This Row],[RK]],TableRBCalcPts[RK],0)),"")</f>
        <v>D'Andre Swift</v>
      </c>
      <c r="R35" t="str">
        <f>IFERROR(INDEX(TableRBCalcPts[TM],MATCH(TableRBRanks31[[#This Row],[Player]],TableRBCalcPts[PLAYER],0)),"")</f>
        <v>PHI</v>
      </c>
      <c r="S35">
        <f>IFERROR(INDEX(TableRBCalcPts[BYE],MATCH(TableRBRanks31[[#This Row],[Player]],TableRBCalcPts[PLAYER],0)),"")</f>
        <v>10</v>
      </c>
      <c r="T35" s="86">
        <f>VLOOKUP(TableRBRanks31[[#This Row],[Player]],RB!B:O,4,FALSE)</f>
        <v>128.75134356000001</v>
      </c>
      <c r="U35" s="86">
        <f>VLOOKUP(TableRBRanks31[[#This Row],[Player]],RB!B:O,5,FALSE)</f>
        <v>621.86898939480011</v>
      </c>
      <c r="V35" s="86">
        <f>VLOOKUP(TableRBRanks31[[#This Row],[Player]],RB!B:O,6,FALSE)</f>
        <v>5.0213023988400005</v>
      </c>
      <c r="W35" s="86">
        <f>VLOOKUP(TableRBRanks31[[#This Row],[Player]],RB!B:O,7,FALSE)</f>
        <v>55.878163319999992</v>
      </c>
      <c r="X35" s="86">
        <f>VLOOKUP(TableRBRanks31[[#This Row],[Player]],RB!B:O,8,FALSE)</f>
        <v>40.591589221464709</v>
      </c>
      <c r="Y35" s="86">
        <f>VLOOKUP(TableRBRanks31[[#This Row],[Player]],RB!B:O,9,FALSE)</f>
        <v>325.53067163598297</v>
      </c>
      <c r="Z35" s="86">
        <f>VLOOKUP(TableRBRanks31[[#This Row],[Player]],RB!B:O,10,FALSE)</f>
        <v>2.2325374071805588</v>
      </c>
      <c r="AA35" s="58">
        <f>IFERROR(INDEX(TableRBCalcPts[Custom],MATCH(TableRBRanks31[[#This Row],[RK]],TableRBCalcPts[RK],0)),"")</f>
        <v>158.55879954993404</v>
      </c>
      <c r="AB35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13.151963485614797</v>
      </c>
      <c r="AD35">
        <v>34</v>
      </c>
      <c r="AE35" t="str">
        <f>IFERROR(INDEX(TableWRCalcPts[PLAYER],MATCH(TableWRRanks32[[#This Row],[RK]],TableWRCalcPts[RK],0)),"")</f>
        <v>Brandon Aiyuk</v>
      </c>
      <c r="AF35" t="str">
        <f>IFERROR(INDEX(TableWRCalcPts[TM],MATCH(TableWRRanks32[[#This Row],[Player]],TableWRCalcPts[PLAYER],0)),"")</f>
        <v>SF</v>
      </c>
      <c r="AG35">
        <f>IFERROR(INDEX(TableWRCalcPts[BYE],MATCH(TableWRRanks32[[#This Row],[Player]],TableWRCalcPts[PLAYER],0)),"")</f>
        <v>9</v>
      </c>
      <c r="AH35" s="86">
        <f>VLOOKUP(TableWRRanks32[[#This Row],[Player]],WR!B:O,4,FALSE)</f>
        <v>0</v>
      </c>
      <c r="AI35" s="86">
        <f>VLOOKUP(TableWRRanks32[[#This Row],[Player]],WR!B:O,5,FALSE)</f>
        <v>0</v>
      </c>
      <c r="AJ35" s="86">
        <f>VLOOKUP(TableWRRanks32[[#This Row],[Player]],WR!B:O,6,FALSE)</f>
        <v>110.21813628</v>
      </c>
      <c r="AK35" s="86">
        <f>VLOOKUP(TableWRRanks32[[#This Row],[Player]],WR!B:O,7,FALSE)</f>
        <v>69.988516537799995</v>
      </c>
      <c r="AL35" s="86">
        <f>VLOOKUP(TableWRRanks32[[#This Row],[Player]],WR!B:O,8,FALSE)</f>
        <v>958.84267656785994</v>
      </c>
      <c r="AM35" s="86">
        <f>VLOOKUP(TableWRRanks32[[#This Row],[Player]],WR!B:O,9,FALSE)</f>
        <v>5.8090468726374</v>
      </c>
      <c r="AN35" s="58">
        <f>IFERROR(INDEX(TableWRCalcPts[Custom],MATCH(TableWRRanks32[[#This Row],[RK]],TableWRCalcPts[RK],0)),"")</f>
        <v>165.73280716151041</v>
      </c>
      <c r="AO3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12.137295985716259</v>
      </c>
      <c r="AQ35">
        <v>34</v>
      </c>
      <c r="AR35" t="str">
        <f>IFERROR(INDEX(TableTECalcPts[PLAYER],MATCH(TableTERanks33[[#This Row],[RK]],TableTECalcPts[RK],0)),"")</f>
        <v>Taysom Hill</v>
      </c>
      <c r="AS35" t="str">
        <f>IFERROR(INDEX(TableTECalcPts[TM],MATCH(TableTERanks33[[#This Row],[Player]],TableTECalcPts[PLAYER],0)),"")</f>
        <v>NO</v>
      </c>
      <c r="AT35">
        <f>IFERROR(INDEX(TableTECalcPts[BYE],MATCH(TableTERanks33[[#This Row],[Player]],TableTECalcPts[PLAYER],0)),"")</f>
        <v>11</v>
      </c>
      <c r="AU35" s="86">
        <f>VLOOKUP(TableTERanks33[[#This Row],[Player]],TE!B:O,4,FALSE)</f>
        <v>8.3874860160000004</v>
      </c>
      <c r="AV35" s="86">
        <f>VLOOKUP(TableTERanks33[[#This Row],[Player]],TE!B:O,5,FALSE)</f>
        <v>5.8544652391680003</v>
      </c>
      <c r="AW35" s="86">
        <f>VLOOKUP(TableTERanks33[[#This Row],[Player]],TE!B:O,6,FALSE)</f>
        <v>66.155457202598413</v>
      </c>
      <c r="AX35" s="86">
        <f>VLOOKUP(TableTERanks33[[#This Row],[Player]],TE!B:O,7,FALSE)</f>
        <v>0.62057331535180804</v>
      </c>
      <c r="AY35" s="58">
        <f>IFERROR(INDEX(TableTECalcPts[Custom],MATCH(TableTERanks33[[#This Row],[RK]],TableTECalcPts[RK],0)),"")</f>
        <v>71.977671055054685</v>
      </c>
      <c r="AZ35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36" spans="1:52" x14ac:dyDescent="0.2">
      <c r="A36">
        <v>35</v>
      </c>
      <c r="B36" t="str">
        <f>IFERROR(INDEX(TableQBCalcPts[PLAYER],MATCH(TableQBRanks30[[#This Row],[RK]],TableQBCalcPts[RK],0)),"")</f>
        <v>Kyle Trask</v>
      </c>
      <c r="C36" t="str">
        <f>IFERROR(INDEX(TableQBCalcPts[TM],MATCH(TableQBRanks30[[#This Row],[Player]],TableQBCalcPts[PLAYER],0)),"")</f>
        <v>TB</v>
      </c>
      <c r="D36">
        <f>IFERROR(INDEX(TableQBCalcPts[BYE],MATCH(TableQBRanks30[[#This Row],[Player]],TableQBCalcPts[PLAYER],0)),"")</f>
        <v>5</v>
      </c>
      <c r="E36" s="86">
        <f>VLOOKUP(TableQBRanks30[[#This Row],[Player]],QB!B:O,4,FALSE)</f>
        <v>114.05439999999999</v>
      </c>
      <c r="F36" s="86">
        <f>VLOOKUP(TableQBRanks30[[#This Row],[Player]],QB!B:O,5,FALSE)</f>
        <v>70.749425965644164</v>
      </c>
      <c r="G36" s="86">
        <f>VLOOKUP(TableQBRanks30[[#This Row],[Player]],QB!B:O,6,FALSE)</f>
        <v>748.76121173459342</v>
      </c>
      <c r="H36" s="86">
        <f>VLOOKUP(TableQBRanks30[[#This Row],[Player]],QB!B:O,7,FALSE)</f>
        <v>4.3440147542905523</v>
      </c>
      <c r="I36" s="86">
        <f>VLOOKUP(TableQBRanks30[[#This Row],[Player]],QB!B:O,8,FALSE)</f>
        <v>2.8833490381884426</v>
      </c>
      <c r="J36" s="86">
        <f>VLOOKUP(TableQBRanks30[[#This Row],[Player]],QB!B:O,9,FALSE)</f>
        <v>5.9507481600000007</v>
      </c>
      <c r="K36" s="86">
        <f>VLOOKUP(TableQBRanks30[[#This Row],[Player]],QB!B:O,10,FALSE)</f>
        <v>15.483419985821053</v>
      </c>
      <c r="L36" s="86">
        <f>VLOOKUP(TableQBRanks30[[#This Row],[Player]],QB!B:O,11,FALSE)</f>
        <v>0.19637468928000004</v>
      </c>
      <c r="M36" s="58">
        <f>IFERROR(INDEX(TableQBCalcPts[Custom],MATCH(TableQBRanks30[[#This Row],[RK]],TableQBCalcPts[RK],0)),"")</f>
        <v>47.169748582619611</v>
      </c>
      <c r="N36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36">
        <v>35</v>
      </c>
      <c r="Q36" t="str">
        <f>IFERROR(INDEX(TableRBCalcPts[PLAYER],MATCH(TableRBRanks31[[#This Row],[RK]],TableRBCalcPts[RK],0)),"")</f>
        <v>Antonio Gibson</v>
      </c>
      <c r="R36" t="str">
        <f>IFERROR(INDEX(TableRBCalcPts[TM],MATCH(TableRBRanks31[[#This Row],[Player]],TableRBCalcPts[PLAYER],0)),"")</f>
        <v>WSH</v>
      </c>
      <c r="S36">
        <f>IFERROR(INDEX(TableRBCalcPts[BYE],MATCH(TableRBRanks31[[#This Row],[Player]],TableRBCalcPts[PLAYER],0)),"")</f>
        <v>14</v>
      </c>
      <c r="T36" s="86">
        <f>VLOOKUP(TableRBRanks31[[#This Row],[Player]],RB!B:O,4,FALSE)</f>
        <v>130.46688451999998</v>
      </c>
      <c r="U36" s="86">
        <f>VLOOKUP(TableRBRanks31[[#This Row],[Player]],RB!B:O,5,FALSE)</f>
        <v>532.3048888415999</v>
      </c>
      <c r="V36" s="86">
        <f>VLOOKUP(TableRBRanks31[[#This Row],[Player]],RB!B:O,6,FALSE)</f>
        <v>3.7835396510799995</v>
      </c>
      <c r="W36" s="86">
        <f>VLOOKUP(TableRBRanks31[[#This Row],[Player]],RB!B:O,7,FALSE)</f>
        <v>69.038735220000007</v>
      </c>
      <c r="X36" s="86">
        <f>VLOOKUP(TableRBRanks31[[#This Row],[Player]],RB!B:O,8,FALSE)</f>
        <v>51.640973944560002</v>
      </c>
      <c r="Y36" s="86">
        <f>VLOOKUP(TableRBRanks31[[#This Row],[Player]],RB!B:O,9,FALSE)</f>
        <v>382.14320718974403</v>
      </c>
      <c r="Z36" s="86">
        <f>VLOOKUP(TableRBRanks31[[#This Row],[Player]],RB!B:O,10,FALSE)</f>
        <v>2.4271257753943201</v>
      </c>
      <c r="AA36" s="58">
        <f>IFERROR(INDEX(TableRBCalcPts[Custom],MATCH(TableRBRanks31[[#This Row],[RK]],TableRBCalcPts[RK],0)),"")</f>
        <v>154.52928913426035</v>
      </c>
      <c r="AB36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11.683763570315014</v>
      </c>
      <c r="AD36">
        <v>35</v>
      </c>
      <c r="AE36" t="str">
        <f>IFERROR(INDEX(TableWRCalcPts[PLAYER],MATCH(TableWRRanks32[[#This Row],[RK]],TableWRCalcPts[RK],0)),"")</f>
        <v>Drake London</v>
      </c>
      <c r="AF36" t="str">
        <f>IFERROR(INDEX(TableWRCalcPts[TM],MATCH(TableWRRanks32[[#This Row],[Player]],TableWRCalcPts[PLAYER],0)),"")</f>
        <v>ATL</v>
      </c>
      <c r="AG36">
        <f>IFERROR(INDEX(TableWRCalcPts[BYE],MATCH(TableWRRanks32[[#This Row],[Player]],TableWRCalcPts[PLAYER],0)),"")</f>
        <v>11</v>
      </c>
      <c r="AH36" s="86">
        <f>VLOOKUP(TableWRRanks32[[#This Row],[Player]],WR!B:O,4,FALSE)</f>
        <v>0</v>
      </c>
      <c r="AI36" s="86">
        <f>VLOOKUP(TableWRRanks32[[#This Row],[Player]],WR!B:O,5,FALSE)</f>
        <v>0</v>
      </c>
      <c r="AJ36" s="86">
        <f>VLOOKUP(TableWRRanks32[[#This Row],[Player]],WR!B:O,6,FALSE)</f>
        <v>118.85690879999996</v>
      </c>
      <c r="AK36" s="86">
        <f>VLOOKUP(TableWRRanks32[[#This Row],[Player]],WR!B:O,7,FALSE)</f>
        <v>75.908494904057164</v>
      </c>
      <c r="AL36" s="86">
        <f>VLOOKUP(TableWRRanks32[[#This Row],[Player]],WR!B:O,8,FALSE)</f>
        <v>933.67448731990316</v>
      </c>
      <c r="AM36" s="86">
        <f>VLOOKUP(TableWRRanks32[[#This Row],[Player]],WR!B:O,9,FALSE)</f>
        <v>5.5413201279961726</v>
      </c>
      <c r="AN36" s="58">
        <f>IFERROR(INDEX(TableWRCalcPts[Custom],MATCH(TableWRRanks32[[#This Row],[RK]],TableWRCalcPts[RK],0)),"")</f>
        <v>164.56961695199593</v>
      </c>
      <c r="AO3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11.738941060539892</v>
      </c>
      <c r="AQ36">
        <v>35</v>
      </c>
      <c r="AR36" t="str">
        <f>IFERROR(INDEX(TableTECalcPts[PLAYER],MATCH(TableTERanks33[[#This Row],[RK]],TableTECalcPts[RK],0)),"")</f>
        <v>Logan Thomas</v>
      </c>
      <c r="AS36" t="str">
        <f>IFERROR(INDEX(TableTECalcPts[TM],MATCH(TableTERanks33[[#This Row],[Player]],TableTECalcPts[PLAYER],0)),"")</f>
        <v>WSH</v>
      </c>
      <c r="AT36">
        <f>IFERROR(INDEX(TableTECalcPts[BYE],MATCH(TableTERanks33[[#This Row],[Player]],TableTECalcPts[PLAYER],0)),"")</f>
        <v>14</v>
      </c>
      <c r="AU36" s="86">
        <f>VLOOKUP(TableTERanks33[[#This Row],[Player]],TE!B:O,4,FALSE)</f>
        <v>54.286868720000001</v>
      </c>
      <c r="AV36" s="86">
        <f>VLOOKUP(TableTERanks33[[#This Row],[Player]],TE!B:O,5,FALSE)</f>
        <v>34.819194581331786</v>
      </c>
      <c r="AW36" s="86">
        <f>VLOOKUP(TableTERanks33[[#This Row],[Player]],TE!B:O,6,FALSE)</f>
        <v>351.67386527145101</v>
      </c>
      <c r="AX36" s="86">
        <f>VLOOKUP(TableTERanks33[[#This Row],[Player]],TE!B:O,7,FALSE)</f>
        <v>2.3677052315305618</v>
      </c>
      <c r="AY36" s="58">
        <f>IFERROR(INDEX(TableTECalcPts[Custom],MATCH(TableTERanks33[[#This Row],[RK]],TableTECalcPts[RK],0)),"")</f>
        <v>66.78321520699437</v>
      </c>
      <c r="AZ36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37" spans="1:52" x14ac:dyDescent="0.2">
      <c r="A37">
        <v>36</v>
      </c>
      <c r="B37" t="str">
        <f>IFERROR(INDEX(TableQBCalcPts[PLAYER],MATCH(TableQBRanks30[[#This Row],[RK]],TableQBCalcPts[RK],0)),"")</f>
        <v>Taylor Heinicke</v>
      </c>
      <c r="C37" t="str">
        <f>IFERROR(INDEX(TableQBCalcPts[TM],MATCH(TableQBRanks30[[#This Row],[Player]],TableQBCalcPts[PLAYER],0)),"")</f>
        <v>ATL</v>
      </c>
      <c r="D37">
        <f>IFERROR(INDEX(TableQBCalcPts[BYE],MATCH(TableQBRanks30[[#This Row],[Player]],TableQBCalcPts[PLAYER],0)),"")</f>
        <v>11</v>
      </c>
      <c r="E37" s="86">
        <f>VLOOKUP(TableQBRanks30[[#This Row],[Player]],QB!B:O,4,FALSE)</f>
        <v>77.414400000000015</v>
      </c>
      <c r="F37" s="86">
        <f>VLOOKUP(TableQBRanks30[[#This Row],[Player]],QB!B:O,5,FALSE)</f>
        <v>48.824723480447872</v>
      </c>
      <c r="G37" s="86">
        <f>VLOOKUP(TableQBRanks30[[#This Row],[Player]],QB!B:O,6,FALSE)</f>
        <v>543.0886332654585</v>
      </c>
      <c r="H37" s="86">
        <f>VLOOKUP(TableQBRanks30[[#This Row],[Player]],QB!B:O,7,FALSE)</f>
        <v>3.1736070262291118</v>
      </c>
      <c r="I37" s="86">
        <f>VLOOKUP(TableQBRanks30[[#This Row],[Player]],QB!B:O,8,FALSE)</f>
        <v>1.9158124982764142</v>
      </c>
      <c r="J37" s="86">
        <f>VLOOKUP(TableQBRanks30[[#This Row],[Player]],QB!B:O,9,FALSE)</f>
        <v>8.6771865600000009</v>
      </c>
      <c r="K37" s="86">
        <f>VLOOKUP(TableQBRanks30[[#This Row],[Player]],QB!B:O,10,FALSE)</f>
        <v>25.14662235711349</v>
      </c>
      <c r="L37" s="86">
        <f>VLOOKUP(TableQBRanks30[[#This Row],[Player]],QB!B:O,11,FALSE)</f>
        <v>0.16055065404098945</v>
      </c>
      <c r="M37" s="58">
        <f>IFERROR(INDEX(TableQBCalcPts[Custom],MATCH(TableQBRanks30[[#This Row],[RK]],TableQBCalcPts[RK],0)),"")</f>
        <v>35.980127097215657</v>
      </c>
      <c r="N37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37">
        <v>36</v>
      </c>
      <c r="Q37" t="str">
        <f>IFERROR(INDEX(TableRBCalcPts[PLAYER],MATCH(TableRBRanks31[[#This Row],[RK]],TableRBCalcPts[RK],0)),"")</f>
        <v>Zach Charbonnet</v>
      </c>
      <c r="R37" t="str">
        <f>IFERROR(INDEX(TableRBCalcPts[TM],MATCH(TableRBRanks31[[#This Row],[Player]],TableRBCalcPts[PLAYER],0)),"")</f>
        <v>SEA</v>
      </c>
      <c r="S37">
        <f>IFERROR(INDEX(TableRBCalcPts[BYE],MATCH(TableRBRanks31[[#This Row],[Player]],TableRBCalcPts[PLAYER],0)),"")</f>
        <v>5</v>
      </c>
      <c r="T37" s="86">
        <f>VLOOKUP(TableRBRanks31[[#This Row],[Player]],RB!B:O,4,FALSE)</f>
        <v>141.21511488000002</v>
      </c>
      <c r="U37" s="86">
        <f>VLOOKUP(TableRBRanks31[[#This Row],[Player]],RB!B:O,5,FALSE)</f>
        <v>612.87359857920001</v>
      </c>
      <c r="V37" s="86">
        <f>VLOOKUP(TableRBRanks31[[#This Row],[Player]],RB!B:O,6,FALSE)</f>
        <v>5.5073894803200005</v>
      </c>
      <c r="W37" s="86">
        <f>VLOOKUP(TableRBRanks31[[#This Row],[Player]],RB!B:O,7,FALSE)</f>
        <v>52.854379199999997</v>
      </c>
      <c r="X37" s="86">
        <f>VLOOKUP(TableRBRanks31[[#This Row],[Player]],RB!B:O,8,FALSE)</f>
        <v>38.63682563336932</v>
      </c>
      <c r="Y37" s="86">
        <f>VLOOKUP(TableRBRanks31[[#This Row],[Player]],RB!B:O,9,FALSE)</f>
        <v>312.95828763029147</v>
      </c>
      <c r="Z37" s="86">
        <f>VLOOKUP(TableRBRanks31[[#This Row],[Player]],RB!B:O,10,FALSE)</f>
        <v>1.5841098509681422</v>
      </c>
      <c r="AA37" s="58">
        <f>IFERROR(INDEX(TableRBCalcPts[Custom],MATCH(TableRBRanks31[[#This Row],[RK]],TableRBCalcPts[RK],0)),"")</f>
        <v>154.45059742536267</v>
      </c>
      <c r="AB37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11.655091312789889</v>
      </c>
      <c r="AD37">
        <v>36</v>
      </c>
      <c r="AE37" t="str">
        <f>IFERROR(INDEX(TableWRCalcPts[PLAYER],MATCH(TableWRRanks32[[#This Row],[RK]],TableWRCalcPts[RK],0)),"")</f>
        <v>Allen Lazard</v>
      </c>
      <c r="AF37" t="str">
        <f>IFERROR(INDEX(TableWRCalcPts[TM],MATCH(TableWRRanks32[[#This Row],[Player]],TableWRCalcPts[PLAYER],0)),"")</f>
        <v>NYJ</v>
      </c>
      <c r="AG37">
        <f>IFERROR(INDEX(TableWRCalcPts[BYE],MATCH(TableWRRanks32[[#This Row],[Player]],TableWRCalcPts[PLAYER],0)),"")</f>
        <v>7</v>
      </c>
      <c r="AH37" s="86">
        <f>VLOOKUP(TableWRRanks32[[#This Row],[Player]],WR!B:O,4,FALSE)</f>
        <v>0</v>
      </c>
      <c r="AI37" s="86">
        <f>VLOOKUP(TableWRRanks32[[#This Row],[Player]],WR!B:O,5,FALSE)</f>
        <v>0</v>
      </c>
      <c r="AJ37" s="86">
        <f>VLOOKUP(TableWRRanks32[[#This Row],[Player]],WR!B:O,6,FALSE)</f>
        <v>106.41766589999999</v>
      </c>
      <c r="AK37" s="86">
        <f>VLOOKUP(TableWRRanks32[[#This Row],[Player]],WR!B:O,7,FALSE)</f>
        <v>66.085370523899996</v>
      </c>
      <c r="AL37" s="86">
        <f>VLOOKUP(TableWRRanks32[[#This Row],[Player]],WR!B:O,8,FALSE)</f>
        <v>871.00518350500192</v>
      </c>
      <c r="AM37" s="86">
        <f>VLOOKUP(TableWRRanks32[[#This Row],[Player]],WR!B:O,9,FALSE)</f>
        <v>7.1372200165811996</v>
      </c>
      <c r="AN37" s="58">
        <f>IFERROR(INDEX(TableWRCalcPts[Custom],MATCH(TableWRRanks32[[#This Row],[RK]],TableWRCalcPts[RK],0)),"")</f>
        <v>162.96652371193738</v>
      </c>
      <c r="AO3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11.189933613201752</v>
      </c>
      <c r="AQ37">
        <v>36</v>
      </c>
      <c r="AR37" t="str">
        <f>IFERROR(INDEX(TableTECalcPts[PLAYER],MATCH(TableTERanks33[[#This Row],[RK]],TableTECalcPts[RK],0)),"")</f>
        <v>Adam Trautman</v>
      </c>
      <c r="AS37" t="str">
        <f>IFERROR(INDEX(TableTECalcPts[TM],MATCH(TableTERanks33[[#This Row],[Player]],TableTECalcPts[PLAYER],0)),"")</f>
        <v>DEN</v>
      </c>
      <c r="AT37">
        <f>IFERROR(INDEX(TableTECalcPts[BYE],MATCH(TableTERanks33[[#This Row],[Player]],TableTECalcPts[PLAYER],0)),"")</f>
        <v>9</v>
      </c>
      <c r="AU37" s="86">
        <f>VLOOKUP(TableTERanks33[[#This Row],[Player]],TE!B:O,4,FALSE)</f>
        <v>50.533308000000005</v>
      </c>
      <c r="AV37" s="86">
        <f>VLOOKUP(TableTERanks33[[#This Row],[Player]],TE!B:O,5,FALSE)</f>
        <v>31.981463732836982</v>
      </c>
      <c r="AW37" s="86">
        <f>VLOOKUP(TableTERanks33[[#This Row],[Player]],TE!B:O,6,FALSE)</f>
        <v>342.52147657868409</v>
      </c>
      <c r="AX37" s="86">
        <f>VLOOKUP(TableTERanks33[[#This Row],[Player]],TE!B:O,7,FALSE)</f>
        <v>2.6864429535583065</v>
      </c>
      <c r="AY37" s="58">
        <f>IFERROR(INDEX(TableTECalcPts[Custom],MATCH(TableTERanks33[[#This Row],[RK]],TableTECalcPts[RK],0)),"")</f>
        <v>66.361537245636754</v>
      </c>
      <c r="AZ37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38" spans="1:52" x14ac:dyDescent="0.2">
      <c r="A38">
        <v>37</v>
      </c>
      <c r="B38" t="str">
        <f>IFERROR(INDEX(TableQBCalcPts[PLAYER],MATCH(TableQBRanks30[[#This Row],[RK]],TableQBCalcPts[RK],0)),"")</f>
        <v>Tyrod Taylor</v>
      </c>
      <c r="C38" t="str">
        <f>IFERROR(INDEX(TableQBCalcPts[TM],MATCH(TableQBRanks30[[#This Row],[Player]],TableQBCalcPts[PLAYER],0)),"")</f>
        <v>NYG</v>
      </c>
      <c r="D38">
        <f>IFERROR(INDEX(TableQBCalcPts[BYE],MATCH(TableQBRanks30[[#This Row],[Player]],TableQBCalcPts[PLAYER],0)),"")</f>
        <v>13</v>
      </c>
      <c r="E38" s="86">
        <f>VLOOKUP(TableQBRanks30[[#This Row],[Player]],QB!B:O,4,FALSE)</f>
        <v>45.752719999999975</v>
      </c>
      <c r="F38" s="86">
        <f>VLOOKUP(TableQBRanks30[[#This Row],[Player]],QB!B:O,5,FALSE)</f>
        <v>30.654322399999984</v>
      </c>
      <c r="G38" s="86">
        <f>VLOOKUP(TableQBRanks30[[#This Row],[Player]],QB!B:O,6,FALSE)</f>
        <v>305.62359432799985</v>
      </c>
      <c r="H38" s="86">
        <f>VLOOKUP(TableQBRanks30[[#This Row],[Player]],QB!B:O,7,FALSE)</f>
        <v>2.3860886179279635</v>
      </c>
      <c r="I38" s="86">
        <f>VLOOKUP(TableQBRanks30[[#This Row],[Player]],QB!B:O,8,FALSE)</f>
        <v>1.5044641111490982</v>
      </c>
      <c r="J38" s="86">
        <f>VLOOKUP(TableQBRanks30[[#This Row],[Player]],QB!B:O,9,FALSE)</f>
        <v>4.9106918000000004</v>
      </c>
      <c r="K38" s="86">
        <f>VLOOKUP(TableQBRanks30[[#This Row],[Player]],QB!B:O,10,FALSE)</f>
        <v>25.664546223179471</v>
      </c>
      <c r="L38" s="86">
        <f>VLOOKUP(TableQBRanks30[[#This Row],[Player]],QB!B:O,11,FALSE)</f>
        <v>0.18660628840000001</v>
      </c>
      <c r="M38" s="58">
        <f>IFERROR(INDEX(TableQBCalcPts[Custom],MATCH(TableQBRanks30[[#This Row],[RK]],TableQBCalcPts[RK],0)),"")</f>
        <v>23.9509264864007</v>
      </c>
      <c r="N38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38">
        <v>37</v>
      </c>
      <c r="Q38" t="str">
        <f>IFERROR(INDEX(TableRBCalcPts[PLAYER],MATCH(TableRBRanks31[[#This Row],[RK]],TableRBCalcPts[RK],0)),"")</f>
        <v>Raheem Mostert</v>
      </c>
      <c r="R38" t="str">
        <f>IFERROR(INDEX(TableRBCalcPts[TM],MATCH(TableRBRanks31[[#This Row],[Player]],TableRBCalcPts[PLAYER],0)),"")</f>
        <v>MIA</v>
      </c>
      <c r="S38">
        <f>IFERROR(INDEX(TableRBCalcPts[BYE],MATCH(TableRBRanks31[[#This Row],[Player]],TableRBCalcPts[PLAYER],0)),"")</f>
        <v>10</v>
      </c>
      <c r="T38" s="86">
        <f>VLOOKUP(TableRBRanks31[[#This Row],[Player]],RB!B:O,4,FALSE)</f>
        <v>146.82213000000002</v>
      </c>
      <c r="U38" s="86">
        <f>VLOOKUP(TableRBRanks31[[#This Row],[Player]],RB!B:O,5,FALSE)</f>
        <v>675.381798</v>
      </c>
      <c r="V38" s="86">
        <f>VLOOKUP(TableRBRanks31[[#This Row],[Player]],RB!B:O,6,FALSE)</f>
        <v>6.019707330000001</v>
      </c>
      <c r="W38" s="86">
        <f>VLOOKUP(TableRBRanks31[[#This Row],[Player]],RB!B:O,7,FALSE)</f>
        <v>37.938242160000009</v>
      </c>
      <c r="X38" s="86">
        <f>VLOOKUP(TableRBRanks31[[#This Row],[Player]],RB!B:O,8,FALSE)</f>
        <v>28.196252740937506</v>
      </c>
      <c r="Y38" s="86">
        <f>VLOOKUP(TableRBRanks31[[#This Row],[Player]],RB!B:O,9,FALSE)</f>
        <v>211.4718955570313</v>
      </c>
      <c r="Z38" s="86">
        <f>VLOOKUP(TableRBRanks31[[#This Row],[Player]],RB!B:O,10,FALSE)</f>
        <v>1.5507939007515628</v>
      </c>
      <c r="AA38" s="58">
        <f>IFERROR(INDEX(TableRBCalcPts[Custom],MATCH(TableRBRanks31[[#This Row],[RK]],TableRBCalcPts[RK],0)),"")</f>
        <v>148.20650311068127</v>
      </c>
      <c r="AB38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9.3799814859782362</v>
      </c>
      <c r="AD38">
        <v>37</v>
      </c>
      <c r="AE38" t="str">
        <f>IFERROR(INDEX(TableWRCalcPts[PLAYER],MATCH(TableWRRanks32[[#This Row],[RK]],TableWRCalcPts[RK],0)),"")</f>
        <v>Mike Evans</v>
      </c>
      <c r="AF38" t="str">
        <f>IFERROR(INDEX(TableWRCalcPts[TM],MATCH(TableWRRanks32[[#This Row],[Player]],TableWRCalcPts[PLAYER],0)),"")</f>
        <v>TB</v>
      </c>
      <c r="AG38">
        <f>IFERROR(INDEX(TableWRCalcPts[BYE],MATCH(TableWRRanks32[[#This Row],[Player]],TableWRCalcPts[PLAYER],0)),"")</f>
        <v>5</v>
      </c>
      <c r="AH38" s="86">
        <f>VLOOKUP(TableWRRanks32[[#This Row],[Player]],WR!B:O,4,FALSE)</f>
        <v>0</v>
      </c>
      <c r="AI38" s="86">
        <f>VLOOKUP(TableWRRanks32[[#This Row],[Player]],WR!B:O,5,FALSE)</f>
        <v>0</v>
      </c>
      <c r="AJ38" s="86">
        <f>VLOOKUP(TableWRRanks32[[#This Row],[Player]],WR!B:O,6,FALSE)</f>
        <v>113.44991167999999</v>
      </c>
      <c r="AK38" s="86">
        <f>VLOOKUP(TableWRRanks32[[#This Row],[Player]],WR!B:O,7,FALSE)</f>
        <v>66.141298509439991</v>
      </c>
      <c r="AL38" s="86">
        <f>VLOOKUP(TableWRRanks32[[#This Row],[Player]],WR!B:O,8,FALSE)</f>
        <v>927.30100510234865</v>
      </c>
      <c r="AM38" s="86">
        <f>VLOOKUP(TableWRRanks32[[#This Row],[Player]],WR!B:O,9,FALSE)</f>
        <v>6.0849994628684794</v>
      </c>
      <c r="AN38" s="58">
        <f>IFERROR(INDEX(TableWRCalcPts[Custom],MATCH(TableWRRanks32[[#This Row],[RK]],TableWRCalcPts[RK],0)),"")</f>
        <v>162.31074654216576</v>
      </c>
      <c r="AO3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10.965351199027388</v>
      </c>
      <c r="AQ38">
        <v>37</v>
      </c>
      <c r="AR38" t="str">
        <f>IFERROR(INDEX(TableTECalcPts[PLAYER],MATCH(TableTERanks33[[#This Row],[RK]],TableTECalcPts[RK],0)),"")</f>
        <v>Jelani Woods</v>
      </c>
      <c r="AS38" t="str">
        <f>IFERROR(INDEX(TableTECalcPts[TM],MATCH(TableTERanks33[[#This Row],[Player]],TableTECalcPts[PLAYER],0)),"")</f>
        <v>IND</v>
      </c>
      <c r="AT38">
        <f>IFERROR(INDEX(TableTECalcPts[BYE],MATCH(TableTERanks33[[#This Row],[Player]],TableTECalcPts[PLAYER],0)),"")</f>
        <v>11</v>
      </c>
      <c r="AU38" s="86">
        <f>VLOOKUP(TableTERanks33[[#This Row],[Player]],TE!B:O,4,FALSE)</f>
        <v>43.300996200000014</v>
      </c>
      <c r="AV38" s="86">
        <f>VLOOKUP(TableTERanks33[[#This Row],[Player]],TE!B:O,5,FALSE)</f>
        <v>27.149724617400008</v>
      </c>
      <c r="AW38" s="86">
        <f>VLOOKUP(TableTERanks33[[#This Row],[Player]],TE!B:O,6,FALSE)</f>
        <v>350.2314475644601</v>
      </c>
      <c r="AX38" s="86">
        <f>VLOOKUP(TableTERanks33[[#This Row],[Player]],TE!B:O,7,FALSE)</f>
        <v>2.7149724617400008</v>
      </c>
      <c r="AY38" s="58">
        <f>IFERROR(INDEX(TableTECalcPts[Custom],MATCH(TableTERanks33[[#This Row],[RK]],TableTECalcPts[RK],0)),"")</f>
        <v>64.887841835586016</v>
      </c>
      <c r="AZ38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39" spans="1:52" x14ac:dyDescent="0.2">
      <c r="A39">
        <v>38</v>
      </c>
      <c r="B39" t="str">
        <f>IFERROR(INDEX(TableQBCalcPts[PLAYER],MATCH(TableQBRanks30[[#This Row],[RK]],TableQBCalcPts[RK],0)),"")</f>
        <v>Brian Hoyer</v>
      </c>
      <c r="C39" t="str">
        <f>IFERROR(INDEX(TableQBCalcPts[TM],MATCH(TableQBRanks30[[#This Row],[Player]],TableQBCalcPts[PLAYER],0)),"")</f>
        <v>LV</v>
      </c>
      <c r="D39">
        <f>IFERROR(INDEX(TableQBCalcPts[BYE],MATCH(TableQBRanks30[[#This Row],[Player]],TableQBCalcPts[PLAYER],0)),"")</f>
        <v>13</v>
      </c>
      <c r="E39" s="86">
        <f>VLOOKUP(TableQBRanks30[[#This Row],[Player]],QB!B:O,4,FALSE)</f>
        <v>60.254999999999981</v>
      </c>
      <c r="F39" s="86">
        <f>VLOOKUP(TableQBRanks30[[#This Row],[Player]],QB!B:O,5,FALSE)</f>
        <v>36.663003368804048</v>
      </c>
      <c r="G39" s="86">
        <f>VLOOKUP(TableQBRanks30[[#This Row],[Player]],QB!B:O,6,FALSE)</f>
        <v>407.71298044231008</v>
      </c>
      <c r="H39" s="86">
        <f>VLOOKUP(TableQBRanks30[[#This Row],[Player]],QB!B:O,7,FALSE)</f>
        <v>2.1866946563676231</v>
      </c>
      <c r="I39" s="86">
        <f>VLOOKUP(TableQBRanks30[[#This Row],[Player]],QB!B:O,8,FALSE)</f>
        <v>1.7163365407472921</v>
      </c>
      <c r="J39" s="86">
        <f>VLOOKUP(TableQBRanks30[[#This Row],[Player]],QB!B:O,9,FALSE)</f>
        <v>0</v>
      </c>
      <c r="K39" s="86">
        <f>VLOOKUP(TableQBRanks30[[#This Row],[Player]],QB!B:O,10,FALSE)</f>
        <v>0</v>
      </c>
      <c r="L39" s="86">
        <f>VLOOKUP(TableQBRanks30[[#This Row],[Player]],QB!B:O,11,FALSE)</f>
        <v>0</v>
      </c>
      <c r="M39" s="58">
        <f>IFERROR(INDEX(TableQBCalcPts[Custom],MATCH(TableQBRanks30[[#This Row],[RK]],TableQBCalcPts[RK],0)),"")</f>
        <v>23.338961302415605</v>
      </c>
      <c r="N39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39">
        <v>38</v>
      </c>
      <c r="Q39" t="str">
        <f>IFERROR(INDEX(TableRBCalcPts[PLAYER],MATCH(TableRBRanks31[[#This Row],[RK]],TableRBCalcPts[RK],0)),"")</f>
        <v>Jonathan Taylor</v>
      </c>
      <c r="R39" t="str">
        <f>IFERROR(INDEX(TableRBCalcPts[TM],MATCH(TableRBRanks31[[#This Row],[Player]],TableRBCalcPts[PLAYER],0)),"")</f>
        <v>IND</v>
      </c>
      <c r="S39">
        <f>IFERROR(INDEX(TableRBCalcPts[BYE],MATCH(TableRBRanks31[[#This Row],[Player]],TableRBCalcPts[PLAYER],0)),"")</f>
        <v>11</v>
      </c>
      <c r="T39" s="86">
        <f>VLOOKUP(TableRBRanks31[[#This Row],[Player]],RB!B:O,4,FALSE)</f>
        <v>161.54153400000001</v>
      </c>
      <c r="U39" s="86">
        <f>VLOOKUP(TableRBRanks31[[#This Row],[Player]],RB!B:O,5,FALSE)</f>
        <v>743.09105639999996</v>
      </c>
      <c r="V39" s="86">
        <f>VLOOKUP(TableRBRanks31[[#This Row],[Player]],RB!B:O,6,FALSE)</f>
        <v>5.9770367580000006</v>
      </c>
      <c r="W39" s="86">
        <f>VLOOKUP(TableRBRanks31[[#This Row],[Player]],RB!B:O,7,FALSE)</f>
        <v>22.452368400000005</v>
      </c>
      <c r="X39" s="86">
        <f>VLOOKUP(TableRBRanks31[[#This Row],[Player]],RB!B:O,8,FALSE)</f>
        <v>16.143252879600002</v>
      </c>
      <c r="Y39" s="86">
        <f>VLOOKUP(TableRBRanks31[[#This Row],[Player]],RB!B:O,9,FALSE)</f>
        <v>122.02092464884409</v>
      </c>
      <c r="Z39" s="86">
        <f>VLOOKUP(TableRBRanks31[[#This Row],[Player]],RB!B:O,10,FALSE)</f>
        <v>0.48429758638800002</v>
      </c>
      <c r="AA39" s="58">
        <f>IFERROR(INDEX(TableRBCalcPts[Custom],MATCH(TableRBRanks31[[#This Row],[RK]],TableRBCalcPts[RK],0)),"")</f>
        <v>133.35083061101241</v>
      </c>
      <c r="AB39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3.9671410027036433</v>
      </c>
      <c r="AD39">
        <v>38</v>
      </c>
      <c r="AE39" t="str">
        <f>IFERROR(INDEX(TableWRCalcPts[PLAYER],MATCH(TableWRRanks32[[#This Row],[RK]],TableWRCalcPts[RK],0)),"")</f>
        <v>Chris Godwin</v>
      </c>
      <c r="AF39" t="str">
        <f>IFERROR(INDEX(TableWRCalcPts[TM],MATCH(TableWRRanks32[[#This Row],[Player]],TableWRCalcPts[PLAYER],0)),"")</f>
        <v>TB</v>
      </c>
      <c r="AG39">
        <f>IFERROR(INDEX(TableWRCalcPts[BYE],MATCH(TableWRRanks32[[#This Row],[Player]],TableWRCalcPts[PLAYER],0)),"")</f>
        <v>5</v>
      </c>
      <c r="AH39" s="86">
        <f>VLOOKUP(TableWRRanks32[[#This Row],[Player]],WR!B:O,4,FALSE)</f>
        <v>0</v>
      </c>
      <c r="AI39" s="86">
        <f>VLOOKUP(TableWRRanks32[[#This Row],[Player]],WR!B:O,5,FALSE)</f>
        <v>0</v>
      </c>
      <c r="AJ39" s="86">
        <f>VLOOKUP(TableWRRanks32[[#This Row],[Player]],WR!B:O,6,FALSE)</f>
        <v>119.59744383999998</v>
      </c>
      <c r="AK39" s="86">
        <f>VLOOKUP(TableWRRanks32[[#This Row],[Player]],WR!B:O,7,FALSE)</f>
        <v>82.402638805759977</v>
      </c>
      <c r="AL39" s="86">
        <f>VLOOKUP(TableWRRanks32[[#This Row],[Player]],WR!B:O,8,FALSE)</f>
        <v>909.72513241559011</v>
      </c>
      <c r="AM39" s="86">
        <f>VLOOKUP(TableWRRanks32[[#This Row],[Player]],WR!B:O,9,FALSE)</f>
        <v>4.9441583283455985</v>
      </c>
      <c r="AN39" s="58">
        <f>IFERROR(INDEX(TableWRCalcPts[Custom],MATCH(TableWRRanks32[[#This Row],[RK]],TableWRCalcPts[RK],0)),"")</f>
        <v>161.83878261451261</v>
      </c>
      <c r="AO3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10.803718859322011</v>
      </c>
      <c r="AQ39">
        <v>38</v>
      </c>
      <c r="AR39" t="str">
        <f>IFERROR(INDEX(TableTECalcPts[PLAYER],MATCH(TableTERanks33[[#This Row],[RK]],TableTECalcPts[RK],0)),"")</f>
        <v>Kylen Granson</v>
      </c>
      <c r="AS39" t="str">
        <f>IFERROR(INDEX(TableTECalcPts[TM],MATCH(TableTERanks33[[#This Row],[Player]],TableTECalcPts[PLAYER],0)),"")</f>
        <v>IND</v>
      </c>
      <c r="AT39">
        <f>IFERROR(INDEX(TableTECalcPts[BYE],MATCH(TableTERanks33[[#This Row],[Player]],TableTECalcPts[PLAYER],0)),"")</f>
        <v>11</v>
      </c>
      <c r="AU39" s="86">
        <f>VLOOKUP(TableTERanks33[[#This Row],[Player]],TE!B:O,4,FALSE)</f>
        <v>48.112218000000006</v>
      </c>
      <c r="AV39" s="86">
        <f>VLOOKUP(TableTERanks33[[#This Row],[Player]],TE!B:O,5,FALSE)</f>
        <v>29.197297667490407</v>
      </c>
      <c r="AW39" s="86">
        <f>VLOOKUP(TableTERanks33[[#This Row],[Player]],TE!B:O,6,FALSE)</f>
        <v>306.86359848532419</v>
      </c>
      <c r="AX39" s="86">
        <f>VLOOKUP(TableTERanks33[[#This Row],[Player]],TE!B:O,7,FALSE)</f>
        <v>2.0438108367243286</v>
      </c>
      <c r="AY39" s="58">
        <f>IFERROR(INDEX(TableTECalcPts[Custom],MATCH(TableTERanks33[[#This Row],[RK]],TableTECalcPts[RK],0)),"")</f>
        <v>57.54787370262359</v>
      </c>
      <c r="AZ39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40" spans="1:52" x14ac:dyDescent="0.2">
      <c r="A40">
        <v>39</v>
      </c>
      <c r="B40" t="str">
        <f>IFERROR(INDEX(TableQBCalcPts[PLAYER],MATCH(TableQBRanks30[[#This Row],[RK]],TableQBCalcPts[RK],0)),"")</f>
        <v>Malik Willis</v>
      </c>
      <c r="C40" t="str">
        <f>IFERROR(INDEX(TableQBCalcPts[TM],MATCH(TableQBRanks30[[#This Row],[Player]],TableQBCalcPts[PLAYER],0)),"")</f>
        <v>TEN</v>
      </c>
      <c r="D40">
        <f>IFERROR(INDEX(TableQBCalcPts[BYE],MATCH(TableQBRanks30[[#This Row],[Player]],TableQBCalcPts[PLAYER],0)),"")</f>
        <v>7</v>
      </c>
      <c r="E40" s="86">
        <f>VLOOKUP(TableQBRanks30[[#This Row],[Player]],QB!B:O,4,FALSE)</f>
        <v>55.26550000000001</v>
      </c>
      <c r="F40" s="86">
        <f>VLOOKUP(TableQBRanks30[[#This Row],[Player]],QB!B:O,5,FALSE)</f>
        <v>33.181406200000012</v>
      </c>
      <c r="G40" s="86">
        <f>VLOOKUP(TableQBRanks30[[#This Row],[Player]],QB!B:O,6,FALSE)</f>
        <v>374.94989006000014</v>
      </c>
      <c r="H40" s="86">
        <f>VLOOKUP(TableQBRanks30[[#This Row],[Player]],QB!B:O,7,FALSE)</f>
        <v>1.7320694036400008</v>
      </c>
      <c r="I40" s="86">
        <f>VLOOKUP(TableQBRanks30[[#This Row],[Player]],QB!B:O,8,FALSE)</f>
        <v>2.3201453688328075</v>
      </c>
      <c r="J40" s="86">
        <f>VLOOKUP(TableQBRanks30[[#This Row],[Player]],QB!B:O,9,FALSE)</f>
        <v>2.3536904999999999</v>
      </c>
      <c r="K40" s="86">
        <f>VLOOKUP(TableQBRanks30[[#This Row],[Player]],QB!B:O,10,FALSE)</f>
        <v>8.7826011062850391</v>
      </c>
      <c r="L40" s="86">
        <f>VLOOKUP(TableQBRanks30[[#This Row],[Player]],QB!B:O,11,FALSE)</f>
        <v>9.6501310500000007E-2</v>
      </c>
      <c r="M40" s="58">
        <f>IFERROR(INDEX(TableQBCalcPts[Custom],MATCH(TableQBRanks30[[#This Row],[RK]],TableQBCalcPts[RK],0)),"")</f>
        <v>21.063395821755705</v>
      </c>
      <c r="N40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40">
        <v>39</v>
      </c>
      <c r="Q40" t="str">
        <f>IFERROR(INDEX(TableRBCalcPts[PLAYER],MATCH(TableRBRanks31[[#This Row],[RK]],TableRBCalcPts[RK],0)),"")</f>
        <v>Jamaal Williams</v>
      </c>
      <c r="R40" t="str">
        <f>IFERROR(INDEX(TableRBCalcPts[TM],MATCH(TableRBRanks31[[#This Row],[Player]],TableRBCalcPts[PLAYER],0)),"")</f>
        <v>NO</v>
      </c>
      <c r="S40">
        <f>IFERROR(INDEX(TableRBCalcPts[BYE],MATCH(TableRBRanks31[[#This Row],[Player]],TableRBCalcPts[PLAYER],0)),"")</f>
        <v>11</v>
      </c>
      <c r="T40" s="86">
        <f>VLOOKUP(TableRBRanks31[[#This Row],[Player]],RB!B:O,4,FALSE)</f>
        <v>157.27921999999998</v>
      </c>
      <c r="U40" s="86">
        <f>VLOOKUP(TableRBRanks31[[#This Row],[Player]],RB!B:O,5,FALSE)</f>
        <v>655.85434739999994</v>
      </c>
      <c r="V40" s="86">
        <f>VLOOKUP(TableRBRanks31[[#This Row],[Player]],RB!B:O,6,FALSE)</f>
        <v>7.0775648999999987</v>
      </c>
      <c r="W40" s="86">
        <f>VLOOKUP(TableRBRanks31[[#This Row],[Player]],RB!B:O,7,FALSE)</f>
        <v>23.58980442</v>
      </c>
      <c r="X40" s="86">
        <f>VLOOKUP(TableRBRanks31[[#This Row],[Player]],RB!B:O,8,FALSE)</f>
        <v>17.384137221835349</v>
      </c>
      <c r="Y40" s="86">
        <f>VLOOKUP(TableRBRanks31[[#This Row],[Player]],RB!B:O,9,FALSE)</f>
        <v>112.42315134765735</v>
      </c>
      <c r="Z40" s="86">
        <f>VLOOKUP(TableRBRanks31[[#This Row],[Player]],RB!B:O,10,FALSE)</f>
        <v>0.62582893998607247</v>
      </c>
      <c r="AA40" s="58">
        <f>IFERROR(INDEX(TableRBCalcPts[Custom],MATCH(TableRBRanks31[[#This Row],[RK]],TableRBCalcPts[RK],0)),"")</f>
        <v>131.74018152559984</v>
      </c>
      <c r="AB40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3.3802819039947347</v>
      </c>
      <c r="AD40">
        <v>39</v>
      </c>
      <c r="AE40" t="str">
        <f>IFERROR(INDEX(TableWRCalcPts[PLAYER],MATCH(TableWRRanks32[[#This Row],[RK]],TableWRCalcPts[RK],0)),"")</f>
        <v>Michael Thomas</v>
      </c>
      <c r="AF40" t="str">
        <f>IFERROR(INDEX(TableWRCalcPts[TM],MATCH(TableWRRanks32[[#This Row],[Player]],TableWRCalcPts[PLAYER],0)),"")</f>
        <v>NO</v>
      </c>
      <c r="AG40">
        <f>IFERROR(INDEX(TableWRCalcPts[BYE],MATCH(TableWRRanks32[[#This Row],[Player]],TableWRCalcPts[PLAYER],0)),"")</f>
        <v>11</v>
      </c>
      <c r="AH40" s="86">
        <f>VLOOKUP(TableWRRanks32[[#This Row],[Player]],WR!B:O,4,FALSE)</f>
        <v>0</v>
      </c>
      <c r="AI40" s="86">
        <f>VLOOKUP(TableWRRanks32[[#This Row],[Player]],WR!B:O,5,FALSE)</f>
        <v>0</v>
      </c>
      <c r="AJ40" s="86">
        <f>VLOOKUP(TableWRRanks32[[#This Row],[Player]],WR!B:O,6,FALSE)</f>
        <v>105.89201095199999</v>
      </c>
      <c r="AK40" s="86">
        <f>VLOOKUP(TableWRRanks32[[#This Row],[Player]],WR!B:O,7,FALSE)</f>
        <v>76.030463863535985</v>
      </c>
      <c r="AL40" s="86">
        <f>VLOOKUP(TableWRRanks32[[#This Row],[Player]],WR!B:O,8,FALSE)</f>
        <v>843.93814888524946</v>
      </c>
      <c r="AM40" s="86">
        <f>VLOOKUP(TableWRRanks32[[#This Row],[Player]],WR!B:O,9,FALSE)</f>
        <v>6.5386198922640943</v>
      </c>
      <c r="AN40" s="58">
        <f>IFERROR(INDEX(TableWRCalcPts[Custom],MATCH(TableWRRanks32[[#This Row],[RK]],TableWRCalcPts[RK],0)),"")</f>
        <v>161.64076617387752</v>
      </c>
      <c r="AO4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10.735904649962558</v>
      </c>
      <c r="AQ40">
        <v>39</v>
      </c>
      <c r="AR40" t="str">
        <f>IFERROR(INDEX(TableTECalcPts[PLAYER],MATCH(TableTERanks33[[#This Row],[RK]],TableTECalcPts[RK],0)),"")</f>
        <v>Mo Alie-Cox</v>
      </c>
      <c r="AS40" t="str">
        <f>IFERROR(INDEX(TableTECalcPts[TM],MATCH(TableTERanks33[[#This Row],[Player]],TableTECalcPts[PLAYER],0)),"")</f>
        <v>IND</v>
      </c>
      <c r="AT40">
        <f>IFERROR(INDEX(TableTECalcPts[BYE],MATCH(TableTERanks33[[#This Row],[Player]],TableTECalcPts[PLAYER],0)),"")</f>
        <v>11</v>
      </c>
      <c r="AU40" s="86">
        <f>VLOOKUP(TableTERanks33[[#This Row],[Player]],TE!B:O,4,FALSE)</f>
        <v>41.697255600000005</v>
      </c>
      <c r="AV40" s="86">
        <f>VLOOKUP(TableTERanks33[[#This Row],[Player]],TE!B:O,5,FALSE)</f>
        <v>24.417783144591585</v>
      </c>
      <c r="AW40" s="86">
        <f>VLOOKUP(TableTERanks33[[#This Row],[Player]],TE!B:O,6,FALSE)</f>
        <v>283.6294339954681</v>
      </c>
      <c r="AX40" s="86">
        <f>VLOOKUP(TableTERanks33[[#This Row],[Player]],TE!B:O,7,FALSE)</f>
        <v>2.3929427481699754</v>
      </c>
      <c r="AY40" s="58">
        <f>IFERROR(INDEX(TableTECalcPts[Custom],MATCH(TableTERanks33[[#This Row],[RK]],TableTECalcPts[RK],0)),"")</f>
        <v>54.929491460862458</v>
      </c>
      <c r="AZ40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41" spans="1:52" x14ac:dyDescent="0.2">
      <c r="A41">
        <v>40</v>
      </c>
      <c r="B41" t="str">
        <f>IFERROR(INDEX(TableQBCalcPts[PLAYER],MATCH(TableQBRanks30[[#This Row],[RK]],TableQBCalcPts[RK],0)),"")</f>
        <v>Jacoby Brissett</v>
      </c>
      <c r="C41" t="str">
        <f>IFERROR(INDEX(TableQBCalcPts[TM],MATCH(TableQBRanks30[[#This Row],[Player]],TableQBCalcPts[PLAYER],0)),"")</f>
        <v>WSH</v>
      </c>
      <c r="D41">
        <f>IFERROR(INDEX(TableQBCalcPts[BYE],MATCH(TableQBRanks30[[#This Row],[Player]],TableQBCalcPts[PLAYER],0)),"")</f>
        <v>14</v>
      </c>
      <c r="E41" s="86">
        <f>VLOOKUP(TableQBRanks30[[#This Row],[Player]],QB!B:O,4,FALSE)</f>
        <v>30.105850000000004</v>
      </c>
      <c r="F41" s="86">
        <f>VLOOKUP(TableQBRanks30[[#This Row],[Player]],QB!B:O,5,FALSE)</f>
        <v>18.488002485000003</v>
      </c>
      <c r="G41" s="86">
        <f>VLOOKUP(TableQBRanks30[[#This Row],[Player]],QB!B:O,6,FALSE)</f>
        <v>198.56114668890004</v>
      </c>
      <c r="H41" s="86">
        <f>VLOOKUP(TableQBRanks30[[#This Row],[Player]],QB!B:O,7,FALSE)</f>
        <v>1.0538161416450003</v>
      </c>
      <c r="I41" s="86">
        <f>VLOOKUP(TableQBRanks30[[#This Row],[Player]],QB!B:O,8,FALSE)</f>
        <v>0.55272380112159292</v>
      </c>
      <c r="J41" s="86">
        <f>VLOOKUP(TableQBRanks30[[#This Row],[Player]],QB!B:O,9,FALSE)</f>
        <v>4.6930533999999993</v>
      </c>
      <c r="K41" s="86">
        <f>VLOOKUP(TableQBRanks30[[#This Row],[Player]],QB!B:O,10,FALSE)</f>
        <v>18.790369071985328</v>
      </c>
      <c r="L41" s="86">
        <f>VLOOKUP(TableQBRanks30[[#This Row],[Player]],QB!B:O,11,FALSE)</f>
        <v>0.12671244179999999</v>
      </c>
      <c r="M41" s="58">
        <f>IFERROR(INDEX(TableQBCalcPts[Custom],MATCH(TableQBRanks30[[#This Row],[RK]],TableQBCalcPts[RK],0)),"")</f>
        <v>14.244298191012943</v>
      </c>
      <c r="N41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41">
        <v>40</v>
      </c>
      <c r="Q41" t="str">
        <f>IFERROR(INDEX(TableRBCalcPts[PLAYER],MATCH(TableRBRanks31[[#This Row],[RK]],TableRBCalcPts[RK],0)),"")</f>
        <v>Ezekiel Elliott</v>
      </c>
      <c r="R41" t="str">
        <f>IFERROR(INDEX(TableRBCalcPts[TM],MATCH(TableRBRanks31[[#This Row],[Player]],TableRBCalcPts[PLAYER],0)),"")</f>
        <v>NE</v>
      </c>
      <c r="S41">
        <f>IFERROR(INDEX(TableRBCalcPts[BYE],MATCH(TableRBRanks31[[#This Row],[Player]],TableRBCalcPts[PLAYER],0)),"")</f>
        <v>11</v>
      </c>
      <c r="T41" s="86">
        <f>VLOOKUP(TableRBRanks31[[#This Row],[Player]],RB!B:O,4,FALSE)</f>
        <v>143.55960416000002</v>
      </c>
      <c r="U41" s="86">
        <f>VLOOKUP(TableRBRanks31[[#This Row],[Player]],RB!B:O,5,FALSE)</f>
        <v>610.12831768000012</v>
      </c>
      <c r="V41" s="86">
        <f>VLOOKUP(TableRBRanks31[[#This Row],[Player]],RB!B:O,6,FALSE)</f>
        <v>7.177980208000001</v>
      </c>
      <c r="W41" s="86">
        <f>VLOOKUP(TableRBRanks31[[#This Row],[Player]],RB!B:O,7,FALSE)</f>
        <v>24.246766039999994</v>
      </c>
      <c r="X41" s="86">
        <f>VLOOKUP(TableRBRanks31[[#This Row],[Player]],RB!B:O,8,FALSE)</f>
        <v>18.621516318719994</v>
      </c>
      <c r="Y41" s="86">
        <f>VLOOKUP(TableRBRanks31[[#This Row],[Player]],RB!B:O,9,FALSE)</f>
        <v>124.76415933542397</v>
      </c>
      <c r="Z41" s="86">
        <f>VLOOKUP(TableRBRanks31[[#This Row],[Player]],RB!B:O,10,FALSE)</f>
        <v>0.55864548956159976</v>
      </c>
      <c r="AA41" s="58">
        <f>IFERROR(INDEX(TableRBCalcPts[Custom],MATCH(TableRBRanks31[[#This Row],[RK]],TableRBCalcPts[RK],0)),"")</f>
        <v>129.219760046272</v>
      </c>
      <c r="AB41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2.4619364424530468</v>
      </c>
      <c r="AD41">
        <v>40</v>
      </c>
      <c r="AE41" t="str">
        <f>IFERROR(INDEX(TableWRCalcPts[PLAYER],MATCH(TableWRRanks32[[#This Row],[RK]],TableWRCalcPts[RK],0)),"")</f>
        <v>Courtland Sutton</v>
      </c>
      <c r="AF41" t="str">
        <f>IFERROR(INDEX(TableWRCalcPts[TM],MATCH(TableWRRanks32[[#This Row],[Player]],TableWRCalcPts[PLAYER],0)),"")</f>
        <v>DEN</v>
      </c>
      <c r="AG41">
        <f>IFERROR(INDEX(TableWRCalcPts[BYE],MATCH(TableWRRanks32[[#This Row],[Player]],TableWRCalcPts[PLAYER],0)),"")</f>
        <v>9</v>
      </c>
      <c r="AH41" s="86">
        <f>VLOOKUP(TableWRRanks32[[#This Row],[Player]],WR!B:O,4,FALSE)</f>
        <v>0</v>
      </c>
      <c r="AI41" s="86">
        <f>VLOOKUP(TableWRRanks32[[#This Row],[Player]],WR!B:O,5,FALSE)</f>
        <v>0</v>
      </c>
      <c r="AJ41" s="86">
        <f>VLOOKUP(TableWRRanks32[[#This Row],[Player]],WR!B:O,6,FALSE)</f>
        <v>111.17327760000002</v>
      </c>
      <c r="AK41" s="86">
        <f>VLOOKUP(TableWRRanks32[[#This Row],[Player]],WR!B:O,7,FALSE)</f>
        <v>65.36988722880001</v>
      </c>
      <c r="AL41" s="86">
        <f>VLOOKUP(TableWRRanks32[[#This Row],[Player]],WR!B:O,8,FALSE)</f>
        <v>866.15100578160013</v>
      </c>
      <c r="AM41" s="86">
        <f>VLOOKUP(TableWRRanks32[[#This Row],[Player]],WR!B:O,9,FALSE)</f>
        <v>5.6871801889056002</v>
      </c>
      <c r="AN41" s="58">
        <f>IFERROR(INDEX(TableWRCalcPts[Custom],MATCH(TableWRRanks32[[#This Row],[RK]],TableWRCalcPts[RK],0)),"")</f>
        <v>153.42312532599362</v>
      </c>
      <c r="AO4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7.9216291528781726</v>
      </c>
      <c r="AQ41">
        <v>40</v>
      </c>
      <c r="AR41" t="str">
        <f>IFERROR(INDEX(TableTECalcPts[PLAYER],MATCH(TableTERanks33[[#This Row],[RK]],TableTECalcPts[RK],0)),"")</f>
        <v>Durham Smythe</v>
      </c>
      <c r="AS41" t="str">
        <f>IFERROR(INDEX(TableTECalcPts[TM],MATCH(TableTERanks33[[#This Row],[Player]],TableTECalcPts[PLAYER],0)),"")</f>
        <v>MIA</v>
      </c>
      <c r="AT41">
        <f>IFERROR(INDEX(TableTECalcPts[BYE],MATCH(TableTERanks33[[#This Row],[Player]],TableTECalcPts[PLAYER],0)),"")</f>
        <v>10</v>
      </c>
      <c r="AU41" s="86">
        <f>VLOOKUP(TableTERanks33[[#This Row],[Player]],TE!B:O,4,FALSE)</f>
        <v>39.142630800000013</v>
      </c>
      <c r="AV41" s="86">
        <f>VLOOKUP(TableTERanks33[[#This Row],[Player]],TE!B:O,5,FALSE)</f>
        <v>26.089456844396544</v>
      </c>
      <c r="AW41" s="86">
        <f>VLOOKUP(TableTERanks33[[#This Row],[Player]],TE!B:O,6,FALSE)</f>
        <v>258.28562275952578</v>
      </c>
      <c r="AX41" s="86">
        <f>VLOOKUP(TableTERanks33[[#This Row],[Player]],TE!B:O,7,FALSE)</f>
        <v>2.6350351412840509</v>
      </c>
      <c r="AY41" s="58">
        <f>IFERROR(INDEX(TableTECalcPts[Custom],MATCH(TableTERanks33[[#This Row],[RK]],TableTECalcPts[RK],0)),"")</f>
        <v>54.683501545855158</v>
      </c>
      <c r="AZ41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42" spans="1:52" x14ac:dyDescent="0.2">
      <c r="A42">
        <v>41</v>
      </c>
      <c r="B42" t="str">
        <f>IFERROR(INDEX(TableQBCalcPts[PLAYER],MATCH(TableQBRanks30[[#This Row],[RK]],TableQBCalcPts[RK],0)),"")</f>
        <v>Andy Dalton</v>
      </c>
      <c r="C42" t="str">
        <f>IFERROR(INDEX(TableQBCalcPts[TM],MATCH(TableQBRanks30[[#This Row],[Player]],TableQBCalcPts[PLAYER],0)),"")</f>
        <v>CAR</v>
      </c>
      <c r="D42">
        <f>IFERROR(INDEX(TableQBCalcPts[BYE],MATCH(TableQBRanks30[[#This Row],[Player]],TableQBCalcPts[PLAYER],0)),"")</f>
        <v>7</v>
      </c>
      <c r="E42" s="86">
        <f>VLOOKUP(TableQBRanks30[[#This Row],[Player]],QB!B:O,4,FALSE)</f>
        <v>30.022649999999999</v>
      </c>
      <c r="F42" s="86">
        <f>VLOOKUP(TableQBRanks30[[#This Row],[Player]],QB!B:O,5,FALSE)</f>
        <v>18.957690112213761</v>
      </c>
      <c r="G42" s="86">
        <f>VLOOKUP(TableQBRanks30[[#This Row],[Player]],QB!B:O,6,FALSE)</f>
        <v>203.98474560742008</v>
      </c>
      <c r="H42" s="86">
        <f>VLOOKUP(TableQBRanks30[[#This Row],[Player]],QB!B:O,7,FALSE)</f>
        <v>1.3858071472028259</v>
      </c>
      <c r="I42" s="86">
        <f>VLOOKUP(TableQBRanks30[[#This Row],[Player]],QB!B:O,8,FALSE)</f>
        <v>0.74387271583779924</v>
      </c>
      <c r="J42" s="86">
        <f>VLOOKUP(TableQBRanks30[[#This Row],[Player]],QB!B:O,9,FALSE)</f>
        <v>2.2468803000000004</v>
      </c>
      <c r="K42" s="86">
        <f>VLOOKUP(TableQBRanks30[[#This Row],[Player]],QB!B:O,10,FALSE)</f>
        <v>6.5114942493224293</v>
      </c>
      <c r="L42" s="86">
        <f>VLOOKUP(TableQBRanks30[[#This Row],[Player]],QB!B:O,11,FALSE)</f>
        <v>4.1573164207364309E-2</v>
      </c>
      <c r="M42" s="58">
        <f>IFERROR(INDEX(TableQBCalcPts[Custom],MATCH(TableQBRanks30[[#This Row],[RK]],TableQBCalcPts[RK],0)),"")</f>
        <v>13.859334107446738</v>
      </c>
      <c r="N42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42">
        <v>41</v>
      </c>
      <c r="Q42" t="str">
        <f>IFERROR(INDEX(TableRBCalcPts[PLAYER],MATCH(TableRBRanks31[[#This Row],[RK]],TableRBCalcPts[RK],0)),"")</f>
        <v>Jerick McKinnon</v>
      </c>
      <c r="R42" t="str">
        <f>IFERROR(INDEX(TableRBCalcPts[TM],MATCH(TableRBRanks31[[#This Row],[Player]],TableRBCalcPts[PLAYER],0)),"")</f>
        <v>KC</v>
      </c>
      <c r="S42">
        <f>IFERROR(INDEX(TableRBCalcPts[BYE],MATCH(TableRBRanks31[[#This Row],[Player]],TableRBCalcPts[PLAYER],0)),"")</f>
        <v>10</v>
      </c>
      <c r="T42" s="86">
        <f>VLOOKUP(TableRBRanks31[[#This Row],[Player]],RB!B:O,4,FALSE)</f>
        <v>77.014064399999995</v>
      </c>
      <c r="U42" s="86">
        <f>VLOOKUP(TableRBRanks31[[#This Row],[Player]],RB!B:O,5,FALSE)</f>
        <v>312.50759336215913</v>
      </c>
      <c r="V42" s="86">
        <f>VLOOKUP(TableRBRanks31[[#This Row],[Player]],RB!B:O,6,FALSE)</f>
        <v>3.1575766403999999</v>
      </c>
      <c r="W42" s="86">
        <f>VLOOKUP(TableRBRanks31[[#This Row],[Player]],RB!B:O,7,FALSE)</f>
        <v>50.34781752</v>
      </c>
      <c r="X42" s="86">
        <f>VLOOKUP(TableRBRanks31[[#This Row],[Player]],RB!B:O,8,FALSE)</f>
        <v>38.524417361453523</v>
      </c>
      <c r="Y42" s="86">
        <f>VLOOKUP(TableRBRanks31[[#This Row],[Player]],RB!B:O,9,FALSE)</f>
        <v>346.7197562530817</v>
      </c>
      <c r="Z42" s="86">
        <f>VLOOKUP(TableRBRanks31[[#This Row],[Player]],RB!B:O,10,FALSE)</f>
        <v>3.9680149882297124</v>
      </c>
      <c r="AA42" s="58">
        <f>IFERROR(INDEX(TableRBCalcPts[Custom],MATCH(TableRBRanks31[[#This Row],[RK]],TableRBCalcPts[RK],0)),"")</f>
        <v>127.93849341402913</v>
      </c>
      <c r="AB42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1.995091747470189</v>
      </c>
      <c r="AD42">
        <v>41</v>
      </c>
      <c r="AE42" t="str">
        <f>IFERROR(INDEX(TableWRCalcPts[PLAYER],MATCH(TableWRRanks32[[#This Row],[RK]],TableWRCalcPts[RK],0)),"")</f>
        <v>Jaxon Smith-Njigba</v>
      </c>
      <c r="AF42" t="str">
        <f>IFERROR(INDEX(TableWRCalcPts[TM],MATCH(TableWRRanks32[[#This Row],[Player]],TableWRCalcPts[PLAYER],0)),"")</f>
        <v>SEA</v>
      </c>
      <c r="AG42">
        <f>IFERROR(INDEX(TableWRCalcPts[BYE],MATCH(TableWRRanks32[[#This Row],[Player]],TableWRCalcPts[PLAYER],0)),"")</f>
        <v>5</v>
      </c>
      <c r="AH42" s="86">
        <f>VLOOKUP(TableWRRanks32[[#This Row],[Player]],WR!B:O,4,FALSE)</f>
        <v>0</v>
      </c>
      <c r="AI42" s="86">
        <f>VLOOKUP(TableWRRanks32[[#This Row],[Player]],WR!B:O,5,FALSE)</f>
        <v>0</v>
      </c>
      <c r="AJ42" s="86">
        <f>VLOOKUP(TableWRRanks32[[#This Row],[Player]],WR!B:O,6,FALSE)</f>
        <v>105.12148751999999</v>
      </c>
      <c r="AK42" s="86">
        <f>VLOOKUP(TableWRRanks32[[#This Row],[Player]],WR!B:O,7,FALSE)</f>
        <v>67.515846007758839</v>
      </c>
      <c r="AL42" s="86">
        <f>VLOOKUP(TableWRRanks32[[#This Row],[Player]],WR!B:O,8,FALSE)</f>
        <v>811.54046901326126</v>
      </c>
      <c r="AM42" s="86">
        <f>VLOOKUP(TableWRRanks32[[#This Row],[Player]],WR!B:O,9,FALSE)</f>
        <v>6.4140053707370894</v>
      </c>
      <c r="AN42" s="58">
        <f>IFERROR(INDEX(TableWRCalcPts[Custom],MATCH(TableWRRanks32[[#This Row],[RK]],TableWRCalcPts[RK],0)),"")</f>
        <v>153.39600212962807</v>
      </c>
      <c r="AO4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7.9123403377124628</v>
      </c>
      <c r="AQ42">
        <v>41</v>
      </c>
      <c r="AR42" t="str">
        <f>IFERROR(INDEX(TableTECalcPts[PLAYER],MATCH(TableTERanks33[[#This Row],[RK]],TableTECalcPts[RK],0)),"")</f>
        <v>Isaiah Likely</v>
      </c>
      <c r="AS42" t="str">
        <f>IFERROR(INDEX(TableTECalcPts[TM],MATCH(TableTERanks33[[#This Row],[Player]],TableTECalcPts[PLAYER],0)),"")</f>
        <v>BAL</v>
      </c>
      <c r="AT42">
        <f>IFERROR(INDEX(TableTECalcPts[BYE],MATCH(TableTERanks33[[#This Row],[Player]],TableTECalcPts[PLAYER],0)),"")</f>
        <v>13</v>
      </c>
      <c r="AU42" s="86">
        <f>VLOOKUP(TableTERanks33[[#This Row],[Player]],TE!B:O,4,FALSE)</f>
        <v>39.027359279999999</v>
      </c>
      <c r="AV42" s="86">
        <f>VLOOKUP(TableTERanks33[[#This Row],[Player]],TE!B:O,5,FALSE)</f>
        <v>25.516553443502907</v>
      </c>
      <c r="AW42" s="86">
        <f>VLOOKUP(TableTERanks33[[#This Row],[Player]],TE!B:O,6,FALSE)</f>
        <v>273.51470156259649</v>
      </c>
      <c r="AX42" s="86">
        <f>VLOOKUP(TableTERanks33[[#This Row],[Player]],TE!B:O,7,FALSE)</f>
        <v>2.1689070426977475</v>
      </c>
      <c r="AY42" s="58">
        <f>IFERROR(INDEX(TableTECalcPts[Custom],MATCH(TableTERanks33[[#This Row],[RK]],TableTECalcPts[RK],0)),"")</f>
        <v>53.123189134197595</v>
      </c>
      <c r="AZ42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43" spans="1:52" x14ac:dyDescent="0.2">
      <c r="A43">
        <v>42</v>
      </c>
      <c r="B43" t="str">
        <f>IFERROR(INDEX(TableQBCalcPts[PLAYER],MATCH(TableQBRanks30[[#This Row],[RK]],TableQBCalcPts[RK],0)),"")</f>
        <v>Gardner Minshew</v>
      </c>
      <c r="C43" t="str">
        <f>IFERROR(INDEX(TableQBCalcPts[TM],MATCH(TableQBRanks30[[#This Row],[Player]],TableQBCalcPts[PLAYER],0)),"")</f>
        <v>IND</v>
      </c>
      <c r="D43">
        <f>IFERROR(INDEX(TableQBCalcPts[BYE],MATCH(TableQBRanks30[[#This Row],[Player]],TableQBCalcPts[PLAYER],0)),"")</f>
        <v>11</v>
      </c>
      <c r="E43" s="86">
        <f>VLOOKUP(TableQBRanks30[[#This Row],[Player]],QB!B:O,4,FALSE)</f>
        <v>27.274500000000025</v>
      </c>
      <c r="F43" s="86">
        <f>VLOOKUP(TableQBRanks30[[#This Row],[Player]],QB!B:O,5,FALSE)</f>
        <v>17.380543915852233</v>
      </c>
      <c r="G43" s="86">
        <f>VLOOKUP(TableQBRanks30[[#This Row],[Player]],QB!B:O,6,FALSE)</f>
        <v>189.44792868278935</v>
      </c>
      <c r="H43" s="86">
        <f>VLOOKUP(TableQBRanks30[[#This Row],[Player]],QB!B:O,7,FALSE)</f>
        <v>1.0269939572373437</v>
      </c>
      <c r="I43" s="86">
        <f>VLOOKUP(TableQBRanks30[[#This Row],[Player]],QB!B:O,8,FALSE)</f>
        <v>0.63528105117521527</v>
      </c>
      <c r="J43" s="86">
        <f>VLOOKUP(TableQBRanks30[[#This Row],[Player]],QB!B:O,9,FALSE)</f>
        <v>3.9161583999999996</v>
      </c>
      <c r="K43" s="86">
        <f>VLOOKUP(TableQBRanks30[[#This Row],[Player]],QB!B:O,10,FALSE)</f>
        <v>16.750404114751259</v>
      </c>
      <c r="L43" s="86">
        <f>VLOOKUP(TableQBRanks30[[#This Row],[Player]],QB!B:O,11,FALSE)</f>
        <v>0.10601038092884311</v>
      </c>
      <c r="M43" s="58">
        <f>IFERROR(INDEX(TableQBCalcPts[Custom],MATCH(TableQBRanks30[[#This Row],[RK]],TableQBCalcPts[RK],0)),"")</f>
        <v>13.361714622133919</v>
      </c>
      <c r="N43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43">
        <v>42</v>
      </c>
      <c r="Q43" t="str">
        <f>IFERROR(INDEX(TableRBCalcPts[PLAYER],MATCH(TableRBRanks31[[#This Row],[RK]],TableRBCalcPts[RK],0)),"")</f>
        <v>Jaylen Warren</v>
      </c>
      <c r="R43" t="str">
        <f>IFERROR(INDEX(TableRBCalcPts[TM],MATCH(TableRBRanks31[[#This Row],[Player]],TableRBCalcPts[PLAYER],0)),"")</f>
        <v>PIT</v>
      </c>
      <c r="S43">
        <f>IFERROR(INDEX(TableRBCalcPts[BYE],MATCH(TableRBRanks31[[#This Row],[Player]],TableRBCalcPts[PLAYER],0)),"")</f>
        <v>6</v>
      </c>
      <c r="T43" s="86">
        <f>VLOOKUP(TableRBRanks31[[#This Row],[Player]],RB!B:O,4,FALSE)</f>
        <v>116.63347499999999</v>
      </c>
      <c r="U43" s="86">
        <f>VLOOKUP(TableRBRanks31[[#This Row],[Player]],RB!B:O,5,FALSE)</f>
        <v>496.85860349999996</v>
      </c>
      <c r="V43" s="86">
        <f>VLOOKUP(TableRBRanks31[[#This Row],[Player]],RB!B:O,6,FALSE)</f>
        <v>4.4320720499999995</v>
      </c>
      <c r="W43" s="86">
        <f>VLOOKUP(TableRBRanks31[[#This Row],[Player]],RB!B:O,7,FALSE)</f>
        <v>43.287457500000002</v>
      </c>
      <c r="X43" s="86">
        <f>VLOOKUP(TableRBRanks31[[#This Row],[Player]],RB!B:O,8,FALSE)</f>
        <v>33.00885793364229</v>
      </c>
      <c r="Y43" s="86">
        <f>VLOOKUP(TableRBRanks31[[#This Row],[Player]],RB!B:O,9,FALSE)</f>
        <v>241.98048301593931</v>
      </c>
      <c r="Z43" s="86">
        <f>VLOOKUP(TableRBRanks31[[#This Row],[Player]],RB!B:O,10,FALSE)</f>
        <v>1.4193808911466184</v>
      </c>
      <c r="AA43" s="58">
        <f>IFERROR(INDEX(TableRBCalcPts[Custom],MATCH(TableRBRanks31[[#This Row],[RK]],TableRBCalcPts[RK],0)),"")</f>
        <v>125.49705526529478</v>
      </c>
      <c r="AB43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1.1055247992775148</v>
      </c>
      <c r="AD43">
        <v>42</v>
      </c>
      <c r="AE43" t="str">
        <f>IFERROR(INDEX(TableWRCalcPts[PLAYER],MATCH(TableWRRanks32[[#This Row],[RK]],TableWRCalcPts[RK],0)),"")</f>
        <v>Brandin Cooks</v>
      </c>
      <c r="AF43" t="str">
        <f>IFERROR(INDEX(TableWRCalcPts[TM],MATCH(TableWRRanks32[[#This Row],[Player]],TableWRCalcPts[PLAYER],0)),"")</f>
        <v>DAL</v>
      </c>
      <c r="AG43">
        <f>IFERROR(INDEX(TableWRCalcPts[BYE],MATCH(TableWRRanks32[[#This Row],[Player]],TableWRCalcPts[PLAYER],0)),"")</f>
        <v>7</v>
      </c>
      <c r="AH43" s="86">
        <f>VLOOKUP(TableWRRanks32[[#This Row],[Player]],WR!B:O,4,FALSE)</f>
        <v>0</v>
      </c>
      <c r="AI43" s="86">
        <f>VLOOKUP(TableWRRanks32[[#This Row],[Player]],WR!B:O,5,FALSE)</f>
        <v>0</v>
      </c>
      <c r="AJ43" s="86">
        <f>VLOOKUP(TableWRRanks32[[#This Row],[Player]],WR!B:O,6,FALSE)</f>
        <v>98.255646720000001</v>
      </c>
      <c r="AK43" s="86">
        <f>VLOOKUP(TableWRRanks32[[#This Row],[Player]],WR!B:O,7,FALSE)</f>
        <v>65.787419248425181</v>
      </c>
      <c r="AL43" s="86">
        <f>VLOOKUP(TableWRRanks32[[#This Row],[Player]],WR!B:O,8,FALSE)</f>
        <v>855.23645022952735</v>
      </c>
      <c r="AM43" s="86">
        <f>VLOOKUP(TableWRRanks32[[#This Row],[Player]],WR!B:O,9,FALSE)</f>
        <v>5.5261432168677151</v>
      </c>
      <c r="AN43" s="58">
        <f>IFERROR(INDEX(TableWRCalcPts[Custom],MATCH(TableWRRanks32[[#This Row],[RK]],TableWRCalcPts[RK],0)),"")</f>
        <v>151.57421394837161</v>
      </c>
      <c r="AO4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7.2884369651638528</v>
      </c>
      <c r="AQ43">
        <v>42</v>
      </c>
      <c r="AR43" t="str">
        <f>IFERROR(INDEX(TableTECalcPts[PLAYER],MATCH(TableTERanks33[[#This Row],[RK]],TableTECalcPts[RK],0)),"")</f>
        <v>Jonnu Smith</v>
      </c>
      <c r="AS43" t="str">
        <f>IFERROR(INDEX(TableTECalcPts[TM],MATCH(TableTERanks33[[#This Row],[Player]],TableTECalcPts[PLAYER],0)),"")</f>
        <v>ATL</v>
      </c>
      <c r="AT43">
        <f>IFERROR(INDEX(TableTECalcPts[BYE],MATCH(TableTERanks33[[#This Row],[Player]],TableTECalcPts[PLAYER],0)),"")</f>
        <v>11</v>
      </c>
      <c r="AU43" s="86">
        <f>VLOOKUP(TableTERanks33[[#This Row],[Player]],TE!B:O,4,FALSE)</f>
        <v>34.392637439999994</v>
      </c>
      <c r="AV43" s="86">
        <f>VLOOKUP(TableTERanks33[[#This Row],[Player]],TE!B:O,5,FALSE)</f>
        <v>23.126402270091624</v>
      </c>
      <c r="AW43" s="86">
        <f>VLOOKUP(TableTERanks33[[#This Row],[Player]],TE!B:O,6,FALSE)</f>
        <v>241.77366066071954</v>
      </c>
      <c r="AX43" s="86">
        <f>VLOOKUP(TableTERanks33[[#This Row],[Player]],TE!B:O,7,FALSE)</f>
        <v>1.2719521248550394</v>
      </c>
      <c r="AY43" s="58">
        <f>IFERROR(INDEX(TableTECalcPts[Custom],MATCH(TableTERanks33[[#This Row],[RK]],TableTECalcPts[RK],0)),"")</f>
        <v>43.372279950248007</v>
      </c>
      <c r="AZ43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44" spans="1:52" x14ac:dyDescent="0.2">
      <c r="A44">
        <v>43</v>
      </c>
      <c r="B44" t="str">
        <f>IFERROR(INDEX(TableQBCalcPts[PLAYER],MATCH(TableQBRanks30[[#This Row],[RK]],TableQBCalcPts[RK],0)),"")</f>
        <v>Jake Browning</v>
      </c>
      <c r="C44" t="str">
        <f>IFERROR(INDEX(TableQBCalcPts[TM],MATCH(TableQBRanks30[[#This Row],[Player]],TableQBCalcPts[PLAYER],0)),"")</f>
        <v>CIN</v>
      </c>
      <c r="D44">
        <f>IFERROR(INDEX(TableQBCalcPts[BYE],MATCH(TableQBRanks30[[#This Row],[Player]],TableQBCalcPts[PLAYER],0)),"")</f>
        <v>7</v>
      </c>
      <c r="E44" s="86">
        <f>VLOOKUP(TableQBRanks30[[#This Row],[Player]],QB!B:O,4,FALSE)</f>
        <v>31.399350000000027</v>
      </c>
      <c r="F44" s="86">
        <f>VLOOKUP(TableQBRanks30[[#This Row],[Player]],QB!B:O,5,FALSE)</f>
        <v>19.954286925000016</v>
      </c>
      <c r="G44" s="86">
        <f>VLOOKUP(TableQBRanks30[[#This Row],[Player]],QB!B:O,6,FALSE)</f>
        <v>217.93234099452044</v>
      </c>
      <c r="H44" s="86">
        <f>VLOOKUP(TableQBRanks30[[#This Row],[Player]],QB!B:O,7,FALSE)</f>
        <v>1.3189783657425012</v>
      </c>
      <c r="I44" s="86">
        <f>VLOOKUP(TableQBRanks30[[#This Row],[Player]],QB!B:O,8,FALSE)</f>
        <v>0.75434988357628374</v>
      </c>
      <c r="J44" s="86">
        <f>VLOOKUP(TableQBRanks30[[#This Row],[Player]],QB!B:O,9,FALSE)</f>
        <v>0</v>
      </c>
      <c r="K44" s="86">
        <f>VLOOKUP(TableQBRanks30[[#This Row],[Player]],QB!B:O,10,FALSE)</f>
        <v>0</v>
      </c>
      <c r="L44" s="86">
        <f>VLOOKUP(TableQBRanks30[[#This Row],[Player]],QB!B:O,11,FALSE)</f>
        <v>0</v>
      </c>
      <c r="M44" s="58">
        <f>IFERROR(INDEX(TableQBCalcPts[Custom],MATCH(TableQBRanks30[[#This Row],[RK]],TableQBCalcPts[RK],0)),"")</f>
        <v>13.238857219174539</v>
      </c>
      <c r="N44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44">
        <v>43</v>
      </c>
      <c r="Q44" t="str">
        <f>IFERROR(INDEX(TableRBCalcPts[PLAYER],MATCH(TableRBRanks31[[#This Row],[RK]],TableRBCalcPts[RK],0)),"")</f>
        <v>De'Von Achane</v>
      </c>
      <c r="R44" t="str">
        <f>IFERROR(INDEX(TableRBCalcPts[TM],MATCH(TableRBRanks31[[#This Row],[Player]],TableRBCalcPts[PLAYER],0)),"")</f>
        <v>MIA</v>
      </c>
      <c r="S44">
        <f>IFERROR(INDEX(TableRBCalcPts[BYE],MATCH(TableRBRanks31[[#This Row],[Player]],TableRBCalcPts[PLAYER],0)),"")</f>
        <v>10</v>
      </c>
      <c r="T44" s="86">
        <f>VLOOKUP(TableRBRanks31[[#This Row],[Player]],RB!B:O,4,FALSE)</f>
        <v>71.257673760000003</v>
      </c>
      <c r="U44" s="86">
        <f>VLOOKUP(TableRBRanks31[[#This Row],[Player]],RB!B:O,5,FALSE)</f>
        <v>315.22424771534526</v>
      </c>
      <c r="V44" s="86">
        <f>VLOOKUP(TableRBRanks31[[#This Row],[Player]],RB!B:O,6,FALSE)</f>
        <v>2.8503069504000003</v>
      </c>
      <c r="W44" s="86">
        <f>VLOOKUP(TableRBRanks31[[#This Row],[Player]],RB!B:O,7,FALSE)</f>
        <v>64.434792240000007</v>
      </c>
      <c r="X44" s="86">
        <f>VLOOKUP(TableRBRanks31[[#This Row],[Player]],RB!B:O,8,FALSE)</f>
        <v>45.8946691012233</v>
      </c>
      <c r="Y44" s="86">
        <f>VLOOKUP(TableRBRanks31[[#This Row],[Player]],RB!B:O,9,FALSE)</f>
        <v>376.33628663003105</v>
      </c>
      <c r="Z44" s="86">
        <f>VLOOKUP(TableRBRanks31[[#This Row],[Player]],RB!B:O,10,FALSE)</f>
        <v>2.6618908078709516</v>
      </c>
      <c r="AA44" s="58">
        <f>IFERROR(INDEX(TableRBCalcPts[Custom],MATCH(TableRBRanks31[[#This Row],[RK]],TableRBCalcPts[RK],0)),"")</f>
        <v>125.17657453477499</v>
      </c>
      <c r="AB44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0.98875384378522035</v>
      </c>
      <c r="AD44">
        <v>43</v>
      </c>
      <c r="AE44" t="str">
        <f>IFERROR(INDEX(TableWRCalcPts[PLAYER],MATCH(TableWRRanks32[[#This Row],[RK]],TableWRCalcPts[RK],0)),"")</f>
        <v>Zay Jones</v>
      </c>
      <c r="AF44" t="str">
        <f>IFERROR(INDEX(TableWRCalcPts[TM],MATCH(TableWRRanks32[[#This Row],[Player]],TableWRCalcPts[PLAYER],0)),"")</f>
        <v>JAX</v>
      </c>
      <c r="AG44">
        <f>IFERROR(INDEX(TableWRCalcPts[BYE],MATCH(TableWRRanks32[[#This Row],[Player]],TableWRCalcPts[PLAYER],0)),"")</f>
        <v>9</v>
      </c>
      <c r="AH44" s="86">
        <f>VLOOKUP(TableWRRanks32[[#This Row],[Player]],WR!B:O,4,FALSE)</f>
        <v>0</v>
      </c>
      <c r="AI44" s="86">
        <f>VLOOKUP(TableWRRanks32[[#This Row],[Player]],WR!B:O,5,FALSE)</f>
        <v>0</v>
      </c>
      <c r="AJ44" s="86">
        <f>VLOOKUP(TableWRRanks32[[#This Row],[Player]],WR!B:O,6,FALSE)</f>
        <v>110.02105239999997</v>
      </c>
      <c r="AK44" s="86">
        <f>VLOOKUP(TableWRRanks32[[#This Row],[Player]],WR!B:O,7,FALSE)</f>
        <v>70.876581235276305</v>
      </c>
      <c r="AL44" s="86">
        <f>VLOOKUP(TableWRRanks32[[#This Row],[Player]],WR!B:O,8,FALSE)</f>
        <v>760.50650732479369</v>
      </c>
      <c r="AM44" s="86">
        <f>VLOOKUP(TableWRRanks32[[#This Row],[Player]],WR!B:O,9,FALSE)</f>
        <v>6.4497688924101437</v>
      </c>
      <c r="AN44" s="58">
        <f>IFERROR(INDEX(TableWRCalcPts[Custom],MATCH(TableWRRanks32[[#This Row],[RK]],TableWRCalcPts[RK],0)),"")</f>
        <v>150.18755470457839</v>
      </c>
      <c r="AO4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6.8135511427178965</v>
      </c>
      <c r="AQ44">
        <v>43</v>
      </c>
      <c r="AR44" t="str">
        <f>IFERROR(INDEX(TableTECalcPts[PLAYER],MATCH(TableTERanks33[[#This Row],[RK]],TableTECalcPts[RK],0)),"")</f>
        <v>Will Dissly</v>
      </c>
      <c r="AS44" t="str">
        <f>IFERROR(INDEX(TableTECalcPts[TM],MATCH(TableTERanks33[[#This Row],[Player]],TableTECalcPts[PLAYER],0)),"")</f>
        <v>SEA</v>
      </c>
      <c r="AT44">
        <f>IFERROR(INDEX(TableTECalcPts[BYE],MATCH(TableTERanks33[[#This Row],[Player]],TableTECalcPts[PLAYER],0)),"")</f>
        <v>5</v>
      </c>
      <c r="AU44" s="86">
        <f>VLOOKUP(TableTERanks33[[#This Row],[Player]],TE!B:O,4,FALSE)</f>
        <v>28.189002239999997</v>
      </c>
      <c r="AV44" s="86">
        <f>VLOOKUP(TableTERanks33[[#This Row],[Player]],TE!B:O,5,FALSE)</f>
        <v>20.938360802748882</v>
      </c>
      <c r="AW44" s="86">
        <f>VLOOKUP(TableTERanks33[[#This Row],[Player]],TE!B:O,6,FALSE)</f>
        <v>221.94662450913813</v>
      </c>
      <c r="AX44" s="86">
        <f>VLOOKUP(TableTERanks33[[#This Row],[Player]],TE!B:O,7,FALSE)</f>
        <v>1.7169455858254083</v>
      </c>
      <c r="AY44" s="58">
        <f>IFERROR(INDEX(TableTECalcPts[Custom],MATCH(TableTERanks33[[#This Row],[RK]],TableTECalcPts[RK],0)),"")</f>
        <v>42.965516367240703</v>
      </c>
      <c r="AZ44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45" spans="1:52" x14ac:dyDescent="0.2">
      <c r="A45">
        <v>44</v>
      </c>
      <c r="B45" t="str">
        <f>IFERROR(INDEX(TableQBCalcPts[PLAYER],MATCH(TableQBRanks30[[#This Row],[RK]],TableQBCalcPts[RK],0)),"")</f>
        <v>Sam Darnold</v>
      </c>
      <c r="C45" t="str">
        <f>IFERROR(INDEX(TableQBCalcPts[TM],MATCH(TableQBRanks30[[#This Row],[Player]],TableQBCalcPts[PLAYER],0)),"")</f>
        <v>SF</v>
      </c>
      <c r="D45">
        <f>IFERROR(INDEX(TableQBCalcPts[BYE],MATCH(TableQBRanks30[[#This Row],[Player]],TableQBCalcPts[PLAYER],0)),"")</f>
        <v>9</v>
      </c>
      <c r="E45" s="86">
        <f>VLOOKUP(TableQBRanks30[[#This Row],[Player]],QB!B:O,4,FALSE)</f>
        <v>26.277450000000002</v>
      </c>
      <c r="F45" s="86">
        <f>VLOOKUP(TableQBRanks30[[#This Row],[Player]],QB!B:O,5,FALSE)</f>
        <v>15.76647</v>
      </c>
      <c r="G45" s="86">
        <f>VLOOKUP(TableQBRanks30[[#This Row],[Player]],QB!B:O,6,FALSE)</f>
        <v>167.124582</v>
      </c>
      <c r="H45" s="86">
        <f>VLOOKUP(TableQBRanks30[[#This Row],[Player]],QB!B:O,7,FALSE)</f>
        <v>0.81985643999999991</v>
      </c>
      <c r="I45" s="86">
        <f>VLOOKUP(TableQBRanks30[[#This Row],[Player]],QB!B:O,8,FALSE)</f>
        <v>0.85138937999999997</v>
      </c>
      <c r="J45" s="86">
        <f>VLOOKUP(TableQBRanks30[[#This Row],[Player]],QB!B:O,9,FALSE)</f>
        <v>7.1817477199999997</v>
      </c>
      <c r="K45" s="86">
        <f>VLOOKUP(TableQBRanks30[[#This Row],[Player]],QB!B:O,10,FALSE)</f>
        <v>21.545243159999998</v>
      </c>
      <c r="L45" s="86">
        <f>VLOOKUP(TableQBRanks30[[#This Row],[Player]],QB!B:O,11,FALSE)</f>
        <v>0.21545243159999999</v>
      </c>
      <c r="M45" s="58">
        <f>IFERROR(INDEX(TableQBCalcPts[Custom],MATCH(TableQBRanks30[[#This Row],[RK]],TableQBCalcPts[RK],0)),"")</f>
        <v>12.560258565599998</v>
      </c>
      <c r="N45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45">
        <v>44</v>
      </c>
      <c r="Q45" t="str">
        <f>IFERROR(INDEX(TableRBCalcPts[PLAYER],MATCH(TableRBRanks31[[#This Row],[RK]],TableRBCalcPts[RK],0)),"")</f>
        <v>Deuce Vaughn</v>
      </c>
      <c r="R45" t="str">
        <f>IFERROR(INDEX(TableRBCalcPts[TM],MATCH(TableRBRanks31[[#This Row],[Player]],TableRBCalcPts[PLAYER],0)),"")</f>
        <v>DAL</v>
      </c>
      <c r="S45">
        <f>IFERROR(INDEX(TableRBCalcPts[BYE],MATCH(TableRBRanks31[[#This Row],[Player]],TableRBCalcPts[PLAYER],0)),"")</f>
        <v>7</v>
      </c>
      <c r="T45" s="86">
        <f>VLOOKUP(TableRBRanks31[[#This Row],[Player]],RB!B:O,4,FALSE)</f>
        <v>90.898590719999987</v>
      </c>
      <c r="U45" s="86">
        <f>VLOOKUP(TableRBRanks31[[#This Row],[Player]],RB!B:O,5,FALSE)</f>
        <v>391.77292600319993</v>
      </c>
      <c r="V45" s="86">
        <f>VLOOKUP(TableRBRanks31[[#This Row],[Player]],RB!B:O,6,FALSE)</f>
        <v>3.4541464473599994</v>
      </c>
      <c r="W45" s="86">
        <f>VLOOKUP(TableRBRanks31[[#This Row],[Player]],RB!B:O,7,FALSE)</f>
        <v>57.125376000000003</v>
      </c>
      <c r="X45" s="86">
        <f>VLOOKUP(TableRBRanks31[[#This Row],[Player]],RB!B:O,8,FALSE)</f>
        <v>37.92015152966178</v>
      </c>
      <c r="Y45" s="86">
        <f>VLOOKUP(TableRBRanks31[[#This Row],[Player]],RB!B:O,9,FALSE)</f>
        <v>315.42060300313875</v>
      </c>
      <c r="Z45" s="86">
        <f>VLOOKUP(TableRBRanks31[[#This Row],[Player]],RB!B:O,10,FALSE)</f>
        <v>2.0097680310720745</v>
      </c>
      <c r="AA45" s="58">
        <f>IFERROR(INDEX(TableRBCalcPts[Custom],MATCH(TableRBRanks31[[#This Row],[RK]],TableRBCalcPts[RK],0)),"")</f>
        <v>122.46291553605721</v>
      </c>
      <c r="AB45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45">
        <v>44</v>
      </c>
      <c r="AE45" t="str">
        <f>IFERROR(INDEX(TableWRCalcPts[PLAYER],MATCH(TableWRRanks32[[#This Row],[RK]],TableWRCalcPts[RK],0)),"")</f>
        <v>Marquez Valdes-Scantling</v>
      </c>
      <c r="AF45" t="str">
        <f>IFERROR(INDEX(TableWRCalcPts[TM],MATCH(TableWRRanks32[[#This Row],[Player]],TableWRCalcPts[PLAYER],0)),"")</f>
        <v>KC</v>
      </c>
      <c r="AG45">
        <f>IFERROR(INDEX(TableWRCalcPts[BYE],MATCH(TableWRRanks32[[#This Row],[Player]],TableWRCalcPts[PLAYER],0)),"")</f>
        <v>10</v>
      </c>
      <c r="AH45" s="86">
        <f>VLOOKUP(TableWRRanks32[[#This Row],[Player]],WR!B:O,4,FALSE)</f>
        <v>0</v>
      </c>
      <c r="AI45" s="86">
        <f>VLOOKUP(TableWRRanks32[[#This Row],[Player]],WR!B:O,5,FALSE)</f>
        <v>0</v>
      </c>
      <c r="AJ45" s="86">
        <f>VLOOKUP(TableWRRanks32[[#This Row],[Player]],WR!B:O,6,FALSE)</f>
        <v>97.426296239999985</v>
      </c>
      <c r="AK45" s="86">
        <f>VLOOKUP(TableWRRanks32[[#This Row],[Player]],WR!B:O,7,FALSE)</f>
        <v>52.978061664055602</v>
      </c>
      <c r="AL45" s="86">
        <f>VLOOKUP(TableWRRanks32[[#This Row],[Player]],WR!B:O,8,FALSE)</f>
        <v>821.15995579286187</v>
      </c>
      <c r="AM45" s="86">
        <f>VLOOKUP(TableWRRanks32[[#This Row],[Player]],WR!B:O,9,FALSE)</f>
        <v>6.8341699546631727</v>
      </c>
      <c r="AN45" s="58">
        <f>IFERROR(INDEX(TableWRCalcPts[Custom],MATCH(TableWRRanks32[[#This Row],[RK]],TableWRCalcPts[RK],0)),"")</f>
        <v>149.61004613929302</v>
      </c>
      <c r="AO4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6.6157731873747299</v>
      </c>
      <c r="AQ45">
        <v>44</v>
      </c>
      <c r="AR45" t="str">
        <f>IFERROR(INDEX(TableTECalcPts[PLAYER],MATCH(TableTERanks33[[#This Row],[RK]],TableTECalcPts[RK],0)),"")</f>
        <v>C.J. Uzomah</v>
      </c>
      <c r="AS45" t="str">
        <f>IFERROR(INDEX(TableTECalcPts[TM],MATCH(TableTERanks33[[#This Row],[Player]],TableTECalcPts[PLAYER],0)),"")</f>
        <v>NYJ</v>
      </c>
      <c r="AT45">
        <f>IFERROR(INDEX(TableTECalcPts[BYE],MATCH(TableTERanks33[[#This Row],[Player]],TableTECalcPts[PLAYER],0)),"")</f>
        <v>7</v>
      </c>
      <c r="AU45" s="86">
        <f>VLOOKUP(TableTERanks33[[#This Row],[Player]],TE!B:O,4,FALSE)</f>
        <v>28.536580799999999</v>
      </c>
      <c r="AV45" s="86">
        <f>VLOOKUP(TableTERanks33[[#This Row],[Player]],TE!B:O,5,FALSE)</f>
        <v>19.963133649451848</v>
      </c>
      <c r="AW45" s="86">
        <f>VLOOKUP(TableTERanks33[[#This Row],[Player]],TE!B:O,6,FALSE)</f>
        <v>200.24420294046385</v>
      </c>
      <c r="AX45" s="86">
        <f>VLOOKUP(TableTERanks33[[#This Row],[Player]],TE!B:O,7,FALSE)</f>
        <v>1.6369769592550516</v>
      </c>
      <c r="AY45" s="58">
        <f>IFERROR(INDEX(TableTECalcPts[Custom],MATCH(TableTERanks33[[#This Row],[RK]],TableTECalcPts[RK],0)),"")</f>
        <v>39.827848874302617</v>
      </c>
      <c r="AZ45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46" spans="1:52" x14ac:dyDescent="0.2">
      <c r="A46">
        <v>45</v>
      </c>
      <c r="B46" t="str">
        <f>IFERROR(INDEX(TableQBCalcPts[PLAYER],MATCH(TableQBRanks30[[#This Row],[RK]],TableQBCalcPts[RK],0)),"")</f>
        <v>Drew Lock</v>
      </c>
      <c r="C46" t="str">
        <f>IFERROR(INDEX(TableQBCalcPts[TM],MATCH(TableQBRanks30[[#This Row],[Player]],TableQBCalcPts[PLAYER],0)),"")</f>
        <v>SEA</v>
      </c>
      <c r="D46">
        <f>IFERROR(INDEX(TableQBCalcPts[BYE],MATCH(TableQBRanks30[[#This Row],[Player]],TableQBCalcPts[PLAYER],0)),"")</f>
        <v>5</v>
      </c>
      <c r="E46" s="86">
        <f>VLOOKUP(TableQBRanks30[[#This Row],[Player]],QB!B:O,4,FALSE)</f>
        <v>29.962800000000026</v>
      </c>
      <c r="F46" s="86">
        <f>VLOOKUP(TableQBRanks30[[#This Row],[Player]],QB!B:O,5,FALSE)</f>
        <v>17.807981955712137</v>
      </c>
      <c r="G46" s="86">
        <f>VLOOKUP(TableQBRanks30[[#This Row],[Player]],QB!B:O,6,FALSE)</f>
        <v>201.40827591910428</v>
      </c>
      <c r="H46" s="86">
        <f>VLOOKUP(TableQBRanks30[[#This Row],[Player]],QB!B:O,7,FALSE)</f>
        <v>1.0624822769847155</v>
      </c>
      <c r="I46" s="86">
        <f>VLOOKUP(TableQBRanks30[[#This Row],[Player]],QB!B:O,8,FALSE)</f>
        <v>0.92026585190521337</v>
      </c>
      <c r="J46" s="86">
        <f>VLOOKUP(TableQBRanks30[[#This Row],[Player]],QB!B:O,9,FALSE)</f>
        <v>0</v>
      </c>
      <c r="K46" s="86">
        <f>VLOOKUP(TableQBRanks30[[#This Row],[Player]],QB!B:O,10,FALSE)</f>
        <v>0</v>
      </c>
      <c r="L46" s="86">
        <f>VLOOKUP(TableQBRanks30[[#This Row],[Player]],QB!B:O,11,FALSE)</f>
        <v>0</v>
      </c>
      <c r="M46" s="58">
        <f>IFERROR(INDEX(TableQBCalcPts[Custom],MATCH(TableQBRanks30[[#This Row],[RK]],TableQBCalcPts[RK],0)),"")</f>
        <v>11.385994292797822</v>
      </c>
      <c r="N46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46">
        <v>45</v>
      </c>
      <c r="Q46" t="str">
        <f>IFERROR(INDEX(TableRBCalcPts[PLAYER],MATCH(TableRBRanks31[[#This Row],[RK]],TableRBCalcPts[RK],0)),"")</f>
        <v>Rashaad Penny</v>
      </c>
      <c r="R46" t="str">
        <f>IFERROR(INDEX(TableRBCalcPts[TM],MATCH(TableRBRanks31[[#This Row],[Player]],TableRBCalcPts[PLAYER],0)),"")</f>
        <v>PHI</v>
      </c>
      <c r="S46">
        <f>IFERROR(INDEX(TableRBCalcPts[BYE],MATCH(TableRBRanks31[[#This Row],[Player]],TableRBCalcPts[PLAYER],0)),"")</f>
        <v>10</v>
      </c>
      <c r="T46" s="86">
        <f>VLOOKUP(TableRBRanks31[[#This Row],[Player]],RB!B:O,4,FALSE)</f>
        <v>119.51817948000001</v>
      </c>
      <c r="U46" s="86">
        <f>VLOOKUP(TableRBRanks31[[#This Row],[Player]],RB!B:O,5,FALSE)</f>
        <v>573.68726150400005</v>
      </c>
      <c r="V46" s="86">
        <f>VLOOKUP(TableRBRanks31[[#This Row],[Player]],RB!B:O,6,FALSE)</f>
        <v>4.5416908202400004</v>
      </c>
      <c r="W46" s="86">
        <f>VLOOKUP(TableRBRanks31[[#This Row],[Player]],RB!B:O,7,FALSE)</f>
        <v>32.007879959999997</v>
      </c>
      <c r="X46" s="86">
        <f>VLOOKUP(TableRBRanks31[[#This Row],[Player]],RB!B:O,8,FALSE)</f>
        <v>20.694336091823089</v>
      </c>
      <c r="Y46" s="86">
        <f>VLOOKUP(TableRBRanks31[[#This Row],[Player]],RB!B:O,9,FALSE)</f>
        <v>151.9318988254019</v>
      </c>
      <c r="Z46" s="86">
        <f>VLOOKUP(TableRBRanks31[[#This Row],[Player]],RB!B:O,10,FALSE)</f>
        <v>0.99332813240750828</v>
      </c>
      <c r="AA46" s="58">
        <f>IFERROR(INDEX(TableRBCalcPts[Custom],MATCH(TableRBRanks31[[#This Row],[RK]],TableRBCalcPts[RK],0)),"")</f>
        <v>116.11919779473679</v>
      </c>
      <c r="AB46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46">
        <v>45</v>
      </c>
      <c r="AE46" t="str">
        <f>IFERROR(INDEX(TableWRCalcPts[PLAYER],MATCH(TableWRRanks32[[#This Row],[RK]],TableWRCalcPts[RK],0)),"")</f>
        <v>Michael Pittman</v>
      </c>
      <c r="AF46" t="str">
        <f>IFERROR(INDEX(TableWRCalcPts[TM],MATCH(TableWRRanks32[[#This Row],[Player]],TableWRCalcPts[PLAYER],0)),"")</f>
        <v>IND</v>
      </c>
      <c r="AG46">
        <f>IFERROR(INDEX(TableWRCalcPts[BYE],MATCH(TableWRRanks32[[#This Row],[Player]],TableWRCalcPts[PLAYER],0)),"")</f>
        <v>11</v>
      </c>
      <c r="AH46" s="86">
        <f>VLOOKUP(TableWRRanks32[[#This Row],[Player]],WR!B:O,4,FALSE)</f>
        <v>0</v>
      </c>
      <c r="AI46" s="86">
        <f>VLOOKUP(TableWRRanks32[[#This Row],[Player]],WR!B:O,5,FALSE)</f>
        <v>0</v>
      </c>
      <c r="AJ46" s="86">
        <f>VLOOKUP(TableWRRanks32[[#This Row],[Player]],WR!B:O,6,FALSE)</f>
        <v>119.74596480000001</v>
      </c>
      <c r="AK46" s="86">
        <f>VLOOKUP(TableWRRanks32[[#This Row],[Player]],WR!B:O,7,FALSE)</f>
        <v>73.284530457599999</v>
      </c>
      <c r="AL46" s="86">
        <f>VLOOKUP(TableWRRanks32[[#This Row],[Player]],WR!B:O,8,FALSE)</f>
        <v>847.43656784899952</v>
      </c>
      <c r="AM46" s="86">
        <f>VLOOKUP(TableWRRanks32[[#This Row],[Player]],WR!B:O,9,FALSE)</f>
        <v>4.3237872969983995</v>
      </c>
      <c r="AN46" s="58">
        <f>IFERROR(INDEX(TableWRCalcPts[Custom],MATCH(TableWRRanks32[[#This Row],[RK]],TableWRCalcPts[RK],0)),"")</f>
        <v>147.32864579569036</v>
      </c>
      <c r="AO4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5.834467554177805</v>
      </c>
      <c r="AQ46">
        <v>45</v>
      </c>
      <c r="AR46" t="str">
        <f>IFERROR(INDEX(TableTECalcPts[PLAYER],MATCH(TableTERanks33[[#This Row],[RK]],TableTECalcPts[RK],0)),"")</f>
        <v>Cole Turner</v>
      </c>
      <c r="AS46" t="str">
        <f>IFERROR(INDEX(TableTECalcPts[TM],MATCH(TableTERanks33[[#This Row],[Player]],TableTECalcPts[PLAYER],0)),"")</f>
        <v>WSH</v>
      </c>
      <c r="AT46">
        <f>IFERROR(INDEX(TableTECalcPts[BYE],MATCH(TableTERanks33[[#This Row],[Player]],TableTECalcPts[PLAYER],0)),"")</f>
        <v>14</v>
      </c>
      <c r="AU46" s="86">
        <f>VLOOKUP(TableTERanks33[[#This Row],[Player]],TE!B:O,4,FALSE)</f>
        <v>32.454106299999999</v>
      </c>
      <c r="AV46" s="86">
        <f>VLOOKUP(TableTERanks33[[#This Row],[Player]],TE!B:O,5,FALSE)</f>
        <v>19.6022802052</v>
      </c>
      <c r="AW46" s="86">
        <f>VLOOKUP(TableTERanks33[[#This Row],[Player]],TE!B:O,6,FALSE)</f>
        <v>199.94325809303999</v>
      </c>
      <c r="AX46" s="86">
        <f>VLOOKUP(TableTERanks33[[#This Row],[Player]],TE!B:O,7,FALSE)</f>
        <v>1.3917618945691999</v>
      </c>
      <c r="AY46" s="58">
        <f>IFERROR(INDEX(TableTECalcPts[Custom],MATCH(TableTERanks33[[#This Row],[RK]],TableTECalcPts[RK],0)),"")</f>
        <v>38.146037279319202</v>
      </c>
      <c r="AZ46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47" spans="1:52" x14ac:dyDescent="0.2">
      <c r="A47">
        <v>46</v>
      </c>
      <c r="B47" t="str">
        <f>IFERROR(INDEX(TableQBCalcPts[PLAYER],MATCH(TableQBRanks30[[#This Row],[RK]],TableQBCalcPts[RK],0)),"")</f>
        <v>Will Levis</v>
      </c>
      <c r="C47" t="str">
        <f>IFERROR(INDEX(TableQBCalcPts[TM],MATCH(TableQBRanks30[[#This Row],[Player]],TableQBCalcPts[PLAYER],0)),"")</f>
        <v>TEN</v>
      </c>
      <c r="D47">
        <f>IFERROR(INDEX(TableQBCalcPts[BYE],MATCH(TableQBRanks30[[#This Row],[Player]],TableQBCalcPts[PLAYER],0)),"")</f>
        <v>7</v>
      </c>
      <c r="E47" s="86">
        <f>VLOOKUP(TableQBRanks30[[#This Row],[Player]],QB!B:O,4,FALSE)</f>
        <v>11.053100000000002</v>
      </c>
      <c r="F47" s="86">
        <f>VLOOKUP(TableQBRanks30[[#This Row],[Player]],QB!B:O,5,FALSE)</f>
        <v>6.7866034000000015</v>
      </c>
      <c r="G47" s="86">
        <f>VLOOKUP(TableQBRanks30[[#This Row],[Player]],QB!B:O,6,FALSE)</f>
        <v>81.439240800000022</v>
      </c>
      <c r="H47" s="86">
        <f>VLOOKUP(TableQBRanks30[[#This Row],[Player]],QB!B:O,7,FALSE)</f>
        <v>0.3746205076800001</v>
      </c>
      <c r="I47" s="86">
        <f>VLOOKUP(TableQBRanks30[[#This Row],[Player]],QB!B:O,8,FALSE)</f>
        <v>0.30539715300000003</v>
      </c>
      <c r="J47" s="86">
        <f>VLOOKUP(TableQBRanks30[[#This Row],[Player]],QB!B:O,9,FALSE)</f>
        <v>9.8855000999999998</v>
      </c>
      <c r="K47" s="86">
        <f>VLOOKUP(TableQBRanks30[[#This Row],[Player]],QB!B:O,10,FALSE)</f>
        <v>30.941615313</v>
      </c>
      <c r="L47" s="86">
        <f>VLOOKUP(TableQBRanks30[[#This Row],[Player]],QB!B:O,11,FALSE)</f>
        <v>0.59313000599999999</v>
      </c>
      <c r="M47" s="58">
        <f>IFERROR(INDEX(TableQBCalcPts[Custom],MATCH(TableQBRanks30[[#This Row],[RK]],TableQBCalcPts[RK],0)),"")</f>
        <v>11.103596077020001</v>
      </c>
      <c r="N47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47">
        <v>46</v>
      </c>
      <c r="Q47" t="str">
        <f>IFERROR(INDEX(TableRBCalcPts[PLAYER],MATCH(TableRBRanks31[[#This Row],[RK]],TableRBCalcPts[RK],0)),"")</f>
        <v>Keaontay Ingram</v>
      </c>
      <c r="R47" t="str">
        <f>IFERROR(INDEX(TableRBCalcPts[TM],MATCH(TableRBRanks31[[#This Row],[Player]],TableRBCalcPts[PLAYER],0)),"")</f>
        <v>ARI</v>
      </c>
      <c r="S47">
        <f>IFERROR(INDEX(TableRBCalcPts[BYE],MATCH(TableRBRanks31[[#This Row],[Player]],TableRBCalcPts[PLAYER],0)),"")</f>
        <v>14</v>
      </c>
      <c r="T47" s="86">
        <f>VLOOKUP(TableRBRanks31[[#This Row],[Player]],RB!B:O,4,FALSE)</f>
        <v>148.58564000000001</v>
      </c>
      <c r="U47" s="86">
        <f>VLOOKUP(TableRBRanks31[[#This Row],[Player]],RB!B:O,5,FALSE)</f>
        <v>595.82841640000004</v>
      </c>
      <c r="V47" s="86">
        <f>VLOOKUP(TableRBRanks31[[#This Row],[Player]],RB!B:O,6,FALSE)</f>
        <v>4.6061548400000003</v>
      </c>
      <c r="W47" s="86">
        <f>VLOOKUP(TableRBRanks31[[#This Row],[Player]],RB!B:O,7,FALSE)</f>
        <v>27.022275</v>
      </c>
      <c r="X47" s="86">
        <f>VLOOKUP(TableRBRanks31[[#This Row],[Player]],RB!B:O,8,FALSE)</f>
        <v>19.726260750000002</v>
      </c>
      <c r="Y47" s="86">
        <f>VLOOKUP(TableRBRanks31[[#This Row],[Player]],RB!B:O,9,FALSE)</f>
        <v>143.0153904375</v>
      </c>
      <c r="Z47" s="86">
        <f>VLOOKUP(TableRBRanks31[[#This Row],[Player]],RB!B:O,10,FALSE)</f>
        <v>0.49315651875000005</v>
      </c>
      <c r="AA47" s="58">
        <f>IFERROR(INDEX(TableRBCalcPts[Custom],MATCH(TableRBRanks31[[#This Row],[RK]],TableRBCalcPts[RK],0)),"")</f>
        <v>114.34337921125001</v>
      </c>
      <c r="AB47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47">
        <v>46</v>
      </c>
      <c r="AE47" t="str">
        <f>IFERROR(INDEX(TableWRCalcPts[PLAYER],MATCH(TableWRRanks32[[#This Row],[RK]],TableWRCalcPts[RK],0)),"")</f>
        <v>Jonathan Mingo</v>
      </c>
      <c r="AF47" t="str">
        <f>IFERROR(INDEX(TableWRCalcPts[TM],MATCH(TableWRRanks32[[#This Row],[Player]],TableWRCalcPts[PLAYER],0)),"")</f>
        <v>CAR</v>
      </c>
      <c r="AG47">
        <f>IFERROR(INDEX(TableWRCalcPts[BYE],MATCH(TableWRRanks32[[#This Row],[Player]],TableWRCalcPts[PLAYER],0)),"")</f>
        <v>7</v>
      </c>
      <c r="AH47" s="86">
        <f>VLOOKUP(TableWRRanks32[[#This Row],[Player]],WR!B:O,4,FALSE)</f>
        <v>0</v>
      </c>
      <c r="AI47" s="86">
        <f>VLOOKUP(TableWRRanks32[[#This Row],[Player]],WR!B:O,5,FALSE)</f>
        <v>0</v>
      </c>
      <c r="AJ47" s="86">
        <f>VLOOKUP(TableWRRanks32[[#This Row],[Player]],WR!B:O,6,FALSE)</f>
        <v>107.68524101999999</v>
      </c>
      <c r="AK47" s="86">
        <f>VLOOKUP(TableWRRanks32[[#This Row],[Player]],WR!B:O,7,FALSE)</f>
        <v>64.176582360608236</v>
      </c>
      <c r="AL47" s="86">
        <f>VLOOKUP(TableWRRanks32[[#This Row],[Player]],WR!B:O,8,FALSE)</f>
        <v>828.29852932366464</v>
      </c>
      <c r="AM47" s="86">
        <f>VLOOKUP(TableWRRanks32[[#This Row],[Player]],WR!B:O,9,FALSE)</f>
        <v>5.3908329182910926</v>
      </c>
      <c r="AN47" s="58">
        <f>IFERROR(INDEX(TableWRCalcPts[Custom],MATCH(TableWRRanks32[[#This Row],[RK]],TableWRCalcPts[RK],0)),"")</f>
        <v>147.26314162241712</v>
      </c>
      <c r="AO4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5.8120344990939827</v>
      </c>
      <c r="AQ47">
        <v>46</v>
      </c>
      <c r="AR47" t="str">
        <f>IFERROR(INDEX(TableTECalcPts[PLAYER],MATCH(TableTERanks33[[#This Row],[RK]],TableTECalcPts[RK],0)),"")</f>
        <v>Teagan Quitoriano</v>
      </c>
      <c r="AS47" t="str">
        <f>IFERROR(INDEX(TableTECalcPts[TM],MATCH(TableTERanks33[[#This Row],[Player]],TableTECalcPts[PLAYER],0)),"")</f>
        <v>HOU</v>
      </c>
      <c r="AT47">
        <f>IFERROR(INDEX(TableTECalcPts[BYE],MATCH(TableTERanks33[[#This Row],[Player]],TableTECalcPts[PLAYER],0)),"")</f>
        <v>7</v>
      </c>
      <c r="AU47" s="86">
        <f>VLOOKUP(TableTERanks33[[#This Row],[Player]],TE!B:O,4,FALSE)</f>
        <v>27.043484159999998</v>
      </c>
      <c r="AV47" s="86">
        <f>VLOOKUP(TableTERanks33[[#This Row],[Player]],TE!B:O,5,FALSE)</f>
        <v>16.96859514208894</v>
      </c>
      <c r="AW47" s="86">
        <f>VLOOKUP(TableTERanks33[[#This Row],[Player]],TE!B:O,6,FALSE)</f>
        <v>187.84234822292458</v>
      </c>
      <c r="AX47" s="86">
        <f>VLOOKUP(TableTERanks33[[#This Row],[Player]],TE!B:O,7,FALSE)</f>
        <v>1.4592991822196488</v>
      </c>
      <c r="AY47" s="58">
        <f>IFERROR(INDEX(TableTECalcPts[Custom],MATCH(TableTERanks33[[#This Row],[RK]],TableTECalcPts[RK],0)),"")</f>
        <v>36.024327486654819</v>
      </c>
      <c r="AZ47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48" spans="1:52" x14ac:dyDescent="0.2">
      <c r="A48">
        <v>47</v>
      </c>
      <c r="B48" t="str">
        <f>IFERROR(INDEX(TableQBCalcPts[PLAYER],MATCH(TableQBRanks30[[#This Row],[RK]],TableQBCalcPts[RK],0)),"")</f>
        <v>Mitch Trubisky</v>
      </c>
      <c r="C48" t="str">
        <f>IFERROR(INDEX(TableQBCalcPts[TM],MATCH(TableQBRanks30[[#This Row],[Player]],TableQBCalcPts[PLAYER],0)),"")</f>
        <v>PIT</v>
      </c>
      <c r="D48">
        <f>IFERROR(INDEX(TableQBCalcPts[BYE],MATCH(TableQBRanks30[[#This Row],[Player]],TableQBCalcPts[PLAYER],0)),"")</f>
        <v>6</v>
      </c>
      <c r="E48" s="86">
        <f>VLOOKUP(TableQBRanks30[[#This Row],[Player]],QB!B:O,4,FALSE)</f>
        <v>29.447250000000029</v>
      </c>
      <c r="F48" s="86">
        <f>VLOOKUP(TableQBRanks30[[#This Row],[Player]],QB!B:O,5,FALSE)</f>
        <v>18.372576004164319</v>
      </c>
      <c r="G48" s="86">
        <f>VLOOKUP(TableQBRanks30[[#This Row],[Player]],QB!B:O,6,FALSE)</f>
        <v>188.42991412868332</v>
      </c>
      <c r="H48" s="86">
        <f>VLOOKUP(TableQBRanks30[[#This Row],[Player]],QB!B:O,7,FALSE)</f>
        <v>1.003018474001816</v>
      </c>
      <c r="I48" s="86">
        <f>VLOOKUP(TableQBRanks30[[#This Row],[Player]],QB!B:O,8,FALSE)</f>
        <v>0.73235903843467198</v>
      </c>
      <c r="J48" s="86">
        <f>VLOOKUP(TableQBRanks30[[#This Row],[Player]],QB!B:O,9,FALSE)</f>
        <v>0</v>
      </c>
      <c r="K48" s="86">
        <f>VLOOKUP(TableQBRanks30[[#This Row],[Player]],QB!B:O,10,FALSE)</f>
        <v>0</v>
      </c>
      <c r="L48" s="86">
        <f>VLOOKUP(TableQBRanks30[[#This Row],[Player]],QB!B:O,11,FALSE)</f>
        <v>0</v>
      </c>
      <c r="M48" s="58">
        <f>IFERROR(INDEX(TableQBCalcPts[Custom],MATCH(TableQBRanks30[[#This Row],[RK]],TableQBCalcPts[RK],0)),"")</f>
        <v>10.816911422719926</v>
      </c>
      <c r="N48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48">
        <v>47</v>
      </c>
      <c r="Q48" t="str">
        <f>IFERROR(INDEX(TableRBCalcPts[PLAYER],MATCH(TableRBRanks31[[#This Row],[RK]],TableRBCalcPts[RK],0)),"")</f>
        <v>Roschon Johnson</v>
      </c>
      <c r="R48" t="str">
        <f>IFERROR(INDEX(TableRBCalcPts[TM],MATCH(TableRBRanks31[[#This Row],[Player]],TableRBCalcPts[PLAYER],0)),"")</f>
        <v>CHI</v>
      </c>
      <c r="S48">
        <f>IFERROR(INDEX(TableRBCalcPts[BYE],MATCH(TableRBRanks31[[#This Row],[Player]],TableRBCalcPts[PLAYER],0)),"")</f>
        <v>13</v>
      </c>
      <c r="T48" s="86">
        <f>VLOOKUP(TableRBRanks31[[#This Row],[Player]],RB!B:O,4,FALSE)</f>
        <v>112.04473279999999</v>
      </c>
      <c r="U48" s="86">
        <f>VLOOKUP(TableRBRanks31[[#This Row],[Player]],RB!B:O,5,FALSE)</f>
        <v>481.79235103999997</v>
      </c>
      <c r="V48" s="86">
        <f>VLOOKUP(TableRBRanks31[[#This Row],[Player]],RB!B:O,6,FALSE)</f>
        <v>4.7058787775999997</v>
      </c>
      <c r="W48" s="86">
        <f>VLOOKUP(TableRBRanks31[[#This Row],[Player]],RB!B:O,7,FALSE)</f>
        <v>33.044094719999997</v>
      </c>
      <c r="X48" s="86">
        <f>VLOOKUP(TableRBRanks31[[#This Row],[Player]],RB!B:O,8,FALSE)</f>
        <v>23.094947501995961</v>
      </c>
      <c r="Y48" s="86">
        <f>VLOOKUP(TableRBRanks31[[#This Row],[Player]],RB!B:O,9,FALSE)</f>
        <v>183.66350045852619</v>
      </c>
      <c r="Z48" s="86">
        <f>VLOOKUP(TableRBRanks31[[#This Row],[Player]],RB!B:O,10,FALSE)</f>
        <v>1.1316524275978022</v>
      </c>
      <c r="AA48" s="58">
        <f>IFERROR(INDEX(TableRBCalcPts[Custom],MATCH(TableRBRanks31[[#This Row],[RK]],TableRBCalcPts[RK],0)),"")</f>
        <v>113.11824613203741</v>
      </c>
      <c r="AB48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48">
        <v>47</v>
      </c>
      <c r="AE48" t="str">
        <f>IFERROR(INDEX(TableWRCalcPts[PLAYER],MATCH(TableWRRanks32[[#This Row],[RK]],TableWRCalcPts[RK],0)),"")</f>
        <v>Adam Thielen</v>
      </c>
      <c r="AF48" t="str">
        <f>IFERROR(INDEX(TableWRCalcPts[TM],MATCH(TableWRRanks32[[#This Row],[Player]],TableWRCalcPts[PLAYER],0)),"")</f>
        <v>CAR</v>
      </c>
      <c r="AG48">
        <f>IFERROR(INDEX(TableWRCalcPts[BYE],MATCH(TableWRRanks32[[#This Row],[Player]],TableWRCalcPts[PLAYER],0)),"")</f>
        <v>7</v>
      </c>
      <c r="AH48" s="86">
        <f>VLOOKUP(TableWRRanks32[[#This Row],[Player]],WR!B:O,4,FALSE)</f>
        <v>0</v>
      </c>
      <c r="AI48" s="86">
        <f>VLOOKUP(TableWRRanks32[[#This Row],[Player]],WR!B:O,5,FALSE)</f>
        <v>0</v>
      </c>
      <c r="AJ48" s="86">
        <f>VLOOKUP(TableWRRanks32[[#This Row],[Player]],WR!B:O,6,FALSE)</f>
        <v>112.98123647999999</v>
      </c>
      <c r="AK48" s="86">
        <f>VLOOKUP(TableWRRanks32[[#This Row],[Player]],WR!B:O,7,FALSE)</f>
        <v>70.678545573413743</v>
      </c>
      <c r="AL48" s="86">
        <f>VLOOKUP(TableWRRanks32[[#This Row],[Player]],WR!B:O,8,FALSE)</f>
        <v>798.66756497957533</v>
      </c>
      <c r="AM48" s="86">
        <f>VLOOKUP(TableWRRanks32[[#This Row],[Player]],WR!B:O,9,FALSE)</f>
        <v>5.2302123724326171</v>
      </c>
      <c r="AN48" s="58">
        <f>IFERROR(INDEX(TableWRCalcPts[Custom],MATCH(TableWRRanks32[[#This Row],[RK]],TableWRCalcPts[RK],0)),"")</f>
        <v>146.5873035192601</v>
      </c>
      <c r="AO4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5.5805818657995285</v>
      </c>
      <c r="AQ48">
        <v>47</v>
      </c>
      <c r="AR48" t="str">
        <f>IFERROR(INDEX(TableTECalcPts[PLAYER],MATCH(TableTERanks33[[#This Row],[RK]],TableTECalcPts[RK],0)),"")</f>
        <v>Tucker Kraft</v>
      </c>
      <c r="AS48" t="str">
        <f>IFERROR(INDEX(TableTECalcPts[TM],MATCH(TableTERanks33[[#This Row],[Player]],TableTECalcPts[PLAYER],0)),"")</f>
        <v>GB</v>
      </c>
      <c r="AT48">
        <f>IFERROR(INDEX(TableTECalcPts[BYE],MATCH(TableTERanks33[[#This Row],[Player]],TableTECalcPts[PLAYER],0)),"")</f>
        <v>6</v>
      </c>
      <c r="AU48" s="86">
        <f>VLOOKUP(TableTERanks33[[#This Row],[Player]],TE!B:O,4,FALSE)</f>
        <v>30.875860399999997</v>
      </c>
      <c r="AV48" s="86">
        <f>VLOOKUP(TableTERanks33[[#This Row],[Player]],TE!B:O,5,FALSE)</f>
        <v>19.041281685697637</v>
      </c>
      <c r="AW48" s="86">
        <f>VLOOKUP(TableTERanks33[[#This Row],[Player]],TE!B:O,6,FALSE)</f>
        <v>181.51781277728381</v>
      </c>
      <c r="AX48" s="86">
        <f>VLOOKUP(TableTERanks33[[#This Row],[Player]],TE!B:O,7,FALSE)</f>
        <v>1.3328897179988348</v>
      </c>
      <c r="AY48" s="58">
        <f>IFERROR(INDEX(TableTECalcPts[Custom],MATCH(TableTERanks33[[#This Row],[RK]],TableTECalcPts[RK],0)),"")</f>
        <v>35.669760428570214</v>
      </c>
      <c r="AZ48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49" spans="1:52" x14ac:dyDescent="0.2">
      <c r="A49">
        <v>48</v>
      </c>
      <c r="B49" t="str">
        <f>IFERROR(INDEX(TableQBCalcPts[PLAYER],MATCH(TableQBRanks30[[#This Row],[RK]],TableQBCalcPts[RK],0)),"")</f>
        <v>Trey Lance</v>
      </c>
      <c r="C49" t="str">
        <f>IFERROR(INDEX(TableQBCalcPts[TM],MATCH(TableQBRanks30[[#This Row],[Player]],TableQBCalcPts[PLAYER],0)),"")</f>
        <v>DAL</v>
      </c>
      <c r="D49">
        <f>IFERROR(INDEX(TableQBCalcPts[BYE],MATCH(TableQBRanks30[[#This Row],[Player]],TableQBCalcPts[PLAYER],0)),"")</f>
        <v>7</v>
      </c>
      <c r="E49" s="86">
        <f>VLOOKUP(TableQBRanks30[[#This Row],[Player]],QB!B:O,4,FALSE)</f>
        <v>11.658240000000012</v>
      </c>
      <c r="F49" s="86">
        <f>VLOOKUP(TableQBRanks30[[#This Row],[Player]],QB!B:O,5,FALSE)</f>
        <v>7.1915499065010247</v>
      </c>
      <c r="G49" s="86">
        <f>VLOOKUP(TableQBRanks30[[#This Row],[Player]],QB!B:O,6,FALSE)</f>
        <v>83.421978915411884</v>
      </c>
      <c r="H49" s="86">
        <f>VLOOKUP(TableQBRanks30[[#This Row],[Player]],QB!B:O,7,FALSE)</f>
        <v>0.54080455296887708</v>
      </c>
      <c r="I49" s="86">
        <f>VLOOKUP(TableQBRanks30[[#This Row],[Player]],QB!B:O,8,FALSE)</f>
        <v>0.37396059513805324</v>
      </c>
      <c r="J49" s="86">
        <f>VLOOKUP(TableQBRanks30[[#This Row],[Player]],QB!B:O,9,FALSE)</f>
        <v>6.1279948799999993</v>
      </c>
      <c r="K49" s="86">
        <f>VLOOKUP(TableQBRanks30[[#This Row],[Player]],QB!B:O,10,FALSE)</f>
        <v>34.255491379199995</v>
      </c>
      <c r="L49" s="86">
        <f>VLOOKUP(TableQBRanks30[[#This Row],[Player]],QB!B:O,11,FALSE)</f>
        <v>0.30639974399999997</v>
      </c>
      <c r="M49" s="58">
        <f>IFERROR(INDEX(TableQBCalcPts[Custom],MATCH(TableQBRanks30[[#This Row],[RK]],TableQBCalcPts[RK],0)),"")</f>
        <v>10.390084375273929</v>
      </c>
      <c r="N49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49">
        <v>48</v>
      </c>
      <c r="Q49" t="str">
        <f>IFERROR(INDEX(TableRBCalcPts[PLAYER],MATCH(TableRBRanks31[[#This Row],[RK]],TableRBCalcPts[RK],0)),"")</f>
        <v>Tank Bigsby</v>
      </c>
      <c r="R49" t="str">
        <f>IFERROR(INDEX(TableRBCalcPts[TM],MATCH(TableRBRanks31[[#This Row],[Player]],TableRBCalcPts[PLAYER],0)),"")</f>
        <v>JAX</v>
      </c>
      <c r="S49">
        <f>IFERROR(INDEX(TableRBCalcPts[BYE],MATCH(TableRBRanks31[[#This Row],[Player]],TableRBCalcPts[PLAYER],0)),"")</f>
        <v>9</v>
      </c>
      <c r="T49" s="86">
        <f>VLOOKUP(TableRBRanks31[[#This Row],[Player]],RB!B:O,4,FALSE)</f>
        <v>131.86392940000002</v>
      </c>
      <c r="U49" s="86">
        <f>VLOOKUP(TableRBRanks31[[#This Row],[Player]],RB!B:O,5,FALSE)</f>
        <v>573.60809289000008</v>
      </c>
      <c r="V49" s="86">
        <f>VLOOKUP(TableRBRanks31[[#This Row],[Player]],RB!B:O,6,FALSE)</f>
        <v>5.0108293172000007</v>
      </c>
      <c r="W49" s="86">
        <f>VLOOKUP(TableRBRanks31[[#This Row],[Player]],RB!B:O,7,FALSE)</f>
        <v>20.397161399999998</v>
      </c>
      <c r="X49" s="86">
        <f>VLOOKUP(TableRBRanks31[[#This Row],[Player]],RB!B:O,8,FALSE)</f>
        <v>15.109531036107557</v>
      </c>
      <c r="Y49" s="86">
        <f>VLOOKUP(TableRBRanks31[[#This Row],[Player]],RB!B:O,9,FALSE)</f>
        <v>117.23737698493431</v>
      </c>
      <c r="Z49" s="86">
        <f>VLOOKUP(TableRBRanks31[[#This Row],[Player]],RB!B:O,10,FALSE)</f>
        <v>0.55905264833597956</v>
      </c>
      <c r="AA49" s="58">
        <f>IFERROR(INDEX(TableRBCalcPts[Custom],MATCH(TableRBRanks31[[#This Row],[RK]],TableRBCalcPts[RK],0)),"")</f>
        <v>110.05860429876311</v>
      </c>
      <c r="AB49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49">
        <v>48</v>
      </c>
      <c r="AE49" t="str">
        <f>IFERROR(INDEX(TableWRCalcPts[PLAYER],MATCH(TableWRRanks32[[#This Row],[RK]],TableWRCalcPts[RK],0)),"")</f>
        <v>Treylon Burks</v>
      </c>
      <c r="AF49" t="str">
        <f>IFERROR(INDEX(TableWRCalcPts[TM],MATCH(TableWRRanks32[[#This Row],[Player]],TableWRCalcPts[PLAYER],0)),"")</f>
        <v>TEN</v>
      </c>
      <c r="AG49">
        <f>IFERROR(INDEX(TableWRCalcPts[BYE],MATCH(TableWRRanks32[[#This Row],[Player]],TableWRCalcPts[PLAYER],0)),"")</f>
        <v>7</v>
      </c>
      <c r="AH49" s="86">
        <f>VLOOKUP(TableWRRanks32[[#This Row],[Player]],WR!B:O,4,FALSE)</f>
        <v>0</v>
      </c>
      <c r="AI49" s="86">
        <f>VLOOKUP(TableWRRanks32[[#This Row],[Player]],WR!B:O,5,FALSE)</f>
        <v>0</v>
      </c>
      <c r="AJ49" s="86">
        <f>VLOOKUP(TableWRRanks32[[#This Row],[Player]],WR!B:O,6,FALSE)</f>
        <v>101.82115719999997</v>
      </c>
      <c r="AK49" s="86">
        <f>VLOOKUP(TableWRRanks32[[#This Row],[Player]],WR!B:O,7,FALSE)</f>
        <v>62.053334057524253</v>
      </c>
      <c r="AL49" s="86">
        <f>VLOOKUP(TableWRRanks32[[#This Row],[Player]],WR!B:O,8,FALSE)</f>
        <v>838.34054311715261</v>
      </c>
      <c r="AM49" s="86">
        <f>VLOOKUP(TableWRRanks32[[#This Row],[Player]],WR!B:O,9,FALSE)</f>
        <v>5.2745333948895619</v>
      </c>
      <c r="AN49" s="58">
        <f>IFERROR(INDEX(TableWRCalcPts[Custom],MATCH(TableWRRanks32[[#This Row],[RK]],TableWRCalcPts[RK],0)),"")</f>
        <v>146.50792170981475</v>
      </c>
      <c r="AO4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5.5533961703704326</v>
      </c>
      <c r="AQ49">
        <v>48</v>
      </c>
      <c r="AR49" t="str">
        <f>IFERROR(INDEX(TableTECalcPts[PLAYER],MATCH(TableTERanks33[[#This Row],[RK]],TableTECalcPts[RK],0)),"")</f>
        <v>Donald Parham</v>
      </c>
      <c r="AS49" t="str">
        <f>IFERROR(INDEX(TableTECalcPts[TM],MATCH(TableTERanks33[[#This Row],[Player]],TableTECalcPts[PLAYER],0)),"")</f>
        <v>LAC</v>
      </c>
      <c r="AT49">
        <f>IFERROR(INDEX(TableTECalcPts[BYE],MATCH(TableTERanks33[[#This Row],[Player]],TableTECalcPts[PLAYER],0)),"")</f>
        <v>5</v>
      </c>
      <c r="AU49" s="86">
        <f>VLOOKUP(TableTERanks33[[#This Row],[Player]],TE!B:O,4,FALSE)</f>
        <v>23.7706056</v>
      </c>
      <c r="AV49" s="86">
        <f>VLOOKUP(TableTERanks33[[#This Row],[Player]],TE!B:O,5,FALSE)</f>
        <v>15.705785629597729</v>
      </c>
      <c r="AW49" s="86">
        <f>VLOOKUP(TableTERanks33[[#This Row],[Player]],TE!B:O,6,FALSE)</f>
        <v>166.56462687307157</v>
      </c>
      <c r="AX49" s="86">
        <f>VLOOKUP(TableTERanks33[[#This Row],[Player]],TE!B:O,7,FALSE)</f>
        <v>1.4135207066637956</v>
      </c>
      <c r="AY49" s="58">
        <f>IFERROR(INDEX(TableTECalcPts[Custom],MATCH(TableTERanks33[[#This Row],[RK]],TableTECalcPts[RK],0)),"")</f>
        <v>32.990479742088795</v>
      </c>
      <c r="AZ49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50" spans="1:52" x14ac:dyDescent="0.2">
      <c r="A50">
        <v>49</v>
      </c>
      <c r="B50" t="str">
        <f>IFERROR(INDEX(TableQBCalcPts[PLAYER],MATCH(TableQBRanks30[[#This Row],[RK]],TableQBCalcPts[RK],0)),"")</f>
        <v>Stetson Bennett</v>
      </c>
      <c r="C50" t="str">
        <f>IFERROR(INDEX(TableQBCalcPts[TM],MATCH(TableQBRanks30[[#This Row],[Player]],TableQBCalcPts[PLAYER],0)),"")</f>
        <v>LAR</v>
      </c>
      <c r="D50">
        <f>IFERROR(INDEX(TableQBCalcPts[BYE],MATCH(TableQBRanks30[[#This Row],[Player]],TableQBCalcPts[PLAYER],0)),"")</f>
        <v>10</v>
      </c>
      <c r="E50" s="86">
        <f>VLOOKUP(TableQBRanks30[[#This Row],[Player]],QB!B:O,4,FALSE)</f>
        <v>25.217280000000024</v>
      </c>
      <c r="F50" s="86">
        <f>VLOOKUP(TableQBRanks30[[#This Row],[Player]],QB!B:O,5,FALSE)</f>
        <v>15.631473331449063</v>
      </c>
      <c r="G50" s="86">
        <f>VLOOKUP(TableQBRanks30[[#This Row],[Player]],QB!B:O,6,FALSE)</f>
        <v>164.92402007411778</v>
      </c>
      <c r="H50" s="86">
        <f>VLOOKUP(TableQBRanks30[[#This Row],[Player]],QB!B:O,7,FALSE)</f>
        <v>0.8632685331305876</v>
      </c>
      <c r="I50" s="86">
        <f>VLOOKUP(TableQBRanks30[[#This Row],[Player]],QB!B:O,8,FALSE)</f>
        <v>0.65209895868144907</v>
      </c>
      <c r="J50" s="86">
        <f>VLOOKUP(TableQBRanks30[[#This Row],[Player]],QB!B:O,9,FALSE)</f>
        <v>0</v>
      </c>
      <c r="K50" s="86">
        <f>VLOOKUP(TableQBRanks30[[#This Row],[Player]],QB!B:O,10,FALSE)</f>
        <v>0</v>
      </c>
      <c r="L50" s="86">
        <f>VLOOKUP(TableQBRanks30[[#This Row],[Player]],QB!B:O,11,FALSE)</f>
        <v>0</v>
      </c>
      <c r="M50" s="58">
        <f>IFERROR(INDEX(TableQBCalcPts[Custom],MATCH(TableQBRanks30[[#This Row],[RK]],TableQBCalcPts[RK],0)),"")</f>
        <v>9.3979359768056128</v>
      </c>
      <c r="N50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50">
        <v>49</v>
      </c>
      <c r="Q50" t="str">
        <f>IFERROR(INDEX(TableRBCalcPts[PLAYER],MATCH(TableRBRanks31[[#This Row],[RK]],TableRBCalcPts[RK],0)),"")</f>
        <v>Ty Chandler</v>
      </c>
      <c r="R50" t="str">
        <f>IFERROR(INDEX(TableRBCalcPts[TM],MATCH(TableRBRanks31[[#This Row],[Player]],TableRBCalcPts[PLAYER],0)),"")</f>
        <v>MIN</v>
      </c>
      <c r="S50">
        <f>IFERROR(INDEX(TableRBCalcPts[BYE],MATCH(TableRBRanks31[[#This Row],[Player]],TableRBCalcPts[PLAYER],0)),"")</f>
        <v>13</v>
      </c>
      <c r="T50" s="86">
        <f>VLOOKUP(TableRBRanks31[[#This Row],[Player]],RB!B:O,4,FALSE)</f>
        <v>117.43598328000002</v>
      </c>
      <c r="U50" s="86">
        <f>VLOOKUP(TableRBRanks31[[#This Row],[Player]],RB!B:O,5,FALSE)</f>
        <v>484.14447840238842</v>
      </c>
      <c r="V50" s="86">
        <f>VLOOKUP(TableRBRanks31[[#This Row],[Player]],RB!B:O,6,FALSE)</f>
        <v>4.5800033479200009</v>
      </c>
      <c r="W50" s="86">
        <f>VLOOKUP(TableRBRanks31[[#This Row],[Player]],RB!B:O,7,FALSE)</f>
        <v>31.338236159999987</v>
      </c>
      <c r="X50" s="86">
        <f>VLOOKUP(TableRBRanks31[[#This Row],[Player]],RB!B:O,8,FALSE)</f>
        <v>21.372677061119994</v>
      </c>
      <c r="Y50" s="86">
        <f>VLOOKUP(TableRBRanks31[[#This Row],[Player]],RB!B:O,9,FALSE)</f>
        <v>168.20296847101434</v>
      </c>
      <c r="Z50" s="86">
        <f>VLOOKUP(TableRBRanks31[[#This Row],[Player]],RB!B:O,10,FALSE)</f>
        <v>0.6198076347724798</v>
      </c>
      <c r="AA50" s="58">
        <f>IFERROR(INDEX(TableRBCalcPts[Custom],MATCH(TableRBRanks31[[#This Row],[RK]],TableRBCalcPts[RK],0)),"")</f>
        <v>107.11994911405516</v>
      </c>
      <c r="AB50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50">
        <v>49</v>
      </c>
      <c r="AE50" t="str">
        <f>IFERROR(INDEX(TableWRCalcPts[PLAYER],MATCH(TableWRRanks32[[#This Row],[RK]],TableWRCalcPts[RK],0)),"")</f>
        <v>Quentin Johnston</v>
      </c>
      <c r="AF50" t="str">
        <f>IFERROR(INDEX(TableWRCalcPts[TM],MATCH(TableWRRanks32[[#This Row],[Player]],TableWRCalcPts[PLAYER],0)),"")</f>
        <v>LAC</v>
      </c>
      <c r="AG50">
        <f>IFERROR(INDEX(TableWRCalcPts[BYE],MATCH(TableWRRanks32[[#This Row],[Player]],TableWRCalcPts[PLAYER],0)),"")</f>
        <v>5</v>
      </c>
      <c r="AH50" s="86">
        <f>VLOOKUP(TableWRRanks32[[#This Row],[Player]],WR!B:O,4,FALSE)</f>
        <v>0</v>
      </c>
      <c r="AI50" s="86">
        <f>VLOOKUP(TableWRRanks32[[#This Row],[Player]],WR!B:O,5,FALSE)</f>
        <v>0</v>
      </c>
      <c r="AJ50" s="86">
        <f>VLOOKUP(TableWRRanks32[[#This Row],[Player]],WR!B:O,6,FALSE)</f>
        <v>99.704484600000001</v>
      </c>
      <c r="AK50" s="86">
        <f>VLOOKUP(TableWRRanks32[[#This Row],[Player]],WR!B:O,7,FALSE)</f>
        <v>59.4238728216</v>
      </c>
      <c r="AL50" s="86">
        <f>VLOOKUP(TableWRRanks32[[#This Row],[Player]],WR!B:O,8,FALSE)</f>
        <v>834.31117441526396</v>
      </c>
      <c r="AM50" s="86">
        <f>VLOOKUP(TableWRRanks32[[#This Row],[Player]],WR!B:O,9,FALSE)</f>
        <v>5.5264201724088</v>
      </c>
      <c r="AN50" s="58">
        <f>IFERROR(INDEX(TableWRCalcPts[Custom],MATCH(TableWRRanks32[[#This Row],[RK]],TableWRCalcPts[RK],0)),"")</f>
        <v>146.30157488677921</v>
      </c>
      <c r="AO5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5.4827290751882813</v>
      </c>
      <c r="AQ50">
        <v>49</v>
      </c>
      <c r="AR50" t="str">
        <f>IFERROR(INDEX(TableTECalcPts[PLAYER],MATCH(TableTERanks33[[#This Row],[RK]],TableTECalcPts[RK],0)),"")</f>
        <v>Julian Hill</v>
      </c>
      <c r="AS50" t="str">
        <f>IFERROR(INDEX(TableTECalcPts[TM],MATCH(TableTERanks33[[#This Row],[Player]],TableTECalcPts[PLAYER],0)),"")</f>
        <v>MIA</v>
      </c>
      <c r="AT50">
        <f>IFERROR(INDEX(TableTECalcPts[BYE],MATCH(TableTERanks33[[#This Row],[Player]],TableTECalcPts[PLAYER],0)),"")</f>
        <v>10</v>
      </c>
      <c r="AU50" s="86">
        <f>VLOOKUP(TableTERanks33[[#This Row],[Player]],TE!B:O,4,FALSE)</f>
        <v>23.485578480000004</v>
      </c>
      <c r="AV50" s="86">
        <f>VLOOKUP(TableTERanks33[[#This Row],[Player]],TE!B:O,5,FALSE)</f>
        <v>15.476996218320004</v>
      </c>
      <c r="AW50" s="86">
        <f>VLOOKUP(TableTERanks33[[#This Row],[Player]],TE!B:O,6,FALSE)</f>
        <v>150.90071312862003</v>
      </c>
      <c r="AX50" s="86">
        <f>VLOOKUP(TableTERanks33[[#This Row],[Player]],TE!B:O,7,FALSE)</f>
        <v>1.4509683954675003</v>
      </c>
      <c r="AY50" s="58">
        <f>IFERROR(INDEX(TableTECalcPts[Custom],MATCH(TableTERanks33[[#This Row],[RK]],TableTECalcPts[RK],0)),"")</f>
        <v>31.534379794827011</v>
      </c>
      <c r="AZ50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51" spans="1:52" x14ac:dyDescent="0.2">
      <c r="A51">
        <v>50</v>
      </c>
      <c r="B51" t="str">
        <f>IFERROR(INDEX(TableQBCalcPts[PLAYER],MATCH(TableQBRanks30[[#This Row],[RK]],TableQBCalcPts[RK],0)),"")</f>
        <v>Marcus Mariota</v>
      </c>
      <c r="C51" t="str">
        <f>IFERROR(INDEX(TableQBCalcPts[TM],MATCH(TableQBRanks30[[#This Row],[Player]],TableQBCalcPts[PLAYER],0)),"")</f>
        <v>PHI</v>
      </c>
      <c r="D51">
        <f>IFERROR(INDEX(TableQBCalcPts[BYE],MATCH(TableQBRanks30[[#This Row],[Player]],TableQBCalcPts[PLAYER],0)),"")</f>
        <v>10</v>
      </c>
      <c r="E51" s="86">
        <f>VLOOKUP(TableQBRanks30[[#This Row],[Player]],QB!B:O,4,FALSE)</f>
        <v>11.071560000000009</v>
      </c>
      <c r="F51" s="86">
        <f>VLOOKUP(TableQBRanks30[[#This Row],[Player]],QB!B:O,5,FALSE)</f>
        <v>6.9721146541113743</v>
      </c>
      <c r="G51" s="86">
        <f>VLOOKUP(TableQBRanks30[[#This Row],[Player]],QB!B:O,6,FALSE)</f>
        <v>81.234604014411815</v>
      </c>
      <c r="H51" s="86">
        <f>VLOOKUP(TableQBRanks30[[#This Row],[Player]],QB!B:O,7,FALSE)</f>
        <v>0.47588012165131033</v>
      </c>
      <c r="I51" s="86">
        <f>VLOOKUP(TableQBRanks30[[#This Row],[Player]],QB!B:O,8,FALSE)</f>
        <v>0.25925360145077642</v>
      </c>
      <c r="J51" s="86">
        <f>VLOOKUP(TableQBRanks30[[#This Row],[Player]],QB!B:O,9,FALSE)</f>
        <v>5.1295356000000005</v>
      </c>
      <c r="K51" s="86">
        <f>VLOOKUP(TableQBRanks30[[#This Row],[Player]],QB!B:O,10,FALSE)</f>
        <v>24.319219479754647</v>
      </c>
      <c r="L51" s="86">
        <f>VLOOKUP(TableQBRanks30[[#This Row],[Player]],QB!B:O,11,FALSE)</f>
        <v>0.24299287419884444</v>
      </c>
      <c r="M51" s="58">
        <f>IFERROR(INDEX(TableQBCalcPts[Custom],MATCH(TableQBRanks30[[#This Row],[RK]],TableQBCalcPts[RK],0)),"")</f>
        <v>8.783530238899468</v>
      </c>
      <c r="N51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51">
        <v>50</v>
      </c>
      <c r="Q51" t="str">
        <f>IFERROR(INDEX(TableRBCalcPts[PLAYER],MATCH(TableRBRanks31[[#This Row],[RK]],TableRBCalcPts[RK],0)),"")</f>
        <v>Damien Harris</v>
      </c>
      <c r="R51" t="str">
        <f>IFERROR(INDEX(TableRBCalcPts[TM],MATCH(TableRBRanks31[[#This Row],[Player]],TableRBCalcPts[PLAYER],0)),"")</f>
        <v>BUF</v>
      </c>
      <c r="S51">
        <f>IFERROR(INDEX(TableRBCalcPts[BYE],MATCH(TableRBRanks31[[#This Row],[Player]],TableRBCalcPts[PLAYER],0)),"")</f>
        <v>13</v>
      </c>
      <c r="T51" s="86">
        <f>VLOOKUP(TableRBRanks31[[#This Row],[Player]],RB!B:O,4,FALSE)</f>
        <v>116.56953000000001</v>
      </c>
      <c r="U51" s="86">
        <f>VLOOKUP(TableRBRanks31[[#This Row],[Player]],RB!B:O,5,FALSE)</f>
        <v>527.97929001540706</v>
      </c>
      <c r="V51" s="86">
        <f>VLOOKUP(TableRBRanks31[[#This Row],[Player]],RB!B:O,6,FALSE)</f>
        <v>7.1107413300000006</v>
      </c>
      <c r="W51" s="86">
        <f>VLOOKUP(TableRBRanks31[[#This Row],[Player]],RB!B:O,7,FALSE)</f>
        <v>10.262559999999999</v>
      </c>
      <c r="X51" s="86">
        <f>VLOOKUP(TableRBRanks31[[#This Row],[Player]],RB!B:O,8,FALSE)</f>
        <v>7.3669138818888671</v>
      </c>
      <c r="Y51" s="86">
        <f>VLOOKUP(TableRBRanks31[[#This Row],[Player]],RB!B:O,9,FALSE)</f>
        <v>51.875474703584288</v>
      </c>
      <c r="Z51" s="86">
        <f>VLOOKUP(TableRBRanks31[[#This Row],[Player]],RB!B:O,10,FALSE)</f>
        <v>0.19153976092911054</v>
      </c>
      <c r="AA51" s="58">
        <f>IFERROR(INDEX(TableRBCalcPts[Custom],MATCH(TableRBRanks31[[#This Row],[RK]],TableRBCalcPts[RK],0)),"")</f>
        <v>105.48261995841824</v>
      </c>
      <c r="AB51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51">
        <v>50</v>
      </c>
      <c r="AE51" t="str">
        <f>IFERROR(INDEX(TableWRCalcPts[PLAYER],MATCH(TableWRRanks32[[#This Row],[RK]],TableWRCalcPts[RK],0)),"")</f>
        <v>Diontae Johnson</v>
      </c>
      <c r="AF51" t="str">
        <f>IFERROR(INDEX(TableWRCalcPts[TM],MATCH(TableWRRanks32[[#This Row],[Player]],TableWRCalcPts[PLAYER],0)),"")</f>
        <v>PIT</v>
      </c>
      <c r="AG51">
        <f>IFERROR(INDEX(TableWRCalcPts[BYE],MATCH(TableWRRanks32[[#This Row],[Player]],TableWRCalcPts[PLAYER],0)),"")</f>
        <v>6</v>
      </c>
      <c r="AH51" s="86">
        <f>VLOOKUP(TableWRRanks32[[#This Row],[Player]],WR!B:O,4,FALSE)</f>
        <v>0</v>
      </c>
      <c r="AI51" s="86">
        <f>VLOOKUP(TableWRRanks32[[#This Row],[Player]],WR!B:O,5,FALSE)</f>
        <v>0</v>
      </c>
      <c r="AJ51" s="86">
        <f>VLOOKUP(TableWRRanks32[[#This Row],[Player]],WR!B:O,6,FALSE)</f>
        <v>127.55370810000001</v>
      </c>
      <c r="AK51" s="86">
        <f>VLOOKUP(TableWRRanks32[[#This Row],[Player]],WR!B:O,7,FALSE)</f>
        <v>76.659778568100009</v>
      </c>
      <c r="AL51" s="86">
        <f>VLOOKUP(TableWRRanks32[[#This Row],[Player]],WR!B:O,8,FALSE)</f>
        <v>826.66403039640761</v>
      </c>
      <c r="AM51" s="86">
        <f>VLOOKUP(TableWRRanks32[[#This Row],[Player]],WR!B:O,9,FALSE)</f>
        <v>3.9863084855412003</v>
      </c>
      <c r="AN51" s="58">
        <f>IFERROR(INDEX(TableWRCalcPts[Custom],MATCH(TableWRRanks32[[#This Row],[RK]],TableWRCalcPts[RK],0)),"")</f>
        <v>144.91414323693797</v>
      </c>
      <c r="AO5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5.0075787287195617</v>
      </c>
      <c r="AQ51">
        <v>50</v>
      </c>
      <c r="AR51" t="str">
        <f>IFERROR(INDEX(TableTECalcPts[PLAYER],MATCH(TableTERanks33[[#This Row],[RK]],TableTECalcPts[RK],0)),"")</f>
        <v>Luke Schoonmaker</v>
      </c>
      <c r="AS51" t="str">
        <f>IFERROR(INDEX(TableTECalcPts[TM],MATCH(TableTERanks33[[#This Row],[Player]],TableTECalcPts[PLAYER],0)),"")</f>
        <v>DAL</v>
      </c>
      <c r="AT51">
        <f>IFERROR(INDEX(TableTECalcPts[BYE],MATCH(TableTERanks33[[#This Row],[Player]],TableTECalcPts[PLAYER],0)),"")</f>
        <v>7</v>
      </c>
      <c r="AU51" s="86">
        <f>VLOOKUP(TableTERanks33[[#This Row],[Player]],TE!B:O,4,FALSE)</f>
        <v>22.278896639999999</v>
      </c>
      <c r="AV51" s="86">
        <f>VLOOKUP(TableTERanks33[[#This Row],[Player]],TE!B:O,5,FALSE)</f>
        <v>14.600840272126336</v>
      </c>
      <c r="AW51" s="86">
        <f>VLOOKUP(TableTERanks33[[#This Row],[Player]],TE!B:O,6,FALSE)</f>
        <v>150.9726884137863</v>
      </c>
      <c r="AX51" s="86">
        <f>VLOOKUP(TableTERanks33[[#This Row],[Player]],TE!B:O,7,FALSE)</f>
        <v>1.4454831869405074</v>
      </c>
      <c r="AY51" s="58">
        <f>IFERROR(INDEX(TableTECalcPts[Custom],MATCH(TableTERanks33[[#This Row],[RK]],TableTECalcPts[RK],0)),"")</f>
        <v>31.070588099084844</v>
      </c>
      <c r="AZ51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52" spans="1:52" x14ac:dyDescent="0.2">
      <c r="A52">
        <v>51</v>
      </c>
      <c r="B52" t="str">
        <f>IFERROR(INDEX(TableQBCalcPts[PLAYER],MATCH(TableQBRanks30[[#This Row],[RK]],TableQBCalcPts[RK],0)),"")</f>
        <v>Nick Mullens</v>
      </c>
      <c r="C52" t="str">
        <f>IFERROR(INDEX(TableQBCalcPts[TM],MATCH(TableQBRanks30[[#This Row],[Player]],TableQBCalcPts[PLAYER],0)),"")</f>
        <v>MIN</v>
      </c>
      <c r="D52">
        <f>IFERROR(INDEX(TableQBCalcPts[BYE],MATCH(TableQBRanks30[[#This Row],[Player]],TableQBCalcPts[PLAYER],0)),"")</f>
        <v>13</v>
      </c>
      <c r="E52" s="86">
        <f>VLOOKUP(TableQBRanks30[[#This Row],[Player]],QB!B:O,4,FALSE)</f>
        <v>19.986120000000017</v>
      </c>
      <c r="F52" s="86">
        <f>VLOOKUP(TableQBRanks30[[#This Row],[Player]],QB!B:O,5,FALSE)</f>
        <v>12.591255600000011</v>
      </c>
      <c r="G52" s="86">
        <f>VLOOKUP(TableQBRanks30[[#This Row],[Player]],QB!B:O,6,FALSE)</f>
        <v>133.46730936000012</v>
      </c>
      <c r="H52" s="86">
        <f>VLOOKUP(TableQBRanks30[[#This Row],[Player]],QB!B:O,7,FALSE)</f>
        <v>0.73029282480000068</v>
      </c>
      <c r="I52" s="86">
        <f>VLOOKUP(TableQBRanks30[[#This Row],[Player]],QB!B:O,8,FALSE)</f>
        <v>0.3777376680000003</v>
      </c>
      <c r="J52" s="86">
        <f>VLOOKUP(TableQBRanks30[[#This Row],[Player]],QB!B:O,9,FALSE)</f>
        <v>0</v>
      </c>
      <c r="K52" s="86">
        <f>VLOOKUP(TableQBRanks30[[#This Row],[Player]],QB!B:O,10,FALSE)</f>
        <v>0</v>
      </c>
      <c r="L52" s="86">
        <f>VLOOKUP(TableQBRanks30[[#This Row],[Player]],QB!B:O,11,FALSE)</f>
        <v>0</v>
      </c>
      <c r="M52" s="58">
        <f>IFERROR(INDEX(TableQBCalcPts[Custom],MATCH(TableQBRanks30[[#This Row],[RK]],TableQBCalcPts[RK],0)),"")</f>
        <v>7.8821260056000071</v>
      </c>
      <c r="N52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52">
        <v>51</v>
      </c>
      <c r="Q52" t="str">
        <f>IFERROR(INDEX(TableRBCalcPts[PLAYER],MATCH(TableRBRanks31[[#This Row],[RK]],TableRBCalcPts[RK],0)),"")</f>
        <v>Elijah Mitchell</v>
      </c>
      <c r="R52" t="str">
        <f>IFERROR(INDEX(TableRBCalcPts[TM],MATCH(TableRBRanks31[[#This Row],[Player]],TableRBCalcPts[PLAYER],0)),"")</f>
        <v>SF</v>
      </c>
      <c r="S52">
        <f>IFERROR(INDEX(TableRBCalcPts[BYE],MATCH(TableRBRanks31[[#This Row],[Player]],TableRBCalcPts[PLAYER],0)),"")</f>
        <v>9</v>
      </c>
      <c r="T52" s="86">
        <f>VLOOKUP(TableRBRanks31[[#This Row],[Player]],RB!B:O,4,FALSE)</f>
        <v>114.90796352</v>
      </c>
      <c r="U52" s="86">
        <f>VLOOKUP(TableRBRanks31[[#This Row],[Player]],RB!B:O,5,FALSE)</f>
        <v>523.98031365119994</v>
      </c>
      <c r="V52" s="86">
        <f>VLOOKUP(TableRBRanks31[[#This Row],[Player]],RB!B:O,6,FALSE)</f>
        <v>5.2857663219199997</v>
      </c>
      <c r="W52" s="86">
        <f>VLOOKUP(TableRBRanks31[[#This Row],[Player]],RB!B:O,7,FALSE)</f>
        <v>19.05640674</v>
      </c>
      <c r="X52" s="86">
        <f>VLOOKUP(TableRBRanks31[[#This Row],[Player]],RB!B:O,8,FALSE)</f>
        <v>13.56816159888</v>
      </c>
      <c r="Y52" s="86">
        <f>VLOOKUP(TableRBRanks31[[#This Row],[Player]],RB!B:O,9,FALSE)</f>
        <v>105.2889340073088</v>
      </c>
      <c r="Z52" s="86">
        <f>VLOOKUP(TableRBRanks31[[#This Row],[Player]],RB!B:O,10,FALSE)</f>
        <v>0.52915830235632</v>
      </c>
      <c r="AA52" s="58">
        <f>IFERROR(INDEX(TableRBCalcPts[Custom],MATCH(TableRBRanks31[[#This Row],[RK]],TableRBCalcPts[RK],0)),"")</f>
        <v>104.6005533109488</v>
      </c>
      <c r="AB52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52">
        <v>51</v>
      </c>
      <c r="AE52" t="str">
        <f>IFERROR(INDEX(TableWRCalcPts[PLAYER],MATCH(TableWRRanks32[[#This Row],[RK]],TableWRCalcPts[RK],0)),"")</f>
        <v>Jakobi Meyers</v>
      </c>
      <c r="AF52" t="str">
        <f>IFERROR(INDEX(TableWRCalcPts[TM],MATCH(TableWRRanks32[[#This Row],[Player]],TableWRCalcPts[PLAYER],0)),"")</f>
        <v>LV</v>
      </c>
      <c r="AG52">
        <f>IFERROR(INDEX(TableWRCalcPts[BYE],MATCH(TableWRRanks32[[#This Row],[Player]],TableWRCalcPts[PLAYER],0)),"")</f>
        <v>13</v>
      </c>
      <c r="AH52" s="86">
        <f>VLOOKUP(TableWRRanks32[[#This Row],[Player]],WR!B:O,4,FALSE)</f>
        <v>0</v>
      </c>
      <c r="AI52" s="86">
        <f>VLOOKUP(TableWRRanks32[[#This Row],[Player]],WR!B:O,5,FALSE)</f>
        <v>0</v>
      </c>
      <c r="AJ52" s="86">
        <f>VLOOKUP(TableWRRanks32[[#This Row],[Player]],WR!B:O,6,FALSE)</f>
        <v>111.01381199999999</v>
      </c>
      <c r="AK52" s="86">
        <f>VLOOKUP(TableWRRanks32[[#This Row],[Player]],WR!B:O,7,FALSE)</f>
        <v>73.460912239923474</v>
      </c>
      <c r="AL52" s="86">
        <f>VLOOKUP(TableWRRanks32[[#This Row],[Player]],WR!B:O,8,FALSE)</f>
        <v>859.49267320710464</v>
      </c>
      <c r="AM52" s="86">
        <f>VLOOKUP(TableWRRanks32[[#This Row],[Player]],WR!B:O,9,FALSE)</f>
        <v>3.6730456119961739</v>
      </c>
      <c r="AN52" s="58">
        <f>IFERROR(INDEX(TableWRCalcPts[Custom],MATCH(TableWRRanks32[[#This Row],[RK]],TableWRCalcPts[RK],0)),"")</f>
        <v>144.71799711264924</v>
      </c>
      <c r="AO5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4.9404050420554642</v>
      </c>
      <c r="AQ52">
        <v>51</v>
      </c>
      <c r="AR52" t="str">
        <f>IFERROR(INDEX(TableTECalcPts[PLAYER],MATCH(TableTERanks33[[#This Row],[RK]],TableTECalcPts[RK],0)),"")</f>
        <v>Trevon Wesco</v>
      </c>
      <c r="AS52" t="str">
        <f>IFERROR(INDEX(TableTECalcPts[TM],MATCH(TableTERanks33[[#This Row],[Player]],TableTECalcPts[PLAYER],0)),"")</f>
        <v>TEN</v>
      </c>
      <c r="AT52">
        <f>IFERROR(INDEX(TableTECalcPts[BYE],MATCH(TableTERanks33[[#This Row],[Player]],TableTECalcPts[PLAYER],0)),"")</f>
        <v>7</v>
      </c>
      <c r="AU52" s="86">
        <f>VLOOKUP(TableTERanks33[[#This Row],[Player]],TE!B:O,4,FALSE)</f>
        <v>27.621696899999996</v>
      </c>
      <c r="AV52" s="86">
        <f>VLOOKUP(TableTERanks33[[#This Row],[Player]],TE!B:O,5,FALSE)</f>
        <v>17.788372803599998</v>
      </c>
      <c r="AW52" s="86">
        <f>VLOOKUP(TableTERanks33[[#This Row],[Player]],TE!B:O,6,FALSE)</f>
        <v>174.32605347527999</v>
      </c>
      <c r="AX52" s="86">
        <f>VLOOKUP(TableTERanks33[[#This Row],[Player]],TE!B:O,7,FALSE)</f>
        <v>0.71153491214399989</v>
      </c>
      <c r="AY52" s="58">
        <f>IFERROR(INDEX(TableTECalcPts[Custom],MATCH(TableTERanks33[[#This Row],[RK]],TableTECalcPts[RK],0)),"")</f>
        <v>30.596001222191997</v>
      </c>
      <c r="AZ52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53" spans="1:52" x14ac:dyDescent="0.2">
      <c r="A53">
        <v>52</v>
      </c>
      <c r="B53" t="str">
        <f>IFERROR(INDEX(TableQBCalcPts[PLAYER],MATCH(TableQBRanks30[[#This Row],[RK]],TableQBCalcPts[RK],0)),"")</f>
        <v>Jameis Winston</v>
      </c>
      <c r="C53" t="str">
        <f>IFERROR(INDEX(TableQBCalcPts[TM],MATCH(TableQBRanks30[[#This Row],[Player]],TableQBCalcPts[PLAYER],0)),"")</f>
        <v>NO</v>
      </c>
      <c r="D53">
        <f>IFERROR(INDEX(TableQBCalcPts[BYE],MATCH(TableQBRanks30[[#This Row],[Player]],TableQBCalcPts[PLAYER],0)),"")</f>
        <v>11</v>
      </c>
      <c r="E53" s="86">
        <f>VLOOKUP(TableQBRanks30[[#This Row],[Player]],QB!B:O,4,FALSE)</f>
        <v>16.543800000000029</v>
      </c>
      <c r="F53" s="86">
        <f>VLOOKUP(TableQBRanks30[[#This Row],[Player]],QB!B:O,5,FALSE)</f>
        <v>10.406050200000019</v>
      </c>
      <c r="G53" s="86">
        <f>VLOOKUP(TableQBRanks30[[#This Row],[Player]],QB!B:O,6,FALSE)</f>
        <v>112.1772211560002</v>
      </c>
      <c r="H53" s="86">
        <f>VLOOKUP(TableQBRanks30[[#This Row],[Player]],QB!B:O,7,FALSE)</f>
        <v>0.63476906220000118</v>
      </c>
      <c r="I53" s="86">
        <f>VLOOKUP(TableQBRanks30[[#This Row],[Player]],QB!B:O,8,FALSE)</f>
        <v>0.44746015860000077</v>
      </c>
      <c r="J53" s="86">
        <f>VLOOKUP(TableQBRanks30[[#This Row],[Player]],QB!B:O,9,FALSE)</f>
        <v>2.2468459999999997</v>
      </c>
      <c r="K53" s="86">
        <f>VLOOKUP(TableQBRanks30[[#This Row],[Player]],QB!B:O,10,FALSE)</f>
        <v>8.5380147999999991</v>
      </c>
      <c r="L53" s="86">
        <f>VLOOKUP(TableQBRanks30[[#This Row],[Player]],QB!B:O,11,FALSE)</f>
        <v>6.7405379999999987E-2</v>
      </c>
      <c r="M53" s="58">
        <f>IFERROR(INDEX(TableQBCalcPts[Custom],MATCH(TableQBRanks30[[#This Row],[RK]],TableQBCalcPts[RK],0)),"")</f>
        <v>7.8369386964400114</v>
      </c>
      <c r="N53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53">
        <v>52</v>
      </c>
      <c r="Q53" t="str">
        <f>IFERROR(INDEX(TableRBCalcPts[PLAYER],MATCH(TableRBRanks31[[#This Row],[RK]],TableRBCalcPts[RK],0)),"")</f>
        <v>Kyren Williams</v>
      </c>
      <c r="R53" t="str">
        <f>IFERROR(INDEX(TableRBCalcPts[TM],MATCH(TableRBRanks31[[#This Row],[Player]],TableRBCalcPts[PLAYER],0)),"")</f>
        <v>LAR</v>
      </c>
      <c r="S53">
        <f>IFERROR(INDEX(TableRBCalcPts[BYE],MATCH(TableRBRanks31[[#This Row],[Player]],TableRBCalcPts[PLAYER],0)),"")</f>
        <v>10</v>
      </c>
      <c r="T53" s="86">
        <f>VLOOKUP(TableRBRanks31[[#This Row],[Player]],RB!B:O,4,FALSE)</f>
        <v>117.19291584000001</v>
      </c>
      <c r="U53" s="86">
        <f>VLOOKUP(TableRBRanks31[[#This Row],[Player]],RB!B:O,5,FALSE)</f>
        <v>480.49095494400001</v>
      </c>
      <c r="V53" s="86">
        <f>VLOOKUP(TableRBRanks31[[#This Row],[Player]],RB!B:O,6,FALSE)</f>
        <v>3.6329803910400003</v>
      </c>
      <c r="W53" s="86">
        <f>VLOOKUP(TableRBRanks31[[#This Row],[Player]],RB!B:O,7,FALSE)</f>
        <v>30.273344640000001</v>
      </c>
      <c r="X53" s="86">
        <f>VLOOKUP(TableRBRanks31[[#This Row],[Player]],RB!B:O,8,FALSE)</f>
        <v>21.818445873841096</v>
      </c>
      <c r="Y53" s="86">
        <f>VLOOKUP(TableRBRanks31[[#This Row],[Player]],RB!B:O,9,FALSE)</f>
        <v>169.3111399810069</v>
      </c>
      <c r="Z53" s="86">
        <f>VLOOKUP(TableRBRanks31[[#This Row],[Player]],RB!B:O,10,FALSE)</f>
        <v>0.67637182208907398</v>
      </c>
      <c r="AA53" s="58">
        <f>IFERROR(INDEX(TableRBCalcPts[Custom],MATCH(TableRBRanks31[[#This Row],[RK]],TableRBCalcPts[RK],0)),"")</f>
        <v>101.74554570819568</v>
      </c>
      <c r="AB53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53">
        <v>52</v>
      </c>
      <c r="AE53" t="str">
        <f>IFERROR(INDEX(TableWRCalcPts[PLAYER],MATCH(TableWRRanks32[[#This Row],[RK]],TableWRCalcPts[RK],0)),"")</f>
        <v>Tyler Boyd</v>
      </c>
      <c r="AF53" t="str">
        <f>IFERROR(INDEX(TableWRCalcPts[TM],MATCH(TableWRRanks32[[#This Row],[Player]],TableWRCalcPts[PLAYER],0)),"")</f>
        <v>CIN</v>
      </c>
      <c r="AG53">
        <f>IFERROR(INDEX(TableWRCalcPts[BYE],MATCH(TableWRRanks32[[#This Row],[Player]],TableWRCalcPts[PLAYER],0)),"")</f>
        <v>7</v>
      </c>
      <c r="AH53" s="86">
        <f>VLOOKUP(TableWRRanks32[[#This Row],[Player]],WR!B:O,4,FALSE)</f>
        <v>0</v>
      </c>
      <c r="AI53" s="86">
        <f>VLOOKUP(TableWRRanks32[[#This Row],[Player]],WR!B:O,5,FALSE)</f>
        <v>0</v>
      </c>
      <c r="AJ53" s="86">
        <f>VLOOKUP(TableWRRanks32[[#This Row],[Player]],WR!B:O,6,FALSE)</f>
        <v>93.54494351999999</v>
      </c>
      <c r="AK53" s="86">
        <f>VLOOKUP(TableWRRanks32[[#This Row],[Player]],WR!B:O,7,FALSE)</f>
        <v>64.193321721423047</v>
      </c>
      <c r="AL53" s="86">
        <f>VLOOKUP(TableWRRanks32[[#This Row],[Player]],WR!B:O,8,FALSE)</f>
        <v>763.05664386733645</v>
      </c>
      <c r="AM53" s="86">
        <f>VLOOKUP(TableWRRanks32[[#This Row],[Player]],WR!B:O,9,FALSE)</f>
        <v>5.1354657377138437</v>
      </c>
      <c r="AN53" s="58">
        <f>IFERROR(INDEX(TableWRCalcPts[Custom],MATCH(TableWRRanks32[[#This Row],[RK]],TableWRCalcPts[RK],0)),"")</f>
        <v>139.21511967372822</v>
      </c>
      <c r="AO5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3.055847974341583</v>
      </c>
      <c r="AQ53">
        <v>52</v>
      </c>
      <c r="AR53" t="str">
        <f>IFERROR(INDEX(TableTECalcPts[PLAYER],MATCH(TableTERanks33[[#This Row],[RK]],TableTECalcPts[RK],0)),"")</f>
        <v>James Mitchell</v>
      </c>
      <c r="AS53" t="str">
        <f>IFERROR(INDEX(TableTECalcPts[TM],MATCH(TableTERanks33[[#This Row],[Player]],TableTECalcPts[PLAYER],0)),"")</f>
        <v>DET</v>
      </c>
      <c r="AT53">
        <f>IFERROR(INDEX(TableTECalcPts[BYE],MATCH(TableTERanks33[[#This Row],[Player]],TableTECalcPts[PLAYER],0)),"")</f>
        <v>9</v>
      </c>
      <c r="AU53" s="86">
        <f>VLOOKUP(TableTERanks33[[#This Row],[Player]],TE!B:O,4,FALSE)</f>
        <v>20.585419399999999</v>
      </c>
      <c r="AV53" s="86">
        <f>VLOOKUP(TableTERanks33[[#This Row],[Player]],TE!B:O,5,FALSE)</f>
        <v>13.491376042674338</v>
      </c>
      <c r="AW53" s="86">
        <f>VLOOKUP(TableTERanks33[[#This Row],[Player]],TE!B:O,6,FALSE)</f>
        <v>150.15028437719059</v>
      </c>
      <c r="AX53" s="86">
        <f>VLOOKUP(TableTERanks33[[#This Row],[Player]],TE!B:O,7,FALSE)</f>
        <v>1.1467669636273188</v>
      </c>
      <c r="AY53" s="58">
        <f>IFERROR(INDEX(TableTECalcPts[Custom],MATCH(TableTERanks33[[#This Row],[RK]],TableTECalcPts[RK],0)),"")</f>
        <v>28.641318240820141</v>
      </c>
      <c r="AZ53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54" spans="1:52" x14ac:dyDescent="0.2">
      <c r="A54">
        <v>53</v>
      </c>
      <c r="B54" t="str">
        <f>IFERROR(INDEX(TableQBCalcPts[PLAYER],MATCH(TableQBRanks30[[#This Row],[RK]],TableQBCalcPts[RK],0)),"")</f>
        <v>Tyler Huntley</v>
      </c>
      <c r="C54" t="str">
        <f>IFERROR(INDEX(TableQBCalcPts[TM],MATCH(TableQBRanks30[[#This Row],[Player]],TableQBCalcPts[PLAYER],0)),"")</f>
        <v>BAL</v>
      </c>
      <c r="D54">
        <f>IFERROR(INDEX(TableQBCalcPts[BYE],MATCH(TableQBRanks30[[#This Row],[Player]],TableQBCalcPts[PLAYER],0)),"")</f>
        <v>13</v>
      </c>
      <c r="E54" s="86">
        <f>VLOOKUP(TableQBRanks30[[#This Row],[Player]],QB!B:O,4,FALSE)</f>
        <v>16.365960000000015</v>
      </c>
      <c r="F54" s="86">
        <f>VLOOKUP(TableQBRanks30[[#This Row],[Player]],QB!B:O,5,FALSE)</f>
        <v>10.398105236053643</v>
      </c>
      <c r="G54" s="86">
        <f>VLOOKUP(TableQBRanks30[[#This Row],[Player]],QB!B:O,6,FALSE)</f>
        <v>102.94124183693107</v>
      </c>
      <c r="H54" s="86">
        <f>VLOOKUP(TableQBRanks30[[#This Row],[Player]],QB!B:O,7,FALSE)</f>
        <v>0.41758955373935536</v>
      </c>
      <c r="I54" s="86">
        <f>VLOOKUP(TableQBRanks30[[#This Row],[Player]],QB!B:O,8,FALSE)</f>
        <v>0.40800681600587857</v>
      </c>
      <c r="J54" s="86">
        <f>VLOOKUP(TableQBRanks30[[#This Row],[Player]],QB!B:O,9,FALSE)</f>
        <v>5.1985863999999991</v>
      </c>
      <c r="K54" s="86">
        <f>VLOOKUP(TableQBRanks30[[#This Row],[Player]],QB!B:O,10,FALSE)</f>
        <v>16.635476479999998</v>
      </c>
      <c r="L54" s="86">
        <f>VLOOKUP(TableQBRanks30[[#This Row],[Player]],QB!B:O,11,FALSE)</f>
        <v>9.6187449795777188E-2</v>
      </c>
      <c r="M54" s="58">
        <f>IFERROR(INDEX(TableQBCalcPts[Custom],MATCH(TableQBRanks30[[#This Row],[RK]],TableQBCalcPts[RK],0)),"")</f>
        <v>7.6206734192034498</v>
      </c>
      <c r="N54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54">
        <v>53</v>
      </c>
      <c r="Q54" t="str">
        <f>IFERROR(INDEX(TableRBCalcPts[PLAYER],MATCH(TableRBRanks31[[#This Row],[RK]],TableRBCalcPts[RK],0)),"")</f>
        <v>Kenneth Gainwell</v>
      </c>
      <c r="R54" t="str">
        <f>IFERROR(INDEX(TableRBCalcPts[TM],MATCH(TableRBRanks31[[#This Row],[Player]],TableRBCalcPts[PLAYER],0)),"")</f>
        <v>PHI</v>
      </c>
      <c r="S54">
        <f>IFERROR(INDEX(TableRBCalcPts[BYE],MATCH(TableRBRanks31[[#This Row],[Player]],TableRBCalcPts[PLAYER],0)),"")</f>
        <v>10</v>
      </c>
      <c r="T54" s="86">
        <f>VLOOKUP(TableRBRanks31[[#This Row],[Player]],RB!B:O,4,FALSE)</f>
        <v>100.53889776000001</v>
      </c>
      <c r="U54" s="86">
        <f>VLOOKUP(TableRBRanks31[[#This Row],[Player]],RB!B:O,5,FALSE)</f>
        <v>457.45198480800002</v>
      </c>
      <c r="V54" s="86">
        <f>VLOOKUP(TableRBRanks31[[#This Row],[Player]],RB!B:O,6,FALSE)</f>
        <v>3.8204781148800002</v>
      </c>
      <c r="W54" s="86">
        <f>VLOOKUP(TableRBRanks31[[#This Row],[Player]],RB!B:O,7,FALSE)</f>
        <v>28.752841319999998</v>
      </c>
      <c r="X54" s="86">
        <f>VLOOKUP(TableRBRanks31[[#This Row],[Player]],RB!B:O,8,FALSE)</f>
        <v>21.277102576799997</v>
      </c>
      <c r="Y54" s="86">
        <f>VLOOKUP(TableRBRanks31[[#This Row],[Player]],RB!B:O,9,FALSE)</f>
        <v>159.57826932599997</v>
      </c>
      <c r="Z54" s="86">
        <f>VLOOKUP(TableRBRanks31[[#This Row],[Player]],RB!B:O,10,FALSE)</f>
        <v>1.0000238211096</v>
      </c>
      <c r="AA54" s="58">
        <f>IFERROR(INDEX(TableRBCalcPts[Custom],MATCH(TableRBRanks31[[#This Row],[RK]],TableRBCalcPts[RK],0)),"")</f>
        <v>101.2645883177376</v>
      </c>
      <c r="AB54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54">
        <v>53</v>
      </c>
      <c r="AE54" t="str">
        <f>IFERROR(INDEX(TableWRCalcPts[PLAYER],MATCH(TableWRRanks32[[#This Row],[RK]],TableWRCalcPts[RK],0)),"")</f>
        <v>Odell Beckham</v>
      </c>
      <c r="AF54" t="str">
        <f>IFERROR(INDEX(TableWRCalcPts[TM],MATCH(TableWRRanks32[[#This Row],[Player]],TableWRCalcPts[PLAYER],0)),"")</f>
        <v>BAL</v>
      </c>
      <c r="AG54">
        <f>IFERROR(INDEX(TableWRCalcPts[BYE],MATCH(TableWRRanks32[[#This Row],[Player]],TableWRCalcPts[PLAYER],0)),"")</f>
        <v>13</v>
      </c>
      <c r="AH54" s="86">
        <f>VLOOKUP(TableWRRanks32[[#This Row],[Player]],WR!B:O,4,FALSE)</f>
        <v>0</v>
      </c>
      <c r="AI54" s="86">
        <f>VLOOKUP(TableWRRanks32[[#This Row],[Player]],WR!B:O,5,FALSE)</f>
        <v>0</v>
      </c>
      <c r="AJ54" s="86">
        <f>VLOOKUP(TableWRRanks32[[#This Row],[Player]],WR!B:O,6,FALSE)</f>
        <v>98.370330240000001</v>
      </c>
      <c r="AK54" s="86">
        <f>VLOOKUP(TableWRRanks32[[#This Row],[Player]],WR!B:O,7,FALSE)</f>
        <v>58.235736778513441</v>
      </c>
      <c r="AL54" s="86">
        <f>VLOOKUP(TableWRRanks32[[#This Row],[Player]],WR!B:O,8,FALSE)</f>
        <v>745.4174307649721</v>
      </c>
      <c r="AM54" s="86">
        <f>VLOOKUP(TableWRRanks32[[#This Row],[Player]],WR!B:O,9,FALSE)</f>
        <v>5.5323949939587767</v>
      </c>
      <c r="AN54" s="58">
        <f>IFERROR(INDEX(TableWRCalcPts[Custom],MATCH(TableWRRanks32[[#This Row],[RK]],TableWRCalcPts[RK],0)),"")</f>
        <v>136.85398142950658</v>
      </c>
      <c r="AO5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2.2472346960364176</v>
      </c>
      <c r="AQ54">
        <v>53</v>
      </c>
      <c r="AR54" t="str">
        <f>IFERROR(INDEX(TableTECalcPts[PLAYER],MATCH(TableTERanks33[[#This Row],[RK]],TableTECalcPts[RK],0)),"")</f>
        <v>Peyton Hendershot</v>
      </c>
      <c r="AS54" t="str">
        <f>IFERROR(INDEX(TableTECalcPts[TM],MATCH(TableTERanks33[[#This Row],[Player]],TableTECalcPts[PLAYER],0)),"")</f>
        <v>DAL</v>
      </c>
      <c r="AT54">
        <f>IFERROR(INDEX(TableTECalcPts[BYE],MATCH(TableTERanks33[[#This Row],[Player]],TableTECalcPts[PLAYER],0)),"")</f>
        <v>7</v>
      </c>
      <c r="AU54" s="86">
        <f>VLOOKUP(TableTERanks33[[#This Row],[Player]],TE!B:O,4,FALSE)</f>
        <v>21.707642879999998</v>
      </c>
      <c r="AV54" s="86">
        <f>VLOOKUP(TableTERanks33[[#This Row],[Player]],TE!B:O,5,FALSE)</f>
        <v>14.013609088976441</v>
      </c>
      <c r="AW54" s="86">
        <f>VLOOKUP(TableTERanks33[[#This Row],[Player]],TE!B:O,6,FALSE)</f>
        <v>137.62077744350114</v>
      </c>
      <c r="AX54" s="86">
        <f>VLOOKUP(TableTERanks33[[#This Row],[Player]],TE!B:O,7,FALSE)</f>
        <v>1.2892520361858326</v>
      </c>
      <c r="AY54" s="58">
        <f>IFERROR(INDEX(TableTECalcPts[Custom],MATCH(TableTERanks33[[#This Row],[RK]],TableTECalcPts[RK],0)),"")</f>
        <v>28.504394505953329</v>
      </c>
      <c r="AZ54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55" spans="1:52" x14ac:dyDescent="0.2">
      <c r="A55">
        <v>54</v>
      </c>
      <c r="B55" t="str">
        <f>IFERROR(INDEX(TableQBCalcPts[PLAYER],MATCH(TableQBRanks30[[#This Row],[RK]],TableQBCalcPts[RK],0)),"")</f>
        <v>Mike White</v>
      </c>
      <c r="C55" t="str">
        <f>IFERROR(INDEX(TableQBCalcPts[TM],MATCH(TableQBRanks30[[#This Row],[Player]],TableQBCalcPts[PLAYER],0)),"")</f>
        <v>MIA</v>
      </c>
      <c r="D55">
        <f>IFERROR(INDEX(TableQBCalcPts[BYE],MATCH(TableQBRanks30[[#This Row],[Player]],TableQBCalcPts[PLAYER],0)),"")</f>
        <v>10</v>
      </c>
      <c r="E55" s="86">
        <f>VLOOKUP(TableQBRanks30[[#This Row],[Player]],QB!B:O,4,FALSE)</f>
        <v>18.434520000000017</v>
      </c>
      <c r="F55" s="86">
        <f>VLOOKUP(TableQBRanks30[[#This Row],[Player]],QB!B:O,5,FALSE)</f>
        <v>11.402074644199073</v>
      </c>
      <c r="G55" s="86">
        <f>VLOOKUP(TableQBRanks30[[#This Row],[Player]],QB!B:O,6,FALSE)</f>
        <v>127.70323601502962</v>
      </c>
      <c r="H55" s="86">
        <f>VLOOKUP(TableQBRanks30[[#This Row],[Player]],QB!B:O,7,FALSE)</f>
        <v>0.67604782611975667</v>
      </c>
      <c r="I55" s="86">
        <f>VLOOKUP(TableQBRanks30[[#This Row],[Player]],QB!B:O,8,FALSE)</f>
        <v>0.63452742271405693</v>
      </c>
      <c r="J55" s="86">
        <f>VLOOKUP(TableQBRanks30[[#This Row],[Player]],QB!B:O,9,FALSE)</f>
        <v>0</v>
      </c>
      <c r="K55" s="86">
        <f>VLOOKUP(TableQBRanks30[[#This Row],[Player]],QB!B:O,10,FALSE)</f>
        <v>0</v>
      </c>
      <c r="L55" s="86">
        <f>VLOOKUP(TableQBRanks30[[#This Row],[Player]],QB!B:O,11,FALSE)</f>
        <v>0</v>
      </c>
      <c r="M55" s="58">
        <f>IFERROR(INDEX(TableQBCalcPts[Custom],MATCH(TableQBRanks30[[#This Row],[RK]],TableQBCalcPts[RK],0)),"")</f>
        <v>7.1777933223661545</v>
      </c>
      <c r="N55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55">
        <v>54</v>
      </c>
      <c r="Q55" t="str">
        <f>IFERROR(INDEX(TableRBCalcPts[PLAYER],MATCH(TableRBRanks31[[#This Row],[RK]],TableRBCalcPts[RK],0)),"")</f>
        <v>Jeff Wilson</v>
      </c>
      <c r="R55" t="str">
        <f>IFERROR(INDEX(TableRBCalcPts[TM],MATCH(TableRBRanks31[[#This Row],[Player]],TableRBCalcPts[PLAYER],0)),"")</f>
        <v>MIA</v>
      </c>
      <c r="S55">
        <f>IFERROR(INDEX(TableRBCalcPts[BYE],MATCH(TableRBRanks31[[#This Row],[Player]],TableRBCalcPts[PLAYER],0)),"")</f>
        <v>10</v>
      </c>
      <c r="T55" s="86">
        <f>VLOOKUP(TableRBRanks31[[#This Row],[Player]],RB!B:O,4,FALSE)</f>
        <v>92.791586160000008</v>
      </c>
      <c r="U55" s="86">
        <f>VLOOKUP(TableRBRanks31[[#This Row],[Player]],RB!B:O,5,FALSE)</f>
        <v>405.21146863299469</v>
      </c>
      <c r="V55" s="86">
        <f>VLOOKUP(TableRBRanks31[[#This Row],[Player]],RB!B:O,6,FALSE)</f>
        <v>3.8044550325600004</v>
      </c>
      <c r="W55" s="86">
        <f>VLOOKUP(TableRBRanks31[[#This Row],[Player]],RB!B:O,7,FALSE)</f>
        <v>31.916298960000006</v>
      </c>
      <c r="X55" s="86">
        <f>VLOOKUP(TableRBRanks31[[#This Row],[Player]],RB!B:O,8,FALSE)</f>
        <v>20.639984373688989</v>
      </c>
      <c r="Y55" s="86">
        <f>VLOOKUP(TableRBRanks31[[#This Row],[Player]],RB!B:O,9,FALSE)</f>
        <v>173.27123117974887</v>
      </c>
      <c r="Z55" s="86">
        <f>VLOOKUP(TableRBRanks31[[#This Row],[Player]],RB!B:O,10,FALSE)</f>
        <v>1.3415989842897844</v>
      </c>
      <c r="AA55" s="58">
        <f>IFERROR(INDEX(TableRBCalcPts[Custom],MATCH(TableRBRanks31[[#This Row],[RK]],TableRBCalcPts[RK],0)),"")</f>
        <v>99.044586269217561</v>
      </c>
      <c r="AB55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55">
        <v>54</v>
      </c>
      <c r="AE55" t="str">
        <f>IFERROR(INDEX(TableWRCalcPts[PLAYER],MATCH(TableWRRanks32[[#This Row],[RK]],TableWRCalcPts[RK],0)),"")</f>
        <v>Donovan Peoples-Jones</v>
      </c>
      <c r="AF55" t="str">
        <f>IFERROR(INDEX(TableWRCalcPts[TM],MATCH(TableWRRanks32[[#This Row],[Player]],TableWRCalcPts[PLAYER],0)),"")</f>
        <v>CLE</v>
      </c>
      <c r="AG55">
        <f>IFERROR(INDEX(TableWRCalcPts[BYE],MATCH(TableWRRanks32[[#This Row],[Player]],TableWRCalcPts[PLAYER],0)),"")</f>
        <v>5</v>
      </c>
      <c r="AH55" s="86">
        <f>VLOOKUP(TableWRRanks32[[#This Row],[Player]],WR!B:O,4,FALSE)</f>
        <v>0</v>
      </c>
      <c r="AI55" s="86">
        <f>VLOOKUP(TableWRRanks32[[#This Row],[Player]],WR!B:O,5,FALSE)</f>
        <v>0</v>
      </c>
      <c r="AJ55" s="86">
        <f>VLOOKUP(TableWRRanks32[[#This Row],[Player]],WR!B:O,6,FALSE)</f>
        <v>88.9745724</v>
      </c>
      <c r="AK55" s="86">
        <f>VLOOKUP(TableWRRanks32[[#This Row],[Player]],WR!B:O,7,FALSE)</f>
        <v>55.307673087252937</v>
      </c>
      <c r="AL55" s="86">
        <f>VLOOKUP(TableWRRanks32[[#This Row],[Player]],WR!B:O,8,FALSE)</f>
        <v>783.75505957313862</v>
      </c>
      <c r="AM55" s="86">
        <f>VLOOKUP(TableWRRanks32[[#This Row],[Player]],WR!B:O,9,FALSE)</f>
        <v>4.5905368662419939</v>
      </c>
      <c r="AN55" s="58">
        <f>IFERROR(INDEX(TableWRCalcPts[Custom],MATCH(TableWRRanks32[[#This Row],[RK]],TableWRCalcPts[RK],0)),"")</f>
        <v>133.57256369839229</v>
      </c>
      <c r="AO5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1.1234555375993336</v>
      </c>
      <c r="AQ55">
        <v>54</v>
      </c>
      <c r="AR55" t="str">
        <f>IFERROR(INDEX(TableTECalcPts[PLAYER],MATCH(TableTERanks33[[#This Row],[RK]],TableTECalcPts[RK],0)),"")</f>
        <v>Brenton Strange</v>
      </c>
      <c r="AS55" t="str">
        <f>IFERROR(INDEX(TableTECalcPts[TM],MATCH(TableTERanks33[[#This Row],[Player]],TableTECalcPts[PLAYER],0)),"")</f>
        <v>JAX</v>
      </c>
      <c r="AT55">
        <f>IFERROR(INDEX(TableTECalcPts[BYE],MATCH(TableTERanks33[[#This Row],[Player]],TableTECalcPts[PLAYER],0)),"")</f>
        <v>9</v>
      </c>
      <c r="AU55" s="86">
        <f>VLOOKUP(TableTERanks33[[#This Row],[Player]],TE!B:O,4,FALSE)</f>
        <v>21.633353</v>
      </c>
      <c r="AV55" s="86">
        <f>VLOOKUP(TableTERanks33[[#This Row],[Player]],TE!B:O,5,FALSE)</f>
        <v>14.125933296664611</v>
      </c>
      <c r="AW55" s="86">
        <f>VLOOKUP(TableTERanks33[[#This Row],[Player]],TE!B:O,6,FALSE)</f>
        <v>153.21384902721334</v>
      </c>
      <c r="AX55" s="86">
        <f>VLOOKUP(TableTERanks33[[#This Row],[Player]],TE!B:O,7,FALSE)</f>
        <v>0.93231159757986437</v>
      </c>
      <c r="AY55" s="58">
        <f>IFERROR(INDEX(TableTECalcPts[Custom],MATCH(TableTERanks33[[#This Row],[RK]],TableTECalcPts[RK],0)),"")</f>
        <v>27.978221136532827</v>
      </c>
      <c r="AZ55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56" spans="1:52" x14ac:dyDescent="0.2">
      <c r="A56">
        <v>55</v>
      </c>
      <c r="B56" t="str">
        <f>IFERROR(INDEX(TableQBCalcPts[PLAYER],MATCH(TableQBRanks30[[#This Row],[RK]],TableQBCalcPts[RK],0)),"")</f>
        <v>Dorian Thompson-Robinson</v>
      </c>
      <c r="C56" t="str">
        <f>IFERROR(INDEX(TableQBCalcPts[TM],MATCH(TableQBRanks30[[#This Row],[Player]],TableQBCalcPts[PLAYER],0)),"")</f>
        <v>CLE</v>
      </c>
      <c r="D56">
        <f>IFERROR(INDEX(TableQBCalcPts[BYE],MATCH(TableQBRanks30[[#This Row],[Player]],TableQBCalcPts[PLAYER],0)),"")</f>
        <v>5</v>
      </c>
      <c r="E56" s="86">
        <f>VLOOKUP(TableQBRanks30[[#This Row],[Player]],QB!B:O,4,FALSE)</f>
        <v>10.938600000000012</v>
      </c>
      <c r="F56" s="86">
        <f>VLOOKUP(TableQBRanks30[[#This Row],[Player]],QB!B:O,5,FALSE)</f>
        <v>6.6397302000000069</v>
      </c>
      <c r="G56" s="86">
        <f>VLOOKUP(TableQBRanks30[[#This Row],[Player]],QB!B:O,6,FALSE)</f>
        <v>70.181948214000073</v>
      </c>
      <c r="H56" s="86">
        <f>VLOOKUP(TableQBRanks30[[#This Row],[Player]],QB!B:O,7,FALSE)</f>
        <v>0.38709627066000041</v>
      </c>
      <c r="I56" s="86">
        <f>VLOOKUP(TableQBRanks30[[#This Row],[Player]],QB!B:O,8,FALSE)</f>
        <v>0.2921481288000003</v>
      </c>
      <c r="J56" s="86">
        <f>VLOOKUP(TableQBRanks30[[#This Row],[Player]],QB!B:O,9,FALSE)</f>
        <v>5.0476859999999988</v>
      </c>
      <c r="K56" s="86">
        <f>VLOOKUP(TableQBRanks30[[#This Row],[Player]],QB!B:O,10,FALSE)</f>
        <v>18.676438199999996</v>
      </c>
      <c r="L56" s="86">
        <f>VLOOKUP(TableQBRanks30[[#This Row],[Player]],QB!B:O,11,FALSE)</f>
        <v>0.13123983599999997</v>
      </c>
      <c r="M56" s="58">
        <f>IFERROR(INDEX(TableQBCalcPts[Custom],MATCH(TableQBRanks30[[#This Row],[RK]],TableQBCalcPts[RK],0)),"")</f>
        <v>6.7185977184000034</v>
      </c>
      <c r="N56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56">
        <v>55</v>
      </c>
      <c r="Q56" t="str">
        <f>IFERROR(INDEX(TableRBCalcPts[PLAYER],MATCH(TableRBRanks31[[#This Row],[RK]],TableRBCalcPts[RK],0)),"")</f>
        <v>Joshua Kelley</v>
      </c>
      <c r="R56" t="str">
        <f>IFERROR(INDEX(TableRBCalcPts[TM],MATCH(TableRBRanks31[[#This Row],[Player]],TableRBCalcPts[PLAYER],0)),"")</f>
        <v>LAC</v>
      </c>
      <c r="S56">
        <f>IFERROR(INDEX(TableRBCalcPts[BYE],MATCH(TableRBRanks31[[#This Row],[Player]],TableRBCalcPts[PLAYER],0)),"")</f>
        <v>5</v>
      </c>
      <c r="T56" s="86">
        <f>VLOOKUP(TableRBRanks31[[#This Row],[Player]],RB!B:O,4,FALSE)</f>
        <v>110.29639320000001</v>
      </c>
      <c r="U56" s="86">
        <f>VLOOKUP(TableRBRanks31[[#This Row],[Player]],RB!B:O,5,FALSE)</f>
        <v>474.27449076000005</v>
      </c>
      <c r="V56" s="86">
        <f>VLOOKUP(TableRBRanks31[[#This Row],[Player]],RB!B:O,6,FALSE)</f>
        <v>3.6397809756000004</v>
      </c>
      <c r="W56" s="86">
        <f>VLOOKUP(TableRBRanks31[[#This Row],[Player]],RB!B:O,7,FALSE)</f>
        <v>27.072078600000001</v>
      </c>
      <c r="X56" s="86">
        <f>VLOOKUP(TableRBRanks31[[#This Row],[Player]],RB!B:O,8,FALSE)</f>
        <v>19.9521219282</v>
      </c>
      <c r="Y56" s="86">
        <f>VLOOKUP(TableRBRanks31[[#This Row],[Player]],RB!B:O,9,FALSE)</f>
        <v>143.4184040946781</v>
      </c>
      <c r="Z56" s="86">
        <f>VLOOKUP(TableRBRanks31[[#This Row],[Player]],RB!B:O,10,FALSE)</f>
        <v>0.6783721455588001</v>
      </c>
      <c r="AA56" s="58">
        <f>IFERROR(INDEX(TableRBCalcPts[Custom],MATCH(TableRBRanks31[[#This Row],[RK]],TableRBCalcPts[RK],0)),"")</f>
        <v>97.654269176520614</v>
      </c>
      <c r="AB56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56">
        <v>55</v>
      </c>
      <c r="AE56" t="str">
        <f>IFERROR(INDEX(TableWRCalcPts[PLAYER],MATCH(TableWRRanks32[[#This Row],[RK]],TableWRCalcPts[RK],0)),"")</f>
        <v>JuJu Smith-Schuster</v>
      </c>
      <c r="AF56" t="str">
        <f>IFERROR(INDEX(TableWRCalcPts[TM],MATCH(TableWRRanks32[[#This Row],[Player]],TableWRCalcPts[PLAYER],0)),"")</f>
        <v>NE</v>
      </c>
      <c r="AG56">
        <f>IFERROR(INDEX(TableWRCalcPts[BYE],MATCH(TableWRRanks32[[#This Row],[Player]],TableWRCalcPts[PLAYER],0)),"")</f>
        <v>11</v>
      </c>
      <c r="AH56" s="86">
        <f>VLOOKUP(TableWRRanks32[[#This Row],[Player]],WR!B:O,4,FALSE)</f>
        <v>0</v>
      </c>
      <c r="AI56" s="86">
        <f>VLOOKUP(TableWRRanks32[[#This Row],[Player]],WR!B:O,5,FALSE)</f>
        <v>0</v>
      </c>
      <c r="AJ56" s="86">
        <f>VLOOKUP(TableWRRanks32[[#This Row],[Player]],WR!B:O,6,FALSE)</f>
        <v>97.550942439999972</v>
      </c>
      <c r="AK56" s="86">
        <f>VLOOKUP(TableWRRanks32[[#This Row],[Player]],WR!B:O,7,FALSE)</f>
        <v>67.700354053359973</v>
      </c>
      <c r="AL56" s="86">
        <f>VLOOKUP(TableWRRanks32[[#This Row],[Player]],WR!B:O,8,FALSE)</f>
        <v>751.0819543208338</v>
      </c>
      <c r="AM56" s="86">
        <f>VLOOKUP(TableWRRanks32[[#This Row],[Player]],WR!B:O,9,FALSE)</f>
        <v>3.9943208891482382</v>
      </c>
      <c r="AN56" s="58">
        <f>IFERROR(INDEX(TableWRCalcPts[Custom],MATCH(TableWRRanks32[[#This Row],[RK]],TableWRCalcPts[RK],0)),"")</f>
        <v>132.92429779365278</v>
      </c>
      <c r="AO5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0.9014454881125129</v>
      </c>
      <c r="AQ56">
        <v>55</v>
      </c>
      <c r="AR56" t="str">
        <f>IFERROR(INDEX(TableTECalcPts[PLAYER],MATCH(TableTERanks33[[#This Row],[RK]],TableTECalcPts[RK],0)),"")</f>
        <v>Tre' McKitty</v>
      </c>
      <c r="AS56" t="str">
        <f>IFERROR(INDEX(TableTECalcPts[TM],MATCH(TableTERanks33[[#This Row],[Player]],TableTECalcPts[PLAYER],0)),"")</f>
        <v>LAC</v>
      </c>
      <c r="AT56">
        <f>IFERROR(INDEX(TableTECalcPts[BYE],MATCH(TableTERanks33[[#This Row],[Player]],TableTECalcPts[PLAYER],0)),"")</f>
        <v>5</v>
      </c>
      <c r="AU56" s="86">
        <f>VLOOKUP(TableTERanks33[[#This Row],[Player]],TE!B:O,4,FALSE)</f>
        <v>21.789721799999999</v>
      </c>
      <c r="AV56" s="86">
        <f>VLOOKUP(TableTERanks33[[#This Row],[Player]],TE!B:O,5,FALSE)</f>
        <v>14.097950004599999</v>
      </c>
      <c r="AW56" s="86">
        <f>VLOOKUP(TableTERanks33[[#This Row],[Player]],TE!B:O,6,FALSE)</f>
        <v>139.56970504553999</v>
      </c>
      <c r="AX56" s="86">
        <f>VLOOKUP(TableTERanks33[[#This Row],[Player]],TE!B:O,7,FALSE)</f>
        <v>0.95866060031279998</v>
      </c>
      <c r="AY56" s="58">
        <f>IFERROR(INDEX(TableTECalcPts[Custom],MATCH(TableTERanks33[[#This Row],[RK]],TableTECalcPts[RK],0)),"")</f>
        <v>26.7579091087308</v>
      </c>
      <c r="AZ56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57" spans="1:52" x14ac:dyDescent="0.2">
      <c r="A57">
        <v>56</v>
      </c>
      <c r="B57" t="str">
        <f>IFERROR(INDEX(TableQBCalcPts[PLAYER],MATCH(TableQBRanks30[[#This Row],[RK]],TableQBCalcPts[RK],0)),"")</f>
        <v>Tyson Bagent</v>
      </c>
      <c r="C57" t="str">
        <f>IFERROR(INDEX(TableQBCalcPts[TM],MATCH(TableQBRanks30[[#This Row],[Player]],TableQBCalcPts[PLAYER],0)),"")</f>
        <v>CHI</v>
      </c>
      <c r="D57">
        <f>IFERROR(INDEX(TableQBCalcPts[BYE],MATCH(TableQBRanks30[[#This Row],[Player]],TableQBCalcPts[PLAYER],0)),"")</f>
        <v>13</v>
      </c>
      <c r="E57" s="86">
        <f>VLOOKUP(TableQBRanks30[[#This Row],[Player]],QB!B:O,4,FALSE)</f>
        <v>14.049360000000011</v>
      </c>
      <c r="F57" s="86">
        <f>VLOOKUP(TableQBRanks30[[#This Row],[Player]],QB!B:O,5,FALSE)</f>
        <v>8.3340803520000062</v>
      </c>
      <c r="G57" s="86">
        <f>VLOOKUP(TableQBRanks30[[#This Row],[Player]],QB!B:O,6,FALSE)</f>
        <v>90.25809021216007</v>
      </c>
      <c r="H57" s="86">
        <f>VLOOKUP(TableQBRanks30[[#This Row],[Player]],QB!B:O,7,FALSE)</f>
        <v>0.61505512997760048</v>
      </c>
      <c r="I57" s="86">
        <f>VLOOKUP(TableQBRanks30[[#This Row],[Player]],QB!B:O,8,FALSE)</f>
        <v>0.45837441936000034</v>
      </c>
      <c r="J57" s="86">
        <f>VLOOKUP(TableQBRanks30[[#This Row],[Player]],QB!B:O,9,FALSE)</f>
        <v>2.5464712</v>
      </c>
      <c r="K57" s="86">
        <f>VLOOKUP(TableQBRanks30[[#This Row],[Player]],QB!B:O,10,FALSE)</f>
        <v>7.9195254319999995</v>
      </c>
      <c r="L57" s="86">
        <f>VLOOKUP(TableQBRanks30[[#This Row],[Player]],QB!B:O,11,FALSE)</f>
        <v>4.7116379696294466E-2</v>
      </c>
      <c r="M57" s="58">
        <f>IFERROR(INDEX(TableQBCalcPts[Custom],MATCH(TableQBRanks30[[#This Row],[RK]],TableQBCalcPts[RK],0)),"")</f>
        <v>6.6868205304145709</v>
      </c>
      <c r="N57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57">
        <v>56</v>
      </c>
      <c r="Q57" t="str">
        <f>IFERROR(INDEX(TableRBCalcPts[PLAYER],MATCH(TableRBRanks31[[#This Row],[RK]],TableRBCalcPts[RK],0)),"")</f>
        <v>Tyjae Spears</v>
      </c>
      <c r="R57" t="str">
        <f>IFERROR(INDEX(TableRBCalcPts[TM],MATCH(TableRBRanks31[[#This Row],[Player]],TableRBCalcPts[PLAYER],0)),"")</f>
        <v>TEN</v>
      </c>
      <c r="S57">
        <f>IFERROR(INDEX(TableRBCalcPts[BYE],MATCH(TableRBRanks31[[#This Row],[Player]],TableRBCalcPts[PLAYER],0)),"")</f>
        <v>7</v>
      </c>
      <c r="T57" s="86">
        <f>VLOOKUP(TableRBRanks31[[#This Row],[Player]],RB!B:O,4,FALSE)</f>
        <v>80.966953199999992</v>
      </c>
      <c r="U57" s="86">
        <f>VLOOKUP(TableRBRanks31[[#This Row],[Player]],RB!B:O,5,FALSE)</f>
        <v>347.34822922799998</v>
      </c>
      <c r="V57" s="86">
        <f>VLOOKUP(TableRBRanks31[[#This Row],[Player]],RB!B:O,6,FALSE)</f>
        <v>2.9148103151999996</v>
      </c>
      <c r="W57" s="86">
        <f>VLOOKUP(TableRBRanks31[[#This Row],[Player]],RB!B:O,7,FALSE)</f>
        <v>40.078540599999997</v>
      </c>
      <c r="X57" s="86">
        <f>VLOOKUP(TableRBRanks31[[#This Row],[Player]],RB!B:O,8,FALSE)</f>
        <v>28.690301078978443</v>
      </c>
      <c r="Y57" s="86">
        <f>VLOOKUP(TableRBRanks31[[#This Row],[Player]],RB!B:O,9,FALSE)</f>
        <v>217.19650744424862</v>
      </c>
      <c r="Z57" s="86">
        <f>VLOOKUP(TableRBRanks31[[#This Row],[Player]],RB!B:O,10,FALSE)</f>
        <v>0.9467799356062887</v>
      </c>
      <c r="AA57" s="58">
        <f>IFERROR(INDEX(TableRBCalcPts[Custom],MATCH(TableRBRanks31[[#This Row],[RK]],TableRBCalcPts[RK],0)),"")</f>
        <v>93.969165711551824</v>
      </c>
      <c r="AB57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57">
        <v>56</v>
      </c>
      <c r="AE57" t="str">
        <f>IFERROR(INDEX(TableWRCalcPts[PLAYER],MATCH(TableWRRanks32[[#This Row],[RK]],TableWRCalcPts[RK],0)),"")</f>
        <v>Romeo Doubs</v>
      </c>
      <c r="AF57" t="str">
        <f>IFERROR(INDEX(TableWRCalcPts[TM],MATCH(TableWRRanks32[[#This Row],[Player]],TableWRCalcPts[PLAYER],0)),"")</f>
        <v>GB</v>
      </c>
      <c r="AG57">
        <f>IFERROR(INDEX(TableWRCalcPts[BYE],MATCH(TableWRRanks32[[#This Row],[Player]],TableWRCalcPts[PLAYER],0)),"")</f>
        <v>6</v>
      </c>
      <c r="AH57" s="86">
        <f>VLOOKUP(TableWRRanks32[[#This Row],[Player]],WR!B:O,4,FALSE)</f>
        <v>0</v>
      </c>
      <c r="AI57" s="86">
        <f>VLOOKUP(TableWRRanks32[[#This Row],[Player]],WR!B:O,5,FALSE)</f>
        <v>0</v>
      </c>
      <c r="AJ57" s="86">
        <f>VLOOKUP(TableWRRanks32[[#This Row],[Player]],WR!B:O,6,FALSE)</f>
        <v>102.73240824</v>
      </c>
      <c r="AK57" s="86">
        <f>VLOOKUP(TableWRRanks32[[#This Row],[Player]],WR!B:O,7,FALSE)</f>
        <v>62.386214338574327</v>
      </c>
      <c r="AL57" s="86">
        <f>VLOOKUP(TableWRRanks32[[#This Row],[Player]],WR!B:O,8,FALSE)</f>
        <v>742.03480683449322</v>
      </c>
      <c r="AM57" s="86">
        <f>VLOOKUP(TableWRRanks32[[#This Row],[Player]],WR!B:O,9,FALSE)</f>
        <v>4.3670350037002033</v>
      </c>
      <c r="AN57" s="58">
        <f>IFERROR(INDEX(TableWRCalcPts[Custom],MATCH(TableWRRanks32[[#This Row],[RK]],TableWRCalcPts[RK],0)),"")</f>
        <v>131.5987978749377</v>
      </c>
      <c r="AO5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0.44750475114445964</v>
      </c>
      <c r="AQ57">
        <v>56</v>
      </c>
      <c r="AR57" t="str">
        <f>IFERROR(INDEX(TableTECalcPts[PLAYER],MATCH(TableTERanks33[[#This Row],[RK]],TableTECalcPts[RK],0)),"")</f>
        <v>Connor Heyward</v>
      </c>
      <c r="AS57" t="str">
        <f>IFERROR(INDEX(TableTECalcPts[TM],MATCH(TableTERanks33[[#This Row],[Player]],TableTECalcPts[PLAYER],0)),"")</f>
        <v>PIT</v>
      </c>
      <c r="AT57">
        <f>IFERROR(INDEX(TableTECalcPts[BYE],MATCH(TableTERanks33[[#This Row],[Player]],TableTECalcPts[PLAYER],0)),"")</f>
        <v>6</v>
      </c>
      <c r="AU57" s="86">
        <f>VLOOKUP(TableTERanks33[[#This Row],[Player]],TE!B:O,4,FALSE)</f>
        <v>19.046481300000004</v>
      </c>
      <c r="AV57" s="86">
        <f>VLOOKUP(TableTERanks33[[#This Row],[Player]],TE!B:O,5,FALSE)</f>
        <v>12.989700246600004</v>
      </c>
      <c r="AW57" s="86">
        <f>VLOOKUP(TableTERanks33[[#This Row],[Player]],TE!B:O,6,FALSE)</f>
        <v>143.14649671753205</v>
      </c>
      <c r="AX57" s="86">
        <f>VLOOKUP(TableTERanks33[[#This Row],[Player]],TE!B:O,7,FALSE)</f>
        <v>0.63649531208340016</v>
      </c>
      <c r="AY57" s="58">
        <f>IFERROR(INDEX(TableTECalcPts[Custom],MATCH(TableTERanks33[[#This Row],[RK]],TableTECalcPts[RK],0)),"")</f>
        <v>24.628471667553608</v>
      </c>
      <c r="AZ57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58" spans="1:52" x14ac:dyDescent="0.2">
      <c r="A58">
        <v>57</v>
      </c>
      <c r="B58" t="str">
        <f>IFERROR(INDEX(TableQBCalcPts[PLAYER],MATCH(TableQBRanks30[[#This Row],[RK]],TableQBCalcPts[RK],0)),"")</f>
        <v>Davis Mills</v>
      </c>
      <c r="C58" t="str">
        <f>IFERROR(INDEX(TableQBCalcPts[TM],MATCH(TableQBRanks30[[#This Row],[Player]],TableQBCalcPts[PLAYER],0)),"")</f>
        <v>HOU</v>
      </c>
      <c r="D58">
        <f>IFERROR(INDEX(TableQBCalcPts[BYE],MATCH(TableQBRanks30[[#This Row],[Player]],TableQBCalcPts[PLAYER],0)),"")</f>
        <v>7</v>
      </c>
      <c r="E58" s="86">
        <f>VLOOKUP(TableQBRanks30[[#This Row],[Player]],QB!B:O,4,FALSE)</f>
        <v>17.247120000000017</v>
      </c>
      <c r="F58" s="86">
        <f>VLOOKUP(TableQBRanks30[[#This Row],[Player]],QB!B:O,5,FALSE)</f>
        <v>10.692748815936689</v>
      </c>
      <c r="G58" s="86">
        <f>VLOOKUP(TableQBRanks30[[#This Row],[Player]],QB!B:O,6,FALSE)</f>
        <v>111.71131622432495</v>
      </c>
      <c r="H58" s="86">
        <f>VLOOKUP(TableQBRanks30[[#This Row],[Player]],QB!B:O,7,FALSE)</f>
        <v>0.53838066733964074</v>
      </c>
      <c r="I58" s="86">
        <f>VLOOKUP(TableQBRanks30[[#This Row],[Player]],QB!B:O,8,FALSE)</f>
        <v>0.59540735857821636</v>
      </c>
      <c r="J58" s="86">
        <f>VLOOKUP(TableQBRanks30[[#This Row],[Player]],QB!B:O,9,FALSE)</f>
        <v>0</v>
      </c>
      <c r="K58" s="86">
        <f>VLOOKUP(TableQBRanks30[[#This Row],[Player]],QB!B:O,10,FALSE)</f>
        <v>0</v>
      </c>
      <c r="L58" s="86">
        <f>VLOOKUP(TableQBRanks30[[#This Row],[Player]],QB!B:O,11,FALSE)</f>
        <v>0</v>
      </c>
      <c r="M58" s="58">
        <f>IFERROR(INDEX(TableQBCalcPts[Custom],MATCH(TableQBRanks30[[#This Row],[RK]],TableQBCalcPts[RK],0)),"")</f>
        <v>6.0265679597533444</v>
      </c>
      <c r="N58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58">
        <v>57</v>
      </c>
      <c r="Q58" t="str">
        <f>IFERROR(INDEX(TableRBCalcPts[PLAYER],MATCH(TableRBRanks31[[#This Row],[RK]],TableRBCalcPts[RK],0)),"")</f>
        <v>Gus Edwards</v>
      </c>
      <c r="R58" t="str">
        <f>IFERROR(INDEX(TableRBCalcPts[TM],MATCH(TableRBRanks31[[#This Row],[Player]],TableRBCalcPts[PLAYER],0)),"")</f>
        <v>BAL</v>
      </c>
      <c r="S58">
        <f>IFERROR(INDEX(TableRBCalcPts[BYE],MATCH(TableRBRanks31[[#This Row],[Player]],TableRBCalcPts[PLAYER],0)),"")</f>
        <v>13</v>
      </c>
      <c r="T58" s="86">
        <f>VLOOKUP(TableRBRanks31[[#This Row],[Player]],RB!B:O,4,FALSE)</f>
        <v>110.72989031999998</v>
      </c>
      <c r="U58" s="86">
        <f>VLOOKUP(TableRBRanks31[[#This Row],[Player]],RB!B:O,5,FALSE)</f>
        <v>546.75708779792967</v>
      </c>
      <c r="V58" s="86">
        <f>VLOOKUP(TableRBRanks31[[#This Row],[Player]],RB!B:O,6,FALSE)</f>
        <v>4.4783582283252725</v>
      </c>
      <c r="W58" s="86">
        <f>VLOOKUP(TableRBRanks31[[#This Row],[Player]],RB!B:O,7,FALSE)</f>
        <v>5.3462136000000005</v>
      </c>
      <c r="X58" s="86">
        <f>VLOOKUP(TableRBRanks31[[#This Row],[Player]],RB!B:O,8,FALSE)</f>
        <v>4.1569887408982078</v>
      </c>
      <c r="Y58" s="86">
        <f>VLOOKUP(TableRBRanks31[[#This Row],[Player]],RB!B:O,9,FALSE)</f>
        <v>28.724792199606618</v>
      </c>
      <c r="Z58" s="86">
        <f>VLOOKUP(TableRBRanks31[[#This Row],[Player]],RB!B:O,10,FALSE)</f>
        <v>0.12470966222694622</v>
      </c>
      <c r="AA58" s="58">
        <f>IFERROR(INDEX(TableRBCalcPts[Custom],MATCH(TableRBRanks31[[#This Row],[RK]],TableRBCalcPts[RK],0)),"")</f>
        <v>87.245089713516052</v>
      </c>
      <c r="AB58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58">
        <v>57</v>
      </c>
      <c r="AE58" t="str">
        <f>IFERROR(INDEX(TableWRCalcPts[PLAYER],MATCH(TableWRRanks32[[#This Row],[RK]],TableWRCalcPts[RK],0)),"")</f>
        <v>Zay Flowers</v>
      </c>
      <c r="AF58" t="str">
        <f>IFERROR(INDEX(TableWRCalcPts[TM],MATCH(TableWRRanks32[[#This Row],[Player]],TableWRCalcPts[PLAYER],0)),"")</f>
        <v>BAL</v>
      </c>
      <c r="AG58">
        <f>IFERROR(INDEX(TableWRCalcPts[BYE],MATCH(TableWRRanks32[[#This Row],[Player]],TableWRCalcPts[PLAYER],0)),"")</f>
        <v>13</v>
      </c>
      <c r="AH58" s="86">
        <f>VLOOKUP(TableWRRanks32[[#This Row],[Player]],WR!B:O,4,FALSE)</f>
        <v>0</v>
      </c>
      <c r="AI58" s="86">
        <f>VLOOKUP(TableWRRanks32[[#This Row],[Player]],WR!B:O,5,FALSE)</f>
        <v>0</v>
      </c>
      <c r="AJ58" s="86">
        <f>VLOOKUP(TableWRRanks32[[#This Row],[Player]],WR!B:O,6,FALSE)</f>
        <v>99.974194320000009</v>
      </c>
      <c r="AK58" s="86">
        <f>VLOOKUP(TableWRRanks32[[#This Row],[Player]],WR!B:O,7,FALSE)</f>
        <v>60.376316466686816</v>
      </c>
      <c r="AL58" s="86">
        <f>VLOOKUP(TableWRRanks32[[#This Row],[Player]],WR!B:O,8,FALSE)</f>
        <v>743.83621886958156</v>
      </c>
      <c r="AM58" s="86">
        <f>VLOOKUP(TableWRRanks32[[#This Row],[Player]],WR!B:O,9,FALSE)</f>
        <v>4.2867184691347635</v>
      </c>
      <c r="AN58" s="58">
        <f>IFERROR(INDEX(TableWRCalcPts[Custom],MATCH(TableWRRanks32[[#This Row],[RK]],TableWRCalcPts[RK],0)),"")</f>
        <v>130.29209093511014</v>
      </c>
      <c r="AO5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58">
        <v>57</v>
      </c>
      <c r="AR58" t="str">
        <f>IFERROR(INDEX(TableTECalcPts[PLAYER],MATCH(TableTERanks33[[#This Row],[RK]],TableTECalcPts[RK],0)),"")</f>
        <v>Daniel Bellinger</v>
      </c>
      <c r="AS58" t="str">
        <f>IFERROR(INDEX(TableTECalcPts[TM],MATCH(TableTERanks33[[#This Row],[Player]],TableTECalcPts[PLAYER],0)),"")</f>
        <v>NYG</v>
      </c>
      <c r="AT58">
        <f>IFERROR(INDEX(TableTECalcPts[BYE],MATCH(TableTERanks33[[#This Row],[Player]],TableTECalcPts[PLAYER],0)),"")</f>
        <v>13</v>
      </c>
      <c r="AU58" s="86">
        <f>VLOOKUP(TableTERanks33[[#This Row],[Player]],TE!B:O,4,FALSE)</f>
        <v>19.056007880000003</v>
      </c>
      <c r="AV58" s="86">
        <f>VLOOKUP(TableTERanks33[[#This Row],[Player]],TE!B:O,5,FALSE)</f>
        <v>13.400245097494709</v>
      </c>
      <c r="AW58" s="86">
        <f>VLOOKUP(TableTERanks33[[#This Row],[Player]],TE!B:O,6,FALSE)</f>
        <v>132.39442156324773</v>
      </c>
      <c r="AX58" s="86">
        <f>VLOOKUP(TableTERanks33[[#This Row],[Player]],TE!B:O,7,FALSE)</f>
        <v>0.64321176467974606</v>
      </c>
      <c r="AY58" s="58">
        <f>IFERROR(INDEX(TableTECalcPts[Custom],MATCH(TableTERanks33[[#This Row],[RK]],TableTECalcPts[RK],0)),"")</f>
        <v>23.798835293150606</v>
      </c>
      <c r="AZ58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59" spans="1:52" x14ac:dyDescent="0.2">
      <c r="A59">
        <v>58</v>
      </c>
      <c r="B59" t="str">
        <f>IFERROR(INDEX(TableQBCalcPts[PLAYER],MATCH(TableQBRanks30[[#This Row],[RK]],TableQBCalcPts[RK],0)),"")</f>
        <v>Teddy Bridgewater</v>
      </c>
      <c r="C59" t="str">
        <f>IFERROR(INDEX(TableQBCalcPts[TM],MATCH(TableQBRanks30[[#This Row],[Player]],TableQBCalcPts[PLAYER],0)),"")</f>
        <v>DET</v>
      </c>
      <c r="D59">
        <f>IFERROR(INDEX(TableQBCalcPts[BYE],MATCH(TableQBRanks30[[#This Row],[Player]],TableQBCalcPts[PLAYER],0)),"")</f>
        <v>9</v>
      </c>
      <c r="E59" s="86">
        <f>VLOOKUP(TableQBRanks30[[#This Row],[Player]],QB!B:O,4,FALSE)</f>
        <v>12.003160000000008</v>
      </c>
      <c r="F59" s="86">
        <f>VLOOKUP(TableQBRanks30[[#This Row],[Player]],QB!B:O,5,FALSE)</f>
        <v>7.4429029117483241</v>
      </c>
      <c r="G59" s="86">
        <f>VLOOKUP(TableQBRanks30[[#This Row],[Player]],QB!B:O,6,FALSE)</f>
        <v>77.257332223947614</v>
      </c>
      <c r="H59" s="86">
        <f>VLOOKUP(TableQBRanks30[[#This Row],[Player]],QB!B:O,7,FALSE)</f>
        <v>0.41754685334908098</v>
      </c>
      <c r="I59" s="86">
        <f>VLOOKUP(TableQBRanks30[[#This Row],[Player]],QB!B:O,8,FALSE)</f>
        <v>0.30919356117629848</v>
      </c>
      <c r="J59" s="86">
        <f>VLOOKUP(TableQBRanks30[[#This Row],[Player]],QB!B:O,9,FALSE)</f>
        <v>0.91305032000000008</v>
      </c>
      <c r="K59" s="86">
        <f>VLOOKUP(TableQBRanks30[[#This Row],[Player]],QB!B:O,10,FALSE)</f>
        <v>3.9530086865975296</v>
      </c>
      <c r="L59" s="86">
        <f>VLOOKUP(TableQBRanks30[[#This Row],[Player]],QB!B:O,11,FALSE)</f>
        <v>2.5982980679435799E-2</v>
      </c>
      <c r="M59" s="58">
        <f>IFERROR(INDEX(TableQBCalcPts[Custom],MATCH(TableQBRanks30[[#This Row],[RK]],TableQBCalcPts[RK],0)),"")</f>
        <v>5.0024858939142973</v>
      </c>
      <c r="N59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59">
        <v>58</v>
      </c>
      <c r="Q59" t="str">
        <f>IFERROR(INDEX(TableRBCalcPts[PLAYER],MATCH(TableRBRanks31[[#This Row],[RK]],TableRBCalcPts[RK],0)),"")</f>
        <v>Devin Singletary</v>
      </c>
      <c r="R59" t="str">
        <f>IFERROR(INDEX(TableRBCalcPts[TM],MATCH(TableRBRanks31[[#This Row],[Player]],TableRBCalcPts[PLAYER],0)),"")</f>
        <v>HOU</v>
      </c>
      <c r="S59">
        <f>IFERROR(INDEX(TableRBCalcPts[BYE],MATCH(TableRBRanks31[[#This Row],[Player]],TableRBCalcPts[PLAYER],0)),"")</f>
        <v>7</v>
      </c>
      <c r="T59" s="86">
        <f>VLOOKUP(TableRBRanks31[[#This Row],[Player]],RB!B:O,4,FALSE)</f>
        <v>96.731527199999988</v>
      </c>
      <c r="U59" s="86">
        <f>VLOOKUP(TableRBRanks31[[#This Row],[Player]],RB!B:O,5,FALSE)</f>
        <v>430.34655548075796</v>
      </c>
      <c r="V59" s="86">
        <f>VLOOKUP(TableRBRanks31[[#This Row],[Player]],RB!B:O,6,FALSE)</f>
        <v>2.7084827615999996</v>
      </c>
      <c r="W59" s="86">
        <f>VLOOKUP(TableRBRanks31[[#This Row],[Player]],RB!B:O,7,FALSE)</f>
        <v>24.226454559999997</v>
      </c>
      <c r="X59" s="86">
        <f>VLOOKUP(TableRBRanks31[[#This Row],[Player]],RB!B:O,8,FALSE)</f>
        <v>16.724852452526708</v>
      </c>
      <c r="Y59" s="86">
        <f>VLOOKUP(TableRBRanks31[[#This Row],[Player]],RB!B:O,9,FALSE)</f>
        <v>123.76390814869764</v>
      </c>
      <c r="Z59" s="86">
        <f>VLOOKUP(TableRBRanks31[[#This Row],[Player]],RB!B:O,10,FALSE)</f>
        <v>0.63554439319601486</v>
      </c>
      <c r="AA59" s="58">
        <f>IFERROR(INDEX(TableRBCalcPts[Custom],MATCH(TableRBRanks31[[#This Row],[RK]],TableRBCalcPts[RK],0)),"")</f>
        <v>83.837635517984992</v>
      </c>
      <c r="AB59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59">
        <v>58</v>
      </c>
      <c r="AE59" t="str">
        <f>IFERROR(INDEX(TableWRCalcPts[PLAYER],MATCH(TableWRRanks32[[#This Row],[RK]],TableWRCalcPts[RK],0)),"")</f>
        <v>Van Jefferson</v>
      </c>
      <c r="AF59" t="str">
        <f>IFERROR(INDEX(TableWRCalcPts[TM],MATCH(TableWRRanks32[[#This Row],[Player]],TableWRCalcPts[PLAYER],0)),"")</f>
        <v>LAR</v>
      </c>
      <c r="AG59">
        <f>IFERROR(INDEX(TableWRCalcPts[BYE],MATCH(TableWRRanks32[[#This Row],[Player]],TableWRCalcPts[PLAYER],0)),"")</f>
        <v>10</v>
      </c>
      <c r="AH59" s="86">
        <f>VLOOKUP(TableWRRanks32[[#This Row],[Player]],WR!B:O,4,FALSE)</f>
        <v>0</v>
      </c>
      <c r="AI59" s="86">
        <f>VLOOKUP(TableWRRanks32[[#This Row],[Player]],WR!B:O,5,FALSE)</f>
        <v>0</v>
      </c>
      <c r="AJ59" s="86">
        <f>VLOOKUP(TableWRRanks32[[#This Row],[Player]],WR!B:O,6,FALSE)</f>
        <v>93.291327359999997</v>
      </c>
      <c r="AK59" s="86">
        <f>VLOOKUP(TableWRRanks32[[#This Row],[Player]],WR!B:O,7,FALSE)</f>
        <v>52.128575665652221</v>
      </c>
      <c r="AL59" s="86">
        <f>VLOOKUP(TableWRRanks32[[#This Row],[Player]],WR!B:O,8,FALSE)</f>
        <v>750.13020382873549</v>
      </c>
      <c r="AM59" s="86">
        <f>VLOOKUP(TableWRRanks32[[#This Row],[Player]],WR!B:O,9,FALSE)</f>
        <v>4.8479575369056569</v>
      </c>
      <c r="AN59" s="58">
        <f>IFERROR(INDEX(TableWRCalcPts[Custom],MATCH(TableWRRanks32[[#This Row],[RK]],TableWRCalcPts[RK],0)),"")</f>
        <v>130.16505343713359</v>
      </c>
      <c r="AO5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59">
        <v>58</v>
      </c>
      <c r="AR59" t="str">
        <f>IFERROR(INDEX(TableTECalcPts[PLAYER],MATCH(TableTERanks33[[#This Row],[RK]],TableTECalcPts[RK],0)),"")</f>
        <v>Noah Gray</v>
      </c>
      <c r="AS59" t="str">
        <f>IFERROR(INDEX(TableTECalcPts[TM],MATCH(TableTERanks33[[#This Row],[Player]],TableTECalcPts[PLAYER],0)),"")</f>
        <v>KC</v>
      </c>
      <c r="AT59">
        <f>IFERROR(INDEX(TableTECalcPts[BYE],MATCH(TableTERanks33[[#This Row],[Player]],TableTECalcPts[PLAYER],0)),"")</f>
        <v>10</v>
      </c>
      <c r="AU59" s="86">
        <f>VLOOKUP(TableTERanks33[[#This Row],[Player]],TE!B:O,4,FALSE)</f>
        <v>16.346693999999999</v>
      </c>
      <c r="AV59" s="86">
        <f>VLOOKUP(TableTERanks33[[#This Row],[Player]],TE!B:O,5,FALSE)</f>
        <v>12.057466725121639</v>
      </c>
      <c r="AW59" s="86">
        <f>VLOOKUP(TableTERanks33[[#This Row],[Player]],TE!B:O,6,FALSE)</f>
        <v>126.09607276156643</v>
      </c>
      <c r="AX59" s="86">
        <f>VLOOKUP(TableTERanks33[[#This Row],[Player]],TE!B:O,7,FALSE)</f>
        <v>0.84402267075851478</v>
      </c>
      <c r="AY59" s="58">
        <f>IFERROR(INDEX(TableTECalcPts[Custom],MATCH(TableTERanks33[[#This Row],[RK]],TableTECalcPts[RK],0)),"")</f>
        <v>23.702476663268556</v>
      </c>
      <c r="AZ59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60" spans="1:52" x14ac:dyDescent="0.2">
      <c r="A60">
        <v>59</v>
      </c>
      <c r="B60" t="str">
        <f>IFERROR(INDEX(TableQBCalcPts[PLAYER],MATCH(TableQBRanks30[[#This Row],[RK]],TableQBCalcPts[RK],0)),"")</f>
        <v>Jarrett Stidham</v>
      </c>
      <c r="C60" t="str">
        <f>IFERROR(INDEX(TableQBCalcPts[TM],MATCH(TableQBRanks30[[#This Row],[Player]],TableQBCalcPts[PLAYER],0)),"")</f>
        <v>DEN</v>
      </c>
      <c r="D60">
        <f>IFERROR(INDEX(TableQBCalcPts[BYE],MATCH(TableQBRanks30[[#This Row],[Player]],TableQBCalcPts[PLAYER],0)),"")</f>
        <v>9</v>
      </c>
      <c r="E60" s="86">
        <f>VLOOKUP(TableQBRanks30[[#This Row],[Player]],QB!B:O,4,FALSE)</f>
        <v>5.7294000000000054</v>
      </c>
      <c r="F60" s="86">
        <f>VLOOKUP(TableQBRanks30[[#This Row],[Player]],QB!B:O,5,FALSE)</f>
        <v>3.4801658503855037</v>
      </c>
      <c r="G60" s="86">
        <f>VLOOKUP(TableQBRanks30[[#This Row],[Player]],QB!B:O,6,FALSE)</f>
        <v>39.604287377387038</v>
      </c>
      <c r="H60" s="86">
        <f>VLOOKUP(TableQBRanks30[[#This Row],[Player]],QB!B:O,7,FALSE)</f>
        <v>0.23520769516644732</v>
      </c>
      <c r="I60" s="86">
        <f>VLOOKUP(TableQBRanks30[[#This Row],[Player]],QB!B:O,8,FALSE)</f>
        <v>0.16003897430075908</v>
      </c>
      <c r="J60" s="86">
        <f>VLOOKUP(TableQBRanks30[[#This Row],[Player]],QB!B:O,9,FALSE)</f>
        <v>1.4348963999999997</v>
      </c>
      <c r="K60" s="86">
        <f>VLOOKUP(TableQBRanks30[[#This Row],[Player]],QB!B:O,10,FALSE)</f>
        <v>5.520294089141121</v>
      </c>
      <c r="L60" s="86">
        <f>VLOOKUP(TableQBRanks30[[#This Row],[Player]],QB!B:O,11,FALSE)</f>
        <v>2.5166225590146436E-2</v>
      </c>
      <c r="M60" s="58">
        <f>IFERROR(INDEX(TableQBCalcPts[Custom],MATCH(TableQBRanks30[[#This Row],[RK]],TableQBCalcPts[RK],0)),"")</f>
        <v>3.0679900639155027</v>
      </c>
      <c r="N60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60">
        <v>59</v>
      </c>
      <c r="Q60" t="str">
        <f>IFERROR(INDEX(TableRBCalcPts[PLAYER],MATCH(TableRBRanks31[[#This Row],[RK]],TableRBCalcPts[RK],0)),"")</f>
        <v>Zamir White</v>
      </c>
      <c r="R60" t="str">
        <f>IFERROR(INDEX(TableRBCalcPts[TM],MATCH(TableRBRanks31[[#This Row],[Player]],TableRBCalcPts[PLAYER],0)),"")</f>
        <v>LV</v>
      </c>
      <c r="S60">
        <f>IFERROR(INDEX(TableRBCalcPts[BYE],MATCH(TableRBRanks31[[#This Row],[Player]],TableRBCalcPts[PLAYER],0)),"")</f>
        <v>13</v>
      </c>
      <c r="T60" s="86">
        <f>VLOOKUP(TableRBRanks31[[#This Row],[Player]],RB!B:O,4,FALSE)</f>
        <v>103.46854700000002</v>
      </c>
      <c r="U60" s="86">
        <f>VLOOKUP(TableRBRanks31[[#This Row],[Player]],RB!B:O,5,FALSE)</f>
        <v>445.58861597607017</v>
      </c>
      <c r="V60" s="86">
        <f>VLOOKUP(TableRBRanks31[[#This Row],[Player]],RB!B:O,6,FALSE)</f>
        <v>3.8283362390000004</v>
      </c>
      <c r="W60" s="86">
        <f>VLOOKUP(TableRBRanks31[[#This Row],[Player]],RB!B:O,7,FALSE)</f>
        <v>15.352973999999998</v>
      </c>
      <c r="X60" s="86">
        <f>VLOOKUP(TableRBRanks31[[#This Row],[Player]],RB!B:O,8,FALSE)</f>
        <v>9.5465221125711928</v>
      </c>
      <c r="Y60" s="86">
        <f>VLOOKUP(TableRBRanks31[[#This Row],[Player]],RB!B:O,9,FALSE)</f>
        <v>71.598915844283951</v>
      </c>
      <c r="Z60" s="86">
        <f>VLOOKUP(TableRBRanks31[[#This Row],[Player]],RB!B:O,10,FALSE)</f>
        <v>0.28639566337713579</v>
      </c>
      <c r="AA60" s="58">
        <f>IFERROR(INDEX(TableRBCalcPts[Custom],MATCH(TableRBRanks31[[#This Row],[RK]],TableRBCalcPts[RK],0)),"")</f>
        <v>81.180405652583815</v>
      </c>
      <c r="AB60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60">
        <v>59</v>
      </c>
      <c r="AE60" t="str">
        <f>IFERROR(INDEX(TableWRCalcPts[PLAYER],MATCH(TableWRRanks32[[#This Row],[RK]],TableWRCalcPts[RK],0)),"")</f>
        <v>Marvin Mims</v>
      </c>
      <c r="AF60" t="str">
        <f>IFERROR(INDEX(TableWRCalcPts[TM],MATCH(TableWRRanks32[[#This Row],[Player]],TableWRCalcPts[PLAYER],0)),"")</f>
        <v>DEN</v>
      </c>
      <c r="AG60">
        <f>IFERROR(INDEX(TableWRCalcPts[BYE],MATCH(TableWRRanks32[[#This Row],[Player]],TableWRCalcPts[PLAYER],0)),"")</f>
        <v>9</v>
      </c>
      <c r="AH60" s="86">
        <f>VLOOKUP(TableWRRanks32[[#This Row],[Player]],WR!B:O,4,FALSE)</f>
        <v>0</v>
      </c>
      <c r="AI60" s="86">
        <f>VLOOKUP(TableWRRanks32[[#This Row],[Player]],WR!B:O,5,FALSE)</f>
        <v>0</v>
      </c>
      <c r="AJ60" s="86">
        <f>VLOOKUP(TableWRRanks32[[#This Row],[Player]],WR!B:O,6,FALSE)</f>
        <v>94.328841600000018</v>
      </c>
      <c r="AK60" s="86">
        <f>VLOOKUP(TableWRRanks32[[#This Row],[Player]],WR!B:O,7,FALSE)</f>
        <v>53.227314537775591</v>
      </c>
      <c r="AL60" s="86">
        <f>VLOOKUP(TableWRRanks32[[#This Row],[Player]],WR!B:O,8,FALSE)</f>
        <v>752.1019544187692</v>
      </c>
      <c r="AM60" s="86">
        <f>VLOOKUP(TableWRRanks32[[#This Row],[Player]],WR!B:O,9,FALSE)</f>
        <v>4.5775490502487006</v>
      </c>
      <c r="AN60" s="58">
        <f>IFERROR(INDEX(TableWRCalcPts[Custom],MATCH(TableWRRanks32[[#This Row],[RK]],TableWRCalcPts[RK],0)),"")</f>
        <v>129.2891470122569</v>
      </c>
      <c r="AO6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60">
        <v>59</v>
      </c>
      <c r="AR60" t="str">
        <f>IFERROR(INDEX(TableTECalcPts[PLAYER],MATCH(TableTERanks33[[#This Row],[RK]],TableTECalcPts[RK],0)),"")</f>
        <v>Robert Tonyan</v>
      </c>
      <c r="AS60" t="str">
        <f>IFERROR(INDEX(TableTECalcPts[TM],MATCH(TableTERanks33[[#This Row],[Player]],TableTECalcPts[PLAYER],0)),"")</f>
        <v>CHI</v>
      </c>
      <c r="AT60">
        <f>IFERROR(INDEX(TableTECalcPts[BYE],MATCH(TableTERanks33[[#This Row],[Player]],TableTECalcPts[PLAYER],0)),"")</f>
        <v>13</v>
      </c>
      <c r="AU60" s="86">
        <f>VLOOKUP(TableTERanks33[[#This Row],[Player]],TE!B:O,4,FALSE)</f>
        <v>17.439938879999996</v>
      </c>
      <c r="AV60" s="86">
        <f>VLOOKUP(TableTERanks33[[#This Row],[Player]],TE!B:O,5,FALSE)</f>
        <v>12.016117888319997</v>
      </c>
      <c r="AW60" s="86">
        <f>VLOOKUP(TableTERanks33[[#This Row],[Player]],TE!B:O,6,FALSE)</f>
        <v>119.73482714973335</v>
      </c>
      <c r="AX60" s="86">
        <f>VLOOKUP(TableTERanks33[[#This Row],[Player]],TE!B:O,7,FALSE)</f>
        <v>0.84112825218239984</v>
      </c>
      <c r="AY60" s="58">
        <f>IFERROR(INDEX(TableTECalcPts[Custom],MATCH(TableTERanks33[[#This Row],[RK]],TableTECalcPts[RK],0)),"")</f>
        <v>23.028311172227735</v>
      </c>
      <c r="AZ60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61" spans="1:52" x14ac:dyDescent="0.2">
      <c r="A61">
        <v>60</v>
      </c>
      <c r="B61" t="str">
        <f>IFERROR(INDEX(TableQBCalcPts[PLAYER],MATCH(TableQBRanks30[[#This Row],[RK]],TableQBCalcPts[RK],0)),"")</f>
        <v>Zach Wilson</v>
      </c>
      <c r="C61" t="str">
        <f>IFERROR(INDEX(TableQBCalcPts[TM],MATCH(TableQBRanks30[[#This Row],[Player]],TableQBCalcPts[PLAYER],0)),"")</f>
        <v>NYJ</v>
      </c>
      <c r="D61">
        <f>IFERROR(INDEX(TableQBCalcPts[BYE],MATCH(TableQBRanks30[[#This Row],[Player]],TableQBCalcPts[PLAYER],0)),"")</f>
        <v>7</v>
      </c>
      <c r="E61" s="86">
        <f>VLOOKUP(TableQBRanks30[[#This Row],[Player]],QB!B:O,4,FALSE)</f>
        <v>6.066450000000005</v>
      </c>
      <c r="F61" s="86">
        <f>VLOOKUP(TableQBRanks30[[#This Row],[Player]],QB!B:O,5,FALSE)</f>
        <v>3.4986110617712485</v>
      </c>
      <c r="G61" s="86">
        <f>VLOOKUP(TableQBRanks30[[#This Row],[Player]],QB!B:O,6,FALSE)</f>
        <v>38.3797633476306</v>
      </c>
      <c r="H61" s="86">
        <f>VLOOKUP(TableQBRanks30[[#This Row],[Player]],QB!B:O,7,FALSE)</f>
        <v>0.1903244417603559</v>
      </c>
      <c r="I61" s="86">
        <f>VLOOKUP(TableQBRanks30[[#This Row],[Player]],QB!B:O,8,FALSE)</f>
        <v>0.22325584841839186</v>
      </c>
      <c r="J61" s="86">
        <f>VLOOKUP(TableQBRanks30[[#This Row],[Player]],QB!B:O,9,FALSE)</f>
        <v>1.2845113705583757</v>
      </c>
      <c r="K61" s="86">
        <f>VLOOKUP(TableQBRanks30[[#This Row],[Player]],QB!B:O,10,FALSE)</f>
        <v>5.356335353023538</v>
      </c>
      <c r="L61" s="86">
        <f>VLOOKUP(TableQBRanks30[[#This Row],[Player]],QB!B:O,11,FALSE)</f>
        <v>3.8535341116751269E-2</v>
      </c>
      <c r="M61" s="58">
        <f>IFERROR(INDEX(TableQBCalcPts[Custom],MATCH(TableQBRanks30[[#This Row],[RK]],TableQBCalcPts[RK],0)),"")</f>
        <v>2.8400780345311172</v>
      </c>
      <c r="N61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61">
        <v>60</v>
      </c>
      <c r="Q61" t="str">
        <f>IFERROR(INDEX(TableRBCalcPts[PLAYER],MATCH(TableRBRanks31[[#This Row],[RK]],TableRBCalcPts[RK],0)),"")</f>
        <v>Chuba Hubbard</v>
      </c>
      <c r="R61" t="str">
        <f>IFERROR(INDEX(TableRBCalcPts[TM],MATCH(TableRBRanks31[[#This Row],[Player]],TableRBCalcPts[PLAYER],0)),"")</f>
        <v>CAR</v>
      </c>
      <c r="S61">
        <f>IFERROR(INDEX(TableRBCalcPts[BYE],MATCH(TableRBRanks31[[#This Row],[Player]],TableRBCalcPts[PLAYER],0)),"")</f>
        <v>7</v>
      </c>
      <c r="T61" s="86">
        <f>VLOOKUP(TableRBRanks31[[#This Row],[Player]],RB!B:O,4,FALSE)</f>
        <v>52.576999020000009</v>
      </c>
      <c r="U61" s="86">
        <f>VLOOKUP(TableRBRanks31[[#This Row],[Player]],RB!B:O,5,FALSE)</f>
        <v>226.60686577620001</v>
      </c>
      <c r="V61" s="86">
        <f>VLOOKUP(TableRBRanks31[[#This Row],[Player]],RB!B:O,6,FALSE)</f>
        <v>1.9453489637400003</v>
      </c>
      <c r="W61" s="86">
        <f>VLOOKUP(TableRBRanks31[[#This Row],[Player]],RB!B:O,7,FALSE)</f>
        <v>41.1910758</v>
      </c>
      <c r="X61" s="86">
        <f>VLOOKUP(TableRBRanks31[[#This Row],[Player]],RB!B:O,8,FALSE)</f>
        <v>28.255536884916104</v>
      </c>
      <c r="Y61" s="86">
        <f>VLOOKUP(TableRBRanks31[[#This Row],[Player]],RB!B:O,9,FALSE)</f>
        <v>246.3799652643273</v>
      </c>
      <c r="Z61" s="86">
        <f>VLOOKUP(TableRBRanks31[[#This Row],[Player]],RB!B:O,10,FALSE)</f>
        <v>1.073710401626812</v>
      </c>
      <c r="AA61" s="58">
        <f>IFERROR(INDEX(TableRBCalcPts[Custom],MATCH(TableRBRanks31[[#This Row],[RK]],TableRBCalcPts[RK],0)),"")</f>
        <v>79.540807738711649</v>
      </c>
      <c r="AB61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61">
        <v>60</v>
      </c>
      <c r="AE61" t="str">
        <f>IFERROR(INDEX(TableWRCalcPts[PLAYER],MATCH(TableWRRanks32[[#This Row],[RK]],TableWRCalcPts[RK],0)),"")</f>
        <v>Curtis Samuel</v>
      </c>
      <c r="AF61" t="str">
        <f>IFERROR(INDEX(TableWRCalcPts[TM],MATCH(TableWRRanks32[[#This Row],[Player]],TableWRCalcPts[PLAYER],0)),"")</f>
        <v>WSH</v>
      </c>
      <c r="AG61">
        <f>IFERROR(INDEX(TableWRCalcPts[BYE],MATCH(TableWRRanks32[[#This Row],[Player]],TableWRCalcPts[PLAYER],0)),"")</f>
        <v>14</v>
      </c>
      <c r="AH61" s="86">
        <f>VLOOKUP(TableWRRanks32[[#This Row],[Player]],WR!B:O,4,FALSE)</f>
        <v>120.03891986519997</v>
      </c>
      <c r="AI61" s="86">
        <f>VLOOKUP(TableWRRanks32[[#This Row],[Player]],WR!B:O,5,FALSE)</f>
        <v>1.237575826558371</v>
      </c>
      <c r="AJ61" s="86">
        <f>VLOOKUP(TableWRRanks32[[#This Row],[Player]],WR!B:O,6,FALSE)</f>
        <v>86.150900360000009</v>
      </c>
      <c r="AK61" s="86">
        <f>VLOOKUP(TableWRRanks32[[#This Row],[Player]],WR!B:O,7,FALSE)</f>
        <v>56.48730666704396</v>
      </c>
      <c r="AL61" s="86">
        <f>VLOOKUP(TableWRRanks32[[#This Row],[Player]],WR!B:O,8,FALSE)</f>
        <v>602.60634392071938</v>
      </c>
      <c r="AM61" s="86">
        <f>VLOOKUP(TableWRRanks32[[#This Row],[Player]],WR!B:O,9,FALSE)</f>
        <v>3.5587003200237697</v>
      </c>
      <c r="AN61" s="58">
        <f>IFERROR(INDEX(TableWRCalcPts[Custom],MATCH(TableWRRanks32[[#This Row],[RK]],TableWRCalcPts[RK],0)),"")</f>
        <v>129.28583659160677</v>
      </c>
      <c r="AO6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61">
        <v>60</v>
      </c>
      <c r="AR61" t="str">
        <f>IFERROR(INDEX(TableTECalcPts[PLAYER],MATCH(TableTERanks33[[#This Row],[RK]],TableTECalcPts[RK],0)),"")</f>
        <v>Jordan Akins</v>
      </c>
      <c r="AS61" t="str">
        <f>IFERROR(INDEX(TableTECalcPts[TM],MATCH(TableTERanks33[[#This Row],[Player]],TableTECalcPts[PLAYER],0)),"")</f>
        <v>CLE</v>
      </c>
      <c r="AT61">
        <f>IFERROR(INDEX(TableTECalcPts[BYE],MATCH(TableTERanks33[[#This Row],[Player]],TableTECalcPts[PLAYER],0)),"")</f>
        <v>5</v>
      </c>
      <c r="AU61" s="86">
        <f>VLOOKUP(TableTERanks33[[#This Row],[Player]],TE!B:O,4,FALSE)</f>
        <v>15.007759199999997</v>
      </c>
      <c r="AV61" s="86">
        <f>VLOOKUP(TableTERanks33[[#This Row],[Player]],TE!B:O,5,FALSE)</f>
        <v>10.81527932571105</v>
      </c>
      <c r="AW61" s="86">
        <f>VLOOKUP(TableTERanks33[[#This Row],[Player]],TE!B:O,6,FALSE)</f>
        <v>120.86263916319592</v>
      </c>
      <c r="AX61" s="86">
        <f>VLOOKUP(TableTERanks33[[#This Row],[Player]],TE!B:O,7,FALSE)</f>
        <v>0.89766818403401716</v>
      </c>
      <c r="AY61" s="58">
        <f>IFERROR(INDEX(TableTECalcPts[Custom],MATCH(TableTERanks33[[#This Row],[RK]],TableTECalcPts[RK],0)),"")</f>
        <v>22.879912683379221</v>
      </c>
      <c r="AZ61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62" spans="1:52" x14ac:dyDescent="0.2">
      <c r="A62">
        <v>61</v>
      </c>
      <c r="B62" t="str">
        <f>IFERROR(INDEX(TableQBCalcPts[PLAYER],MATCH(TableQBRanks30[[#This Row],[RK]],TableQBCalcPts[RK],0)),"")</f>
        <v>Blaine Gabbert</v>
      </c>
      <c r="C62" t="str">
        <f>IFERROR(INDEX(TableQBCalcPts[TM],MATCH(TableQBRanks30[[#This Row],[Player]],TableQBCalcPts[PLAYER],0)),"")</f>
        <v>KC</v>
      </c>
      <c r="D62">
        <f>IFERROR(INDEX(TableQBCalcPts[BYE],MATCH(TableQBRanks30[[#This Row],[Player]],TableQBCalcPts[PLAYER],0)),"")</f>
        <v>10</v>
      </c>
      <c r="E62" s="86">
        <f>VLOOKUP(TableQBRanks30[[#This Row],[Player]],QB!B:O,4,FALSE)</f>
        <v>6.6721200000000058</v>
      </c>
      <c r="F62" s="86">
        <f>VLOOKUP(TableQBRanks30[[#This Row],[Player]],QB!B:O,5,FALSE)</f>
        <v>4.0077092943128338</v>
      </c>
      <c r="G62" s="86">
        <f>VLOOKUP(TableQBRanks30[[#This Row],[Player]],QB!B:O,6,FALSE)</f>
        <v>45.314959961112272</v>
      </c>
      <c r="H62" s="86">
        <f>VLOOKUP(TableQBRanks30[[#This Row],[Player]],QB!B:O,7,FALSE)</f>
        <v>0.27026856818356987</v>
      </c>
      <c r="I62" s="86">
        <f>VLOOKUP(TableQBRanks30[[#This Row],[Player]],QB!B:O,8,FALSE)</f>
        <v>0.16408350361211849</v>
      </c>
      <c r="J62" s="86">
        <f>VLOOKUP(TableQBRanks30[[#This Row],[Player]],QB!B:O,9,FALSE)</f>
        <v>0</v>
      </c>
      <c r="K62" s="86">
        <f>VLOOKUP(TableQBRanks30[[#This Row],[Player]],QB!B:O,10,FALSE)</f>
        <v>0</v>
      </c>
      <c r="L62" s="86">
        <f>VLOOKUP(TableQBRanks30[[#This Row],[Player]],QB!B:O,11,FALSE)</f>
        <v>0</v>
      </c>
      <c r="M62" s="58">
        <f>IFERROR(INDEX(TableQBCalcPts[Custom],MATCH(TableQBRanks30[[#This Row],[RK]],TableQBCalcPts[RK],0)),"")</f>
        <v>2.7295891675666519</v>
      </c>
      <c r="N62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62">
        <v>61</v>
      </c>
      <c r="Q62" t="str">
        <f>IFERROR(INDEX(TableRBCalcPts[PLAYER],MATCH(TableRBRanks31[[#This Row],[RK]],TableRBCalcPts[RK],0)),"")</f>
        <v>Cordarrelle Patterson</v>
      </c>
      <c r="R62" t="str">
        <f>IFERROR(INDEX(TableRBCalcPts[TM],MATCH(TableRBRanks31[[#This Row],[Player]],TableRBCalcPts[PLAYER],0)),"")</f>
        <v>ATL</v>
      </c>
      <c r="S62">
        <f>IFERROR(INDEX(TableRBCalcPts[BYE],MATCH(TableRBRanks31[[#This Row],[Player]],TableRBCalcPts[PLAYER],0)),"")</f>
        <v>11</v>
      </c>
      <c r="T62" s="86">
        <f>VLOOKUP(TableRBRanks31[[#This Row],[Player]],RB!B:O,4,FALSE)</f>
        <v>44.350064639999999</v>
      </c>
      <c r="U62" s="86">
        <f>VLOOKUP(TableRBRanks31[[#This Row],[Player]],RB!B:O,5,FALSE)</f>
        <v>201.25286553045106</v>
      </c>
      <c r="V62" s="86">
        <f>VLOOKUP(TableRBRanks31[[#This Row],[Player]],RB!B:O,6,FALSE)</f>
        <v>1.8627027148800002</v>
      </c>
      <c r="W62" s="86">
        <f>VLOOKUP(TableRBRanks31[[#This Row],[Player]],RB!B:O,7,FALSE)</f>
        <v>42.485022719999996</v>
      </c>
      <c r="X62" s="86">
        <f>VLOOKUP(TableRBRanks31[[#This Row],[Player]],RB!B:O,8,FALSE)</f>
        <v>32.252144408360678</v>
      </c>
      <c r="Y62" s="86">
        <f>VLOOKUP(TableRBRanks31[[#This Row],[Player]],RB!B:O,9,FALSE)</f>
        <v>228.40380607507731</v>
      </c>
      <c r="Z62" s="86">
        <f>VLOOKUP(TableRBRanks31[[#This Row],[Player]],RB!B:O,10,FALSE)</f>
        <v>0.80630361020901697</v>
      </c>
      <c r="AA62" s="58">
        <f>IFERROR(INDEX(TableRBCalcPts[Custom],MATCH(TableRBRanks31[[#This Row],[RK]],TableRBCalcPts[RK],0)),"")</f>
        <v>75.105777315267275</v>
      </c>
      <c r="AB62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62">
        <v>61</v>
      </c>
      <c r="AE62" t="str">
        <f>IFERROR(INDEX(TableWRCalcPts[PLAYER],MATCH(TableWRRanks32[[#This Row],[RK]],TableWRCalcPts[RK],0)),"")</f>
        <v>Darius Slayton</v>
      </c>
      <c r="AF62" t="str">
        <f>IFERROR(INDEX(TableWRCalcPts[TM],MATCH(TableWRRanks32[[#This Row],[Player]],TableWRCalcPts[PLAYER],0)),"")</f>
        <v>NYG</v>
      </c>
      <c r="AG62">
        <f>IFERROR(INDEX(TableWRCalcPts[BYE],MATCH(TableWRRanks32[[#This Row],[Player]],TableWRCalcPts[PLAYER],0)),"")</f>
        <v>13</v>
      </c>
      <c r="AH62" s="86">
        <f>VLOOKUP(TableWRRanks32[[#This Row],[Player]],WR!B:O,4,FALSE)</f>
        <v>0</v>
      </c>
      <c r="AI62" s="86">
        <f>VLOOKUP(TableWRRanks32[[#This Row],[Player]],WR!B:O,5,FALSE)</f>
        <v>0</v>
      </c>
      <c r="AJ62" s="86">
        <f>VLOOKUP(TableWRRanks32[[#This Row],[Player]],WR!B:O,6,FALSE)</f>
        <v>79.026385619999999</v>
      </c>
      <c r="AK62" s="86">
        <f>VLOOKUP(TableWRRanks32[[#This Row],[Player]],WR!B:O,7,FALSE)</f>
        <v>53.165598070019477</v>
      </c>
      <c r="AL62" s="86">
        <f>VLOOKUP(TableWRRanks32[[#This Row],[Player]],WR!B:O,8,FALSE)</f>
        <v>712.41901413826099</v>
      </c>
      <c r="AM62" s="86">
        <f>VLOOKUP(TableWRRanks32[[#This Row],[Player]],WR!B:O,9,FALSE)</f>
        <v>3.8810886591114215</v>
      </c>
      <c r="AN62" s="58">
        <f>IFERROR(INDEX(TableWRCalcPts[Custom],MATCH(TableWRRanks32[[#This Row],[RK]],TableWRCalcPts[RK],0)),"")</f>
        <v>121.11123240350437</v>
      </c>
      <c r="AO6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62">
        <v>61</v>
      </c>
      <c r="AR62" t="str">
        <f>IFERROR(INDEX(TableTECalcPts[PLAYER],MATCH(TableTERanks33[[#This Row],[RK]],TableTECalcPts[RK],0)),"")</f>
        <v>Harrison Bryant</v>
      </c>
      <c r="AS62" t="str">
        <f>IFERROR(INDEX(TableTECalcPts[TM],MATCH(TableTERanks33[[#This Row],[Player]],TableTECalcPts[PLAYER],0)),"")</f>
        <v>CLE</v>
      </c>
      <c r="AT62">
        <f>IFERROR(INDEX(TableTECalcPts[BYE],MATCH(TableTERanks33[[#This Row],[Player]],TableTECalcPts[PLAYER],0)),"")</f>
        <v>5</v>
      </c>
      <c r="AU62" s="86">
        <f>VLOOKUP(TableTERanks33[[#This Row],[Player]],TE!B:O,4,FALSE)</f>
        <v>16.6157334</v>
      </c>
      <c r="AV62" s="86">
        <f>VLOOKUP(TableTERanks33[[#This Row],[Player]],TE!B:O,5,FALSE)</f>
        <v>11.939137541930981</v>
      </c>
      <c r="AW62" s="86">
        <f>VLOOKUP(TableTERanks33[[#This Row],[Player]],TE!B:O,6,FALSE)</f>
        <v>114.31426272827018</v>
      </c>
      <c r="AX62" s="86">
        <f>VLOOKUP(TableTERanks33[[#This Row],[Player]],TE!B:O,7,FALSE)</f>
        <v>0.83573962793516876</v>
      </c>
      <c r="AY62" s="58">
        <f>IFERROR(INDEX(TableTECalcPts[Custom],MATCH(TableTERanks33[[#This Row],[RK]],TableTECalcPts[RK],0)),"")</f>
        <v>22.41543281140352</v>
      </c>
      <c r="AZ62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63" spans="1:52" x14ac:dyDescent="0.2">
      <c r="A63">
        <v>62</v>
      </c>
      <c r="B63" t="str">
        <f>IFERROR(INDEX(TableQBCalcPts[PLAYER],MATCH(TableQBRanks30[[#This Row],[RK]],TableQBCalcPts[RK],0)),"")</f>
        <v>Easton Stick</v>
      </c>
      <c r="C63" t="str">
        <f>IFERROR(INDEX(TableQBCalcPts[TM],MATCH(TableQBRanks30[[#This Row],[Player]],TableQBCalcPts[PLAYER],0)),"")</f>
        <v>LAC</v>
      </c>
      <c r="D63">
        <f>IFERROR(INDEX(TableQBCalcPts[BYE],MATCH(TableQBRanks30[[#This Row],[Player]],TableQBCalcPts[PLAYER],0)),"")</f>
        <v>5</v>
      </c>
      <c r="E63" s="86">
        <f>VLOOKUP(TableQBRanks30[[#This Row],[Player]],QB!B:O,4,FALSE)</f>
        <v>6.7377000000000056</v>
      </c>
      <c r="F63" s="86">
        <f>VLOOKUP(TableQBRanks30[[#This Row],[Player]],QB!B:O,5,FALSE)</f>
        <v>4.0688821880684412</v>
      </c>
      <c r="G63" s="86">
        <f>VLOOKUP(TableQBRanks30[[#This Row],[Player]],QB!B:O,6,FALSE)</f>
        <v>41.583975962059469</v>
      </c>
      <c r="H63" s="86">
        <f>VLOOKUP(TableQBRanks30[[#This Row],[Player]],QB!B:O,7,FALSE)</f>
        <v>0.27352406176017979</v>
      </c>
      <c r="I63" s="86">
        <f>VLOOKUP(TableQBRanks30[[#This Row],[Player]],QB!B:O,8,FALSE)</f>
        <v>0.17437897120395998</v>
      </c>
      <c r="J63" s="86">
        <f>VLOOKUP(TableQBRanks30[[#This Row],[Player]],QB!B:O,9,FALSE)</f>
        <v>0</v>
      </c>
      <c r="K63" s="86">
        <f>VLOOKUP(TableQBRanks30[[#This Row],[Player]],QB!B:O,10,FALSE)</f>
        <v>0</v>
      </c>
      <c r="L63" s="86">
        <f>VLOOKUP(TableQBRanks30[[#This Row],[Player]],QB!B:O,11,FALSE)</f>
        <v>0</v>
      </c>
      <c r="M63" s="58">
        <f>IFERROR(INDEX(TableQBCalcPts[Custom],MATCH(TableQBRanks30[[#This Row],[RK]],TableQBCalcPts[RK],0)),"")</f>
        <v>2.583076314319138</v>
      </c>
      <c r="N63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63">
        <v>62</v>
      </c>
      <c r="Q63" t="str">
        <f>IFERROR(INDEX(TableRBCalcPts[PLAYER],MATCH(TableRBRanks31[[#This Row],[RK]],TableRBCalcPts[RK],0)),"")</f>
        <v>Tyler Allgeier</v>
      </c>
      <c r="R63" t="str">
        <f>IFERROR(INDEX(TableRBCalcPts[TM],MATCH(TableRBRanks31[[#This Row],[Player]],TableRBCalcPts[PLAYER],0)),"")</f>
        <v>ATL</v>
      </c>
      <c r="S63">
        <f>IFERROR(INDEX(TableRBCalcPts[BYE],MATCH(TableRBRanks31[[#This Row],[Player]],TableRBCalcPts[PLAYER],0)),"")</f>
        <v>11</v>
      </c>
      <c r="T63" s="86">
        <f>VLOOKUP(TableRBRanks31[[#This Row],[Player]],RB!B:O,4,FALSE)</f>
        <v>89.18219520000001</v>
      </c>
      <c r="U63" s="86">
        <f>VLOOKUP(TableRBRanks31[[#This Row],[Player]],RB!B:O,5,FALSE)</f>
        <v>391.50983692800003</v>
      </c>
      <c r="V63" s="86">
        <f>VLOOKUP(TableRBRanks31[[#This Row],[Player]],RB!B:O,6,FALSE)</f>
        <v>2.9430124416000005</v>
      </c>
      <c r="W63" s="86">
        <f>VLOOKUP(TableRBRanks31[[#This Row],[Player]],RB!B:O,7,FALSE)</f>
        <v>15.173222399999997</v>
      </c>
      <c r="X63" s="86">
        <f>VLOOKUP(TableRBRanks31[[#This Row],[Player]],RB!B:O,8,FALSE)</f>
        <v>11.822863973427133</v>
      </c>
      <c r="Y63" s="86">
        <f>VLOOKUP(TableRBRanks31[[#This Row],[Player]],RB!B:O,9,FALSE)</f>
        <v>91.633656000557863</v>
      </c>
      <c r="Z63" s="86">
        <f>VLOOKUP(TableRBRanks31[[#This Row],[Player]],RB!B:O,10,FALSE)</f>
        <v>0.38138270882023007</v>
      </c>
      <c r="AA63" s="58">
        <f>IFERROR(INDEX(TableRBCalcPts[Custom],MATCH(TableRBRanks31[[#This Row],[RK]],TableRBCalcPts[RK],0)),"")</f>
        <v>74.172152182090741</v>
      </c>
      <c r="AB63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63">
        <v>62</v>
      </c>
      <c r="AE63" t="str">
        <f>IFERROR(INDEX(TableWRCalcPts[PLAYER],MATCH(TableWRRanks32[[#This Row],[RK]],TableWRCalcPts[RK],0)),"")</f>
        <v>Michael Wilson</v>
      </c>
      <c r="AF63" t="str">
        <f>IFERROR(INDEX(TableWRCalcPts[TM],MATCH(TableWRRanks32[[#This Row],[Player]],TableWRCalcPts[PLAYER],0)),"")</f>
        <v>ARI</v>
      </c>
      <c r="AG63">
        <f>IFERROR(INDEX(TableWRCalcPts[BYE],MATCH(TableWRRanks32[[#This Row],[Player]],TableWRCalcPts[PLAYER],0)),"")</f>
        <v>14</v>
      </c>
      <c r="AH63" s="86">
        <f>VLOOKUP(TableWRRanks32[[#This Row],[Player]],WR!B:O,4,FALSE)</f>
        <v>0</v>
      </c>
      <c r="AI63" s="86">
        <f>VLOOKUP(TableWRRanks32[[#This Row],[Player]],WR!B:O,5,FALSE)</f>
        <v>0</v>
      </c>
      <c r="AJ63" s="86">
        <f>VLOOKUP(TableWRRanks32[[#This Row],[Player]],WR!B:O,6,FALSE)</f>
        <v>92.476230000000001</v>
      </c>
      <c r="AK63" s="86">
        <f>VLOOKUP(TableWRRanks32[[#This Row],[Player]],WR!B:O,7,FALSE)</f>
        <v>55.57821423</v>
      </c>
      <c r="AL63" s="86">
        <f>VLOOKUP(TableWRRanks32[[#This Row],[Player]],WR!B:O,8,FALSE)</f>
        <v>686.3909457405</v>
      </c>
      <c r="AM63" s="86">
        <f>VLOOKUP(TableWRRanks32[[#This Row],[Player]],WR!B:O,9,FALSE)</f>
        <v>3.8904749961000005</v>
      </c>
      <c r="AN63" s="58">
        <f>IFERROR(INDEX(TableWRCalcPts[Custom],MATCH(TableWRRanks32[[#This Row],[RK]],TableWRCalcPts[RK],0)),"")</f>
        <v>119.77105166565002</v>
      </c>
      <c r="AO6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63">
        <v>62</v>
      </c>
      <c r="AR63" t="str">
        <f>IFERROR(INDEX(TableTECalcPts[PLAYER],MATCH(TableTERanks33[[#This Row],[RK]],TableTECalcPts[RK],0)),"")</f>
        <v>Drew Sample</v>
      </c>
      <c r="AS63" t="str">
        <f>IFERROR(INDEX(TableTECalcPts[TM],MATCH(TableTERanks33[[#This Row],[Player]],TableTECalcPts[PLAYER],0)),"")</f>
        <v>CIN</v>
      </c>
      <c r="AT63">
        <f>IFERROR(INDEX(TableTECalcPts[BYE],MATCH(TableTERanks33[[#This Row],[Player]],TableTECalcPts[PLAYER],0)),"")</f>
        <v>7</v>
      </c>
      <c r="AU63" s="86">
        <f>VLOOKUP(TableTERanks33[[#This Row],[Player]],TE!B:O,4,FALSE)</f>
        <v>18.4628178</v>
      </c>
      <c r="AV63" s="86">
        <f>VLOOKUP(TableTERanks33[[#This Row],[Player]],TE!B:O,5,FALSE)</f>
        <v>12.554716104000001</v>
      </c>
      <c r="AW63" s="86">
        <f>VLOOKUP(TableTERanks33[[#This Row],[Player]],TE!B:O,6,FALSE)</f>
        <v>109.2260301048</v>
      </c>
      <c r="AX63" s="86">
        <f>VLOOKUP(TableTERanks33[[#This Row],[Player]],TE!B:O,7,FALSE)</f>
        <v>0.83698107360000007</v>
      </c>
      <c r="AY63" s="58">
        <f>IFERROR(INDEX(TableTECalcPts[Custom],MATCH(TableTERanks33[[#This Row],[RK]],TableTECalcPts[RK],0)),"")</f>
        <v>22.221847504079999</v>
      </c>
      <c r="AZ63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64" spans="1:52" x14ac:dyDescent="0.2">
      <c r="A64">
        <v>63</v>
      </c>
      <c r="B64" t="str">
        <f>IFERROR(INDEX(TableQBCalcPts[PLAYER],MATCH(TableQBRanks30[[#This Row],[RK]],TableQBCalcPts[RK],0)),"")</f>
        <v>C.J. Beathard</v>
      </c>
      <c r="C64" t="str">
        <f>IFERROR(INDEX(TableQBCalcPts[TM],MATCH(TableQBRanks30[[#This Row],[Player]],TableQBCalcPts[PLAYER],0)),"")</f>
        <v>JAX</v>
      </c>
      <c r="D64">
        <f>IFERROR(INDEX(TableQBCalcPts[BYE],MATCH(TableQBRanks30[[#This Row],[Player]],TableQBCalcPts[PLAYER],0)),"")</f>
        <v>9</v>
      </c>
      <c r="E64" s="86">
        <f>VLOOKUP(TableQBRanks30[[#This Row],[Player]],QB!B:O,4,FALSE)</f>
        <v>6.3071000000000046</v>
      </c>
      <c r="F64" s="86">
        <f>VLOOKUP(TableQBRanks30[[#This Row],[Player]],QB!B:O,5,FALSE)</f>
        <v>3.8325650501358539</v>
      </c>
      <c r="G64" s="86">
        <f>VLOOKUP(TableQBRanks30[[#This Row],[Player]],QB!B:O,6,FALSE)</f>
        <v>42.423822390540963</v>
      </c>
      <c r="H64" s="86">
        <f>VLOOKUP(TableQBRanks30[[#This Row],[Player]],QB!B:O,7,FALSE)</f>
        <v>0.22292674849442606</v>
      </c>
      <c r="I64" s="86">
        <f>VLOOKUP(TableQBRanks30[[#This Row],[Player]],QB!B:O,8,FALSE)</f>
        <v>0.20347278271423191</v>
      </c>
      <c r="J64" s="86">
        <f>VLOOKUP(TableQBRanks30[[#This Row],[Player]],QB!B:O,9,FALSE)</f>
        <v>0</v>
      </c>
      <c r="K64" s="86">
        <f>VLOOKUP(TableQBRanks30[[#This Row],[Player]],QB!B:O,10,FALSE)</f>
        <v>0</v>
      </c>
      <c r="L64" s="86">
        <f>VLOOKUP(TableQBRanks30[[#This Row],[Player]],QB!B:O,11,FALSE)</f>
        <v>0</v>
      </c>
      <c r="M64" s="58">
        <f>IFERROR(INDEX(TableQBCalcPts[Custom],MATCH(TableQBRanks30[[#This Row],[RK]],TableQBCalcPts[RK],0)),"")</f>
        <v>2.3851871068851112</v>
      </c>
      <c r="N64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64">
        <v>63</v>
      </c>
      <c r="Q64" t="str">
        <f>IFERROR(INDEX(TableRBCalcPts[PLAYER],MATCH(TableRBRanks31[[#This Row],[RK]],TableRBCalcPts[RK],0)),"")</f>
        <v>Rico Dowdle</v>
      </c>
      <c r="R64" t="str">
        <f>IFERROR(INDEX(TableRBCalcPts[TM],MATCH(TableRBRanks31[[#This Row],[Player]],TableRBCalcPts[PLAYER],0)),"")</f>
        <v>DAL</v>
      </c>
      <c r="S64">
        <f>IFERROR(INDEX(TableRBCalcPts[BYE],MATCH(TableRBRanks31[[#This Row],[Player]],TableRBCalcPts[PLAYER],0)),"")</f>
        <v>7</v>
      </c>
      <c r="T64" s="86">
        <f>VLOOKUP(TableRBRanks31[[#This Row],[Player]],RB!B:O,4,FALSE)</f>
        <v>91.919923199999999</v>
      </c>
      <c r="U64" s="86">
        <f>VLOOKUP(TableRBRanks31[[#This Row],[Player]],RB!B:O,5,FALSE)</f>
        <v>393.41727129600002</v>
      </c>
      <c r="V64" s="86">
        <f>VLOOKUP(TableRBRanks31[[#This Row],[Player]],RB!B:O,6,FALSE)</f>
        <v>3.6767969279999999</v>
      </c>
      <c r="W64" s="86">
        <f>VLOOKUP(TableRBRanks31[[#This Row],[Player]],RB!B:O,7,FALSE)</f>
        <v>12.567582720000001</v>
      </c>
      <c r="X64" s="86">
        <f>VLOOKUP(TableRBRanks31[[#This Row],[Player]],RB!B:O,8,FALSE)</f>
        <v>8.0515231862733678</v>
      </c>
      <c r="Y64" s="86">
        <f>VLOOKUP(TableRBRanks31[[#This Row],[Player]],RB!B:O,9,FALSE)</f>
        <v>55.641706395255021</v>
      </c>
      <c r="Z64" s="86">
        <f>VLOOKUP(TableRBRanks31[[#This Row],[Player]],RB!B:O,10,FALSE)</f>
        <v>0.24959721877447441</v>
      </c>
      <c r="AA64" s="58">
        <f>IFERROR(INDEX(TableRBCalcPts[Custom],MATCH(TableRBRanks31[[#This Row],[RK]],TableRBCalcPts[RK],0)),"")</f>
        <v>72.49002424290903</v>
      </c>
      <c r="AB64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64">
        <v>63</v>
      </c>
      <c r="AE64" t="str">
        <f>IFERROR(INDEX(TableWRCalcPts[PLAYER],MATCH(TableWRRanks32[[#This Row],[RK]],TableWRCalcPts[RK],0)),"")</f>
        <v>Jayden Reed</v>
      </c>
      <c r="AF64" t="str">
        <f>IFERROR(INDEX(TableWRCalcPts[TM],MATCH(TableWRRanks32[[#This Row],[Player]],TableWRCalcPts[PLAYER],0)),"")</f>
        <v>GB</v>
      </c>
      <c r="AG64">
        <f>IFERROR(INDEX(TableWRCalcPts[BYE],MATCH(TableWRRanks32[[#This Row],[Player]],TableWRCalcPts[PLAYER],0)),"")</f>
        <v>6</v>
      </c>
      <c r="AH64" s="86">
        <f>VLOOKUP(TableWRRanks32[[#This Row],[Player]],WR!B:O,4,FALSE)</f>
        <v>31.618738920028076</v>
      </c>
      <c r="AI64" s="86">
        <f>VLOOKUP(TableWRRanks32[[#This Row],[Player]],WR!B:O,5,FALSE)</f>
        <v>0.34386496773716252</v>
      </c>
      <c r="AJ64" s="86">
        <f>VLOOKUP(TableWRRanks32[[#This Row],[Player]],WR!B:O,6,FALSE)</f>
        <v>85.32965055999999</v>
      </c>
      <c r="AK64" s="86">
        <f>VLOOKUP(TableWRRanks32[[#This Row],[Player]],WR!B:O,7,FALSE)</f>
        <v>51.314136045715102</v>
      </c>
      <c r="AL64" s="86">
        <f>VLOOKUP(TableWRRanks32[[#This Row],[Player]],WR!B:O,8,FALSE)</f>
        <v>650.91951539715728</v>
      </c>
      <c r="AM64" s="86">
        <f>VLOOKUP(TableWRRanks32[[#This Row],[Player]],WR!B:O,9,FALSE)</f>
        <v>3.8485602034286326</v>
      </c>
      <c r="AN64" s="58">
        <f>IFERROR(INDEX(TableWRCalcPts[Custom],MATCH(TableWRRanks32[[#This Row],[RK]],TableWRCalcPts[RK],0)),"")</f>
        <v>119.06544448157086</v>
      </c>
      <c r="AO6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64">
        <v>63</v>
      </c>
      <c r="AR64" t="str">
        <f>IFERROR(INDEX(TableTECalcPts[PLAYER],MATCH(TableTERanks33[[#This Row],[RK]],TableTECalcPts[RK],0)),"")</f>
        <v>Ross Dwelley</v>
      </c>
      <c r="AS64" t="str">
        <f>IFERROR(INDEX(TableTECalcPts[TM],MATCH(TableTERanks33[[#This Row],[Player]],TableTECalcPts[PLAYER],0)),"")</f>
        <v>SF</v>
      </c>
      <c r="AT64">
        <f>IFERROR(INDEX(TableTECalcPts[BYE],MATCH(TableTERanks33[[#This Row],[Player]],TableTECalcPts[PLAYER],0)),"")</f>
        <v>9</v>
      </c>
      <c r="AU64" s="86">
        <f>VLOOKUP(TableTERanks33[[#This Row],[Player]],TE!B:O,4,FALSE)</f>
        <v>15.966178619999999</v>
      </c>
      <c r="AV64" s="86">
        <f>VLOOKUP(TableTERanks33[[#This Row],[Player]],TE!B:O,5,FALSE)</f>
        <v>9.5956733506199985</v>
      </c>
      <c r="AW64" s="86">
        <f>VLOOKUP(TableTERanks33[[#This Row],[Player]],TE!B:O,6,FALSE)</f>
        <v>118.02678221262599</v>
      </c>
      <c r="AX64" s="86">
        <f>VLOOKUP(TableTERanks33[[#This Row],[Player]],TE!B:O,7,FALSE)</f>
        <v>0.79644088810145997</v>
      </c>
      <c r="AY64" s="58">
        <f>IFERROR(INDEX(TableTECalcPts[Custom],MATCH(TableTERanks33[[#This Row],[RK]],TableTECalcPts[RK],0)),"")</f>
        <v>21.379160225181359</v>
      </c>
      <c r="AZ64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65" spans="1:52" x14ac:dyDescent="0.2">
      <c r="A65">
        <v>64</v>
      </c>
      <c r="B65" t="str">
        <f>IFERROR(INDEX(TableQBCalcPts[PLAYER],MATCH(TableQBRanks30[[#This Row],[RK]],TableQBCalcPts[RK],0)),"")</f>
        <v>Kyle Allen</v>
      </c>
      <c r="C65" t="str">
        <f>IFERROR(INDEX(TableQBCalcPts[TM],MATCH(TableQBRanks30[[#This Row],[Player]],TableQBCalcPts[PLAYER],0)),"")</f>
        <v>BUF</v>
      </c>
      <c r="D65">
        <f>IFERROR(INDEX(TableQBCalcPts[BYE],MATCH(TableQBRanks30[[#This Row],[Player]],TableQBCalcPts[PLAYER],0)),"")</f>
        <v>13</v>
      </c>
      <c r="E65" s="86">
        <f>VLOOKUP(TableQBRanks30[[#This Row],[Player]],QB!B:O,4,FALSE)</f>
        <v>6.5450000000000061</v>
      </c>
      <c r="F65" s="86">
        <f>VLOOKUP(TableQBRanks30[[#This Row],[Player]],QB!B:O,5,FALSE)</f>
        <v>4.0644450000000036</v>
      </c>
      <c r="G65" s="86">
        <f>VLOOKUP(TableQBRanks30[[#This Row],[Player]],QB!B:O,6,FALSE)</f>
        <v>43.083117000000037</v>
      </c>
      <c r="H65" s="86">
        <f>VLOOKUP(TableQBRanks30[[#This Row],[Player]],QB!B:O,7,FALSE)</f>
        <v>0.19509336000000019</v>
      </c>
      <c r="I65" s="86">
        <f>VLOOKUP(TableQBRanks30[[#This Row],[Player]],QB!B:O,8,FALSE)</f>
        <v>0.22760892000000021</v>
      </c>
      <c r="J65" s="86">
        <f>VLOOKUP(TableQBRanks30[[#This Row],[Player]],QB!B:O,9,FALSE)</f>
        <v>0</v>
      </c>
      <c r="K65" s="86">
        <f>VLOOKUP(TableQBRanks30[[#This Row],[Player]],QB!B:O,10,FALSE)</f>
        <v>0</v>
      </c>
      <c r="L65" s="86">
        <f>VLOOKUP(TableQBRanks30[[#This Row],[Player]],QB!B:O,11,FALSE)</f>
        <v>0</v>
      </c>
      <c r="M65" s="58">
        <f>IFERROR(INDEX(TableQBCalcPts[Custom],MATCH(TableQBRanks30[[#This Row],[RK]],TableQBCalcPts[RK],0)),"")</f>
        <v>2.2760892000000021</v>
      </c>
      <c r="N65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65">
        <v>64</v>
      </c>
      <c r="Q65" t="str">
        <f>IFERROR(INDEX(TableRBCalcPts[PLAYER],MATCH(TableRBRanks31[[#This Row],[RK]],TableRBCalcPts[RK],0)),"")</f>
        <v>Sean Tucker</v>
      </c>
      <c r="R65" t="str">
        <f>IFERROR(INDEX(TableRBCalcPts[TM],MATCH(TableRBRanks31[[#This Row],[Player]],TableRBCalcPts[PLAYER],0)),"")</f>
        <v>TB</v>
      </c>
      <c r="S65">
        <f>IFERROR(INDEX(TableRBCalcPts[BYE],MATCH(TableRBRanks31[[#This Row],[Player]],TableRBCalcPts[PLAYER],0)),"")</f>
        <v>5</v>
      </c>
      <c r="T65" s="86">
        <f>VLOOKUP(TableRBRanks31[[#This Row],[Player]],RB!B:O,4,FALSE)</f>
        <v>76.934672640000002</v>
      </c>
      <c r="U65" s="86">
        <f>VLOOKUP(TableRBRanks31[[#This Row],[Player]],RB!B:O,5,FALSE)</f>
        <v>321.21355355766678</v>
      </c>
      <c r="V65" s="86">
        <f>VLOOKUP(TableRBRanks31[[#This Row],[Player]],RB!B:O,6,FALSE)</f>
        <v>2.2311055065600001</v>
      </c>
      <c r="W65" s="86">
        <f>VLOOKUP(TableRBRanks31[[#This Row],[Player]],RB!B:O,7,FALSE)</f>
        <v>23.472395519999999</v>
      </c>
      <c r="X65" s="86">
        <f>VLOOKUP(TableRBRanks31[[#This Row],[Player]],RB!B:O,8,FALSE)</f>
        <v>18.151608966930063</v>
      </c>
      <c r="Y65" s="86">
        <f>VLOOKUP(TableRBRanks31[[#This Row],[Player]],RB!B:O,9,FALSE)</f>
        <v>127.78732712718764</v>
      </c>
      <c r="Z65" s="86">
        <f>VLOOKUP(TableRBRanks31[[#This Row],[Player]],RB!B:O,10,FALSE)</f>
        <v>0.65345792280948223</v>
      </c>
      <c r="AA65" s="58">
        <f>IFERROR(INDEX(TableRBCalcPts[Custom],MATCH(TableRBRanks31[[#This Row],[RK]],TableRBCalcPts[RK],0)),"")</f>
        <v>71.283273128167366</v>
      </c>
      <c r="AB65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65">
        <v>64</v>
      </c>
      <c r="AE65" t="str">
        <f>IFERROR(INDEX(TableWRCalcPts[PLAYER],MATCH(TableWRRanks32[[#This Row],[RK]],TableWRCalcPts[RK],0)),"")</f>
        <v>Elijah Moore</v>
      </c>
      <c r="AF65" t="str">
        <f>IFERROR(INDEX(TableWRCalcPts[TM],MATCH(TableWRRanks32[[#This Row],[Player]],TableWRCalcPts[PLAYER],0)),"")</f>
        <v>CLE</v>
      </c>
      <c r="AG65">
        <f>IFERROR(INDEX(TableWRCalcPts[BYE],MATCH(TableWRRanks32[[#This Row],[Player]],TableWRCalcPts[PLAYER],0)),"")</f>
        <v>5</v>
      </c>
      <c r="AH65" s="86">
        <f>VLOOKUP(TableWRRanks32[[#This Row],[Player]],WR!B:O,4,FALSE)</f>
        <v>0</v>
      </c>
      <c r="AI65" s="86">
        <f>VLOOKUP(TableWRRanks32[[#This Row],[Player]],WR!B:O,5,FALSE)</f>
        <v>0</v>
      </c>
      <c r="AJ65" s="86">
        <f>VLOOKUP(TableWRRanks32[[#This Row],[Player]],WR!B:O,6,FALSE)</f>
        <v>85.222632599999983</v>
      </c>
      <c r="AK65" s="86">
        <f>VLOOKUP(TableWRRanks32[[#This Row],[Player]],WR!B:O,7,FALSE)</f>
        <v>54.685314264584569</v>
      </c>
      <c r="AL65" s="86">
        <f>VLOOKUP(TableWRRanks32[[#This Row],[Player]],WR!B:O,8,FALSE)</f>
        <v>650.75523974855639</v>
      </c>
      <c r="AM65" s="86">
        <f>VLOOKUP(TableWRRanks32[[#This Row],[Player]],WR!B:O,9,FALSE)</f>
        <v>4.3748251411667658</v>
      </c>
      <c r="AN65" s="58">
        <f>IFERROR(INDEX(TableWRCalcPts[Custom],MATCH(TableWRRanks32[[#This Row],[RK]],TableWRCalcPts[RK],0)),"")</f>
        <v>118.66713195414852</v>
      </c>
      <c r="AO6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65">
        <v>64</v>
      </c>
      <c r="AR65" t="str">
        <f>IFERROR(INDEX(TableTECalcPts[PLAYER],MATCH(TableTERanks33[[#This Row],[RK]],TableTECalcPts[RK],0)),"")</f>
        <v>Tommy Tremble</v>
      </c>
      <c r="AS65" t="str">
        <f>IFERROR(INDEX(TableTECalcPts[TM],MATCH(TableTERanks33[[#This Row],[Player]],TableTECalcPts[PLAYER],0)),"")</f>
        <v>CAR</v>
      </c>
      <c r="AT65">
        <f>IFERROR(INDEX(TableTECalcPts[BYE],MATCH(TableTERanks33[[#This Row],[Player]],TableTECalcPts[PLAYER],0)),"")</f>
        <v>7</v>
      </c>
      <c r="AU65" s="86">
        <f>VLOOKUP(TableTERanks33[[#This Row],[Player]],TE!B:O,4,FALSE)</f>
        <v>17.06487426</v>
      </c>
      <c r="AV65" s="86">
        <f>VLOOKUP(TableTERanks33[[#This Row],[Player]],TE!B:O,5,FALSE)</f>
        <v>10.156222830388456</v>
      </c>
      <c r="AW65" s="86">
        <f>VLOOKUP(TableTERanks33[[#This Row],[Player]],TE!B:O,6,FALSE)</f>
        <v>104.94190783760391</v>
      </c>
      <c r="AX65" s="86">
        <f>VLOOKUP(TableTERanks33[[#This Row],[Player]],TE!B:O,7,FALSE)</f>
        <v>0.91406005473496099</v>
      </c>
      <c r="AY65" s="58">
        <f>IFERROR(INDEX(TableTECalcPts[Custom],MATCH(TableTERanks33[[#This Row],[RK]],TableTECalcPts[RK],0)),"")</f>
        <v>21.056662527364388</v>
      </c>
      <c r="AZ65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66" spans="1:52" x14ac:dyDescent="0.2">
      <c r="A66">
        <v>65</v>
      </c>
      <c r="B66" t="str">
        <f>IFERROR(INDEX(TableQBCalcPts[PLAYER],MATCH(TableQBRanks30[[#This Row],[RK]],TableQBCalcPts[RK],0)),"")</f>
        <v>Sean Clifford</v>
      </c>
      <c r="C66" t="str">
        <f>IFERROR(INDEX(TableQBCalcPts[TM],MATCH(TableQBRanks30[[#This Row],[Player]],TableQBCalcPts[PLAYER],0)),"")</f>
        <v>GB</v>
      </c>
      <c r="D66">
        <f>IFERROR(INDEX(TableQBCalcPts[BYE],MATCH(TableQBRanks30[[#This Row],[Player]],TableQBCalcPts[PLAYER],0)),"")</f>
        <v>6</v>
      </c>
      <c r="E66" s="86">
        <f>VLOOKUP(TableQBRanks30[[#This Row],[Player]],QB!B:O,4,FALSE)</f>
        <v>5.7283600000000048</v>
      </c>
      <c r="F66" s="86">
        <f>VLOOKUP(TableQBRanks30[[#This Row],[Player]],QB!B:O,5,FALSE)</f>
        <v>3.643236960000003</v>
      </c>
      <c r="G66" s="86">
        <f>VLOOKUP(TableQBRanks30[[#This Row],[Player]],QB!B:O,6,FALSE)</f>
        <v>40.075606560000033</v>
      </c>
      <c r="H66" s="86">
        <f>VLOOKUP(TableQBRanks30[[#This Row],[Player]],QB!B:O,7,FALSE)</f>
        <v>0.18835535083200017</v>
      </c>
      <c r="I66" s="86">
        <f>VLOOKUP(TableQBRanks30[[#This Row],[Player]],QB!B:O,8,FALSE)</f>
        <v>0.13479976752000011</v>
      </c>
      <c r="J66" s="86">
        <f>VLOOKUP(TableQBRanks30[[#This Row],[Player]],QB!B:O,9,FALSE)</f>
        <v>0</v>
      </c>
      <c r="K66" s="86">
        <f>VLOOKUP(TableQBRanks30[[#This Row],[Player]],QB!B:O,10,FALSE)</f>
        <v>0</v>
      </c>
      <c r="L66" s="86">
        <f>VLOOKUP(TableQBRanks30[[#This Row],[Player]],QB!B:O,11,FALSE)</f>
        <v>0</v>
      </c>
      <c r="M66" s="58">
        <f>IFERROR(INDEX(TableQBCalcPts[Custom],MATCH(TableQBRanks30[[#This Row],[RK]],TableQBCalcPts[RK],0)),"")</f>
        <v>2.2216458982080018</v>
      </c>
      <c r="N66" s="133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0</v>
      </c>
      <c r="P66">
        <v>65</v>
      </c>
      <c r="Q66" t="str">
        <f>IFERROR(INDEX(TableRBCalcPts[PLAYER],MATCH(TableRBRanks31[[#This Row],[RK]],TableRBCalcPts[RK],0)),"")</f>
        <v>Chris Evans</v>
      </c>
      <c r="R66" t="str">
        <f>IFERROR(INDEX(TableRBCalcPts[TM],MATCH(TableRBRanks31[[#This Row],[Player]],TableRBCalcPts[PLAYER],0)),"")</f>
        <v>CIN</v>
      </c>
      <c r="S66">
        <f>IFERROR(INDEX(TableRBCalcPts[BYE],MATCH(TableRBRanks31[[#This Row],[Player]],TableRBCalcPts[PLAYER],0)),"")</f>
        <v>7</v>
      </c>
      <c r="T66" s="86">
        <f>VLOOKUP(TableRBRanks31[[#This Row],[Player]],RB!B:O,4,FALSE)</f>
        <v>62.514125520000007</v>
      </c>
      <c r="U66" s="86">
        <f>VLOOKUP(TableRBRanks31[[#This Row],[Player]],RB!B:O,5,FALSE)</f>
        <v>260.26257383011506</v>
      </c>
      <c r="V66" s="86">
        <f>VLOOKUP(TableRBRanks31[[#This Row],[Player]],RB!B:O,6,FALSE)</f>
        <v>2.6255932718400006</v>
      </c>
      <c r="W66" s="86">
        <f>VLOOKUP(TableRBRanks31[[#This Row],[Player]],RB!B:O,7,FALSE)</f>
        <v>24.617090399999999</v>
      </c>
      <c r="X66" s="86">
        <f>VLOOKUP(TableRBRanks31[[#This Row],[Player]],RB!B:O,8,FALSE)</f>
        <v>17.885869044127826</v>
      </c>
      <c r="Y66" s="86">
        <f>VLOOKUP(TableRBRanks31[[#This Row],[Player]],RB!B:O,9,FALSE)</f>
        <v>147.97630579433516</v>
      </c>
      <c r="Z66" s="86">
        <f>VLOOKUP(TableRBRanks31[[#This Row],[Player]],RB!B:O,10,FALSE)</f>
        <v>0.93006519029464696</v>
      </c>
      <c r="AA66" s="58">
        <f>IFERROR(INDEX(TableRBCalcPts[Custom],MATCH(TableRBRanks31[[#This Row],[RK]],TableRBCalcPts[RK],0)),"")</f>
        <v>71.100773257316817</v>
      </c>
      <c r="AB66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66">
        <v>65</v>
      </c>
      <c r="AE66" t="str">
        <f>IFERROR(INDEX(TableWRCalcPts[PLAYER],MATCH(TableWRRanks32[[#This Row],[RK]],TableWRCalcPts[RK],0)),"")</f>
        <v>Kadarius Toney</v>
      </c>
      <c r="AF66" t="str">
        <f>IFERROR(INDEX(TableWRCalcPts[TM],MATCH(TableWRRanks32[[#This Row],[Player]],TableWRCalcPts[PLAYER],0)),"")</f>
        <v>KC</v>
      </c>
      <c r="AG66">
        <f>IFERROR(INDEX(TableWRCalcPts[BYE],MATCH(TableWRRanks32[[#This Row],[Player]],TableWRCalcPts[PLAYER],0)),"")</f>
        <v>10</v>
      </c>
      <c r="AH66" s="86">
        <f>VLOOKUP(TableWRRanks32[[#This Row],[Player]],WR!B:O,4,FALSE)</f>
        <v>73.465399938020838</v>
      </c>
      <c r="AI66" s="86">
        <f>VLOOKUP(TableWRRanks32[[#This Row],[Player]],WR!B:O,5,FALSE)</f>
        <v>0.75480587276612099</v>
      </c>
      <c r="AJ66" s="86">
        <f>VLOOKUP(TableWRRanks32[[#This Row],[Player]],WR!B:O,6,FALSE)</f>
        <v>69.309982559999995</v>
      </c>
      <c r="AK66" s="86">
        <f>VLOOKUP(TableWRRanks32[[#This Row],[Player]],WR!B:O,7,FALSE)</f>
        <v>45.120798646559997</v>
      </c>
      <c r="AL66" s="86">
        <f>VLOOKUP(TableWRRanks32[[#This Row],[Player]],WR!B:O,8,FALSE)</f>
        <v>541.44958375872</v>
      </c>
      <c r="AM66" s="86">
        <f>VLOOKUP(TableWRRanks32[[#This Row],[Player]],WR!B:O,9,FALSE)</f>
        <v>4.5120798646560001</v>
      </c>
      <c r="AN66" s="58">
        <f>IFERROR(INDEX(TableWRCalcPts[Custom],MATCH(TableWRRanks32[[#This Row],[RK]],TableWRCalcPts[RK],0)),"")</f>
        <v>115.6532121174868</v>
      </c>
      <c r="AO6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66">
        <v>65</v>
      </c>
      <c r="AR66" t="str">
        <f>IFERROR(INDEX(TableTECalcPts[PLAYER],MATCH(TableTERanks33[[#This Row],[RK]],TableTECalcPts[RK],0)),"")</f>
        <v>Ko Kieft</v>
      </c>
      <c r="AS66" t="str">
        <f>IFERROR(INDEX(TableTECalcPts[TM],MATCH(TableTERanks33[[#This Row],[Player]],TableTECalcPts[PLAYER],0)),"")</f>
        <v>TB</v>
      </c>
      <c r="AT66">
        <f>IFERROR(INDEX(TableTECalcPts[BYE],MATCH(TableTERanks33[[#This Row],[Player]],TableTECalcPts[PLAYER],0)),"")</f>
        <v>5</v>
      </c>
      <c r="AU66" s="86">
        <f>VLOOKUP(TableTERanks33[[#This Row],[Player]],TE!B:O,4,FALSE)</f>
        <v>19.560329599999999</v>
      </c>
      <c r="AV66" s="86">
        <f>VLOOKUP(TableTERanks33[[#This Row],[Player]],TE!B:O,5,FALSE)</f>
        <v>11.474553377494093</v>
      </c>
      <c r="AW66" s="86">
        <f>VLOOKUP(TableTERanks33[[#This Row],[Player]],TE!B:O,6,FALSE)</f>
        <v>115.04504807419725</v>
      </c>
      <c r="AX66" s="86">
        <f>VLOOKUP(TableTERanks33[[#This Row],[Player]],TE!B:O,7,FALSE)</f>
        <v>0.60815132900718694</v>
      </c>
      <c r="AY66" s="58">
        <f>IFERROR(INDEX(TableTECalcPts[Custom],MATCH(TableTERanks33[[#This Row],[RK]],TableTECalcPts[RK],0)),"")</f>
        <v>20.890689470209896</v>
      </c>
      <c r="AZ66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67" spans="1:52" x14ac:dyDescent="0.2">
      <c r="A67">
        <v>66</v>
      </c>
      <c r="B67" t="str">
        <f>IFERROR(INDEX(TableQBCalcPts[PLAYER],MATCH(TableQBRanks30[[#This Row],[RK]],TableQBCalcPts[RK],0)),"")</f>
        <v/>
      </c>
      <c r="C67" t="str">
        <f>IFERROR(INDEX(TableQBCalcPts[TM],MATCH(TableQBRanks30[[#This Row],[Player]],TableQBCalcPts[PLAYER],0)),"")</f>
        <v/>
      </c>
      <c r="D67" t="str">
        <f>IFERROR(INDEX(TableQBCalcPts[BYE],MATCH(TableQBRanks30[[#This Row],[Player]],TableQBCalcPts[PLAYER],0)),"")</f>
        <v/>
      </c>
      <c r="E67" s="86" t="e">
        <f>VLOOKUP(TableQBRanks30[[#This Row],[Player]],QB!B:O,4,FALSE)</f>
        <v>#N/A</v>
      </c>
      <c r="F67" s="86" t="e">
        <f>VLOOKUP(TableQBRanks30[[#This Row],[Player]],QB!B:O,5,FALSE)</f>
        <v>#N/A</v>
      </c>
      <c r="G67" s="86" t="e">
        <f>VLOOKUP(TableQBRanks30[[#This Row],[Player]],QB!B:O,6,FALSE)</f>
        <v>#N/A</v>
      </c>
      <c r="H67" s="86" t="e">
        <f>VLOOKUP(TableQBRanks30[[#This Row],[Player]],QB!B:O,7,FALSE)</f>
        <v>#N/A</v>
      </c>
      <c r="I67" s="86" t="e">
        <f>VLOOKUP(TableQBRanks30[[#This Row],[Player]],QB!B:O,8,FALSE)</f>
        <v>#N/A</v>
      </c>
      <c r="J67" s="86" t="e">
        <f>VLOOKUP(TableQBRanks30[[#This Row],[Player]],QB!B:O,9,FALSE)</f>
        <v>#N/A</v>
      </c>
      <c r="K67" s="86" t="e">
        <f>VLOOKUP(TableQBRanks30[[#This Row],[Player]],QB!B:O,10,FALSE)</f>
        <v>#N/A</v>
      </c>
      <c r="L67" s="86" t="e">
        <f>VLOOKUP(TableQBRanks30[[#This Row],[Player]],QB!B:O,11,FALSE)</f>
        <v>#N/A</v>
      </c>
      <c r="M67" s="58" t="str">
        <f>IFERROR(INDEX(TableQBCalcPts[Custom],MATCH(TableQBRanks30[[#This Row],[RK]],TableQBCalcPts[RK],0)),"")</f>
        <v/>
      </c>
      <c r="N67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67">
        <v>66</v>
      </c>
      <c r="Q67" t="str">
        <f>IFERROR(INDEX(TableRBCalcPts[PLAYER],MATCH(TableRBRanks31[[#This Row],[RK]],TableRBCalcPts[RK],0)),"")</f>
        <v>Deon Jackson</v>
      </c>
      <c r="R67" t="str">
        <f>IFERROR(INDEX(TableRBCalcPts[TM],MATCH(TableRBRanks31[[#This Row],[Player]],TableRBCalcPts[PLAYER],0)),"")</f>
        <v>IND</v>
      </c>
      <c r="S67">
        <f>IFERROR(INDEX(TableRBCalcPts[BYE],MATCH(TableRBRanks31[[#This Row],[Player]],TableRBCalcPts[PLAYER],0)),"")</f>
        <v>11</v>
      </c>
      <c r="T67" s="86">
        <f>VLOOKUP(TableRBRanks31[[#This Row],[Player]],RB!B:O,4,FALSE)</f>
        <v>80.281247199999996</v>
      </c>
      <c r="U67" s="86">
        <f>VLOOKUP(TableRBRanks31[[#This Row],[Player]],RB!B:O,5,FALSE)</f>
        <v>351.63186273599996</v>
      </c>
      <c r="V67" s="86">
        <f>VLOOKUP(TableRBRanks31[[#This Row],[Player]],RB!B:O,6,FALSE)</f>
        <v>2.9704061463999998</v>
      </c>
      <c r="W67" s="86">
        <f>VLOOKUP(TableRBRanks31[[#This Row],[Player]],RB!B:O,7,FALSE)</f>
        <v>17.106566400000002</v>
      </c>
      <c r="X67" s="86">
        <f>VLOOKUP(TableRBRanks31[[#This Row],[Player]],RB!B:O,8,FALSE)</f>
        <v>12.487793472000002</v>
      </c>
      <c r="Y67" s="86">
        <f>VLOOKUP(TableRBRanks31[[#This Row],[Player]],RB!B:O,9,FALSE)</f>
        <v>95.281864191360015</v>
      </c>
      <c r="Z67" s="86">
        <f>VLOOKUP(TableRBRanks31[[#This Row],[Player]],RB!B:O,10,FALSE)</f>
        <v>0.37463380416000003</v>
      </c>
      <c r="AA67" s="58">
        <f>IFERROR(INDEX(TableRBCalcPts[Custom],MATCH(TableRBRanks31[[#This Row],[RK]],TableRBCalcPts[RK],0)),"")</f>
        <v>71.005509132096009</v>
      </c>
      <c r="AB67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67">
        <v>66</v>
      </c>
      <c r="AE67" t="str">
        <f>IFERROR(INDEX(TableWRCalcPts[PLAYER],MATCH(TableWRRanks32[[#This Row],[RK]],TableWRCalcPts[RK],0)),"")</f>
        <v>Nico Collins</v>
      </c>
      <c r="AF67" t="str">
        <f>IFERROR(INDEX(TableWRCalcPts[TM],MATCH(TableWRRanks32[[#This Row],[Player]],TableWRCalcPts[PLAYER],0)),"")</f>
        <v>HOU</v>
      </c>
      <c r="AG67">
        <f>IFERROR(INDEX(TableWRCalcPts[BYE],MATCH(TableWRRanks32[[#This Row],[Player]],TableWRCalcPts[PLAYER],0)),"")</f>
        <v>7</v>
      </c>
      <c r="AH67" s="86">
        <f>VLOOKUP(TableWRRanks32[[#This Row],[Player]],WR!B:O,4,FALSE)</f>
        <v>0</v>
      </c>
      <c r="AI67" s="86">
        <f>VLOOKUP(TableWRRanks32[[#This Row],[Player]],WR!B:O,5,FALSE)</f>
        <v>0</v>
      </c>
      <c r="AJ67" s="86">
        <f>VLOOKUP(TableWRRanks32[[#This Row],[Player]],WR!B:O,6,FALSE)</f>
        <v>83.384076160000006</v>
      </c>
      <c r="AK67" s="86">
        <f>VLOOKUP(TableWRRanks32[[#This Row],[Player]],WR!B:O,7,FALSE)</f>
        <v>47.694389978675531</v>
      </c>
      <c r="AL67" s="86">
        <f>VLOOKUP(TableWRRanks32[[#This Row],[Player]],WR!B:O,8,FALSE)</f>
        <v>672.49089869932493</v>
      </c>
      <c r="AM67" s="86">
        <f>VLOOKUP(TableWRRanks32[[#This Row],[Player]],WR!B:O,9,FALSE)</f>
        <v>3.9586343682300691</v>
      </c>
      <c r="AN67" s="58">
        <f>IFERROR(INDEX(TableWRCalcPts[Custom],MATCH(TableWRRanks32[[#This Row],[RK]],TableWRCalcPts[RK],0)),"")</f>
        <v>114.84809106865067</v>
      </c>
      <c r="AO6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67">
        <v>66</v>
      </c>
      <c r="AR67" t="str">
        <f>IFERROR(INDEX(TableTECalcPts[PLAYER],MATCH(TableTERanks33[[#This Row],[RK]],TableTECalcPts[RK],0)),"")</f>
        <v>Brock Wright</v>
      </c>
      <c r="AS67" t="str">
        <f>IFERROR(INDEX(TableTECalcPts[TM],MATCH(TableTERanks33[[#This Row],[Player]],TableTECalcPts[PLAYER],0)),"")</f>
        <v>DET</v>
      </c>
      <c r="AT67">
        <f>IFERROR(INDEX(TableTECalcPts[BYE],MATCH(TableTERanks33[[#This Row],[Player]],TableTECalcPts[PLAYER],0)),"")</f>
        <v>9</v>
      </c>
      <c r="AU67" s="86">
        <f>VLOOKUP(TableTERanks33[[#This Row],[Player]],TE!B:O,4,FALSE)</f>
        <v>14.115716159999998</v>
      </c>
      <c r="AV67" s="86">
        <f>VLOOKUP(TableTERanks33[[#This Row],[Player]],TE!B:O,5,FALSE)</f>
        <v>9.6551498534399993</v>
      </c>
      <c r="AW67" s="86">
        <f>VLOOKUP(TableTERanks33[[#This Row],[Player]],TE!B:O,6,FALSE)</f>
        <v>103.79510716166189</v>
      </c>
      <c r="AX67" s="86">
        <f>VLOOKUP(TableTERanks33[[#This Row],[Player]],TE!B:O,7,FALSE)</f>
        <v>0.86896348680959989</v>
      </c>
      <c r="AY67" s="58">
        <f>IFERROR(INDEX(TableTECalcPts[Custom],MATCH(TableTERanks33[[#This Row],[RK]],TableTECalcPts[RK],0)),"")</f>
        <v>20.420866563743786</v>
      </c>
      <c r="AZ67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68" spans="1:52" x14ac:dyDescent="0.2">
      <c r="A68">
        <v>67</v>
      </c>
      <c r="B68" t="str">
        <f>IFERROR(INDEX(TableQBCalcPts[PLAYER],MATCH(TableQBRanks30[[#This Row],[RK]],TableQBCalcPts[RK],0)),"")</f>
        <v/>
      </c>
      <c r="C68" t="str">
        <f>IFERROR(INDEX(TableQBCalcPts[TM],MATCH(TableQBRanks30[[#This Row],[Player]],TableQBCalcPts[PLAYER],0)),"")</f>
        <v/>
      </c>
      <c r="D68" t="str">
        <f>IFERROR(INDEX(TableQBCalcPts[BYE],MATCH(TableQBRanks30[[#This Row],[Player]],TableQBCalcPts[PLAYER],0)),"")</f>
        <v/>
      </c>
      <c r="E68" s="86" t="e">
        <f>VLOOKUP(TableQBRanks30[[#This Row],[Player]],QB!B:O,4,FALSE)</f>
        <v>#N/A</v>
      </c>
      <c r="F68" s="86" t="e">
        <f>VLOOKUP(TableQBRanks30[[#This Row],[Player]],QB!B:O,5,FALSE)</f>
        <v>#N/A</v>
      </c>
      <c r="G68" s="86" t="e">
        <f>VLOOKUP(TableQBRanks30[[#This Row],[Player]],QB!B:O,6,FALSE)</f>
        <v>#N/A</v>
      </c>
      <c r="H68" s="86" t="e">
        <f>VLOOKUP(TableQBRanks30[[#This Row],[Player]],QB!B:O,7,FALSE)</f>
        <v>#N/A</v>
      </c>
      <c r="I68" s="86" t="e">
        <f>VLOOKUP(TableQBRanks30[[#This Row],[Player]],QB!B:O,8,FALSE)</f>
        <v>#N/A</v>
      </c>
      <c r="J68" s="86" t="e">
        <f>VLOOKUP(TableQBRanks30[[#This Row],[Player]],QB!B:O,9,FALSE)</f>
        <v>#N/A</v>
      </c>
      <c r="K68" s="86" t="e">
        <f>VLOOKUP(TableQBRanks30[[#This Row],[Player]],QB!B:O,10,FALSE)</f>
        <v>#N/A</v>
      </c>
      <c r="L68" s="86" t="e">
        <f>VLOOKUP(TableQBRanks30[[#This Row],[Player]],QB!B:O,11,FALSE)</f>
        <v>#N/A</v>
      </c>
      <c r="M68" s="58" t="str">
        <f>IFERROR(INDEX(TableQBCalcPts[Custom],MATCH(TableQBRanks30[[#This Row],[RK]],TableQBCalcPts[RK],0)),"")</f>
        <v/>
      </c>
      <c r="N68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68">
        <v>67</v>
      </c>
      <c r="Q68" t="str">
        <f>IFERROR(INDEX(TableRBCalcPts[PLAYER],MATCH(TableRBRanks31[[#This Row],[RK]],TableRBCalcPts[RK],0)),"")</f>
        <v>Zack Moss</v>
      </c>
      <c r="R68" t="str">
        <f>IFERROR(INDEX(TableRBCalcPts[TM],MATCH(TableRBRanks31[[#This Row],[Player]],TableRBCalcPts[PLAYER],0)),"")</f>
        <v>IND</v>
      </c>
      <c r="S68">
        <f>IFERROR(INDEX(TableRBCalcPts[BYE],MATCH(TableRBRanks31[[#This Row],[Player]],TableRBCalcPts[PLAYER],0)),"")</f>
        <v>11</v>
      </c>
      <c r="T68" s="86">
        <f>VLOOKUP(TableRBRanks31[[#This Row],[Player]],RB!B:O,4,FALSE)</f>
        <v>83.218366000000003</v>
      </c>
      <c r="U68" s="86">
        <f>VLOOKUP(TableRBRanks31[[#This Row],[Player]],RB!B:O,5,FALSE)</f>
        <v>354.51023915999997</v>
      </c>
      <c r="V68" s="86">
        <f>VLOOKUP(TableRBRanks31[[#This Row],[Player]],RB!B:O,6,FALSE)</f>
        <v>2.995861176</v>
      </c>
      <c r="W68" s="86">
        <f>VLOOKUP(TableRBRanks31[[#This Row],[Player]],RB!B:O,7,FALSE)</f>
        <v>13.364505000000003</v>
      </c>
      <c r="X68" s="86">
        <f>VLOOKUP(TableRBRanks31[[#This Row],[Player]],RB!B:O,8,FALSE)</f>
        <v>9.0744988950000032</v>
      </c>
      <c r="Y68" s="86">
        <f>VLOOKUP(TableRBRanks31[[#This Row],[Player]],RB!B:O,9,FALSE)</f>
        <v>66.062351955600022</v>
      </c>
      <c r="Z68" s="86">
        <f>VLOOKUP(TableRBRanks31[[#This Row],[Player]],RB!B:O,10,FALSE)</f>
        <v>0.27223496685000009</v>
      </c>
      <c r="AA68" s="58">
        <f>IFERROR(INDEX(TableRBCalcPts[Custom],MATCH(TableRBRanks31[[#This Row],[RK]],TableRBCalcPts[RK],0)),"")</f>
        <v>66.203085416160008</v>
      </c>
      <c r="AB68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68">
        <v>67</v>
      </c>
      <c r="AE68" t="str">
        <f>IFERROR(INDEX(TableWRCalcPts[PLAYER],MATCH(TableWRRanks32[[#This Row],[RK]],TableWRCalcPts[RK],0)),"")</f>
        <v>K.J. Osborn</v>
      </c>
      <c r="AF68" t="str">
        <f>IFERROR(INDEX(TableWRCalcPts[TM],MATCH(TableWRRanks32[[#This Row],[Player]],TableWRCalcPts[PLAYER],0)),"")</f>
        <v>MIN</v>
      </c>
      <c r="AG68">
        <f>IFERROR(INDEX(TableWRCalcPts[BYE],MATCH(TableWRRanks32[[#This Row],[Player]],TableWRCalcPts[PLAYER],0)),"")</f>
        <v>13</v>
      </c>
      <c r="AH68" s="86">
        <f>VLOOKUP(TableWRRanks32[[#This Row],[Player]],WR!B:O,4,FALSE)</f>
        <v>0</v>
      </c>
      <c r="AI68" s="86">
        <f>VLOOKUP(TableWRRanks32[[#This Row],[Player]],WR!B:O,5,FALSE)</f>
        <v>0</v>
      </c>
      <c r="AJ68" s="86">
        <f>VLOOKUP(TableWRRanks32[[#This Row],[Player]],WR!B:O,6,FALSE)</f>
        <v>92.056068719999971</v>
      </c>
      <c r="AK68" s="86">
        <f>VLOOKUP(TableWRRanks32[[#This Row],[Player]],WR!B:O,7,FALSE)</f>
        <v>55.993695014320394</v>
      </c>
      <c r="AL68" s="86">
        <f>VLOOKUP(TableWRRanks32[[#This Row],[Player]],WR!B:O,8,FALSE)</f>
        <v>610.33127565609232</v>
      </c>
      <c r="AM68" s="86">
        <f>VLOOKUP(TableWRRanks32[[#This Row],[Player]],WR!B:O,9,FALSE)</f>
        <v>4.1435334310597094</v>
      </c>
      <c r="AN68" s="58">
        <f>IFERROR(INDEX(TableWRCalcPts[Custom],MATCH(TableWRRanks32[[#This Row],[RK]],TableWRCalcPts[RK],0)),"")</f>
        <v>113.8911756591277</v>
      </c>
      <c r="AO6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68">
        <v>67</v>
      </c>
      <c r="AR68" t="str">
        <f>IFERROR(INDEX(TableTECalcPts[PLAYER],MATCH(TableTERanks33[[#This Row],[RK]],TableTECalcPts[RK],0)),"")</f>
        <v>Hunter Long</v>
      </c>
      <c r="AS68" t="str">
        <f>IFERROR(INDEX(TableTECalcPts[TM],MATCH(TableTERanks33[[#This Row],[Player]],TableTECalcPts[PLAYER],0)),"")</f>
        <v>LAR</v>
      </c>
      <c r="AT68">
        <f>IFERROR(INDEX(TableTECalcPts[BYE],MATCH(TableTERanks33[[#This Row],[Player]],TableTECalcPts[PLAYER],0)),"")</f>
        <v>10</v>
      </c>
      <c r="AU68" s="86">
        <f>VLOOKUP(TableTERanks33[[#This Row],[Player]],TE!B:O,4,FALSE)</f>
        <v>16.063407359999999</v>
      </c>
      <c r="AV68" s="86">
        <f>VLOOKUP(TableTERanks33[[#This Row],[Player]],TE!B:O,5,FALSE)</f>
        <v>10.271620227109199</v>
      </c>
      <c r="AW68" s="86">
        <f>VLOOKUP(TableTERanks33[[#This Row],[Player]],TE!B:O,6,FALSE)</f>
        <v>111.73658039311987</v>
      </c>
      <c r="AX68" s="86">
        <f>VLOOKUP(TableTERanks33[[#This Row],[Player]],TE!B:O,7,FALSE)</f>
        <v>0.62656883385366113</v>
      </c>
      <c r="AY68" s="58">
        <f>IFERROR(INDEX(TableTECalcPts[Custom],MATCH(TableTERanks33[[#This Row],[RK]],TableTECalcPts[RK],0)),"")</f>
        <v>20.068881155988553</v>
      </c>
      <c r="AZ68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69" spans="1:52" x14ac:dyDescent="0.2">
      <c r="A69">
        <v>68</v>
      </c>
      <c r="B69" t="str">
        <f>IFERROR(INDEX(TableQBCalcPts[PLAYER],MATCH(TableQBRanks30[[#This Row],[RK]],TableQBCalcPts[RK],0)),"")</f>
        <v/>
      </c>
      <c r="C69" t="str">
        <f>IFERROR(INDEX(TableQBCalcPts[TM],MATCH(TableQBRanks30[[#This Row],[Player]],TableQBCalcPts[PLAYER],0)),"")</f>
        <v/>
      </c>
      <c r="D69" t="str">
        <f>IFERROR(INDEX(TableQBCalcPts[BYE],MATCH(TableQBRanks30[[#This Row],[Player]],TableQBCalcPts[PLAYER],0)),"")</f>
        <v/>
      </c>
      <c r="E69" s="86" t="e">
        <f>VLOOKUP(TableQBRanks30[[#This Row],[Player]],QB!B:O,4,FALSE)</f>
        <v>#N/A</v>
      </c>
      <c r="F69" s="86" t="e">
        <f>VLOOKUP(TableQBRanks30[[#This Row],[Player]],QB!B:O,5,FALSE)</f>
        <v>#N/A</v>
      </c>
      <c r="G69" s="86" t="e">
        <f>VLOOKUP(TableQBRanks30[[#This Row],[Player]],QB!B:O,6,FALSE)</f>
        <v>#N/A</v>
      </c>
      <c r="H69" s="86" t="e">
        <f>VLOOKUP(TableQBRanks30[[#This Row],[Player]],QB!B:O,7,FALSE)</f>
        <v>#N/A</v>
      </c>
      <c r="I69" s="86" t="e">
        <f>VLOOKUP(TableQBRanks30[[#This Row],[Player]],QB!B:O,8,FALSE)</f>
        <v>#N/A</v>
      </c>
      <c r="J69" s="86" t="e">
        <f>VLOOKUP(TableQBRanks30[[#This Row],[Player]],QB!B:O,9,FALSE)</f>
        <v>#N/A</v>
      </c>
      <c r="K69" s="86" t="e">
        <f>VLOOKUP(TableQBRanks30[[#This Row],[Player]],QB!B:O,10,FALSE)</f>
        <v>#N/A</v>
      </c>
      <c r="L69" s="86" t="e">
        <f>VLOOKUP(TableQBRanks30[[#This Row],[Player]],QB!B:O,11,FALSE)</f>
        <v>#N/A</v>
      </c>
      <c r="M69" s="58" t="str">
        <f>IFERROR(INDEX(TableQBCalcPts[Custom],MATCH(TableQBRanks30[[#This Row],[RK]],TableQBCalcPts[RK],0)),"")</f>
        <v/>
      </c>
      <c r="N69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69">
        <v>68</v>
      </c>
      <c r="Q69" t="str">
        <f>IFERROR(INDEX(TableRBCalcPts[PLAYER],MATCH(TableRBRanks31[[#This Row],[RK]],TableRBCalcPts[RK],0)),"")</f>
        <v>Pierre Strong</v>
      </c>
      <c r="R69" t="str">
        <f>IFERROR(INDEX(TableRBCalcPts[TM],MATCH(TableRBRanks31[[#This Row],[Player]],TableRBCalcPts[PLAYER],0)),"")</f>
        <v>CLE</v>
      </c>
      <c r="S69">
        <f>IFERROR(INDEX(TableRBCalcPts[BYE],MATCH(TableRBRanks31[[#This Row],[Player]],TableRBCalcPts[PLAYER],0)),"")</f>
        <v>5</v>
      </c>
      <c r="T69" s="86">
        <f>VLOOKUP(TableRBRanks31[[#This Row],[Player]],RB!B:O,4,FALSE)</f>
        <v>56.029314599999992</v>
      </c>
      <c r="U69" s="86">
        <f>VLOOKUP(TableRBRanks31[[#This Row],[Player]],RB!B:O,5,FALSE)</f>
        <v>244.84810480199997</v>
      </c>
      <c r="V69" s="86">
        <f>VLOOKUP(TableRBRanks31[[#This Row],[Player]],RB!B:O,6,FALSE)</f>
        <v>2.2972018985999996</v>
      </c>
      <c r="W69" s="86">
        <f>VLOOKUP(TableRBRanks31[[#This Row],[Player]],RB!B:O,7,FALSE)</f>
        <v>22.5116388</v>
      </c>
      <c r="X69" s="86">
        <f>VLOOKUP(TableRBRanks31[[#This Row],[Player]],RB!B:O,8,FALSE)</f>
        <v>16.748659267200001</v>
      </c>
      <c r="Y69" s="86">
        <f>VLOOKUP(TableRBRanks31[[#This Row],[Player]],RB!B:O,9,FALSE)</f>
        <v>126.11740428201601</v>
      </c>
      <c r="Z69" s="86">
        <f>VLOOKUP(TableRBRanks31[[#This Row],[Player]],RB!B:O,10,FALSE)</f>
        <v>0.73694100775679994</v>
      </c>
      <c r="AA69" s="58">
        <f>IFERROR(INDEX(TableRBCalcPts[Custom],MATCH(TableRBRanks31[[#This Row],[RK]],TableRBCalcPts[RK],0)),"")</f>
        <v>63.675737980142394</v>
      </c>
      <c r="AB69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69">
        <v>68</v>
      </c>
      <c r="AE69" t="str">
        <f>IFERROR(INDEX(TableWRCalcPts[PLAYER],MATCH(TableWRRanks32[[#This Row],[RK]],TableWRCalcPts[RK],0)),"")</f>
        <v>Josh Downs</v>
      </c>
      <c r="AF69" t="str">
        <f>IFERROR(INDEX(TableWRCalcPts[TM],MATCH(TableWRRanks32[[#This Row],[Player]],TableWRCalcPts[PLAYER],0)),"")</f>
        <v>IND</v>
      </c>
      <c r="AG69">
        <f>IFERROR(INDEX(TableWRCalcPts[BYE],MATCH(TableWRRanks32[[#This Row],[Player]],TableWRCalcPts[PLAYER],0)),"")</f>
        <v>11</v>
      </c>
      <c r="AH69" s="86">
        <f>VLOOKUP(TableWRRanks32[[#This Row],[Player]],WR!B:O,4,FALSE)</f>
        <v>0</v>
      </c>
      <c r="AI69" s="86">
        <f>VLOOKUP(TableWRRanks32[[#This Row],[Player]],WR!B:O,5,FALSE)</f>
        <v>0</v>
      </c>
      <c r="AJ69" s="86">
        <f>VLOOKUP(TableWRRanks32[[#This Row],[Player]],WR!B:O,6,FALSE)</f>
        <v>90.878634000000019</v>
      </c>
      <c r="AK69" s="86">
        <f>VLOOKUP(TableWRRanks32[[#This Row],[Player]],WR!B:O,7,FALSE)</f>
        <v>51.841235377764569</v>
      </c>
      <c r="AL69" s="86">
        <f>VLOOKUP(TableWRRanks32[[#This Row],[Player]],WR!B:O,8,FALSE)</f>
        <v>679.12018344871581</v>
      </c>
      <c r="AM69" s="86">
        <f>VLOOKUP(TableWRRanks32[[#This Row],[Player]],WR!B:O,9,FALSE)</f>
        <v>3.3178390641769324</v>
      </c>
      <c r="AN69" s="58">
        <f>IFERROR(INDEX(TableWRCalcPts[Custom],MATCH(TableWRRanks32[[#This Row],[RK]],TableWRCalcPts[RK],0)),"")</f>
        <v>113.73967041881546</v>
      </c>
      <c r="AO6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69">
        <v>68</v>
      </c>
      <c r="AR69" t="str">
        <f>IFERROR(INDEX(TableTECalcPts[PLAYER],MATCH(TableTERanks33[[#This Row],[RK]],TableTECalcPts[RK],0)),"")</f>
        <v>Grant Calcaterra</v>
      </c>
      <c r="AS69" t="str">
        <f>IFERROR(INDEX(TableTECalcPts[TM],MATCH(TableTERanks33[[#This Row],[Player]],TableTECalcPts[PLAYER],0)),"")</f>
        <v>PHI</v>
      </c>
      <c r="AT69">
        <f>IFERROR(INDEX(TableTECalcPts[BYE],MATCH(TableTERanks33[[#This Row],[Player]],TableTECalcPts[PLAYER],0)),"")</f>
        <v>10</v>
      </c>
      <c r="AU69" s="86">
        <f>VLOOKUP(TableTERanks33[[#This Row],[Player]],TE!B:O,4,FALSE)</f>
        <v>13.562661</v>
      </c>
      <c r="AV69" s="86">
        <f>VLOOKUP(TableTERanks33[[#This Row],[Player]],TE!B:O,5,FALSE)</f>
        <v>9.2226094800000009</v>
      </c>
      <c r="AW69" s="86">
        <f>VLOOKUP(TableTERanks33[[#This Row],[Player]],TE!B:O,6,FALSE)</f>
        <v>93.148355748</v>
      </c>
      <c r="AX69" s="86">
        <f>VLOOKUP(TableTERanks33[[#This Row],[Player]],TE!B:O,7,FALSE)</f>
        <v>0.57180178776000001</v>
      </c>
      <c r="AY69" s="58">
        <f>IFERROR(INDEX(TableTECalcPts[Custom],MATCH(TableTERanks33[[#This Row],[RK]],TableTECalcPts[RK],0)),"")</f>
        <v>17.356951041360002</v>
      </c>
      <c r="AZ69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70" spans="1:52" x14ac:dyDescent="0.2">
      <c r="A70">
        <v>69</v>
      </c>
      <c r="B70" t="str">
        <f>IFERROR(INDEX(TableQBCalcPts[PLAYER],MATCH(TableQBRanks30[[#This Row],[RK]],TableQBCalcPts[RK],0)),"")</f>
        <v/>
      </c>
      <c r="C70" t="str">
        <f>IFERROR(INDEX(TableQBCalcPts[TM],MATCH(TableQBRanks30[[#This Row],[Player]],TableQBCalcPts[PLAYER],0)),"")</f>
        <v/>
      </c>
      <c r="D70" t="str">
        <f>IFERROR(INDEX(TableQBCalcPts[BYE],MATCH(TableQBRanks30[[#This Row],[Player]],TableQBCalcPts[PLAYER],0)),"")</f>
        <v/>
      </c>
      <c r="E70" s="86" t="e">
        <f>VLOOKUP(TableQBRanks30[[#This Row],[Player]],QB!B:O,4,FALSE)</f>
        <v>#N/A</v>
      </c>
      <c r="F70" s="86" t="e">
        <f>VLOOKUP(TableQBRanks30[[#This Row],[Player]],QB!B:O,5,FALSE)</f>
        <v>#N/A</v>
      </c>
      <c r="G70" s="86" t="e">
        <f>VLOOKUP(TableQBRanks30[[#This Row],[Player]],QB!B:O,6,FALSE)</f>
        <v>#N/A</v>
      </c>
      <c r="H70" s="86" t="e">
        <f>VLOOKUP(TableQBRanks30[[#This Row],[Player]],QB!B:O,7,FALSE)</f>
        <v>#N/A</v>
      </c>
      <c r="I70" s="86" t="e">
        <f>VLOOKUP(TableQBRanks30[[#This Row],[Player]],QB!B:O,8,FALSE)</f>
        <v>#N/A</v>
      </c>
      <c r="J70" s="86" t="e">
        <f>VLOOKUP(TableQBRanks30[[#This Row],[Player]],QB!B:O,9,FALSE)</f>
        <v>#N/A</v>
      </c>
      <c r="K70" s="86" t="e">
        <f>VLOOKUP(TableQBRanks30[[#This Row],[Player]],QB!B:O,10,FALSE)</f>
        <v>#N/A</v>
      </c>
      <c r="L70" s="86" t="e">
        <f>VLOOKUP(TableQBRanks30[[#This Row],[Player]],QB!B:O,11,FALSE)</f>
        <v>#N/A</v>
      </c>
      <c r="M70" s="58" t="str">
        <f>IFERROR(INDEX(TableQBCalcPts[Custom],MATCH(TableQBRanks30[[#This Row],[RK]],TableQBCalcPts[RK],0)),"")</f>
        <v/>
      </c>
      <c r="N70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70">
        <v>69</v>
      </c>
      <c r="Q70" t="str">
        <f>IFERROR(INDEX(TableRBCalcPts[PLAYER],MATCH(TableRBRanks31[[#This Row],[RK]],TableRBCalcPts[RK],0)),"")</f>
        <v>Clyde Edwards-Helaire</v>
      </c>
      <c r="R70" t="str">
        <f>IFERROR(INDEX(TableRBCalcPts[TM],MATCH(TableRBRanks31[[#This Row],[Player]],TableRBCalcPts[PLAYER],0)),"")</f>
        <v>KC</v>
      </c>
      <c r="S70">
        <f>IFERROR(INDEX(TableRBCalcPts[BYE],MATCH(TableRBRanks31[[#This Row],[Player]],TableRBCalcPts[PLAYER],0)),"")</f>
        <v>10</v>
      </c>
      <c r="T70" s="86">
        <f>VLOOKUP(TableRBRanks31[[#This Row],[Player]],RB!B:O,4,FALSE)</f>
        <v>60.778667039999995</v>
      </c>
      <c r="U70" s="86">
        <f>VLOOKUP(TableRBRanks31[[#This Row],[Player]],RB!B:O,5,FALSE)</f>
        <v>259.06507361475451</v>
      </c>
      <c r="V70" s="86">
        <f>VLOOKUP(TableRBRanks31[[#This Row],[Player]],RB!B:O,6,FALSE)</f>
        <v>2.1272533463999999</v>
      </c>
      <c r="W70" s="86">
        <f>VLOOKUP(TableRBRanks31[[#This Row],[Player]],RB!B:O,7,FALSE)</f>
        <v>17.654429520000001</v>
      </c>
      <c r="X70" s="86">
        <f>VLOOKUP(TableRBRanks31[[#This Row],[Player]],RB!B:O,8,FALSE)</f>
        <v>14.044362895595675</v>
      </c>
      <c r="Y70" s="86">
        <f>VLOOKUP(TableRBRanks31[[#This Row],[Player]],RB!B:O,9,FALSE)</f>
        <v>115.50399797945147</v>
      </c>
      <c r="Z70" s="86">
        <f>VLOOKUP(TableRBRanks31[[#This Row],[Player]],RB!B:O,10,FALSE)</f>
        <v>0.70221814477978384</v>
      </c>
      <c r="AA70" s="58">
        <f>IFERROR(INDEX(TableRBCalcPts[Custom],MATCH(TableRBRanks31[[#This Row],[RK]],TableRBCalcPts[RK],0)),"")</f>
        <v>61.455917554297137</v>
      </c>
      <c r="AB70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70">
        <v>69</v>
      </c>
      <c r="AE70" t="str">
        <f>IFERROR(INDEX(TableWRCalcPts[PLAYER],MATCH(TableWRRanks32[[#This Row],[RK]],TableWRCalcPts[RK],0)),"")</f>
        <v>DJ Chark</v>
      </c>
      <c r="AF70" t="str">
        <f>IFERROR(INDEX(TableWRCalcPts[TM],MATCH(TableWRRanks32[[#This Row],[Player]],TableWRCalcPts[PLAYER],0)),"")</f>
        <v>CAR</v>
      </c>
      <c r="AG70">
        <f>IFERROR(INDEX(TableWRCalcPts[BYE],MATCH(TableWRRanks32[[#This Row],[Player]],TableWRCalcPts[PLAYER],0)),"")</f>
        <v>7</v>
      </c>
      <c r="AH70" s="86">
        <f>VLOOKUP(TableWRRanks32[[#This Row],[Player]],WR!B:O,4,FALSE)</f>
        <v>0</v>
      </c>
      <c r="AI70" s="86">
        <f>VLOOKUP(TableWRRanks32[[#This Row],[Player]],WR!B:O,5,FALSE)</f>
        <v>0</v>
      </c>
      <c r="AJ70" s="86">
        <f>VLOOKUP(TableWRRanks32[[#This Row],[Player]],WR!B:O,6,FALSE)</f>
        <v>86.501259179999991</v>
      </c>
      <c r="AK70" s="86">
        <f>VLOOKUP(TableWRRanks32[[#This Row],[Player]],WR!B:O,7,FALSE)</f>
        <v>47.151009549006233</v>
      </c>
      <c r="AL70" s="86">
        <f>VLOOKUP(TableWRRanks32[[#This Row],[Player]],WR!B:O,8,FALSE)</f>
        <v>681.33208798314001</v>
      </c>
      <c r="AM70" s="86">
        <f>VLOOKUP(TableWRRanks32[[#This Row],[Player]],WR!B:O,9,FALSE)</f>
        <v>3.5834767257244735</v>
      </c>
      <c r="AN70" s="58">
        <f>IFERROR(INDEX(TableWRCalcPts[Custom],MATCH(TableWRRanks32[[#This Row],[RK]],TableWRCalcPts[RK],0)),"")</f>
        <v>113.20957392716396</v>
      </c>
      <c r="AO7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70">
        <v>69</v>
      </c>
      <c r="AR70" t="str">
        <f>IFERROR(INDEX(TableTECalcPts[PLAYER],MATCH(TableTERanks33[[#This Row],[RK]],TableTECalcPts[RK],0)),"")</f>
        <v>Chris Manhertz</v>
      </c>
      <c r="AS70" t="str">
        <f>IFERROR(INDEX(TableTECalcPts[TM],MATCH(TableTERanks33[[#This Row],[Player]],TableTECalcPts[PLAYER],0)),"")</f>
        <v>DEN</v>
      </c>
      <c r="AT70">
        <f>IFERROR(INDEX(TableTECalcPts[BYE],MATCH(TableTERanks33[[#This Row],[Player]],TableTECalcPts[PLAYER],0)),"")</f>
        <v>9</v>
      </c>
      <c r="AU70" s="86">
        <f>VLOOKUP(TableTERanks33[[#This Row],[Player]],TE!B:O,4,FALSE)</f>
        <v>11.791105200000002</v>
      </c>
      <c r="AV70" s="86">
        <f>VLOOKUP(TableTERanks33[[#This Row],[Player]],TE!B:O,5,FALSE)</f>
        <v>8.4523454276531602</v>
      </c>
      <c r="AW70" s="86">
        <f>VLOOKUP(TableTERanks33[[#This Row],[Player]],TE!B:O,6,FALSE)</f>
        <v>90.060027646639455</v>
      </c>
      <c r="AX70" s="86">
        <f>VLOOKUP(TableTERanks33[[#This Row],[Player]],TE!B:O,7,FALSE)</f>
        <v>0.60011652536337434</v>
      </c>
      <c r="AY70" s="58">
        <f>IFERROR(INDEX(TableTECalcPts[Custom],MATCH(TableTERanks33[[#This Row],[RK]],TableTECalcPts[RK],0)),"")</f>
        <v>16.832874630670773</v>
      </c>
      <c r="AZ70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71" spans="1:52" x14ac:dyDescent="0.2">
      <c r="A71">
        <v>70</v>
      </c>
      <c r="B71" t="str">
        <f>IFERROR(INDEX(TableQBCalcPts[PLAYER],MATCH(TableQBRanks30[[#This Row],[RK]],TableQBCalcPts[RK],0)),"")</f>
        <v/>
      </c>
      <c r="C71" t="str">
        <f>IFERROR(INDEX(TableQBCalcPts[TM],MATCH(TableQBRanks30[[#This Row],[Player]],TableQBCalcPts[PLAYER],0)),"")</f>
        <v/>
      </c>
      <c r="D71" t="str">
        <f>IFERROR(INDEX(TableQBCalcPts[BYE],MATCH(TableQBRanks30[[#This Row],[Player]],TableQBCalcPts[PLAYER],0)),"")</f>
        <v/>
      </c>
      <c r="E71" s="86" t="e">
        <f>VLOOKUP(TableQBRanks30[[#This Row],[Player]],QB!B:O,4,FALSE)</f>
        <v>#N/A</v>
      </c>
      <c r="F71" s="86" t="e">
        <f>VLOOKUP(TableQBRanks30[[#This Row],[Player]],QB!B:O,5,FALSE)</f>
        <v>#N/A</v>
      </c>
      <c r="G71" s="86" t="e">
        <f>VLOOKUP(TableQBRanks30[[#This Row],[Player]],QB!B:O,6,FALSE)</f>
        <v>#N/A</v>
      </c>
      <c r="H71" s="86" t="e">
        <f>VLOOKUP(TableQBRanks30[[#This Row],[Player]],QB!B:O,7,FALSE)</f>
        <v>#N/A</v>
      </c>
      <c r="I71" s="86" t="e">
        <f>VLOOKUP(TableQBRanks30[[#This Row],[Player]],QB!B:O,8,FALSE)</f>
        <v>#N/A</v>
      </c>
      <c r="J71" s="86" t="e">
        <f>VLOOKUP(TableQBRanks30[[#This Row],[Player]],QB!B:O,9,FALSE)</f>
        <v>#N/A</v>
      </c>
      <c r="K71" s="86" t="e">
        <f>VLOOKUP(TableQBRanks30[[#This Row],[Player]],QB!B:O,10,FALSE)</f>
        <v>#N/A</v>
      </c>
      <c r="L71" s="86" t="e">
        <f>VLOOKUP(TableQBRanks30[[#This Row],[Player]],QB!B:O,11,FALSE)</f>
        <v>#N/A</v>
      </c>
      <c r="M71" s="58" t="str">
        <f>IFERROR(INDEX(TableQBCalcPts[Custom],MATCH(TableQBRanks30[[#This Row],[RK]],TableQBCalcPts[RK],0)),"")</f>
        <v/>
      </c>
      <c r="N71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71">
        <v>70</v>
      </c>
      <c r="Q71" t="str">
        <f>IFERROR(INDEX(TableRBCalcPts[PLAYER],MATCH(TableRBRanks31[[#This Row],[RK]],TableRBCalcPts[RK],0)),"")</f>
        <v>Jordan Mason</v>
      </c>
      <c r="R71" t="str">
        <f>IFERROR(INDEX(TableRBCalcPts[TM],MATCH(TableRBRanks31[[#This Row],[Player]],TableRBCalcPts[PLAYER],0)),"")</f>
        <v>SF</v>
      </c>
      <c r="S71">
        <f>IFERROR(INDEX(TableRBCalcPts[BYE],MATCH(TableRBRanks31[[#This Row],[Player]],TableRBCalcPts[PLAYER],0)),"")</f>
        <v>9</v>
      </c>
      <c r="T71" s="86">
        <f>VLOOKUP(TableRBRanks31[[#This Row],[Player]],RB!B:O,4,FALSE)</f>
        <v>60.531873640000001</v>
      </c>
      <c r="U71" s="86">
        <f>VLOOKUP(TableRBRanks31[[#This Row],[Player]],RB!B:O,5,FALSE)</f>
        <v>276.45138481250888</v>
      </c>
      <c r="V71" s="86">
        <f>VLOOKUP(TableRBRanks31[[#This Row],[Player]],RB!B:O,6,FALSE)</f>
        <v>2.6028705665199996</v>
      </c>
      <c r="W71" s="86">
        <f>VLOOKUP(TableRBRanks31[[#This Row],[Player]],RB!B:O,7,FALSE)</f>
        <v>15.966178619999999</v>
      </c>
      <c r="X71" s="86">
        <f>VLOOKUP(TableRBRanks31[[#This Row],[Player]],RB!B:O,8,FALSE)</f>
        <v>11.112460319519998</v>
      </c>
      <c r="Y71" s="86">
        <f>VLOOKUP(TableRBRanks31[[#This Row],[Player]],RB!B:O,9,FALSE)</f>
        <v>87.972140915630533</v>
      </c>
      <c r="Z71" s="86">
        <f>VLOOKUP(TableRBRanks31[[#This Row],[Player]],RB!B:O,10,FALSE)</f>
        <v>0.44449841278079993</v>
      </c>
      <c r="AA71" s="58">
        <f>IFERROR(INDEX(TableRBCalcPts[Custom],MATCH(TableRBRanks31[[#This Row],[RK]],TableRBCalcPts[RK],0)),"")</f>
        <v>60.282796608378746</v>
      </c>
      <c r="AB71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71">
        <v>70</v>
      </c>
      <c r="AE71" t="str">
        <f>IFERROR(INDEX(TableWRCalcPts[PLAYER],MATCH(TableWRRanks32[[#This Row],[RK]],TableWRCalcPts[RK],0)),"")</f>
        <v>DeVante Parker</v>
      </c>
      <c r="AF71" t="str">
        <f>IFERROR(INDEX(TableWRCalcPts[TM],MATCH(TableWRRanks32[[#This Row],[Player]],TableWRCalcPts[PLAYER],0)),"")</f>
        <v>NE</v>
      </c>
      <c r="AG71">
        <f>IFERROR(INDEX(TableWRCalcPts[BYE],MATCH(TableWRRanks32[[#This Row],[Player]],TableWRCalcPts[PLAYER],0)),"")</f>
        <v>11</v>
      </c>
      <c r="AH71" s="86">
        <f>VLOOKUP(TableWRRanks32[[#This Row],[Player]],WR!B:O,4,FALSE)</f>
        <v>0</v>
      </c>
      <c r="AI71" s="86">
        <f>VLOOKUP(TableWRRanks32[[#This Row],[Player]],WR!B:O,5,FALSE)</f>
        <v>0</v>
      </c>
      <c r="AJ71" s="86">
        <f>VLOOKUP(TableWRRanks32[[#This Row],[Player]],WR!B:O,6,FALSE)</f>
        <v>77.815202639999981</v>
      </c>
      <c r="AK71" s="86">
        <f>VLOOKUP(TableWRRanks32[[#This Row],[Player]],WR!B:O,7,FALSE)</f>
        <v>48.899113266978127</v>
      </c>
      <c r="AL71" s="86">
        <f>VLOOKUP(TableWRRanks32[[#This Row],[Player]],WR!B:O,8,FALSE)</f>
        <v>640.57838379741349</v>
      </c>
      <c r="AM71" s="86">
        <f>VLOOKUP(TableWRRanks32[[#This Row],[Player]],WR!B:O,9,FALSE)</f>
        <v>3.9119290613582502</v>
      </c>
      <c r="AN71" s="58">
        <f>IFERROR(INDEX(TableWRCalcPts[Custom],MATCH(TableWRRanks32[[#This Row],[RK]],TableWRCalcPts[RK],0)),"")</f>
        <v>111.97896938137993</v>
      </c>
      <c r="AO7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71">
        <v>70</v>
      </c>
      <c r="AR71" t="str">
        <f>IFERROR(INDEX(TableTECalcPts[PLAYER],MATCH(TableTERanks33[[#This Row],[RK]],TableTECalcPts[RK],0)),"")</f>
        <v>Josh Whyle</v>
      </c>
      <c r="AS71" t="str">
        <f>IFERROR(INDEX(TableTECalcPts[TM],MATCH(TableTERanks33[[#This Row],[Player]],TableTECalcPts[PLAYER],0)),"")</f>
        <v>TEN</v>
      </c>
      <c r="AT71">
        <f>IFERROR(INDEX(TableTECalcPts[BYE],MATCH(TableTERanks33[[#This Row],[Player]],TableTECalcPts[PLAYER],0)),"")</f>
        <v>7</v>
      </c>
      <c r="AU71" s="86">
        <f>VLOOKUP(TableTERanks33[[#This Row],[Player]],TE!B:O,4,FALSE)</f>
        <v>14.081649399999998</v>
      </c>
      <c r="AV71" s="86">
        <f>VLOOKUP(TableTERanks33[[#This Row],[Player]],TE!B:O,5,FALSE)</f>
        <v>9.10663398921427</v>
      </c>
      <c r="AW71" s="86">
        <f>VLOOKUP(TableTERanks33[[#This Row],[Player]],TE!B:O,6,FALSE)</f>
        <v>97.53124761036149</v>
      </c>
      <c r="AX71" s="86">
        <f>VLOOKUP(TableTERanks33[[#This Row],[Player]],TE!B:O,7,FALSE)</f>
        <v>0.40069189552542783</v>
      </c>
      <c r="AY71" s="58">
        <f>IFERROR(INDEX(TableTECalcPts[Custom],MATCH(TableTERanks33[[#This Row],[RK]],TableTECalcPts[RK],0)),"")</f>
        <v>16.71059312879585</v>
      </c>
      <c r="AZ71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72" spans="1:52" x14ac:dyDescent="0.2">
      <c r="A72">
        <v>71</v>
      </c>
      <c r="B72" t="str">
        <f>IFERROR(INDEX(TableQBCalcPts[PLAYER],MATCH(TableQBRanks30[[#This Row],[RK]],TableQBCalcPts[RK],0)),"")</f>
        <v/>
      </c>
      <c r="C72" t="str">
        <f>IFERROR(INDEX(TableQBCalcPts[TM],MATCH(TableQBRanks30[[#This Row],[Player]],TableQBCalcPts[PLAYER],0)),"")</f>
        <v/>
      </c>
      <c r="D72" t="str">
        <f>IFERROR(INDEX(TableQBCalcPts[BYE],MATCH(TableQBRanks30[[#This Row],[Player]],TableQBCalcPts[PLAYER],0)),"")</f>
        <v/>
      </c>
      <c r="E72" s="86" t="e">
        <f>VLOOKUP(TableQBRanks30[[#This Row],[Player]],QB!B:O,4,FALSE)</f>
        <v>#N/A</v>
      </c>
      <c r="F72" s="86" t="e">
        <f>VLOOKUP(TableQBRanks30[[#This Row],[Player]],QB!B:O,5,FALSE)</f>
        <v>#N/A</v>
      </c>
      <c r="G72" s="86" t="e">
        <f>VLOOKUP(TableQBRanks30[[#This Row],[Player]],QB!B:O,6,FALSE)</f>
        <v>#N/A</v>
      </c>
      <c r="H72" s="86" t="e">
        <f>VLOOKUP(TableQBRanks30[[#This Row],[Player]],QB!B:O,7,FALSE)</f>
        <v>#N/A</v>
      </c>
      <c r="I72" s="86" t="e">
        <f>VLOOKUP(TableQBRanks30[[#This Row],[Player]],QB!B:O,8,FALSE)</f>
        <v>#N/A</v>
      </c>
      <c r="J72" s="86" t="e">
        <f>VLOOKUP(TableQBRanks30[[#This Row],[Player]],QB!B:O,9,FALSE)</f>
        <v>#N/A</v>
      </c>
      <c r="K72" s="86" t="e">
        <f>VLOOKUP(TableQBRanks30[[#This Row],[Player]],QB!B:O,10,FALSE)</f>
        <v>#N/A</v>
      </c>
      <c r="L72" s="86" t="e">
        <f>VLOOKUP(TableQBRanks30[[#This Row],[Player]],QB!B:O,11,FALSE)</f>
        <v>#N/A</v>
      </c>
      <c r="M72" s="58" t="str">
        <f>IFERROR(INDEX(TableQBCalcPts[Custom],MATCH(TableQBRanks30[[#This Row],[RK]],TableQBCalcPts[RK],0)),"")</f>
        <v/>
      </c>
      <c r="N72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72">
        <v>71</v>
      </c>
      <c r="Q72" t="str">
        <f>IFERROR(INDEX(TableRBCalcPts[PLAYER],MATCH(TableRBRanks31[[#This Row],[RK]],TableRBCalcPts[RK],0)),"")</f>
        <v>Matt Breida</v>
      </c>
      <c r="R72" t="str">
        <f>IFERROR(INDEX(TableRBCalcPts[TM],MATCH(TableRBRanks31[[#This Row],[Player]],TableRBCalcPts[PLAYER],0)),"")</f>
        <v>NYG</v>
      </c>
      <c r="S72">
        <f>IFERROR(INDEX(TableRBCalcPts[BYE],MATCH(TableRBRanks31[[#This Row],[Player]],TableRBCalcPts[PLAYER],0)),"")</f>
        <v>13</v>
      </c>
      <c r="T72" s="86">
        <f>VLOOKUP(TableRBRanks31[[#This Row],[Player]],RB!B:O,4,FALSE)</f>
        <v>57.946163239999997</v>
      </c>
      <c r="U72" s="86">
        <f>VLOOKUP(TableRBRanks31[[#This Row],[Player]],RB!B:O,5,FALSE)</f>
        <v>249.16850193199997</v>
      </c>
      <c r="V72" s="86">
        <f>VLOOKUP(TableRBRanks31[[#This Row],[Player]],RB!B:O,6,FALSE)</f>
        <v>1.91222338692</v>
      </c>
      <c r="W72" s="86">
        <f>VLOOKUP(TableRBRanks31[[#This Row],[Player]],RB!B:O,7,FALSE)</f>
        <v>20.176949519999997</v>
      </c>
      <c r="X72" s="86">
        <f>VLOOKUP(TableRBRanks31[[#This Row],[Player]],RB!B:O,8,FALSE)</f>
        <v>15.078185128823934</v>
      </c>
      <c r="Y72" s="86">
        <f>VLOOKUP(TableRBRanks31[[#This Row],[Player]],RB!B:O,9,FALSE)</f>
        <v>101.70998161344625</v>
      </c>
      <c r="Z72" s="86">
        <f>VLOOKUP(TableRBRanks31[[#This Row],[Player]],RB!B:O,10,FALSE)</f>
        <v>0.39203281334942225</v>
      </c>
      <c r="AA72" s="58">
        <f>IFERROR(INDEX(TableRBCalcPts[Custom],MATCH(TableRBRanks31[[#This Row],[RK]],TableRBCalcPts[RK],0)),"")</f>
        <v>56.452478120573126</v>
      </c>
      <c r="AB72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72">
        <v>71</v>
      </c>
      <c r="AE72" t="str">
        <f>IFERROR(INDEX(TableWRCalcPts[PLAYER],MATCH(TableWRRanks32[[#This Row],[RK]],TableWRCalcPts[RK],0)),"")</f>
        <v>Robert Woods</v>
      </c>
      <c r="AF72" t="str">
        <f>IFERROR(INDEX(TableWRCalcPts[TM],MATCH(TableWRRanks32[[#This Row],[Player]],TableWRCalcPts[PLAYER],0)),"")</f>
        <v>HOU</v>
      </c>
      <c r="AG72">
        <f>IFERROR(INDEX(TableWRCalcPts[BYE],MATCH(TableWRRanks32[[#This Row],[Player]],TableWRCalcPts[PLAYER],0)),"")</f>
        <v>7</v>
      </c>
      <c r="AH72" s="86">
        <f>VLOOKUP(TableWRRanks32[[#This Row],[Player]],WR!B:O,4,FALSE)</f>
        <v>0</v>
      </c>
      <c r="AI72" s="86">
        <f>VLOOKUP(TableWRRanks32[[#This Row],[Player]],WR!B:O,5,FALSE)</f>
        <v>0</v>
      </c>
      <c r="AJ72" s="86">
        <f>VLOOKUP(TableWRRanks32[[#This Row],[Player]],WR!B:O,6,FALSE)</f>
        <v>93.52538272000001</v>
      </c>
      <c r="AK72" s="86">
        <f>VLOOKUP(TableWRRanks32[[#This Row],[Player]],WR!B:O,7,FALSE)</f>
        <v>56.502779348435524</v>
      </c>
      <c r="AL72" s="86">
        <f>VLOOKUP(TableWRRanks32[[#This Row],[Player]],WR!B:O,8,FALSE)</f>
        <v>612.4901281370411</v>
      </c>
      <c r="AM72" s="86">
        <f>VLOOKUP(TableWRRanks32[[#This Row],[Player]],WR!B:O,9,FALSE)</f>
        <v>3.3901667609061312</v>
      </c>
      <c r="AN72" s="58">
        <f>IFERROR(INDEX(TableWRCalcPts[Custom],MATCH(TableWRRanks32[[#This Row],[RK]],TableWRCalcPts[RK],0)),"")</f>
        <v>109.84140305335866</v>
      </c>
      <c r="AO7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72">
        <v>71</v>
      </c>
      <c r="AR72" t="str">
        <f>IFERROR(INDEX(TableTECalcPts[PLAYER],MATCH(TableTERanks33[[#This Row],[RK]],TableTECalcPts[RK],0)),"")</f>
        <v>Johnny Mundt</v>
      </c>
      <c r="AS72" t="str">
        <f>IFERROR(INDEX(TableTECalcPts[TM],MATCH(TableTERanks33[[#This Row],[Player]],TableTECalcPts[PLAYER],0)),"")</f>
        <v>MIN</v>
      </c>
      <c r="AT72">
        <f>IFERROR(INDEX(TableTECalcPts[BYE],MATCH(TableTERanks33[[#This Row],[Player]],TableTECalcPts[PLAYER],0)),"")</f>
        <v>13</v>
      </c>
      <c r="AU72" s="86">
        <f>VLOOKUP(TableTERanks33[[#This Row],[Player]],TE!B:O,4,FALSE)</f>
        <v>14.363358239999997</v>
      </c>
      <c r="AV72" s="86">
        <f>VLOOKUP(TableTERanks33[[#This Row],[Player]],TE!B:O,5,FALSE)</f>
        <v>10.054350767999997</v>
      </c>
      <c r="AW72" s="86">
        <f>VLOOKUP(TableTERanks33[[#This Row],[Player]],TE!B:O,6,FALSE)</f>
        <v>83.451111374399986</v>
      </c>
      <c r="AX72" s="86">
        <f>VLOOKUP(TableTERanks33[[#This Row],[Player]],TE!B:O,7,FALSE)</f>
        <v>0.50271753839999989</v>
      </c>
      <c r="AY72" s="58">
        <f>IFERROR(INDEX(TableTECalcPts[Custom],MATCH(TableTERanks33[[#This Row],[RK]],TableTECalcPts[RK],0)),"")</f>
        <v>16.388591751839996</v>
      </c>
      <c r="AZ72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73" spans="1:52" x14ac:dyDescent="0.2">
      <c r="A73">
        <v>72</v>
      </c>
      <c r="B73" t="str">
        <f>IFERROR(INDEX(TableQBCalcPts[PLAYER],MATCH(TableQBRanks30[[#This Row],[RK]],TableQBCalcPts[RK],0)),"")</f>
        <v/>
      </c>
      <c r="C73" t="str">
        <f>IFERROR(INDEX(TableQBCalcPts[TM],MATCH(TableQBRanks30[[#This Row],[Player]],TableQBCalcPts[PLAYER],0)),"")</f>
        <v/>
      </c>
      <c r="D73" t="str">
        <f>IFERROR(INDEX(TableQBCalcPts[BYE],MATCH(TableQBRanks30[[#This Row],[Player]],TableQBCalcPts[PLAYER],0)),"")</f>
        <v/>
      </c>
      <c r="E73" s="86" t="e">
        <f>VLOOKUP(TableQBRanks30[[#This Row],[Player]],QB!B:O,4,FALSE)</f>
        <v>#N/A</v>
      </c>
      <c r="F73" s="86" t="e">
        <f>VLOOKUP(TableQBRanks30[[#This Row],[Player]],QB!B:O,5,FALSE)</f>
        <v>#N/A</v>
      </c>
      <c r="G73" s="86" t="e">
        <f>VLOOKUP(TableQBRanks30[[#This Row],[Player]],QB!B:O,6,FALSE)</f>
        <v>#N/A</v>
      </c>
      <c r="H73" s="86" t="e">
        <f>VLOOKUP(TableQBRanks30[[#This Row],[Player]],QB!B:O,7,FALSE)</f>
        <v>#N/A</v>
      </c>
      <c r="I73" s="86" t="e">
        <f>VLOOKUP(TableQBRanks30[[#This Row],[Player]],QB!B:O,8,FALSE)</f>
        <v>#N/A</v>
      </c>
      <c r="J73" s="86" t="e">
        <f>VLOOKUP(TableQBRanks30[[#This Row],[Player]],QB!B:O,9,FALSE)</f>
        <v>#N/A</v>
      </c>
      <c r="K73" s="86" t="e">
        <f>VLOOKUP(TableQBRanks30[[#This Row],[Player]],QB!B:O,10,FALSE)</f>
        <v>#N/A</v>
      </c>
      <c r="L73" s="86" t="e">
        <f>VLOOKUP(TableQBRanks30[[#This Row],[Player]],QB!B:O,11,FALSE)</f>
        <v>#N/A</v>
      </c>
      <c r="M73" s="58" t="str">
        <f>IFERROR(INDEX(TableQBCalcPts[Custom],MATCH(TableQBRanks30[[#This Row],[RK]],TableQBCalcPts[RK],0)),"")</f>
        <v/>
      </c>
      <c r="N73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73">
        <v>72</v>
      </c>
      <c r="Q73" t="str">
        <f>IFERROR(INDEX(TableRBCalcPts[PLAYER],MATCH(TableRBRanks31[[#This Row],[RK]],TableRBCalcPts[RK],0)),"")</f>
        <v>Jerome Ford</v>
      </c>
      <c r="R73" t="str">
        <f>IFERROR(INDEX(TableRBCalcPts[TM],MATCH(TableRBRanks31[[#This Row],[Player]],TableRBCalcPts[PLAYER],0)),"")</f>
        <v>CLE</v>
      </c>
      <c r="S73">
        <f>IFERROR(INDEX(TableRBCalcPts[BYE],MATCH(TableRBRanks31[[#This Row],[Player]],TableRBCalcPts[PLAYER],0)),"")</f>
        <v>5</v>
      </c>
      <c r="T73" s="86">
        <f>VLOOKUP(TableRBRanks31[[#This Row],[Player]],RB!B:O,4,FALSE)</f>
        <v>55.019777399999995</v>
      </c>
      <c r="U73" s="86">
        <f>VLOOKUP(TableRBRanks31[[#This Row],[Player]],RB!B:O,5,FALSE)</f>
        <v>234.28026901148419</v>
      </c>
      <c r="V73" s="86">
        <f>VLOOKUP(TableRBRanks31[[#This Row],[Player]],RB!B:O,6,FALSE)</f>
        <v>2.2007910959999997</v>
      </c>
      <c r="W73" s="86">
        <f>VLOOKUP(TableRBRanks31[[#This Row],[Player]],RB!B:O,7,FALSE)</f>
        <v>16.6157334</v>
      </c>
      <c r="X73" s="86">
        <f>VLOOKUP(TableRBRanks31[[#This Row],[Player]],RB!B:O,8,FALSE)</f>
        <v>11.914477502714831</v>
      </c>
      <c r="Y73" s="86">
        <f>VLOOKUP(TableRBRanks31[[#This Row],[Player]],RB!B:O,9,FALSE)</f>
        <v>92.932924521175678</v>
      </c>
      <c r="Z73" s="86">
        <f>VLOOKUP(TableRBRanks31[[#This Row],[Player]],RB!B:O,10,FALSE)</f>
        <v>0.63146730764388603</v>
      </c>
      <c r="AA73" s="58">
        <f>IFERROR(INDEX(TableRBCalcPts[Custom],MATCH(TableRBRanks31[[#This Row],[RK]],TableRBCalcPts[RK],0)),"")</f>
        <v>55.672108526486717</v>
      </c>
      <c r="AB73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73">
        <v>72</v>
      </c>
      <c r="AE73" t="str">
        <f>IFERROR(INDEX(TableWRCalcPts[PLAYER],MATCH(TableWRRanks32[[#This Row],[RK]],TableWRCalcPts[RK],0)),"")</f>
        <v>Rondale Moore</v>
      </c>
      <c r="AF73" t="str">
        <f>IFERROR(INDEX(TableWRCalcPts[TM],MATCH(TableWRRanks32[[#This Row],[Player]],TableWRCalcPts[PLAYER],0)),"")</f>
        <v>ARI</v>
      </c>
      <c r="AG73">
        <f>IFERROR(INDEX(TableWRCalcPts[BYE],MATCH(TableWRRanks32[[#This Row],[Player]],TableWRCalcPts[PLAYER],0)),"")</f>
        <v>14</v>
      </c>
      <c r="AH73" s="86">
        <f>VLOOKUP(TableWRRanks32[[#This Row],[Player]],WR!B:O,4,FALSE)</f>
        <v>45.655111421379317</v>
      </c>
      <c r="AI73" s="86">
        <f>VLOOKUP(TableWRRanks32[[#This Row],[Player]],WR!B:O,5,FALSE)</f>
        <v>0.78822870000000012</v>
      </c>
      <c r="AJ73" s="86">
        <f>VLOOKUP(TableWRRanks32[[#This Row],[Player]],WR!B:O,6,FALSE)</f>
        <v>73.260390000000001</v>
      </c>
      <c r="AK73" s="86">
        <f>VLOOKUP(TableWRRanks32[[#This Row],[Player]],WR!B:O,7,FALSE)</f>
        <v>49.084461300000001</v>
      </c>
      <c r="AL73" s="86">
        <f>VLOOKUP(TableWRRanks32[[#This Row],[Player]],WR!B:O,8,FALSE)</f>
        <v>501.15234987300005</v>
      </c>
      <c r="AM73" s="86">
        <f>VLOOKUP(TableWRRanks32[[#This Row],[Player]],WR!B:O,9,FALSE)</f>
        <v>2.4542230650000003</v>
      </c>
      <c r="AN73" s="58">
        <f>IFERROR(INDEX(TableWRCalcPts[Custom],MATCH(TableWRRanks32[[#This Row],[RK]],TableWRCalcPts[RK],0)),"")</f>
        <v>98.677687369437947</v>
      </c>
      <c r="AO7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73">
        <v>72</v>
      </c>
      <c r="AR73" t="str">
        <f>IFERROR(INDEX(TableTECalcPts[PLAYER],MATCH(TableTERanks33[[#This Row],[RK]],TableTECalcPts[RK],0)),"")</f>
        <v>Jeremy Ruckert</v>
      </c>
      <c r="AS73" t="str">
        <f>IFERROR(INDEX(TableTECalcPts[TM],MATCH(TableTERanks33[[#This Row],[Player]],TableTECalcPts[PLAYER],0)),"")</f>
        <v>NYJ</v>
      </c>
      <c r="AT73">
        <f>IFERROR(INDEX(TableTECalcPts[BYE],MATCH(TableTERanks33[[#This Row],[Player]],TableTECalcPts[PLAYER],0)),"")</f>
        <v>7</v>
      </c>
      <c r="AU73" s="86">
        <f>VLOOKUP(TableTERanks33[[#This Row],[Player]],TE!B:O,4,FALSE)</f>
        <v>11.890241999999999</v>
      </c>
      <c r="AV73" s="86">
        <f>VLOOKUP(TableTERanks33[[#This Row],[Player]],TE!B:O,5,FALSE)</f>
        <v>8.3231693999999994</v>
      </c>
      <c r="AW73" s="86">
        <f>VLOOKUP(TableTERanks33[[#This Row],[Player]],TE!B:O,6,FALSE)</f>
        <v>80.734743179999981</v>
      </c>
      <c r="AX73" s="86">
        <f>VLOOKUP(TableTERanks33[[#This Row],[Player]],TE!B:O,7,FALSE)</f>
        <v>0.64088404379999997</v>
      </c>
      <c r="AY73" s="58">
        <f>IFERROR(INDEX(TableTECalcPts[Custom],MATCH(TableTERanks33[[#This Row],[RK]],TableTECalcPts[RK],0)),"")</f>
        <v>16.080363280799997</v>
      </c>
      <c r="AZ73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74" spans="1:52" x14ac:dyDescent="0.2">
      <c r="A74">
        <v>73</v>
      </c>
      <c r="B74" t="str">
        <f>IFERROR(INDEX(TableQBCalcPts[PLAYER],MATCH(TableQBRanks30[[#This Row],[RK]],TableQBCalcPts[RK],0)),"")</f>
        <v/>
      </c>
      <c r="C74" t="str">
        <f>IFERROR(INDEX(TableQBCalcPts[TM],MATCH(TableQBRanks30[[#This Row],[Player]],TableQBCalcPts[PLAYER],0)),"")</f>
        <v/>
      </c>
      <c r="D74" t="str">
        <f>IFERROR(INDEX(TableQBCalcPts[BYE],MATCH(TableQBRanks30[[#This Row],[Player]],TableQBCalcPts[PLAYER],0)),"")</f>
        <v/>
      </c>
      <c r="E74" s="86" t="e">
        <f>VLOOKUP(TableQBRanks30[[#This Row],[Player]],QB!B:O,4,FALSE)</f>
        <v>#N/A</v>
      </c>
      <c r="F74" s="86" t="e">
        <f>VLOOKUP(TableQBRanks30[[#This Row],[Player]],QB!B:O,5,FALSE)</f>
        <v>#N/A</v>
      </c>
      <c r="G74" s="86" t="e">
        <f>VLOOKUP(TableQBRanks30[[#This Row],[Player]],QB!B:O,6,FALSE)</f>
        <v>#N/A</v>
      </c>
      <c r="H74" s="86" t="e">
        <f>VLOOKUP(TableQBRanks30[[#This Row],[Player]],QB!B:O,7,FALSE)</f>
        <v>#N/A</v>
      </c>
      <c r="I74" s="86" t="e">
        <f>VLOOKUP(TableQBRanks30[[#This Row],[Player]],QB!B:O,8,FALSE)</f>
        <v>#N/A</v>
      </c>
      <c r="J74" s="86" t="e">
        <f>VLOOKUP(TableQBRanks30[[#This Row],[Player]],QB!B:O,9,FALSE)</f>
        <v>#N/A</v>
      </c>
      <c r="K74" s="86" t="e">
        <f>VLOOKUP(TableQBRanks30[[#This Row],[Player]],QB!B:O,10,FALSE)</f>
        <v>#N/A</v>
      </c>
      <c r="L74" s="86" t="e">
        <f>VLOOKUP(TableQBRanks30[[#This Row],[Player]],QB!B:O,11,FALSE)</f>
        <v>#N/A</v>
      </c>
      <c r="M74" s="58" t="str">
        <f>IFERROR(INDEX(TableQBCalcPts[Custom],MATCH(TableQBRanks30[[#This Row],[RK]],TableQBCalcPts[RK],0)),"")</f>
        <v/>
      </c>
      <c r="N74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74">
        <v>73</v>
      </c>
      <c r="Q74" t="str">
        <f>IFERROR(INDEX(TableRBCalcPts[PLAYER],MATCH(TableRBRanks31[[#This Row],[RK]],TableRBCalcPts[RK],0)),"")</f>
        <v>Chase Edmonds</v>
      </c>
      <c r="R74" t="str">
        <f>IFERROR(INDEX(TableRBCalcPts[TM],MATCH(TableRBRanks31[[#This Row],[Player]],TableRBCalcPts[PLAYER],0)),"")</f>
        <v>TB</v>
      </c>
      <c r="S74">
        <f>IFERROR(INDEX(TableRBCalcPts[BYE],MATCH(TableRBRanks31[[#This Row],[Player]],TableRBCalcPts[PLAYER],0)),"")</f>
        <v>5</v>
      </c>
      <c r="T74" s="86">
        <f>VLOOKUP(TableRBRanks31[[#This Row],[Player]],RB!B:O,4,FALSE)</f>
        <v>54.831893760000007</v>
      </c>
      <c r="U74" s="86">
        <f>VLOOKUP(TableRBRanks31[[#This Row],[Player]],RB!B:O,5,FALSE)</f>
        <v>224.48987733141544</v>
      </c>
      <c r="V74" s="86">
        <f>VLOOKUP(TableRBRanks31[[#This Row],[Player]],RB!B:O,6,FALSE)</f>
        <v>1.4804611315200003</v>
      </c>
      <c r="W74" s="86">
        <f>VLOOKUP(TableRBRanks31[[#This Row],[Player]],RB!B:O,7,FALSE)</f>
        <v>19.560329599999999</v>
      </c>
      <c r="X74" s="86">
        <f>VLOOKUP(TableRBRanks31[[#This Row],[Player]],RB!B:O,8,FALSE)</f>
        <v>14.200799289599999</v>
      </c>
      <c r="Y74" s="86">
        <f>VLOOKUP(TableRBRanks31[[#This Row],[Player]],RB!B:O,9,FALSE)</f>
        <v>100.82567495615999</v>
      </c>
      <c r="Z74" s="86">
        <f>VLOOKUP(TableRBRanks31[[#This Row],[Player]],RB!B:O,10,FALSE)</f>
        <v>0.59643357016319998</v>
      </c>
      <c r="AA74" s="58">
        <f>IFERROR(INDEX(TableRBCalcPts[Custom],MATCH(TableRBRanks31[[#This Row],[RK]],TableRBCalcPts[RK],0)),"")</f>
        <v>52.093323083656742</v>
      </c>
      <c r="AB74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74">
        <v>73</v>
      </c>
      <c r="AE74" t="str">
        <f>IFERROR(INDEX(TableWRCalcPts[PLAYER],MATCH(TableWRRanks32[[#This Row],[RK]],TableWRCalcPts[RK],0)),"")</f>
        <v>Jameson Williams</v>
      </c>
      <c r="AF74" t="str">
        <f>IFERROR(INDEX(TableWRCalcPts[TM],MATCH(TableWRRanks32[[#This Row],[Player]],TableWRCalcPts[PLAYER],0)),"")</f>
        <v>DET</v>
      </c>
      <c r="AG74">
        <f>IFERROR(INDEX(TableWRCalcPts[BYE],MATCH(TableWRRanks32[[#This Row],[Player]],TableWRCalcPts[PLAYER],0)),"")</f>
        <v>9</v>
      </c>
      <c r="AH74" s="86">
        <f>VLOOKUP(TableWRRanks32[[#This Row],[Player]],WR!B:O,4,FALSE)</f>
        <v>0</v>
      </c>
      <c r="AI74" s="86">
        <f>VLOOKUP(TableWRRanks32[[#This Row],[Player]],WR!B:O,5,FALSE)</f>
        <v>0</v>
      </c>
      <c r="AJ74" s="86">
        <f>VLOOKUP(TableWRRanks32[[#This Row],[Player]],WR!B:O,6,FALSE)</f>
        <v>68.225961439999992</v>
      </c>
      <c r="AK74" s="86">
        <f>VLOOKUP(TableWRRanks32[[#This Row],[Player]],WR!B:O,7,FALSE)</f>
        <v>40.006012500397624</v>
      </c>
      <c r="AL74" s="86">
        <f>VLOOKUP(TableWRRanks32[[#This Row],[Player]],WR!B:O,8,FALSE)</f>
        <v>560.48423513057071</v>
      </c>
      <c r="AM74" s="86">
        <f>VLOOKUP(TableWRRanks32[[#This Row],[Player]],WR!B:O,9,FALSE)</f>
        <v>3.4805230875345932</v>
      </c>
      <c r="AN74" s="58">
        <f>IFERROR(INDEX(TableWRCalcPts[Custom],MATCH(TableWRRanks32[[#This Row],[RK]],TableWRCalcPts[RK],0)),"")</f>
        <v>96.934568288463439</v>
      </c>
      <c r="AO7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74">
        <v>73</v>
      </c>
      <c r="AR74" t="str">
        <f>IFERROR(INDEX(TableTECalcPts[PLAYER],MATCH(TableTERanks33[[#This Row],[RK]],TableTECalcPts[RK],0)),"")</f>
        <v>Jack Stoll</v>
      </c>
      <c r="AS74" t="str">
        <f>IFERROR(INDEX(TableTECalcPts[TM],MATCH(TableTERanks33[[#This Row],[Player]],TableTECalcPts[PLAYER],0)),"")</f>
        <v>PHI</v>
      </c>
      <c r="AT74">
        <f>IFERROR(INDEX(TableTECalcPts[BYE],MATCH(TableTERanks33[[#This Row],[Player]],TableTECalcPts[PLAYER],0)),"")</f>
        <v>10</v>
      </c>
      <c r="AU74" s="86">
        <f>VLOOKUP(TableTERanks33[[#This Row],[Player]],TE!B:O,4,FALSE)</f>
        <v>10.850128799999998</v>
      </c>
      <c r="AV74" s="86">
        <f>VLOOKUP(TableTERanks33[[#This Row],[Player]],TE!B:O,5,FALSE)</f>
        <v>7.7361418343999988</v>
      </c>
      <c r="AW74" s="86">
        <f>VLOOKUP(TableTERanks33[[#This Row],[Player]],TE!B:O,6,FALSE)</f>
        <v>80.069067986039983</v>
      </c>
      <c r="AX74" s="86">
        <f>VLOOKUP(TableTERanks33[[#This Row],[Player]],TE!B:O,7,FALSE)</f>
        <v>0.57247449574559983</v>
      </c>
      <c r="AY74" s="58">
        <f>IFERROR(INDEX(TableTECalcPts[Custom],MATCH(TableTERanks33[[#This Row],[RK]],TableTECalcPts[RK],0)),"")</f>
        <v>15.309824690277596</v>
      </c>
      <c r="AZ74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75" spans="1:52" x14ac:dyDescent="0.2">
      <c r="A75">
        <v>74</v>
      </c>
      <c r="B75" t="str">
        <f>IFERROR(INDEX(TableQBCalcPts[PLAYER],MATCH(TableQBRanks30[[#This Row],[RK]],TableQBCalcPts[RK],0)),"")</f>
        <v/>
      </c>
      <c r="C75" t="str">
        <f>IFERROR(INDEX(TableQBCalcPts[TM],MATCH(TableQBRanks30[[#This Row],[Player]],TableQBCalcPts[PLAYER],0)),"")</f>
        <v/>
      </c>
      <c r="D75" t="str">
        <f>IFERROR(INDEX(TableQBCalcPts[BYE],MATCH(TableQBRanks30[[#This Row],[Player]],TableQBCalcPts[PLAYER],0)),"")</f>
        <v/>
      </c>
      <c r="E75" s="86" t="e">
        <f>VLOOKUP(TableQBRanks30[[#This Row],[Player]],QB!B:O,4,FALSE)</f>
        <v>#N/A</v>
      </c>
      <c r="F75" s="86" t="e">
        <f>VLOOKUP(TableQBRanks30[[#This Row],[Player]],QB!B:O,5,FALSE)</f>
        <v>#N/A</v>
      </c>
      <c r="G75" s="86" t="e">
        <f>VLOOKUP(TableQBRanks30[[#This Row],[Player]],QB!B:O,6,FALSE)</f>
        <v>#N/A</v>
      </c>
      <c r="H75" s="86" t="e">
        <f>VLOOKUP(TableQBRanks30[[#This Row],[Player]],QB!B:O,7,FALSE)</f>
        <v>#N/A</v>
      </c>
      <c r="I75" s="86" t="e">
        <f>VLOOKUP(TableQBRanks30[[#This Row],[Player]],QB!B:O,8,FALSE)</f>
        <v>#N/A</v>
      </c>
      <c r="J75" s="86" t="e">
        <f>VLOOKUP(TableQBRanks30[[#This Row],[Player]],QB!B:O,9,FALSE)</f>
        <v>#N/A</v>
      </c>
      <c r="K75" s="86" t="e">
        <f>VLOOKUP(TableQBRanks30[[#This Row],[Player]],QB!B:O,10,FALSE)</f>
        <v>#N/A</v>
      </c>
      <c r="L75" s="86" t="e">
        <f>VLOOKUP(TableQBRanks30[[#This Row],[Player]],QB!B:O,11,FALSE)</f>
        <v>#N/A</v>
      </c>
      <c r="M75" s="58" t="str">
        <f>IFERROR(INDEX(TableQBCalcPts[Custom],MATCH(TableQBRanks30[[#This Row],[RK]],TableQBCalcPts[RK],0)),"")</f>
        <v/>
      </c>
      <c r="N75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75">
        <v>74</v>
      </c>
      <c r="Q75" t="str">
        <f>IFERROR(INDEX(TableRBCalcPts[PLAYER],MATCH(TableRBRanks31[[#This Row],[RK]],TableRBCalcPts[RK],0)),"")</f>
        <v>Kendre Miller</v>
      </c>
      <c r="R75" t="str">
        <f>IFERROR(INDEX(TableRBCalcPts[TM],MATCH(TableRBRanks31[[#This Row],[Player]],TableRBCalcPts[PLAYER],0)),"")</f>
        <v>NO</v>
      </c>
      <c r="S75">
        <f>IFERROR(INDEX(TableRBCalcPts[BYE],MATCH(TableRBRanks31[[#This Row],[Player]],TableRBCalcPts[PLAYER],0)),"")</f>
        <v>11</v>
      </c>
      <c r="T75" s="86">
        <f>VLOOKUP(TableRBRanks31[[#This Row],[Player]],RB!B:O,4,FALSE)</f>
        <v>46.734396799999992</v>
      </c>
      <c r="U75" s="86">
        <f>VLOOKUP(TableRBRanks31[[#This Row],[Player]],RB!B:O,5,FALSE)</f>
        <v>200.10175478939502</v>
      </c>
      <c r="V75" s="86">
        <f>VLOOKUP(TableRBRanks31[[#This Row],[Player]],RB!B:O,6,FALSE)</f>
        <v>1.7291726815999997</v>
      </c>
      <c r="W75" s="86">
        <f>VLOOKUP(TableRBRanks31[[#This Row],[Player]],RB!B:O,7,FALSE)</f>
        <v>16.250754155999999</v>
      </c>
      <c r="X75" s="86">
        <f>VLOOKUP(TableRBRanks31[[#This Row],[Player]],RB!B:O,8,FALSE)</f>
        <v>12.91719083697425</v>
      </c>
      <c r="Y75" s="86">
        <f>VLOOKUP(TableRBRanks31[[#This Row],[Player]],RB!B:O,9,FALSE)</f>
        <v>94.605998571977992</v>
      </c>
      <c r="Z75" s="86">
        <f>VLOOKUP(TableRBRanks31[[#This Row],[Player]],RB!B:O,10,FALSE)</f>
        <v>0.41335010678317602</v>
      </c>
      <c r="AA75" s="58">
        <f>IFERROR(INDEX(TableRBCalcPts[Custom],MATCH(TableRBRanks31[[#This Row],[RK]],TableRBCalcPts[RK],0)),"")</f>
        <v>48.784507484923481</v>
      </c>
      <c r="AB75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75">
        <v>74</v>
      </c>
      <c r="AE75" t="str">
        <f>IFERROR(INDEX(TableWRCalcPts[PLAYER],MATCH(TableWRRanks32[[#This Row],[RK]],TableWRCalcPts[RK],0)),"")</f>
        <v>Darnell Mooney</v>
      </c>
      <c r="AF75" t="str">
        <f>IFERROR(INDEX(TableWRCalcPts[TM],MATCH(TableWRRanks32[[#This Row],[Player]],TableWRCalcPts[PLAYER],0)),"")</f>
        <v>CHI</v>
      </c>
      <c r="AG75">
        <f>IFERROR(INDEX(TableWRCalcPts[BYE],MATCH(TableWRRanks32[[#This Row],[Player]],TableWRCalcPts[PLAYER],0)),"")</f>
        <v>13</v>
      </c>
      <c r="AH75" s="86">
        <f>VLOOKUP(TableWRRanks32[[#This Row],[Player]],WR!B:O,4,FALSE)</f>
        <v>0</v>
      </c>
      <c r="AI75" s="86">
        <f>VLOOKUP(TableWRRanks32[[#This Row],[Player]],WR!B:O,5,FALSE)</f>
        <v>0</v>
      </c>
      <c r="AJ75" s="86">
        <f>VLOOKUP(TableWRRanks32[[#This Row],[Player]],WR!B:O,6,FALSE)</f>
        <v>63.334514879999993</v>
      </c>
      <c r="AK75" s="86">
        <f>VLOOKUP(TableWRRanks32[[#This Row],[Player]],WR!B:O,7,FALSE)</f>
        <v>38.887392136319995</v>
      </c>
      <c r="AL75" s="86">
        <f>VLOOKUP(TableWRRanks32[[#This Row],[Player]],WR!B:O,8,FALSE)</f>
        <v>520.6477647242175</v>
      </c>
      <c r="AM75" s="86">
        <f>VLOOKUP(TableWRRanks32[[#This Row],[Player]],WR!B:O,9,FALSE)</f>
        <v>4.083176174313599</v>
      </c>
      <c r="AN75" s="58">
        <f>IFERROR(INDEX(TableWRCalcPts[Custom],MATCH(TableWRRanks32[[#This Row],[RK]],TableWRCalcPts[RK],0)),"")</f>
        <v>96.007529586463335</v>
      </c>
      <c r="AO7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75">
        <v>74</v>
      </c>
      <c r="AR75" t="str">
        <f>IFERROR(INDEX(TableTECalcPts[PLAYER],MATCH(TableTERanks33[[#This Row],[RK]],TableTECalcPts[RK],0)),"")</f>
        <v>Darnell Washington</v>
      </c>
      <c r="AS75" t="str">
        <f>IFERROR(INDEX(TableTECalcPts[TM],MATCH(TableTERanks33[[#This Row],[Player]],TableTECalcPts[PLAYER],0)),"")</f>
        <v>PIT</v>
      </c>
      <c r="AT75">
        <f>IFERROR(INDEX(TableTECalcPts[BYE],MATCH(TableTERanks33[[#This Row],[Player]],TableTECalcPts[PLAYER],0)),"")</f>
        <v>6</v>
      </c>
      <c r="AU75" s="86">
        <f>VLOOKUP(TableTERanks33[[#This Row],[Player]],TE!B:O,4,FALSE)</f>
        <v>11.543322</v>
      </c>
      <c r="AV75" s="86">
        <f>VLOOKUP(TableTERanks33[[#This Row],[Player]],TE!B:O,5,FALSE)</f>
        <v>7.6660509398372332</v>
      </c>
      <c r="AW75" s="86">
        <f>VLOOKUP(TableTERanks33[[#This Row],[Player]],TE!B:O,6,FALSE)</f>
        <v>81.336800471673044</v>
      </c>
      <c r="AX75" s="86">
        <f>VLOOKUP(TableTERanks33[[#This Row],[Player]],TE!B:O,7,FALSE)</f>
        <v>0.40630069981137334</v>
      </c>
      <c r="AY75" s="58">
        <f>IFERROR(INDEX(TableTECalcPts[Custom],MATCH(TableTERanks33[[#This Row],[RK]],TableTECalcPts[RK],0)),"")</f>
        <v>14.404509715954163</v>
      </c>
      <c r="AZ75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76" spans="1:52" x14ac:dyDescent="0.2">
      <c r="A76">
        <v>75</v>
      </c>
      <c r="B76" t="str">
        <f>IFERROR(INDEX(TableQBCalcPts[PLAYER],MATCH(TableQBRanks30[[#This Row],[RK]],TableQBCalcPts[RK],0)),"")</f>
        <v/>
      </c>
      <c r="C76" t="str">
        <f>IFERROR(INDEX(TableQBCalcPts[TM],MATCH(TableQBRanks30[[#This Row],[Player]],TableQBCalcPts[PLAYER],0)),"")</f>
        <v/>
      </c>
      <c r="D76" t="str">
        <f>IFERROR(INDEX(TableQBCalcPts[BYE],MATCH(TableQBRanks30[[#This Row],[Player]],TableQBCalcPts[PLAYER],0)),"")</f>
        <v/>
      </c>
      <c r="E76" s="86" t="e">
        <f>VLOOKUP(TableQBRanks30[[#This Row],[Player]],QB!B:O,4,FALSE)</f>
        <v>#N/A</v>
      </c>
      <c r="F76" s="86" t="e">
        <f>VLOOKUP(TableQBRanks30[[#This Row],[Player]],QB!B:O,5,FALSE)</f>
        <v>#N/A</v>
      </c>
      <c r="G76" s="86" t="e">
        <f>VLOOKUP(TableQBRanks30[[#This Row],[Player]],QB!B:O,6,FALSE)</f>
        <v>#N/A</v>
      </c>
      <c r="H76" s="86" t="e">
        <f>VLOOKUP(TableQBRanks30[[#This Row],[Player]],QB!B:O,7,FALSE)</f>
        <v>#N/A</v>
      </c>
      <c r="I76" s="86" t="e">
        <f>VLOOKUP(TableQBRanks30[[#This Row],[Player]],QB!B:O,8,FALSE)</f>
        <v>#N/A</v>
      </c>
      <c r="J76" s="86" t="e">
        <f>VLOOKUP(TableQBRanks30[[#This Row],[Player]],QB!B:O,9,FALSE)</f>
        <v>#N/A</v>
      </c>
      <c r="K76" s="86" t="e">
        <f>VLOOKUP(TableQBRanks30[[#This Row],[Player]],QB!B:O,10,FALSE)</f>
        <v>#N/A</v>
      </c>
      <c r="L76" s="86" t="e">
        <f>VLOOKUP(TableQBRanks30[[#This Row],[Player]],QB!B:O,11,FALSE)</f>
        <v>#N/A</v>
      </c>
      <c r="M76" s="58" t="str">
        <f>IFERROR(INDEX(TableQBCalcPts[Custom],MATCH(TableQBRanks30[[#This Row],[RK]],TableQBCalcPts[RK],0)),"")</f>
        <v/>
      </c>
      <c r="N76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76">
        <v>75</v>
      </c>
      <c r="Q76" t="str">
        <f>IFERROR(INDEX(TableRBCalcPts[PLAYER],MATCH(TableRBRanks31[[#This Row],[RK]],TableRBCalcPts[RK],0)),"")</f>
        <v>Keaton Mitchell</v>
      </c>
      <c r="R76" t="str">
        <f>IFERROR(INDEX(TableRBCalcPts[TM],MATCH(TableRBRanks31[[#This Row],[Player]],TableRBCalcPts[PLAYER],0)),"")</f>
        <v>BAL</v>
      </c>
      <c r="S76">
        <f>IFERROR(INDEX(TableRBCalcPts[BYE],MATCH(TableRBRanks31[[#This Row],[Player]],TableRBCalcPts[PLAYER],0)),"")</f>
        <v>13</v>
      </c>
      <c r="T76" s="86">
        <f>VLOOKUP(TableRBRanks31[[#This Row],[Player]],RB!B:O,4,FALSE)</f>
        <v>36.909963439999991</v>
      </c>
      <c r="U76" s="86">
        <f>VLOOKUP(TableRBRanks31[[#This Row],[Player]],RB!B:O,5,FALSE)</f>
        <v>174.05672665855994</v>
      </c>
      <c r="V76" s="86">
        <f>VLOOKUP(TableRBRanks31[[#This Row],[Player]],RB!B:O,6,FALSE)</f>
        <v>1.4394885741599996</v>
      </c>
      <c r="W76" s="86">
        <f>VLOOKUP(TableRBRanks31[[#This Row],[Player]],RB!B:O,7,FALSE)</f>
        <v>16.0386408</v>
      </c>
      <c r="X76" s="86">
        <f>VLOOKUP(TableRBRanks31[[#This Row],[Player]],RB!B:O,8,FALSE)</f>
        <v>12.444406156913702</v>
      </c>
      <c r="Y76" s="86">
        <f>VLOOKUP(TableRBRanks31[[#This Row],[Player]],RB!B:O,9,FALSE)</f>
        <v>87.608619344672462</v>
      </c>
      <c r="Z76" s="86">
        <f>VLOOKUP(TableRBRanks31[[#This Row],[Player]],RB!B:O,10,FALSE)</f>
        <v>0.52266505859037549</v>
      </c>
      <c r="AA76" s="58">
        <f>IFERROR(INDEX(TableRBCalcPts[Custom],MATCH(TableRBRanks31[[#This Row],[RK]],TableRBCalcPts[RK],0)),"")</f>
        <v>44.161659475282342</v>
      </c>
      <c r="AB76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76">
        <v>75</v>
      </c>
      <c r="AE76" t="str">
        <f>IFERROR(INDEX(TableWRCalcPts[PLAYER],MATCH(TableWRRanks32[[#This Row],[RK]],TableWRCalcPts[RK],0)),"")</f>
        <v>Rashod Bateman</v>
      </c>
      <c r="AF76" t="str">
        <f>IFERROR(INDEX(TableWRCalcPts[TM],MATCH(TableWRRanks32[[#This Row],[Player]],TableWRCalcPts[PLAYER],0)),"")</f>
        <v>BAL</v>
      </c>
      <c r="AG76">
        <f>IFERROR(INDEX(TableWRCalcPts[BYE],MATCH(TableWRRanks32[[#This Row],[Player]],TableWRCalcPts[PLAYER],0)),"")</f>
        <v>13</v>
      </c>
      <c r="AH76" s="86">
        <f>VLOOKUP(TableWRRanks32[[#This Row],[Player]],WR!B:O,4,FALSE)</f>
        <v>0</v>
      </c>
      <c r="AI76" s="86">
        <f>VLOOKUP(TableWRRanks32[[#This Row],[Player]],WR!B:O,5,FALSE)</f>
        <v>0</v>
      </c>
      <c r="AJ76" s="86">
        <f>VLOOKUP(TableWRRanks32[[#This Row],[Player]],WR!B:O,6,FALSE)</f>
        <v>73.243126320000016</v>
      </c>
      <c r="AK76" s="86">
        <f>VLOOKUP(TableWRRanks32[[#This Row],[Player]],WR!B:O,7,FALSE)</f>
        <v>45.230232956759949</v>
      </c>
      <c r="AL76" s="86">
        <f>VLOOKUP(TableWRRanks32[[#This Row],[Player]],WR!B:O,8,FALSE)</f>
        <v>563.11640031166132</v>
      </c>
      <c r="AM76" s="86">
        <f>VLOOKUP(TableWRRanks32[[#This Row],[Player]],WR!B:O,9,FALSE)</f>
        <v>2.8042744433191169</v>
      </c>
      <c r="AN76" s="58">
        <f>IFERROR(INDEX(TableWRCalcPts[Custom],MATCH(TableWRRanks32[[#This Row],[RK]],TableWRCalcPts[RK],0)),"")</f>
        <v>95.75240316946082</v>
      </c>
      <c r="AO7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76">
        <v>75</v>
      </c>
      <c r="AR76" t="str">
        <f>IFERROR(INDEX(TableTECalcPts[PLAYER],MATCH(TableTERanks33[[#This Row],[RK]],TableTECalcPts[RK],0)),"")</f>
        <v>Mitchell Wilcox</v>
      </c>
      <c r="AS76" t="str">
        <f>IFERROR(INDEX(TableTECalcPts[TM],MATCH(TableTERanks33[[#This Row],[Player]],TableTECalcPts[PLAYER],0)),"")</f>
        <v>CIN</v>
      </c>
      <c r="AT76">
        <f>IFERROR(INDEX(TableTECalcPts[BYE],MATCH(TableTERanks33[[#This Row],[Player]],TableTECalcPts[PLAYER],0)),"")</f>
        <v>7</v>
      </c>
      <c r="AU76" s="86">
        <f>VLOOKUP(TableTERanks33[[#This Row],[Player]],TE!B:O,4,FALSE)</f>
        <v>12.308545199999999</v>
      </c>
      <c r="AV76" s="86">
        <f>VLOOKUP(TableTERanks33[[#This Row],[Player]],TE!B:O,5,FALSE)</f>
        <v>8.2787846729279018</v>
      </c>
      <c r="AW76" s="86">
        <f>VLOOKUP(TableTERanks33[[#This Row],[Player]],TE!B:O,6,FALSE)</f>
        <v>74.862406101684826</v>
      </c>
      <c r="AX76" s="86">
        <f>VLOOKUP(TableTERanks33[[#This Row],[Player]],TE!B:O,7,FALSE)</f>
        <v>0.41393923364639512</v>
      </c>
      <c r="AY76" s="58">
        <f>IFERROR(INDEX(TableTECalcPts[Custom],MATCH(TableTERanks33[[#This Row],[RK]],TableTECalcPts[RK],0)),"")</f>
        <v>14.109268348510804</v>
      </c>
      <c r="AZ76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77" spans="1:52" x14ac:dyDescent="0.2">
      <c r="A77">
        <v>76</v>
      </c>
      <c r="B77" t="str">
        <f>IFERROR(INDEX(TableQBCalcPts[PLAYER],MATCH(TableQBRanks30[[#This Row],[RK]],TableQBCalcPts[RK],0)),"")</f>
        <v/>
      </c>
      <c r="C77" t="str">
        <f>IFERROR(INDEX(TableQBCalcPts[TM],MATCH(TableQBRanks30[[#This Row],[Player]],TableQBCalcPts[PLAYER],0)),"")</f>
        <v/>
      </c>
      <c r="D77" t="str">
        <f>IFERROR(INDEX(TableQBCalcPts[BYE],MATCH(TableQBRanks30[[#This Row],[Player]],TableQBCalcPts[PLAYER],0)),"")</f>
        <v/>
      </c>
      <c r="E77" s="86" t="e">
        <f>VLOOKUP(TableQBRanks30[[#This Row],[Player]],QB!B:O,4,FALSE)</f>
        <v>#N/A</v>
      </c>
      <c r="F77" s="86" t="e">
        <f>VLOOKUP(TableQBRanks30[[#This Row],[Player]],QB!B:O,5,FALSE)</f>
        <v>#N/A</v>
      </c>
      <c r="G77" s="86" t="e">
        <f>VLOOKUP(TableQBRanks30[[#This Row],[Player]],QB!B:O,6,FALSE)</f>
        <v>#N/A</v>
      </c>
      <c r="H77" s="86" t="e">
        <f>VLOOKUP(TableQBRanks30[[#This Row],[Player]],QB!B:O,7,FALSE)</f>
        <v>#N/A</v>
      </c>
      <c r="I77" s="86" t="e">
        <f>VLOOKUP(TableQBRanks30[[#This Row],[Player]],QB!B:O,8,FALSE)</f>
        <v>#N/A</v>
      </c>
      <c r="J77" s="86" t="e">
        <f>VLOOKUP(TableQBRanks30[[#This Row],[Player]],QB!B:O,9,FALSE)</f>
        <v>#N/A</v>
      </c>
      <c r="K77" s="86" t="e">
        <f>VLOOKUP(TableQBRanks30[[#This Row],[Player]],QB!B:O,10,FALSE)</f>
        <v>#N/A</v>
      </c>
      <c r="L77" s="86" t="e">
        <f>VLOOKUP(TableQBRanks30[[#This Row],[Player]],QB!B:O,11,FALSE)</f>
        <v>#N/A</v>
      </c>
      <c r="M77" s="58" t="str">
        <f>IFERROR(INDEX(TableQBCalcPts[Custom],MATCH(TableQBRanks30[[#This Row],[RK]],TableQBCalcPts[RK],0)),"")</f>
        <v/>
      </c>
      <c r="N77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77">
        <v>76</v>
      </c>
      <c r="Q77" t="str">
        <f>IFERROR(INDEX(TableRBCalcPts[PLAYER],MATCH(TableRBRanks31[[#This Row],[RK]],TableRBCalcPts[RK],0)),"")</f>
        <v>Ameer Abdullah</v>
      </c>
      <c r="R77" t="str">
        <f>IFERROR(INDEX(TableRBCalcPts[TM],MATCH(TableRBRanks31[[#This Row],[Player]],TableRBCalcPts[PLAYER],0)),"")</f>
        <v>LV</v>
      </c>
      <c r="S77">
        <f>IFERROR(INDEX(TableRBCalcPts[BYE],MATCH(TableRBRanks31[[#This Row],[Player]],TableRBCalcPts[PLAYER],0)),"")</f>
        <v>13</v>
      </c>
      <c r="T77" s="86">
        <f>VLOOKUP(TableRBRanks31[[#This Row],[Player]],RB!B:O,4,FALSE)</f>
        <v>8.7969210000000011</v>
      </c>
      <c r="U77" s="86">
        <f>VLOOKUP(TableRBRanks31[[#This Row],[Player]],RB!B:O,5,FALSE)</f>
        <v>36.790341960662985</v>
      </c>
      <c r="V77" s="86">
        <f>VLOOKUP(TableRBRanks31[[#This Row],[Player]],RB!B:O,6,FALSE)</f>
        <v>0.21112610400000004</v>
      </c>
      <c r="W77" s="86">
        <f>VLOOKUP(TableRBRanks31[[#This Row],[Player]],RB!B:O,7,FALSE)</f>
        <v>33.658442999999998</v>
      </c>
      <c r="X77" s="86">
        <f>VLOOKUP(TableRBRanks31[[#This Row],[Player]],RB!B:O,8,FALSE)</f>
        <v>24.706825341141354</v>
      </c>
      <c r="Y77" s="86">
        <f>VLOOKUP(TableRBRanks31[[#This Row],[Player]],RB!B:O,9,FALSE)</f>
        <v>191.23082814043408</v>
      </c>
      <c r="Z77" s="86">
        <f>VLOOKUP(TableRBRanks31[[#This Row],[Player]],RB!B:O,10,FALSE)</f>
        <v>0.98827301364565412</v>
      </c>
      <c r="AA77" s="58">
        <f>IFERROR(INDEX(TableRBCalcPts[Custom],MATCH(TableRBRanks31[[#This Row],[RK]],TableRBCalcPts[RK],0)),"")</f>
        <v>42.351924386554309</v>
      </c>
      <c r="AB77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77">
        <v>76</v>
      </c>
      <c r="AE77" t="str">
        <f>IFERROR(INDEX(TableWRCalcPts[PLAYER],MATCH(TableWRRanks32[[#This Row],[RK]],TableWRCalcPts[RK],0)),"")</f>
        <v>Alec Pierce</v>
      </c>
      <c r="AF77" t="str">
        <f>IFERROR(INDEX(TableWRCalcPts[TM],MATCH(TableWRRanks32[[#This Row],[Player]],TableWRCalcPts[PLAYER],0)),"")</f>
        <v>IND</v>
      </c>
      <c r="AG77">
        <f>IFERROR(INDEX(TableWRCalcPts[BYE],MATCH(TableWRRanks32[[#This Row],[Player]],TableWRCalcPts[PLAYER],0)),"")</f>
        <v>11</v>
      </c>
      <c r="AH77" s="86">
        <f>VLOOKUP(TableWRRanks32[[#This Row],[Player]],WR!B:O,4,FALSE)</f>
        <v>0</v>
      </c>
      <c r="AI77" s="86">
        <f>VLOOKUP(TableWRRanks32[[#This Row],[Player]],WR!B:O,5,FALSE)</f>
        <v>0</v>
      </c>
      <c r="AJ77" s="86">
        <f>VLOOKUP(TableWRRanks32[[#This Row],[Player]],WR!B:O,6,FALSE)</f>
        <v>78.583289400000012</v>
      </c>
      <c r="AK77" s="86">
        <f>VLOOKUP(TableWRRanks32[[#This Row],[Player]],WR!B:O,7,FALSE)</f>
        <v>42.762883472475352</v>
      </c>
      <c r="AL77" s="86">
        <f>VLOOKUP(TableWRRanks32[[#This Row],[Player]],WR!B:O,8,FALSE)</f>
        <v>564.89769067139946</v>
      </c>
      <c r="AM77" s="86">
        <f>VLOOKUP(TableWRRanks32[[#This Row],[Player]],WR!B:O,9,FALSE)</f>
        <v>2.7368245422384225</v>
      </c>
      <c r="AN77" s="58">
        <f>IFERROR(INDEX(TableWRCalcPts[Custom],MATCH(TableWRRanks32[[#This Row],[RK]],TableWRCalcPts[RK],0)),"")</f>
        <v>94.292158056808148</v>
      </c>
      <c r="AO7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77">
        <v>76</v>
      </c>
      <c r="AR77" t="str">
        <f>IFERROR(INDEX(TableTECalcPts[PLAYER],MATCH(TableTERanks33[[#This Row],[RK]],TableTECalcPts[RK],0)),"")</f>
        <v>Foster Moreau</v>
      </c>
      <c r="AS77" t="str">
        <f>IFERROR(INDEX(TableTECalcPts[TM],MATCH(TableTERanks33[[#This Row],[Player]],TableTECalcPts[PLAYER],0)),"")</f>
        <v>NO</v>
      </c>
      <c r="AT77">
        <f>IFERROR(INDEX(TableTECalcPts[BYE],MATCH(TableTERanks33[[#This Row],[Player]],TableTECalcPts[PLAYER],0)),"")</f>
        <v>11</v>
      </c>
      <c r="AU77" s="86">
        <f>VLOOKUP(TableTERanks33[[#This Row],[Player]],TE!B:O,4,FALSE)</f>
        <v>9.9601396439999981</v>
      </c>
      <c r="AV77" s="86">
        <f>VLOOKUP(TableTERanks33[[#This Row],[Player]],TE!B:O,5,FALSE)</f>
        <v>6.3744893721599993</v>
      </c>
      <c r="AW77" s="86">
        <f>VLOOKUP(TableTERanks33[[#This Row],[Player]],TE!B:O,6,FALSE)</f>
        <v>71.521770755635202</v>
      </c>
      <c r="AX77" s="86">
        <f>VLOOKUP(TableTERanks33[[#This Row],[Player]],TE!B:O,7,FALSE)</f>
        <v>0.57370404349439996</v>
      </c>
      <c r="AY77" s="58">
        <f>IFERROR(INDEX(TableTECalcPts[Custom],MATCH(TableTERanks33[[#This Row],[RK]],TableTECalcPts[RK],0)),"")</f>
        <v>13.781646022609921</v>
      </c>
      <c r="AZ77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78" spans="1:52" x14ac:dyDescent="0.2">
      <c r="A78">
        <v>77</v>
      </c>
      <c r="B78" t="str">
        <f>IFERROR(INDEX(TableQBCalcPts[PLAYER],MATCH(TableQBRanks30[[#This Row],[RK]],TableQBCalcPts[RK],0)),"")</f>
        <v/>
      </c>
      <c r="C78" t="str">
        <f>IFERROR(INDEX(TableQBCalcPts[TM],MATCH(TableQBRanks30[[#This Row],[Player]],TableQBCalcPts[PLAYER],0)),"")</f>
        <v/>
      </c>
      <c r="D78" t="str">
        <f>IFERROR(INDEX(TableQBCalcPts[BYE],MATCH(TableQBRanks30[[#This Row],[Player]],TableQBCalcPts[PLAYER],0)),"")</f>
        <v/>
      </c>
      <c r="E78" s="86" t="e">
        <f>VLOOKUP(TableQBRanks30[[#This Row],[Player]],QB!B:O,4,FALSE)</f>
        <v>#N/A</v>
      </c>
      <c r="F78" s="86" t="e">
        <f>VLOOKUP(TableQBRanks30[[#This Row],[Player]],QB!B:O,5,FALSE)</f>
        <v>#N/A</v>
      </c>
      <c r="G78" s="86" t="e">
        <f>VLOOKUP(TableQBRanks30[[#This Row],[Player]],QB!B:O,6,FALSE)</f>
        <v>#N/A</v>
      </c>
      <c r="H78" s="86" t="e">
        <f>VLOOKUP(TableQBRanks30[[#This Row],[Player]],QB!B:O,7,FALSE)</f>
        <v>#N/A</v>
      </c>
      <c r="I78" s="86" t="e">
        <f>VLOOKUP(TableQBRanks30[[#This Row],[Player]],QB!B:O,8,FALSE)</f>
        <v>#N/A</v>
      </c>
      <c r="J78" s="86" t="e">
        <f>VLOOKUP(TableQBRanks30[[#This Row],[Player]],QB!B:O,9,FALSE)</f>
        <v>#N/A</v>
      </c>
      <c r="K78" s="86" t="e">
        <f>VLOOKUP(TableQBRanks30[[#This Row],[Player]],QB!B:O,10,FALSE)</f>
        <v>#N/A</v>
      </c>
      <c r="L78" s="86" t="e">
        <f>VLOOKUP(TableQBRanks30[[#This Row],[Player]],QB!B:O,11,FALSE)</f>
        <v>#N/A</v>
      </c>
      <c r="M78" s="58" t="str">
        <f>IFERROR(INDEX(TableQBCalcPts[Custom],MATCH(TableQBRanks30[[#This Row],[RK]],TableQBCalcPts[RK],0)),"")</f>
        <v/>
      </c>
      <c r="N78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78">
        <v>77</v>
      </c>
      <c r="Q78" t="str">
        <f>IFERROR(INDEX(TableRBCalcPts[PLAYER],MATCH(TableRBRanks31[[#This Row],[RK]],TableRBCalcPts[RK],0)),"")</f>
        <v>Raheem Blackshear</v>
      </c>
      <c r="R78" t="str">
        <f>IFERROR(INDEX(TableRBCalcPts[TM],MATCH(TableRBRanks31[[#This Row],[Player]],TableRBCalcPts[PLAYER],0)),"")</f>
        <v>CAR</v>
      </c>
      <c r="S78">
        <f>IFERROR(INDEX(TableRBCalcPts[BYE],MATCH(TableRBRanks31[[#This Row],[Player]],TableRBCalcPts[PLAYER],0)),"")</f>
        <v>7</v>
      </c>
      <c r="T78" s="86">
        <f>VLOOKUP(TableRBRanks31[[#This Row],[Player]],RB!B:O,4,FALSE)</f>
        <v>41.342597520000005</v>
      </c>
      <c r="U78" s="86">
        <f>VLOOKUP(TableRBRanks31[[#This Row],[Player]],RB!B:O,5,FALSE)</f>
        <v>166.42020620146423</v>
      </c>
      <c r="V78" s="86">
        <f>VLOOKUP(TableRBRanks31[[#This Row],[Player]],RB!B:O,6,FALSE)</f>
        <v>1.4469909132000003</v>
      </c>
      <c r="W78" s="86">
        <f>VLOOKUP(TableRBRanks31[[#This Row],[Player]],RB!B:O,7,FALSE)</f>
        <v>14.7110985</v>
      </c>
      <c r="X78" s="86">
        <f>VLOOKUP(TableRBRanks31[[#This Row],[Player]],RB!B:O,8,FALSE)</f>
        <v>10.924447056799806</v>
      </c>
      <c r="Y78" s="86">
        <f>VLOOKUP(TableRBRanks31[[#This Row],[Player]],RB!B:O,9,FALSE)</f>
        <v>88.857166478736829</v>
      </c>
      <c r="Z78" s="86">
        <f>VLOOKUP(TableRBRanks31[[#This Row],[Player]],RB!B:O,10,FALSE)</f>
        <v>0.26218672936319537</v>
      </c>
      <c r="AA78" s="58">
        <f>IFERROR(INDEX(TableRBCalcPts[Custom],MATCH(TableRBRanks31[[#This Row],[RK]],TableRBCalcPts[RK],0)),"")</f>
        <v>41.245026651799179</v>
      </c>
      <c r="AB78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78">
        <v>77</v>
      </c>
      <c r="AE78" t="str">
        <f>IFERROR(INDEX(TableWRCalcPts[PLAYER],MATCH(TableWRRanks32[[#This Row],[RK]],TableWRCalcPts[RK],0)),"")</f>
        <v>Michael Gallup</v>
      </c>
      <c r="AF78" t="str">
        <f>IFERROR(INDEX(TableWRCalcPts[TM],MATCH(TableWRRanks32[[#This Row],[Player]],TableWRCalcPts[PLAYER],0)),"")</f>
        <v>DAL</v>
      </c>
      <c r="AG78">
        <f>IFERROR(INDEX(TableWRCalcPts[BYE],MATCH(TableWRRanks32[[#This Row],[Player]],TableWRCalcPts[PLAYER],0)),"")</f>
        <v>7</v>
      </c>
      <c r="AH78" s="86">
        <f>VLOOKUP(TableWRRanks32[[#This Row],[Player]],WR!B:O,4,FALSE)</f>
        <v>0</v>
      </c>
      <c r="AI78" s="86">
        <f>VLOOKUP(TableWRRanks32[[#This Row],[Player]],WR!B:O,5,FALSE)</f>
        <v>0</v>
      </c>
      <c r="AJ78" s="86">
        <f>VLOOKUP(TableWRRanks32[[#This Row],[Player]],WR!B:O,6,FALSE)</f>
        <v>69.121704960000002</v>
      </c>
      <c r="AK78" s="86">
        <f>VLOOKUP(TableWRRanks32[[#This Row],[Player]],WR!B:O,7,FALSE)</f>
        <v>39.505748284365389</v>
      </c>
      <c r="AL78" s="86">
        <f>VLOOKUP(TableWRRanks32[[#This Row],[Player]],WR!B:O,8,FALSE)</f>
        <v>523.45116476784142</v>
      </c>
      <c r="AM78" s="86">
        <f>VLOOKUP(TableWRRanks32[[#This Row],[Player]],WR!B:O,9,FALSE)</f>
        <v>3.555517345592885</v>
      </c>
      <c r="AN78" s="58">
        <f>IFERROR(INDEX(TableWRCalcPts[Custom],MATCH(TableWRRanks32[[#This Row],[RK]],TableWRCalcPts[RK],0)),"")</f>
        <v>93.431094692524141</v>
      </c>
      <c r="AO7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78">
        <v>77</v>
      </c>
      <c r="AR78" t="str">
        <f>IFERROR(INDEX(TableTECalcPts[PLAYER],MATCH(TableTERanks33[[#This Row],[RK]],TableTECalcPts[RK],0)),"")</f>
        <v>MyCole Pruitt</v>
      </c>
      <c r="AS78" t="str">
        <f>IFERROR(INDEX(TableTECalcPts[TM],MATCH(TableTERanks33[[#This Row],[Player]],TableTECalcPts[PLAYER],0)),"")</f>
        <v>ATL</v>
      </c>
      <c r="AT78">
        <f>IFERROR(INDEX(TableTECalcPts[BYE],MATCH(TableTERanks33[[#This Row],[Player]],TableTECalcPts[PLAYER],0)),"")</f>
        <v>11</v>
      </c>
      <c r="AU78" s="86">
        <f>VLOOKUP(TableTERanks33[[#This Row],[Player]],TE!B:O,4,FALSE)</f>
        <v>10.115481599999997</v>
      </c>
      <c r="AV78" s="86">
        <f>VLOOKUP(TableTERanks33[[#This Row],[Player]],TE!B:O,5,FALSE)</f>
        <v>6.7470262271999983</v>
      </c>
      <c r="AW78" s="86">
        <f>VLOOKUP(TableTERanks33[[#This Row],[Player]],TE!B:O,6,FALSE)</f>
        <v>66.120857026559989</v>
      </c>
      <c r="AX78" s="86">
        <f>VLOOKUP(TableTERanks33[[#This Row],[Player]],TE!B:O,7,FALSE)</f>
        <v>0.31711023267839994</v>
      </c>
      <c r="AY78" s="58">
        <f>IFERROR(INDEX(TableTECalcPts[Custom],MATCH(TableTERanks33[[#This Row],[RK]],TableTECalcPts[RK],0)),"")</f>
        <v>11.888260212326399</v>
      </c>
      <c r="AZ78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79" spans="1:52" x14ac:dyDescent="0.2">
      <c r="A79">
        <v>78</v>
      </c>
      <c r="B79" t="str">
        <f>IFERROR(INDEX(TableQBCalcPts[PLAYER],MATCH(TableQBRanks30[[#This Row],[RK]],TableQBCalcPts[RK],0)),"")</f>
        <v/>
      </c>
      <c r="C79" t="str">
        <f>IFERROR(INDEX(TableQBCalcPts[TM],MATCH(TableQBRanks30[[#This Row],[Player]],TableQBCalcPts[PLAYER],0)),"")</f>
        <v/>
      </c>
      <c r="D79" t="str">
        <f>IFERROR(INDEX(TableQBCalcPts[BYE],MATCH(TableQBRanks30[[#This Row],[Player]],TableQBCalcPts[PLAYER],0)),"")</f>
        <v/>
      </c>
      <c r="E79" s="86" t="e">
        <f>VLOOKUP(TableQBRanks30[[#This Row],[Player]],QB!B:O,4,FALSE)</f>
        <v>#N/A</v>
      </c>
      <c r="F79" s="86" t="e">
        <f>VLOOKUP(TableQBRanks30[[#This Row],[Player]],QB!B:O,5,FALSE)</f>
        <v>#N/A</v>
      </c>
      <c r="G79" s="86" t="e">
        <f>VLOOKUP(TableQBRanks30[[#This Row],[Player]],QB!B:O,6,FALSE)</f>
        <v>#N/A</v>
      </c>
      <c r="H79" s="86" t="e">
        <f>VLOOKUP(TableQBRanks30[[#This Row],[Player]],QB!B:O,7,FALSE)</f>
        <v>#N/A</v>
      </c>
      <c r="I79" s="86" t="e">
        <f>VLOOKUP(TableQBRanks30[[#This Row],[Player]],QB!B:O,8,FALSE)</f>
        <v>#N/A</v>
      </c>
      <c r="J79" s="86" t="e">
        <f>VLOOKUP(TableQBRanks30[[#This Row],[Player]],QB!B:O,9,FALSE)</f>
        <v>#N/A</v>
      </c>
      <c r="K79" s="86" t="e">
        <f>VLOOKUP(TableQBRanks30[[#This Row],[Player]],QB!B:O,10,FALSE)</f>
        <v>#N/A</v>
      </c>
      <c r="L79" s="86" t="e">
        <f>VLOOKUP(TableQBRanks30[[#This Row],[Player]],QB!B:O,11,FALSE)</f>
        <v>#N/A</v>
      </c>
      <c r="M79" s="58" t="str">
        <f>IFERROR(INDEX(TableQBCalcPts[Custom],MATCH(TableQBRanks30[[#This Row],[RK]],TableQBCalcPts[RK],0)),"")</f>
        <v/>
      </c>
      <c r="N79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79">
        <v>78</v>
      </c>
      <c r="Q79" t="str">
        <f>IFERROR(INDEX(TableRBCalcPts[PLAYER],MATCH(TableRBRanks31[[#This Row],[RK]],TableRBCalcPts[RK],0)),"")</f>
        <v>Evan Hull</v>
      </c>
      <c r="R79" t="str">
        <f>IFERROR(INDEX(TableRBCalcPts[TM],MATCH(TableRBRanks31[[#This Row],[Player]],TableRBCalcPts[PLAYER],0)),"")</f>
        <v>IND</v>
      </c>
      <c r="S79">
        <f>IFERROR(INDEX(TableRBCalcPts[BYE],MATCH(TableRBRanks31[[#This Row],[Player]],TableRBCalcPts[PLAYER],0)),"")</f>
        <v>11</v>
      </c>
      <c r="T79" s="86">
        <f>VLOOKUP(TableRBRanks31[[#This Row],[Player]],RB!B:O,4,FALSE)</f>
        <v>39.161583999999998</v>
      </c>
      <c r="U79" s="86">
        <f>VLOOKUP(TableRBRanks31[[#This Row],[Player]],RB!B:O,5,FALSE)</f>
        <v>169.56965872000001</v>
      </c>
      <c r="V79" s="86">
        <f>VLOOKUP(TableRBRanks31[[#This Row],[Player]],RB!B:O,6,FALSE)</f>
        <v>1.3706554399999999</v>
      </c>
      <c r="W79" s="86">
        <f>VLOOKUP(TableRBRanks31[[#This Row],[Player]],RB!B:O,7,FALSE)</f>
        <v>14.433665400000002</v>
      </c>
      <c r="X79" s="86">
        <f>VLOOKUP(TableRBRanks31[[#This Row],[Player]],RB!B:O,8,FALSE)</f>
        <v>9.5978783655315034</v>
      </c>
      <c r="Y79" s="86">
        <f>VLOOKUP(TableRBRanks31[[#This Row],[Player]],RB!B:O,9,FALSE)</f>
        <v>79.568530181425103</v>
      </c>
      <c r="Z79" s="86">
        <f>VLOOKUP(TableRBRanks31[[#This Row],[Player]],RB!B:O,10,FALSE)</f>
        <v>0.33592574279360266</v>
      </c>
      <c r="AA79" s="58">
        <f>IFERROR(INDEX(TableRBCalcPts[Custom],MATCH(TableRBRanks31[[#This Row],[RK]],TableRBCalcPts[RK],0)),"")</f>
        <v>39.952245169669872</v>
      </c>
      <c r="AB79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79">
        <v>78</v>
      </c>
      <c r="AE79" t="str">
        <f>IFERROR(INDEX(TableWRCalcPts[PLAYER],MATCH(TableWRRanks32[[#This Row],[RK]],TableWRCalcPts[RK],0)),"")</f>
        <v>Justyn Ross</v>
      </c>
      <c r="AF79" t="str">
        <f>IFERROR(INDEX(TableWRCalcPts[TM],MATCH(TableWRRanks32[[#This Row],[Player]],TableWRCalcPts[PLAYER],0)),"")</f>
        <v>KC</v>
      </c>
      <c r="AG79">
        <f>IFERROR(INDEX(TableWRCalcPts[BYE],MATCH(TableWRRanks32[[#This Row],[Player]],TableWRCalcPts[PLAYER],0)),"")</f>
        <v>10</v>
      </c>
      <c r="AH79" s="86">
        <f>VLOOKUP(TableWRRanks32[[#This Row],[Player]],WR!B:O,4,FALSE)</f>
        <v>0</v>
      </c>
      <c r="AI79" s="86">
        <f>VLOOKUP(TableWRRanks32[[#This Row],[Player]],WR!B:O,5,FALSE)</f>
        <v>0</v>
      </c>
      <c r="AJ79" s="86">
        <f>VLOOKUP(TableWRRanks32[[#This Row],[Player]],WR!B:O,6,FALSE)</f>
        <v>64.73290824</v>
      </c>
      <c r="AK79" s="86">
        <f>VLOOKUP(TableWRRanks32[[#This Row],[Player]],WR!B:O,7,FALSE)</f>
        <v>39.163409485199999</v>
      </c>
      <c r="AL79" s="86">
        <f>VLOOKUP(TableWRRanks32[[#This Row],[Player]],WR!B:O,8,FALSE)</f>
        <v>509.12432330759998</v>
      </c>
      <c r="AM79" s="86">
        <f>VLOOKUP(TableWRRanks32[[#This Row],[Player]],WR!B:O,9,FALSE)</f>
        <v>3.6030336726384</v>
      </c>
      <c r="AN79" s="58">
        <f>IFERROR(INDEX(TableWRCalcPts[Custom],MATCH(TableWRRanks32[[#This Row],[RK]],TableWRCalcPts[RK],0)),"")</f>
        <v>92.112339109190401</v>
      </c>
      <c r="AO7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79">
        <v>78</v>
      </c>
      <c r="AR79" t="str">
        <f>IFERROR(INDEX(TableTECalcPts[PLAYER],MATCH(TableTERanks33[[#This Row],[RK]],TableTECalcPts[RK],0)),"")</f>
        <v>Josiah Deguara</v>
      </c>
      <c r="AS79" t="str">
        <f>IFERROR(INDEX(TableTECalcPts[TM],MATCH(TableTERanks33[[#This Row],[Player]],TableTECalcPts[PLAYER],0)),"")</f>
        <v>GB</v>
      </c>
      <c r="AT79">
        <f>IFERROR(INDEX(TableTECalcPts[BYE],MATCH(TableTERanks33[[#This Row],[Player]],TableTECalcPts[PLAYER],0)),"")</f>
        <v>6</v>
      </c>
      <c r="AU79" s="86">
        <f>VLOOKUP(TableTERanks33[[#This Row],[Player]],TE!B:O,4,FALSE)</f>
        <v>8.9820684800000006</v>
      </c>
      <c r="AV79" s="86">
        <f>VLOOKUP(TableTERanks33[[#This Row],[Player]],TE!B:O,5,FALSE)</f>
        <v>6.8061067770092194</v>
      </c>
      <c r="AW79" s="86">
        <f>VLOOKUP(TableTERanks33[[#This Row],[Player]],TE!B:O,6,FALSE)</f>
        <v>64.828198975070606</v>
      </c>
      <c r="AX79" s="86">
        <f>VLOOKUP(TableTERanks33[[#This Row],[Player]],TE!B:O,7,FALSE)</f>
        <v>0.33349923207345178</v>
      </c>
      <c r="AY79" s="58">
        <f>IFERROR(INDEX(TableTECalcPts[Custom],MATCH(TableTERanks33[[#This Row],[RK]],TableTECalcPts[RK],0)),"")</f>
        <v>11.88686867845238</v>
      </c>
      <c r="AZ79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80" spans="1:52" x14ac:dyDescent="0.2">
      <c r="A80">
        <v>79</v>
      </c>
      <c r="B80" t="str">
        <f>IFERROR(INDEX(TableQBCalcPts[PLAYER],MATCH(TableQBRanks30[[#This Row],[RK]],TableQBCalcPts[RK],0)),"")</f>
        <v/>
      </c>
      <c r="C80" t="str">
        <f>IFERROR(INDEX(TableQBCalcPts[TM],MATCH(TableQBRanks30[[#This Row],[Player]],TableQBCalcPts[PLAYER],0)),"")</f>
        <v/>
      </c>
      <c r="D80" t="str">
        <f>IFERROR(INDEX(TableQBCalcPts[BYE],MATCH(TableQBRanks30[[#This Row],[Player]],TableQBCalcPts[PLAYER],0)),"")</f>
        <v/>
      </c>
      <c r="E80" s="86" t="e">
        <f>VLOOKUP(TableQBRanks30[[#This Row],[Player]],QB!B:O,4,FALSE)</f>
        <v>#N/A</v>
      </c>
      <c r="F80" s="86" t="e">
        <f>VLOOKUP(TableQBRanks30[[#This Row],[Player]],QB!B:O,5,FALSE)</f>
        <v>#N/A</v>
      </c>
      <c r="G80" s="86" t="e">
        <f>VLOOKUP(TableQBRanks30[[#This Row],[Player]],QB!B:O,6,FALSE)</f>
        <v>#N/A</v>
      </c>
      <c r="H80" s="86" t="e">
        <f>VLOOKUP(TableQBRanks30[[#This Row],[Player]],QB!B:O,7,FALSE)</f>
        <v>#N/A</v>
      </c>
      <c r="I80" s="86" t="e">
        <f>VLOOKUP(TableQBRanks30[[#This Row],[Player]],QB!B:O,8,FALSE)</f>
        <v>#N/A</v>
      </c>
      <c r="J80" s="86" t="e">
        <f>VLOOKUP(TableQBRanks30[[#This Row],[Player]],QB!B:O,9,FALSE)</f>
        <v>#N/A</v>
      </c>
      <c r="K80" s="86" t="e">
        <f>VLOOKUP(TableQBRanks30[[#This Row],[Player]],QB!B:O,10,FALSE)</f>
        <v>#N/A</v>
      </c>
      <c r="L80" s="86" t="e">
        <f>VLOOKUP(TableQBRanks30[[#This Row],[Player]],QB!B:O,11,FALSE)</f>
        <v>#N/A</v>
      </c>
      <c r="M80" s="58" t="str">
        <f>IFERROR(INDEX(TableQBCalcPts[Custom],MATCH(TableQBRanks30[[#This Row],[RK]],TableQBCalcPts[RK],0)),"")</f>
        <v/>
      </c>
      <c r="N80" s="133" t="e">
        <f>IF(((VLOOKUP(TableQBRanks30[[#This Row],[Player]],'OVR &amp; VORP Ranks'!$B:$F,5,FALSE))/('OVR &amp; VORP Ranks'!$BM$6))*(Settings!$E$10*TEAMS)&lt;0,0,((VLOOKUP(TableQBRanks30[[#This Row],[Player]],'OVR &amp; VORP Ranks'!$B:$F,5,FALSE))/('OVR &amp; VORP Ranks'!$BM$6))*(Settings!$E$10*TEAMS))</f>
        <v>#VALUE!</v>
      </c>
      <c r="P80">
        <v>79</v>
      </c>
      <c r="Q80" t="str">
        <f>IFERROR(INDEX(TableRBCalcPts[PLAYER],MATCH(TableRBRanks31[[#This Row],[RK]],TableRBCalcPts[RK],0)),"")</f>
        <v>Latavius Murray</v>
      </c>
      <c r="R80" t="str">
        <f>IFERROR(INDEX(TableRBCalcPts[TM],MATCH(TableRBRanks31[[#This Row],[Player]],TableRBCalcPts[PLAYER],0)),"")</f>
        <v>BUF</v>
      </c>
      <c r="S80">
        <f>IFERROR(INDEX(TableRBCalcPts[BYE],MATCH(TableRBRanks31[[#This Row],[Player]],TableRBCalcPts[PLAYER],0)),"")</f>
        <v>13</v>
      </c>
      <c r="T80" s="86">
        <f>VLOOKUP(TableRBRanks31[[#This Row],[Player]],RB!B:O,4,FALSE)</f>
        <v>26.631990000000002</v>
      </c>
      <c r="U80" s="86">
        <f>VLOOKUP(TableRBRanks31[[#This Row],[Player]],RB!B:O,5,FALSE)</f>
        <v>114.25123710000001</v>
      </c>
      <c r="V80" s="86">
        <f>VLOOKUP(TableRBRanks31[[#This Row],[Player]],RB!B:O,6,FALSE)</f>
        <v>0.93211965000000019</v>
      </c>
      <c r="W80" s="86">
        <f>VLOOKUP(TableRBRanks31[[#This Row],[Player]],RB!B:O,7,FALSE)</f>
        <v>19.883710000000001</v>
      </c>
      <c r="X80" s="86">
        <f>VLOOKUP(TableRBRanks31[[#This Row],[Player]],RB!B:O,8,FALSE)</f>
        <v>15.418986100844407</v>
      </c>
      <c r="Y80" s="86">
        <f>VLOOKUP(TableRBRanks31[[#This Row],[Player]],RB!B:O,9,FALSE)</f>
        <v>109.6348210011146</v>
      </c>
      <c r="Z80" s="86">
        <f>VLOOKUP(TableRBRanks31[[#This Row],[Player]],RB!B:O,10,FALSE)</f>
        <v>0.50882654132786542</v>
      </c>
      <c r="AA80" s="58">
        <f>IFERROR(INDEX(TableRBCalcPts[Custom],MATCH(TableRBRanks31[[#This Row],[RK]],TableRBCalcPts[RK],0)),"")</f>
        <v>38.743776008500859</v>
      </c>
      <c r="AB80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80">
        <v>79</v>
      </c>
      <c r="AE80" t="str">
        <f>IFERROR(INDEX(TableWRCalcPts[PLAYER],MATCH(TableWRRanks32[[#This Row],[RK]],TableWRCalcPts[RK],0)),"")</f>
        <v>Allen Robinson</v>
      </c>
      <c r="AF80" t="str">
        <f>IFERROR(INDEX(TableWRCalcPts[TM],MATCH(TableWRRanks32[[#This Row],[Player]],TableWRCalcPts[PLAYER],0)),"")</f>
        <v>PIT</v>
      </c>
      <c r="AG80">
        <f>IFERROR(INDEX(TableWRCalcPts[BYE],MATCH(TableWRRanks32[[#This Row],[Player]],TableWRCalcPts[PLAYER],0)),"")</f>
        <v>6</v>
      </c>
      <c r="AH80" s="86">
        <f>VLOOKUP(TableWRRanks32[[#This Row],[Player]],WR!B:O,4,FALSE)</f>
        <v>0</v>
      </c>
      <c r="AI80" s="86">
        <f>VLOOKUP(TableWRRanks32[[#This Row],[Player]],WR!B:O,5,FALSE)</f>
        <v>0</v>
      </c>
      <c r="AJ80" s="86">
        <f>VLOOKUP(TableWRRanks32[[#This Row],[Player]],WR!B:O,6,FALSE)</f>
        <v>77.340257399999999</v>
      </c>
      <c r="AK80" s="86">
        <f>VLOOKUP(TableWRRanks32[[#This Row],[Player]],WR!B:O,7,FALSE)</f>
        <v>46.304759969193171</v>
      </c>
      <c r="AL80" s="86">
        <f>VLOOKUP(TableWRRanks32[[#This Row],[Player]],WR!B:O,8,FALSE)</f>
        <v>511.33577574741923</v>
      </c>
      <c r="AM80" s="86">
        <f>VLOOKUP(TableWRRanks32[[#This Row],[Player]],WR!B:O,9,FALSE)</f>
        <v>2.9635046380283629</v>
      </c>
      <c r="AN80" s="58">
        <f>IFERROR(INDEX(TableWRCalcPts[Custom],MATCH(TableWRRanks32[[#This Row],[RK]],TableWRCalcPts[RK],0)),"")</f>
        <v>92.066985387508694</v>
      </c>
      <c r="AO8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80">
        <v>79</v>
      </c>
      <c r="AR80" t="str">
        <f>IFERROR(INDEX(TableTECalcPts[PLAYER],MATCH(TableTERanks33[[#This Row],[RK]],TableTECalcPts[RK],0)),"")</f>
        <v>Ian Thomas</v>
      </c>
      <c r="AS80" t="str">
        <f>IFERROR(INDEX(TableTECalcPts[TM],MATCH(TableTERanks33[[#This Row],[Player]],TableTECalcPts[PLAYER],0)),"")</f>
        <v>CAR</v>
      </c>
      <c r="AT80">
        <f>IFERROR(INDEX(TableTECalcPts[BYE],MATCH(TableTERanks33[[#This Row],[Player]],TableTECalcPts[PLAYER],0)),"")</f>
        <v>7</v>
      </c>
      <c r="AU80" s="86">
        <f>VLOOKUP(TableTERanks33[[#This Row],[Player]],TE!B:O,4,FALSE)</f>
        <v>8.8266590999999988</v>
      </c>
      <c r="AV80" s="86">
        <f>VLOOKUP(TableTERanks33[[#This Row],[Player]],TE!B:O,5,FALSE)</f>
        <v>6.5754703001501724</v>
      </c>
      <c r="AW80" s="86">
        <f>VLOOKUP(TableTERanks33[[#This Row],[Player]],TE!B:O,6,FALSE)</f>
        <v>61.464953862849072</v>
      </c>
      <c r="AX80" s="86">
        <f>VLOOKUP(TableTERanks33[[#This Row],[Player]],TE!B:O,7,FALSE)</f>
        <v>0.40110368830916049</v>
      </c>
      <c r="AY80" s="58">
        <f>IFERROR(INDEX(TableTECalcPts[Custom],MATCH(TableTERanks33[[#This Row],[RK]],TableTECalcPts[RK],0)),"")</f>
        <v>11.840852666214957</v>
      </c>
      <c r="AZ80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81" spans="16:52" x14ac:dyDescent="0.2">
      <c r="P81">
        <v>80</v>
      </c>
      <c r="Q81" t="str">
        <f>IFERROR(INDEX(TableRBCalcPts[PLAYER],MATCH(TableRBRanks31[[#This Row],[RK]],TableRBCalcPts[RK],0)),"")</f>
        <v>Chase Brown</v>
      </c>
      <c r="R81" t="str">
        <f>IFERROR(INDEX(TableRBCalcPts[TM],MATCH(TableRBRanks31[[#This Row],[Player]],TableRBCalcPts[PLAYER],0)),"")</f>
        <v>CIN</v>
      </c>
      <c r="S81">
        <f>IFERROR(INDEX(TableRBCalcPts[BYE],MATCH(TableRBRanks31[[#This Row],[Player]],TableRBCalcPts[PLAYER],0)),"")</f>
        <v>7</v>
      </c>
      <c r="T81" s="86">
        <f>VLOOKUP(TableRBRanks31[[#This Row],[Player]],RB!B:O,4,FALSE)</f>
        <v>21.96442248</v>
      </c>
      <c r="U81" s="86">
        <f>VLOOKUP(TableRBRanks31[[#This Row],[Player]],RB!B:O,5,FALSE)</f>
        <v>92.740063289791834</v>
      </c>
      <c r="V81" s="86">
        <f>VLOOKUP(TableRBRanks31[[#This Row],[Player]],RB!B:O,6,FALSE)</f>
        <v>0.96643458911999991</v>
      </c>
      <c r="W81" s="86">
        <f>VLOOKUP(TableRBRanks31[[#This Row],[Player]],RB!B:O,7,FALSE)</f>
        <v>18.4628178</v>
      </c>
      <c r="X81" s="86">
        <f>VLOOKUP(TableRBRanks31[[#This Row],[Player]],RB!B:O,8,FALSE)</f>
        <v>14.579019378399861</v>
      </c>
      <c r="Y81" s="86">
        <f>VLOOKUP(TableRBRanks31[[#This Row],[Player]],RB!B:O,9,FALSE)</f>
        <v>109.28712806299094</v>
      </c>
      <c r="Z81" s="86">
        <f>VLOOKUP(TableRBRanks31[[#This Row],[Player]],RB!B:O,10,FALSE)</f>
        <v>0.77268802705519268</v>
      </c>
      <c r="AA81" s="58">
        <f>IFERROR(INDEX(TableRBCalcPts[Custom],MATCH(TableRBRanks31[[#This Row],[RK]],TableRBCalcPts[RK],0)),"")</f>
        <v>37.926964521529364</v>
      </c>
      <c r="AB81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81">
        <v>80</v>
      </c>
      <c r="AE81" t="str">
        <f>IFERROR(INDEX(TableWRCalcPts[PLAYER],MATCH(TableWRRanks32[[#This Row],[RK]],TableWRCalcPts[RK],0)),"")</f>
        <v>Marvin Jones</v>
      </c>
      <c r="AF81" t="str">
        <f>IFERROR(INDEX(TableWRCalcPts[TM],MATCH(TableWRRanks32[[#This Row],[Player]],TableWRCalcPts[PLAYER],0)),"")</f>
        <v>DET</v>
      </c>
      <c r="AG81">
        <f>IFERROR(INDEX(TableWRCalcPts[BYE],MATCH(TableWRRanks32[[#This Row],[Player]],TableWRCalcPts[PLAYER],0)),"")</f>
        <v>9</v>
      </c>
      <c r="AH81" s="86">
        <f>VLOOKUP(TableWRRanks32[[#This Row],[Player]],WR!B:O,4,FALSE)</f>
        <v>0</v>
      </c>
      <c r="AI81" s="86">
        <f>VLOOKUP(TableWRRanks32[[#This Row],[Player]],WR!B:O,5,FALSE)</f>
        <v>0</v>
      </c>
      <c r="AJ81" s="86">
        <f>VLOOKUP(TableWRRanks32[[#This Row],[Player]],WR!B:O,6,FALSE)</f>
        <v>70.578580799999983</v>
      </c>
      <c r="AK81" s="86">
        <f>VLOOKUP(TableWRRanks32[[#This Row],[Player]],WR!B:O,7,FALSE)</f>
        <v>40.576873605213081</v>
      </c>
      <c r="AL81" s="86">
        <f>VLOOKUP(TableWRRanks32[[#This Row],[Player]],WR!B:O,8,FALSE)</f>
        <v>509.57864286324548</v>
      </c>
      <c r="AM81" s="86">
        <f>VLOOKUP(TableWRRanks32[[#This Row],[Player]],WR!B:O,9,FALSE)</f>
        <v>3.4490342564431122</v>
      </c>
      <c r="AN81" s="58">
        <f>IFERROR(INDEX(TableWRCalcPts[Custom],MATCH(TableWRRanks32[[#This Row],[RK]],TableWRCalcPts[RK],0)),"")</f>
        <v>91.94050662758977</v>
      </c>
      <c r="AO8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81">
        <v>80</v>
      </c>
      <c r="AR81" t="str">
        <f>IFERROR(INDEX(TableTECalcPts[PLAYER],MATCH(TableTERanks33[[#This Row],[RK]],TableTECalcPts[RK],0)),"")</f>
        <v>Charlie Woerner</v>
      </c>
      <c r="AS81" t="str">
        <f>IFERROR(INDEX(TableTECalcPts[TM],MATCH(TableTERanks33[[#This Row],[Player]],TableTECalcPts[PLAYER],0)),"")</f>
        <v>SF</v>
      </c>
      <c r="AT81">
        <f>IFERROR(INDEX(TableTECalcPts[BYE],MATCH(TableTERanks33[[#This Row],[Player]],TableTECalcPts[PLAYER],0)),"")</f>
        <v>9</v>
      </c>
      <c r="AU81" s="86">
        <f>VLOOKUP(TableTERanks33[[#This Row],[Player]],TE!B:O,4,FALSE)</f>
        <v>9.2706843599999988</v>
      </c>
      <c r="AV81" s="86">
        <f>VLOOKUP(TableTERanks33[[#This Row],[Player]],TE!B:O,5,FALSE)</f>
        <v>5.5345985629199994</v>
      </c>
      <c r="AW81" s="86">
        <f>VLOOKUP(TableTERanks33[[#This Row],[Player]],TE!B:O,6,FALSE)</f>
        <v>65.308263042455991</v>
      </c>
      <c r="AX81" s="86">
        <f>VLOOKUP(TableTERanks33[[#This Row],[Player]],TE!B:O,7,FALSE)</f>
        <v>0.39295649796731991</v>
      </c>
      <c r="AY81" s="58">
        <f>IFERROR(INDEX(TableTECalcPts[Custom],MATCH(TableTERanks33[[#This Row],[RK]],TableTECalcPts[RK],0)),"")</f>
        <v>11.655864573509518</v>
      </c>
      <c r="AZ81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82" spans="16:52" x14ac:dyDescent="0.2">
      <c r="P82">
        <v>81</v>
      </c>
      <c r="Q82" t="str">
        <f>IFERROR(INDEX(TableRBCalcPts[PLAYER],MATCH(TableRBRanks31[[#This Row],[RK]],TableRBCalcPts[RK],0)),"")</f>
        <v>Michael Carter</v>
      </c>
      <c r="R82" t="str">
        <f>IFERROR(INDEX(TableRBCalcPts[TM],MATCH(TableRBRanks31[[#This Row],[Player]],TableRBCalcPts[PLAYER],0)),"")</f>
        <v>NYJ</v>
      </c>
      <c r="S82">
        <f>IFERROR(INDEX(TableRBCalcPts[BYE],MATCH(TableRBRanks31[[#This Row],[Player]],TableRBCalcPts[PLAYER],0)),"")</f>
        <v>7</v>
      </c>
      <c r="T82" s="86">
        <f>VLOOKUP(TableRBRanks31[[#This Row],[Player]],RB!B:O,4,FALSE)</f>
        <v>23.121204670050762</v>
      </c>
      <c r="U82" s="86">
        <f>VLOOKUP(TableRBRanks31[[#This Row],[Player]],RB!B:O,5,FALSE)</f>
        <v>97.109059614213209</v>
      </c>
      <c r="V82" s="86">
        <f>VLOOKUP(TableRBRanks31[[#This Row],[Player]],RB!B:O,6,FALSE)</f>
        <v>0.7167573447715736</v>
      </c>
      <c r="W82" s="86">
        <f>VLOOKUP(TableRBRanks31[[#This Row],[Player]],RB!B:O,7,FALSE)</f>
        <v>20.213411400000002</v>
      </c>
      <c r="X82" s="86">
        <f>VLOOKUP(TableRBRanks31[[#This Row],[Player]],RB!B:O,8,FALSE)</f>
        <v>14.755790322000001</v>
      </c>
      <c r="Y82" s="86">
        <f>VLOOKUP(TableRBRanks31[[#This Row],[Player]],RB!B:O,9,FALSE)</f>
        <v>120.9974806404</v>
      </c>
      <c r="Z82" s="86">
        <f>VLOOKUP(TableRBRanks31[[#This Row],[Player]],RB!B:O,10,FALSE)</f>
        <v>0.50169687094800008</v>
      </c>
      <c r="AA82" s="58">
        <f>IFERROR(INDEX(TableRBCalcPts[Custom],MATCH(TableRBRanks31[[#This Row],[RK]],TableRBCalcPts[RK],0)),"")</f>
        <v>36.499274480778766</v>
      </c>
      <c r="AB82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82">
        <v>81</v>
      </c>
      <c r="AE82" t="str">
        <f>IFERROR(INDEX(TableWRCalcPts[PLAYER],MATCH(TableWRRanks32[[#This Row],[RK]],TableWRCalcPts[RK],0)),"")</f>
        <v>Noah Brown</v>
      </c>
      <c r="AF82" t="str">
        <f>IFERROR(INDEX(TableWRCalcPts[TM],MATCH(TableWRRanks32[[#This Row],[Player]],TableWRCalcPts[PLAYER],0)),"")</f>
        <v>HOU</v>
      </c>
      <c r="AG82">
        <f>IFERROR(INDEX(TableWRCalcPts[BYE],MATCH(TableWRRanks32[[#This Row],[Player]],TableWRCalcPts[PLAYER],0)),"")</f>
        <v>7</v>
      </c>
      <c r="AH82" s="86">
        <f>VLOOKUP(TableWRRanks32[[#This Row],[Player]],WR!B:O,4,FALSE)</f>
        <v>0</v>
      </c>
      <c r="AI82" s="86">
        <f>VLOOKUP(TableWRRanks32[[#This Row],[Player]],WR!B:O,5,FALSE)</f>
        <v>0</v>
      </c>
      <c r="AJ82" s="86">
        <f>VLOOKUP(TableWRRanks32[[#This Row],[Player]],WR!B:O,6,FALSE)</f>
        <v>61.411245279999996</v>
      </c>
      <c r="AK82" s="86">
        <f>VLOOKUP(TableWRRanks32[[#This Row],[Player]],WR!B:O,7,FALSE)</f>
        <v>40.838478111199997</v>
      </c>
      <c r="AL82" s="86">
        <f>VLOOKUP(TableWRRanks32[[#This Row],[Player]],WR!B:O,8,FALSE)</f>
        <v>532.12536978893593</v>
      </c>
      <c r="AM82" s="86">
        <f>VLOOKUP(TableWRRanks32[[#This Row],[Player]],WR!B:O,9,FALSE)</f>
        <v>2.8586934677840001</v>
      </c>
      <c r="AN82" s="58">
        <f>IFERROR(INDEX(TableWRCalcPts[Custom],MATCH(TableWRRanks32[[#This Row],[RK]],TableWRCalcPts[RK],0)),"")</f>
        <v>90.783936841197601</v>
      </c>
      <c r="AO8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82">
        <v>81</v>
      </c>
      <c r="AR82" t="str">
        <f>IFERROR(INDEX(TableTECalcPts[PLAYER],MATCH(TableTERanks33[[#This Row],[RK]],TableTECalcPts[RK],0)),"")</f>
        <v>Brycen Hopkins</v>
      </c>
      <c r="AS82" t="str">
        <f>IFERROR(INDEX(TableTECalcPts[TM],MATCH(TableTERanks33[[#This Row],[Player]],TableTECalcPts[PLAYER],0)),"")</f>
        <v>LAR</v>
      </c>
      <c r="AT82">
        <f>IFERROR(INDEX(TableTECalcPts[BYE],MATCH(TableTERanks33[[#This Row],[Player]],TableTECalcPts[PLAYER],0)),"")</f>
        <v>10</v>
      </c>
      <c r="AU82" s="86">
        <f>VLOOKUP(TableTERanks33[[#This Row],[Player]],TE!B:O,4,FALSE)</f>
        <v>6.7960569599999996</v>
      </c>
      <c r="AV82" s="86">
        <f>VLOOKUP(TableTERanks33[[#This Row],[Player]],TE!B:O,5,FALSE)</f>
        <v>5.1519900638318079</v>
      </c>
      <c r="AW82" s="86">
        <f>VLOOKUP(TableTERanks33[[#This Row],[Player]],TE!B:O,6,FALSE)</f>
        <v>61.777461152208801</v>
      </c>
      <c r="AX82" s="86">
        <f>VLOOKUP(TableTERanks33[[#This Row],[Player]],TE!B:O,7,FALSE)</f>
        <v>0.30911940382990849</v>
      </c>
      <c r="AY82" s="58">
        <f>IFERROR(INDEX(TableTECalcPts[Custom],MATCH(TableTERanks33[[#This Row],[RK]],TableTECalcPts[RK],0)),"")</f>
        <v>10.608457570116235</v>
      </c>
      <c r="AZ82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83" spans="16:52" x14ac:dyDescent="0.2">
      <c r="P83">
        <v>82</v>
      </c>
      <c r="Q83" t="str">
        <f>IFERROR(INDEX(TableRBCalcPts[PLAYER],MATCH(TableRBRanks31[[#This Row],[RK]],TableRBCalcPts[RK],0)),"")</f>
        <v>Eric Gray</v>
      </c>
      <c r="R83" t="str">
        <f>IFERROR(INDEX(TableRBCalcPts[TM],MATCH(TableRBRanks31[[#This Row],[Player]],TableRBCalcPts[PLAYER],0)),"")</f>
        <v>NYG</v>
      </c>
      <c r="S83">
        <f>IFERROR(INDEX(TableRBCalcPts[BYE],MATCH(TableRBRanks31[[#This Row],[Player]],TableRBCalcPts[PLAYER],0)),"")</f>
        <v>13</v>
      </c>
      <c r="T83" s="86">
        <f>VLOOKUP(TableRBRanks31[[#This Row],[Player]],RB!B:O,4,FALSE)</f>
        <v>36.339119320000002</v>
      </c>
      <c r="U83" s="86">
        <f>VLOOKUP(TableRBRanks31[[#This Row],[Player]],RB!B:O,5,FALSE)</f>
        <v>154.59056286711601</v>
      </c>
      <c r="V83" s="86">
        <f>VLOOKUP(TableRBRanks31[[#This Row],[Player]],RB!B:O,6,FALSE)</f>
        <v>1.1628518182400001</v>
      </c>
      <c r="W83" s="86">
        <f>VLOOKUP(TableRBRanks31[[#This Row],[Player]],RB!B:O,7,FALSE)</f>
        <v>12.890828859999999</v>
      </c>
      <c r="X83" s="86">
        <f>VLOOKUP(TableRBRanks31[[#This Row],[Player]],RB!B:O,8,FALSE)</f>
        <v>9.4078429454891932</v>
      </c>
      <c r="Y83" s="86">
        <f>VLOOKUP(TableRBRanks31[[#This Row],[Player]],RB!B:O,9,FALSE)</f>
        <v>65.478586900604782</v>
      </c>
      <c r="Z83" s="86">
        <f>VLOOKUP(TableRBRanks31[[#This Row],[Player]],RB!B:O,10,FALSE)</f>
        <v>0.26341960247369739</v>
      </c>
      <c r="AA83" s="58">
        <f>IFERROR(INDEX(TableRBCalcPts[Custom],MATCH(TableRBRanks31[[#This Row],[RK]],TableRBCalcPts[RK],0)),"")</f>
        <v>35.268464973798864</v>
      </c>
      <c r="AB83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83">
        <v>82</v>
      </c>
      <c r="AE83" t="str">
        <f>IFERROR(INDEX(TableWRCalcPts[PLAYER],MATCH(TableWRRanks32[[#This Row],[RK]],TableWRCalcPts[RK],0)),"")</f>
        <v>Mecole Hardman</v>
      </c>
      <c r="AF83" t="str">
        <f>IFERROR(INDEX(TableWRCalcPts[TM],MATCH(TableWRRanks32[[#This Row],[Player]],TableWRCalcPts[PLAYER],0)),"")</f>
        <v>NYJ</v>
      </c>
      <c r="AG83">
        <f>IFERROR(INDEX(TableWRCalcPts[BYE],MATCH(TableWRRanks32[[#This Row],[Player]],TableWRCalcPts[PLAYER],0)),"")</f>
        <v>7</v>
      </c>
      <c r="AH83" s="86">
        <f>VLOOKUP(TableWRRanks32[[#This Row],[Player]],WR!B:O,4,FALSE)</f>
        <v>0</v>
      </c>
      <c r="AI83" s="86">
        <f>VLOOKUP(TableWRRanks32[[#This Row],[Player]],WR!B:O,5,FALSE)</f>
        <v>0</v>
      </c>
      <c r="AJ83" s="86">
        <f>VLOOKUP(TableWRRanks32[[#This Row],[Player]],WR!B:O,6,FALSE)</f>
        <v>63.612794699999995</v>
      </c>
      <c r="AK83" s="86">
        <f>VLOOKUP(TableWRRanks32[[#This Row],[Player]],WR!B:O,7,FALSE)</f>
        <v>40.476870395740058</v>
      </c>
      <c r="AL83" s="86">
        <f>VLOOKUP(TableWRRanks32[[#This Row],[Player]],WR!B:O,8,FALSE)</f>
        <v>489.77013178845471</v>
      </c>
      <c r="AM83" s="86">
        <f>VLOOKUP(TableWRRanks32[[#This Row],[Player]],WR!B:O,9,FALSE)</f>
        <v>3.521487724429385</v>
      </c>
      <c r="AN83" s="58">
        <f>IFERROR(INDEX(TableWRCalcPts[Custom],MATCH(TableWRRanks32[[#This Row],[RK]],TableWRCalcPts[RK],0)),"")</f>
        <v>90.344374723291807</v>
      </c>
      <c r="AO8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83">
        <v>82</v>
      </c>
      <c r="AR83" t="str">
        <f>IFERROR(INDEX(TableTECalcPts[PLAYER],MATCH(TableTERanks33[[#This Row],[RK]],TableTECalcPts[RK],0)),"")</f>
        <v>Brevin Jordan</v>
      </c>
      <c r="AS83" t="str">
        <f>IFERROR(INDEX(TableTECalcPts[TM],MATCH(TableTERanks33[[#This Row],[Player]],TableTECalcPts[PLAYER],0)),"")</f>
        <v>HOU</v>
      </c>
      <c r="AT83">
        <f>IFERROR(INDEX(TableTECalcPts[BYE],MATCH(TableTERanks33[[#This Row],[Player]],TableTECalcPts[PLAYER],0)),"")</f>
        <v>7</v>
      </c>
      <c r="AU83" s="86">
        <f>VLOOKUP(TableTERanks33[[#This Row],[Player]],TE!B:O,4,FALSE)</f>
        <v>7.3242769599999997</v>
      </c>
      <c r="AV83" s="86">
        <f>VLOOKUP(TableTERanks33[[#This Row],[Player]],TE!B:O,5,FALSE)</f>
        <v>4.9658597788800005</v>
      </c>
      <c r="AW83" s="86">
        <f>VLOOKUP(TableTERanks33[[#This Row],[Player]],TE!B:O,6,FALSE)</f>
        <v>51.781666585229672</v>
      </c>
      <c r="AX83" s="86">
        <f>VLOOKUP(TableTERanks33[[#This Row],[Player]],TE!B:O,7,FALSE)</f>
        <v>0.35754190407935998</v>
      </c>
      <c r="AY83" s="58">
        <f>IFERROR(INDEX(TableTECalcPts[Custom],MATCH(TableTERanks33[[#This Row],[RK]],TableTECalcPts[RK],0)),"")</f>
        <v>9.8063479724391271</v>
      </c>
      <c r="AZ83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84" spans="16:52" x14ac:dyDescent="0.2">
      <c r="P84">
        <v>83</v>
      </c>
      <c r="Q84" t="str">
        <f>IFERROR(INDEX(TableRBCalcPts[PLAYER],MATCH(TableRBRanks31[[#This Row],[RK]],TableRBCalcPts[RK],0)),"")</f>
        <v>Kenny McIntosh</v>
      </c>
      <c r="R84" t="str">
        <f>IFERROR(INDEX(TableRBCalcPts[TM],MATCH(TableRBRanks31[[#This Row],[Player]],TableRBCalcPts[PLAYER],0)),"")</f>
        <v>SEA</v>
      </c>
      <c r="S84">
        <f>IFERROR(INDEX(TableRBCalcPts[BYE],MATCH(TableRBRanks31[[#This Row],[Player]],TableRBCalcPts[PLAYER],0)),"")</f>
        <v>5</v>
      </c>
      <c r="T84" s="86">
        <f>VLOOKUP(TableRBRanks31[[#This Row],[Player]],RB!B:O,4,FALSE)</f>
        <v>23.100003360000002</v>
      </c>
      <c r="U84" s="86">
        <f>VLOOKUP(TableRBRanks31[[#This Row],[Player]],RB!B:O,5,FALSE)</f>
        <v>97.020014112000013</v>
      </c>
      <c r="V84" s="86">
        <f>VLOOKUP(TableRBRanks31[[#This Row],[Player]],RB!B:O,6,FALSE)</f>
        <v>0.76230011088000016</v>
      </c>
      <c r="W84" s="86">
        <f>VLOOKUP(TableRBRanks31[[#This Row],[Player]],RB!B:O,7,FALSE)</f>
        <v>18.20539728</v>
      </c>
      <c r="X84" s="86">
        <f>VLOOKUP(TableRBRanks31[[#This Row],[Player]],RB!B:O,8,FALSE)</f>
        <v>13.54481557632</v>
      </c>
      <c r="Y84" s="86">
        <f>VLOOKUP(TableRBRanks31[[#This Row],[Player]],RB!B:O,9,FALSE)</f>
        <v>103.48239100308479</v>
      </c>
      <c r="Z84" s="86">
        <f>VLOOKUP(TableRBRanks31[[#This Row],[Player]],RB!B:O,10,FALSE)</f>
        <v>0.59597188535807999</v>
      </c>
      <c r="AA84" s="58">
        <f>IFERROR(INDEX(TableRBCalcPts[Custom],MATCH(TableRBRanks31[[#This Row],[RK]],TableRBCalcPts[RK],0)),"")</f>
        <v>34.972280277096957</v>
      </c>
      <c r="AB84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84">
        <v>83</v>
      </c>
      <c r="AE84" t="str">
        <f>IFERROR(INDEX(TableWRCalcPts[PLAYER],MATCH(TableWRRanks32[[#This Row],[RK]],TableWRCalcPts[RK],0)),"")</f>
        <v>Laviska Shenault</v>
      </c>
      <c r="AF84" t="str">
        <f>IFERROR(INDEX(TableWRCalcPts[TM],MATCH(TableWRRanks32[[#This Row],[Player]],TableWRCalcPts[PLAYER],0)),"")</f>
        <v>CAR</v>
      </c>
      <c r="AG84">
        <f>IFERROR(INDEX(TableWRCalcPts[BYE],MATCH(TableWRRanks32[[#This Row],[Player]],TableWRCalcPts[PLAYER],0)),"")</f>
        <v>7</v>
      </c>
      <c r="AH84" s="86">
        <f>VLOOKUP(TableWRRanks32[[#This Row],[Player]],WR!B:O,4,FALSE)</f>
        <v>364.58056684789727</v>
      </c>
      <c r="AI84" s="86">
        <f>VLOOKUP(TableWRRanks32[[#This Row],[Player]],WR!B:O,5,FALSE)</f>
        <v>2.9811607820400003</v>
      </c>
      <c r="AJ84" s="86">
        <f>VLOOKUP(TableWRRanks32[[#This Row],[Player]],WR!B:O,6,FALSE)</f>
        <v>27.068421239999996</v>
      </c>
      <c r="AK84" s="86">
        <f>VLOOKUP(TableWRRanks32[[#This Row],[Player]],WR!B:O,7,FALSE)</f>
        <v>19.271287441701954</v>
      </c>
      <c r="AL84" s="86">
        <f>VLOOKUP(TableWRRanks32[[#This Row],[Player]],WR!B:O,8,FALSE)</f>
        <v>200.65953977642488</v>
      </c>
      <c r="AM84" s="86">
        <f>VLOOKUP(TableWRRanks32[[#This Row],[Player]],WR!B:O,9,FALSE)</f>
        <v>1.0406495218519056</v>
      </c>
      <c r="AN84" s="58">
        <f>IFERROR(INDEX(TableWRCalcPts[Custom],MATCH(TableWRRanks32[[#This Row],[RK]],TableWRCalcPts[RK],0)),"")</f>
        <v>90.290516206634649</v>
      </c>
      <c r="AO8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84">
        <v>83</v>
      </c>
      <c r="AR84" t="str">
        <f>IFERROR(INDEX(TableTECalcPts[PLAYER],MATCH(TableTERanks33[[#This Row],[RK]],TableTECalcPts[RK],0)),"")</f>
        <v>Quintin Morris</v>
      </c>
      <c r="AS84" t="str">
        <f>IFERROR(INDEX(TableTECalcPts[TM],MATCH(TableTERanks33[[#This Row],[Player]],TableTECalcPts[PLAYER],0)),"")</f>
        <v>BUF</v>
      </c>
      <c r="AT84">
        <f>IFERROR(INDEX(TableTECalcPts[BYE],MATCH(TableTERanks33[[#This Row],[Player]],TableTECalcPts[PLAYER],0)),"")</f>
        <v>13</v>
      </c>
      <c r="AU84" s="86">
        <f>VLOOKUP(TableTERanks33[[#This Row],[Player]],TE!B:O,4,FALSE)</f>
        <v>6.4140999999999995</v>
      </c>
      <c r="AV84" s="86">
        <f>VLOOKUP(TableTERanks33[[#This Row],[Player]],TE!B:O,5,FALSE)</f>
        <v>4.2935440752808356</v>
      </c>
      <c r="AW84" s="86">
        <f>VLOOKUP(TableTERanks33[[#This Row],[Player]],TE!B:O,6,FALSE)</f>
        <v>45.370340632044034</v>
      </c>
      <c r="AX84" s="86">
        <f>VLOOKUP(TableTERanks33[[#This Row],[Player]],TE!B:O,7,FALSE)</f>
        <v>0.42935440752808357</v>
      </c>
      <c r="AY84" s="58">
        <f>IFERROR(INDEX(TableTECalcPts[Custom],MATCH(TableTERanks33[[#This Row],[RK]],TableTECalcPts[RK],0)),"")</f>
        <v>9.2599325460133226</v>
      </c>
      <c r="AZ84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85" spans="16:52" x14ac:dyDescent="0.2">
      <c r="P85">
        <v>84</v>
      </c>
      <c r="Q85" t="str">
        <f>IFERROR(INDEX(TableRBCalcPts[PLAYER],MATCH(TableRBRanks31[[#This Row],[RK]],TableRBCalcPts[RK],0)),"")</f>
        <v>Ronnie Rivers</v>
      </c>
      <c r="R85" t="str">
        <f>IFERROR(INDEX(TableRBCalcPts[TM],MATCH(TableRBRanks31[[#This Row],[Player]],TableRBCalcPts[PLAYER],0)),"")</f>
        <v>LAR</v>
      </c>
      <c r="S85">
        <f>IFERROR(INDEX(TableRBCalcPts[BYE],MATCH(TableRBRanks31[[#This Row],[Player]],TableRBCalcPts[PLAYER],0)),"")</f>
        <v>10</v>
      </c>
      <c r="T85" s="86">
        <f>VLOOKUP(TableRBRanks31[[#This Row],[Player]],RB!B:O,4,FALSE)</f>
        <v>20.435775360000001</v>
      </c>
      <c r="U85" s="86">
        <f>VLOOKUP(TableRBRanks31[[#This Row],[Player]],RB!B:O,5,FALSE)</f>
        <v>84.308252000166959</v>
      </c>
      <c r="V85" s="86">
        <f>VLOOKUP(TableRBRanks31[[#This Row],[Player]],RB!B:O,6,FALSE)</f>
        <v>0.65394481152000006</v>
      </c>
      <c r="W85" s="86">
        <f>VLOOKUP(TableRBRanks31[[#This Row],[Player]],RB!B:O,7,FALSE)</f>
        <v>21.623817600000002</v>
      </c>
      <c r="X85" s="86">
        <f>VLOOKUP(TableRBRanks31[[#This Row],[Player]],RB!B:O,8,FALSE)</f>
        <v>15.027952863108744</v>
      </c>
      <c r="Y85" s="86">
        <f>VLOOKUP(TableRBRanks31[[#This Row],[Player]],RB!B:O,9,FALSE)</f>
        <v>117.81381505200257</v>
      </c>
      <c r="Z85" s="86">
        <f>VLOOKUP(TableRBRanks31[[#This Row],[Player]],RB!B:O,10,FALSE)</f>
        <v>0.52597835020880612</v>
      </c>
      <c r="AA85" s="58">
        <f>IFERROR(INDEX(TableRBCalcPts[Custom],MATCH(TableRBRanks31[[#This Row],[RK]],TableRBCalcPts[RK],0)),"")</f>
        <v>34.805722107144163</v>
      </c>
      <c r="AB85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85">
        <v>84</v>
      </c>
      <c r="AE85" t="str">
        <f>IFERROR(INDEX(TableWRCalcPts[PLAYER],MATCH(TableWRRanks32[[#This Row],[RK]],TableWRCalcPts[RK],0)),"")</f>
        <v>Isaiah Hodgins</v>
      </c>
      <c r="AF85" t="str">
        <f>IFERROR(INDEX(TableWRCalcPts[TM],MATCH(TableWRRanks32[[#This Row],[Player]],TableWRCalcPts[PLAYER],0)),"")</f>
        <v>NYG</v>
      </c>
      <c r="AG85">
        <f>IFERROR(INDEX(TableWRCalcPts[BYE],MATCH(TableWRRanks32[[#This Row],[Player]],TableWRCalcPts[PLAYER],0)),"")</f>
        <v>13</v>
      </c>
      <c r="AH85" s="86">
        <f>VLOOKUP(TableWRRanks32[[#This Row],[Player]],WR!B:O,4,FALSE)</f>
        <v>0</v>
      </c>
      <c r="AI85" s="86">
        <f>VLOOKUP(TableWRRanks32[[#This Row],[Player]],WR!B:O,5,FALSE)</f>
        <v>0</v>
      </c>
      <c r="AJ85" s="86">
        <f>VLOOKUP(TableWRRanks32[[#This Row],[Player]],WR!B:O,6,FALSE)</f>
        <v>65.575085939999994</v>
      </c>
      <c r="AK85" s="86">
        <f>VLOOKUP(TableWRRanks32[[#This Row],[Player]],WR!B:O,7,FALSE)</f>
        <v>43.484084845584277</v>
      </c>
      <c r="AL85" s="86">
        <f>VLOOKUP(TableWRRanks32[[#This Row],[Player]],WR!B:O,8,FALSE)</f>
        <v>482.67334178598549</v>
      </c>
      <c r="AM85" s="86">
        <f>VLOOKUP(TableWRRanks32[[#This Row],[Player]],WR!B:O,9,FALSE)</f>
        <v>3.1308541088820676</v>
      </c>
      <c r="AN85" s="58">
        <f>IFERROR(INDEX(TableWRCalcPts[Custom],MATCH(TableWRRanks32[[#This Row],[RK]],TableWRCalcPts[RK],0)),"")</f>
        <v>88.794501254683098</v>
      </c>
      <c r="AO8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85">
        <v>84</v>
      </c>
      <c r="AR85" t="str">
        <f>IFERROR(INDEX(TableTECalcPts[PLAYER],MATCH(TableTERanks33[[#This Row],[RK]],TableTECalcPts[RK],0)),"")</f>
        <v>O.J. Howard</v>
      </c>
      <c r="AS85" t="str">
        <f>IFERROR(INDEX(TableTECalcPts[TM],MATCH(TableTERanks33[[#This Row],[Player]],TableTECalcPts[PLAYER],0)),"")</f>
        <v>LV</v>
      </c>
      <c r="AT85">
        <f>IFERROR(INDEX(TableTECalcPts[BYE],MATCH(TableTERanks33[[#This Row],[Player]],TableTECalcPts[PLAYER],0)),"")</f>
        <v>13</v>
      </c>
      <c r="AU85" s="86">
        <f>VLOOKUP(TableTERanks33[[#This Row],[Player]],TE!B:O,4,FALSE)</f>
        <v>7.0859879999999995</v>
      </c>
      <c r="AV85" s="86">
        <f>VLOOKUP(TableTERanks33[[#This Row],[Player]],TE!B:O,5,FALSE)</f>
        <v>4.1532045760676457</v>
      </c>
      <c r="AW85" s="86">
        <f>VLOOKUP(TableTERanks33[[#This Row],[Player]],TE!B:O,6,FALSE)</f>
        <v>54.282383809204127</v>
      </c>
      <c r="AX85" s="86">
        <f>VLOOKUP(TableTERanks33[[#This Row],[Player]],TE!B:O,7,FALSE)</f>
        <v>0.24919227456405874</v>
      </c>
      <c r="AY85" s="58">
        <f>IFERROR(INDEX(TableTECalcPts[Custom],MATCH(TableTERanks33[[#This Row],[RK]],TableTECalcPts[RK],0)),"")</f>
        <v>8.9999943163385883</v>
      </c>
      <c r="AZ85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86" spans="16:52" x14ac:dyDescent="0.2">
      <c r="P86">
        <v>85</v>
      </c>
      <c r="Q86" t="str">
        <f>IFERROR(INDEX(TableRBCalcPts[PLAYER],MATCH(TableRBRanks31[[#This Row],[RK]],TableRBCalcPts[RK],0)),"")</f>
        <v>Chris Rodriguez</v>
      </c>
      <c r="R86" t="str">
        <f>IFERROR(INDEX(TableRBCalcPts[TM],MATCH(TableRBRanks31[[#This Row],[Player]],TableRBCalcPts[PLAYER],0)),"")</f>
        <v>WSH</v>
      </c>
      <c r="S86">
        <f>IFERROR(INDEX(TableRBCalcPts[BYE],MATCH(TableRBRanks31[[#This Row],[Player]],TableRBCalcPts[PLAYER],0)),"")</f>
        <v>14</v>
      </c>
      <c r="T86" s="86">
        <f>VLOOKUP(TableRBRanks31[[#This Row],[Player]],RB!B:O,4,FALSE)</f>
        <v>33.320679139999989</v>
      </c>
      <c r="U86" s="86">
        <f>VLOOKUP(TableRBRanks31[[#This Row],[Player]],RB!B:O,5,FALSE)</f>
        <v>133.28271655999995</v>
      </c>
      <c r="V86" s="86">
        <f>VLOOKUP(TableRBRanks31[[#This Row],[Player]],RB!B:O,6,FALSE)</f>
        <v>0.99962037419999961</v>
      </c>
      <c r="W86" s="86">
        <f>VLOOKUP(TableRBRanks31[[#This Row],[Player]],RB!B:O,7,FALSE)</f>
        <v>15.341941160000001</v>
      </c>
      <c r="X86" s="86">
        <f>VLOOKUP(TableRBRanks31[[#This Row],[Player]],RB!B:O,8,FALSE)</f>
        <v>10.283030914827611</v>
      </c>
      <c r="Y86" s="86">
        <f>VLOOKUP(TableRBRanks31[[#This Row],[Player]],RB!B:O,9,FALSE)</f>
        <v>78.201592146741518</v>
      </c>
      <c r="Z86" s="86">
        <f>VLOOKUP(TableRBRanks31[[#This Row],[Player]],RB!B:O,10,FALSE)</f>
        <v>0.3393400201893112</v>
      </c>
      <c r="AA86" s="58">
        <f>IFERROR(INDEX(TableRBCalcPts[Custom],MATCH(TableRBRanks31[[#This Row],[RK]],TableRBCalcPts[RK],0)),"")</f>
        <v>34.323708694423821</v>
      </c>
      <c r="AB86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86">
        <v>85</v>
      </c>
      <c r="AE86" t="str">
        <f>IFERROR(INDEX(TableWRCalcPts[PLAYER],MATCH(TableWRRanks32[[#This Row],[RK]],TableWRCalcPts[RK],0)),"")</f>
        <v>Parris Campbell</v>
      </c>
      <c r="AF86" t="str">
        <f>IFERROR(INDEX(TableWRCalcPts[TM],MATCH(TableWRRanks32[[#This Row],[Player]],TableWRCalcPts[PLAYER],0)),"")</f>
        <v>NYG</v>
      </c>
      <c r="AG86">
        <f>IFERROR(INDEX(TableWRCalcPts[BYE],MATCH(TableWRRanks32[[#This Row],[Player]],TableWRCalcPts[PLAYER],0)),"")</f>
        <v>13</v>
      </c>
      <c r="AH86" s="86">
        <f>VLOOKUP(TableWRRanks32[[#This Row],[Player]],WR!B:O,4,FALSE)</f>
        <v>0</v>
      </c>
      <c r="AI86" s="86">
        <f>VLOOKUP(TableWRRanks32[[#This Row],[Player]],WR!B:O,5,FALSE)</f>
        <v>0</v>
      </c>
      <c r="AJ86" s="86">
        <f>VLOOKUP(TableWRRanks32[[#This Row],[Player]],WR!B:O,6,FALSE)</f>
        <v>74.542619060000007</v>
      </c>
      <c r="AK86" s="86">
        <f>VLOOKUP(TableWRRanks32[[#This Row],[Player]],WR!B:O,7,FALSE)</f>
        <v>46.562496725323363</v>
      </c>
      <c r="AL86" s="86">
        <f>VLOOKUP(TableWRRanks32[[#This Row],[Player]],WR!B:O,8,FALSE)</f>
        <v>502.87496463349237</v>
      </c>
      <c r="AM86" s="86">
        <f>VLOOKUP(TableWRRanks32[[#This Row],[Player]],WR!B:O,9,FALSE)</f>
        <v>2.3281248362661682</v>
      </c>
      <c r="AN86" s="58">
        <f>IFERROR(INDEX(TableWRCalcPts[Custom],MATCH(TableWRRanks32[[#This Row],[RK]],TableWRCalcPts[RK],0)),"")</f>
        <v>87.537493843607933</v>
      </c>
      <c r="AO8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86">
        <v>85</v>
      </c>
      <c r="AR86" t="str">
        <f>IFERROR(INDEX(TableTECalcPts[PLAYER],MATCH(TableTERanks33[[#This Row],[RK]],TableTECalcPts[RK],0)),"")</f>
        <v>John Bates</v>
      </c>
      <c r="AS86" t="str">
        <f>IFERROR(INDEX(TableTECalcPts[TM],MATCH(TableTERanks33[[#This Row],[Player]],TableTECalcPts[PLAYER],0)),"")</f>
        <v>WSH</v>
      </c>
      <c r="AT86">
        <f>IFERROR(INDEX(TableTECalcPts[BYE],MATCH(TableTERanks33[[#This Row],[Player]],TableTECalcPts[PLAYER],0)),"")</f>
        <v>14</v>
      </c>
      <c r="AU86" s="86">
        <f>VLOOKUP(TableTERanks33[[#This Row],[Player]],TE!B:O,4,FALSE)</f>
        <v>7.6709705800000005</v>
      </c>
      <c r="AV86" s="86">
        <f>VLOOKUP(TableTERanks33[[#This Row],[Player]],TE!B:O,5,FALSE)</f>
        <v>4.7253178772800002</v>
      </c>
      <c r="AW86" s="86">
        <f>VLOOKUP(TableTERanks33[[#This Row],[Player]],TE!B:O,6,FALSE)</f>
        <v>47.247580814687751</v>
      </c>
      <c r="AX86" s="86">
        <f>VLOOKUP(TableTERanks33[[#This Row],[Player]],TE!B:O,7,FALSE)</f>
        <v>0.30242034414592001</v>
      </c>
      <c r="AY86" s="58">
        <f>IFERROR(INDEX(TableTECalcPts[Custom],MATCH(TableTERanks33[[#This Row],[RK]],TableTECalcPts[RK],0)),"")</f>
        <v>8.9019390849842956</v>
      </c>
      <c r="AZ86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87" spans="16:52" x14ac:dyDescent="0.2">
      <c r="P87">
        <v>86</v>
      </c>
      <c r="Q87" t="str">
        <f>IFERROR(INDEX(TableRBCalcPts[PLAYER],MATCH(TableRBRanks31[[#This Row],[RK]],TableRBCalcPts[RK],0)),"")</f>
        <v>Isaiah Spiller</v>
      </c>
      <c r="R87" t="str">
        <f>IFERROR(INDEX(TableRBCalcPts[TM],MATCH(TableRBRanks31[[#This Row],[Player]],TableRBCalcPts[PLAYER],0)),"")</f>
        <v>LAC</v>
      </c>
      <c r="S87">
        <f>IFERROR(INDEX(TableRBCalcPts[BYE],MATCH(TableRBRanks31[[#This Row],[Player]],TableRBCalcPts[PLAYER],0)),"")</f>
        <v>5</v>
      </c>
      <c r="T87" s="86">
        <f>VLOOKUP(TableRBRanks31[[#This Row],[Player]],RB!B:O,4,FALSE)</f>
        <v>34.627937400000008</v>
      </c>
      <c r="U87" s="86">
        <f>VLOOKUP(TableRBRanks31[[#This Row],[Player]],RB!B:O,5,FALSE)</f>
        <v>145.09047328492619</v>
      </c>
      <c r="V87" s="86">
        <f>VLOOKUP(TableRBRanks31[[#This Row],[Player]],RB!B:O,6,FALSE)</f>
        <v>1.0388381220000003</v>
      </c>
      <c r="W87" s="86">
        <f>VLOOKUP(TableRBRanks31[[#This Row],[Player]],RB!B:O,7,FALSE)</f>
        <v>13.205891999999999</v>
      </c>
      <c r="X87" s="86">
        <f>VLOOKUP(TableRBRanks31[[#This Row],[Player]],RB!B:O,8,FALSE)</f>
        <v>9.8825858576512271</v>
      </c>
      <c r="Y87" s="86">
        <f>VLOOKUP(TableRBRanks31[[#This Row],[Player]],RB!B:O,9,FALSE)</f>
        <v>66.055292511883863</v>
      </c>
      <c r="Z87" s="86">
        <f>VLOOKUP(TableRBRanks31[[#This Row],[Player]],RB!B:O,10,FALSE)</f>
        <v>0.29647757572953681</v>
      </c>
      <c r="AA87" s="58">
        <f>IFERROR(INDEX(TableRBCalcPts[Custom],MATCH(TableRBRanks31[[#This Row],[RK]],TableRBCalcPts[RK],0)),"")</f>
        <v>34.067763694883844</v>
      </c>
      <c r="AB87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87">
        <v>86</v>
      </c>
      <c r="AE87" t="str">
        <f>IFERROR(INDEX(TableWRCalcPts[PLAYER],MATCH(TableWRRanks32[[#This Row],[RK]],TableWRCalcPts[RK],0)),"")</f>
        <v>Kendrick Bourne</v>
      </c>
      <c r="AF87" t="str">
        <f>IFERROR(INDEX(TableWRCalcPts[TM],MATCH(TableWRRanks32[[#This Row],[Player]],TableWRCalcPts[PLAYER],0)),"")</f>
        <v>NE</v>
      </c>
      <c r="AG87">
        <f>IFERROR(INDEX(TableWRCalcPts[BYE],MATCH(TableWRRanks32[[#This Row],[Player]],TableWRCalcPts[PLAYER],0)),"")</f>
        <v>11</v>
      </c>
      <c r="AH87" s="86">
        <f>VLOOKUP(TableWRRanks32[[#This Row],[Player]],WR!B:O,4,FALSE)</f>
        <v>0</v>
      </c>
      <c r="AI87" s="86">
        <f>VLOOKUP(TableWRRanks32[[#This Row],[Player]],WR!B:O,5,FALSE)</f>
        <v>0</v>
      </c>
      <c r="AJ87" s="86">
        <f>VLOOKUP(TableWRRanks32[[#This Row],[Player]],WR!B:O,6,FALSE)</f>
        <v>60.898854239999984</v>
      </c>
      <c r="AK87" s="86">
        <f>VLOOKUP(TableWRRanks32[[#This Row],[Player]],WR!B:O,7,FALSE)</f>
        <v>42.020209425599987</v>
      </c>
      <c r="AL87" s="86">
        <f>VLOOKUP(TableWRRanks32[[#This Row],[Player]],WR!B:O,8,FALSE)</f>
        <v>505.92332148422378</v>
      </c>
      <c r="AM87" s="86">
        <f>VLOOKUP(TableWRRanks32[[#This Row],[Player]],WR!B:O,9,FALSE)</f>
        <v>2.6472731938127994</v>
      </c>
      <c r="AN87" s="58">
        <f>IFERROR(INDEX(TableWRCalcPts[Custom],MATCH(TableWRRanks32[[#This Row],[RK]],TableWRCalcPts[RK],0)),"")</f>
        <v>87.486076024099162</v>
      </c>
      <c r="AO8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87">
        <v>86</v>
      </c>
      <c r="AR87" t="str">
        <f>IFERROR(INDEX(TableTECalcPts[PLAYER],MATCH(TableTERanks33[[#This Row],[RK]],TableTECalcPts[RK],0)),"")</f>
        <v>Colby Parkinson</v>
      </c>
      <c r="AS87" t="str">
        <f>IFERROR(INDEX(TableTECalcPts[TM],MATCH(TableTERanks33[[#This Row],[Player]],TableTECalcPts[PLAYER],0)),"")</f>
        <v>SEA</v>
      </c>
      <c r="AT87">
        <f>IFERROR(INDEX(TableTECalcPts[BYE],MATCH(TableTERanks33[[#This Row],[Player]],TableTECalcPts[PLAYER],0)),"")</f>
        <v>5</v>
      </c>
      <c r="AU87" s="86">
        <f>VLOOKUP(TableTERanks33[[#This Row],[Player]],TE!B:O,4,FALSE)</f>
        <v>5.8727087999999998</v>
      </c>
      <c r="AV87" s="86">
        <f>VLOOKUP(TableTERanks33[[#This Row],[Player]],TE!B:O,5,FALSE)</f>
        <v>4.2053098437589247</v>
      </c>
      <c r="AW87" s="86">
        <f>VLOOKUP(TableTERanks33[[#This Row],[Player]],TE!B:O,6,FALSE)</f>
        <v>43.474611624211988</v>
      </c>
      <c r="AX87" s="86">
        <f>VLOOKUP(TableTERanks33[[#This Row],[Player]],TE!B:O,7,FALSE)</f>
        <v>0.28175575953184795</v>
      </c>
      <c r="AY87" s="58">
        <f>IFERROR(INDEX(TableTECalcPts[Custom],MATCH(TableTERanks33[[#This Row],[RK]],TableTECalcPts[RK],0)),"")</f>
        <v>8.1406506414917494</v>
      </c>
      <c r="AZ87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88" spans="16:52" x14ac:dyDescent="0.2">
      <c r="P88">
        <v>87</v>
      </c>
      <c r="Q88" t="str">
        <f>IFERROR(INDEX(TableRBCalcPts[PLAYER],MATCH(TableRBRanks31[[#This Row],[RK]],TableRBCalcPts[RK],0)),"")</f>
        <v>Kene Nwangwu</v>
      </c>
      <c r="R88" t="str">
        <f>IFERROR(INDEX(TableRBCalcPts[TM],MATCH(TableRBRanks31[[#This Row],[Player]],TableRBCalcPts[PLAYER],0)),"")</f>
        <v>MIN</v>
      </c>
      <c r="S88">
        <f>IFERROR(INDEX(TableRBCalcPts[BYE],MATCH(TableRBRanks31[[#This Row],[Player]],TableRBCalcPts[PLAYER],0)),"")</f>
        <v>13</v>
      </c>
      <c r="T88" s="86">
        <f>VLOOKUP(TableRBRanks31[[#This Row],[Player]],RB!B:O,4,FALSE)</f>
        <v>28.652765680000002</v>
      </c>
      <c r="U88" s="86">
        <f>VLOOKUP(TableRBRanks31[[#This Row],[Player]],RB!B:O,5,FALSE)</f>
        <v>113.75147974960001</v>
      </c>
      <c r="V88" s="86">
        <f>VLOOKUP(TableRBRanks31[[#This Row],[Player]],RB!B:O,6,FALSE)</f>
        <v>1.03149956448</v>
      </c>
      <c r="W88" s="86">
        <f>VLOOKUP(TableRBRanks31[[#This Row],[Player]],RB!B:O,7,FALSE)</f>
        <v>15.016238159999997</v>
      </c>
      <c r="X88" s="86">
        <f>VLOOKUP(TableRBRanks31[[#This Row],[Player]],RB!B:O,8,FALSE)</f>
        <v>11.021918809439997</v>
      </c>
      <c r="Y88" s="86">
        <f>VLOOKUP(TableRBRanks31[[#This Row],[Player]],RB!B:O,9,FALSE)</f>
        <v>81.562199189855988</v>
      </c>
      <c r="Z88" s="86">
        <f>VLOOKUP(TableRBRanks31[[#This Row],[Player]],RB!B:O,10,FALSE)</f>
        <v>0.2865698890454399</v>
      </c>
      <c r="AA88" s="58">
        <f>IFERROR(INDEX(TableRBCalcPts[Custom],MATCH(TableRBRanks31[[#This Row],[RK]],TableRBCalcPts[RK],0)),"")</f>
        <v>32.950744019818238</v>
      </c>
      <c r="AB88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88">
        <v>87</v>
      </c>
      <c r="AE88" t="str">
        <f>IFERROR(INDEX(TableWRCalcPts[PLAYER],MATCH(TableWRRanks32[[#This Row],[RK]],TableWRCalcPts[RK],0)),"")</f>
        <v>Trey Palmer</v>
      </c>
      <c r="AF88" t="str">
        <f>IFERROR(INDEX(TableWRCalcPts[TM],MATCH(TableWRRanks32[[#This Row],[Player]],TableWRCalcPts[PLAYER],0)),"")</f>
        <v>TB</v>
      </c>
      <c r="AG88">
        <f>IFERROR(INDEX(TableWRCalcPts[BYE],MATCH(TableWRRanks32[[#This Row],[Player]],TableWRCalcPts[PLAYER],0)),"")</f>
        <v>5</v>
      </c>
      <c r="AH88" s="86">
        <f>VLOOKUP(TableWRRanks32[[#This Row],[Player]],WR!B:O,4,FALSE)</f>
        <v>0</v>
      </c>
      <c r="AI88" s="86">
        <f>VLOOKUP(TableWRRanks32[[#This Row],[Player]],WR!B:O,5,FALSE)</f>
        <v>0</v>
      </c>
      <c r="AJ88" s="86">
        <f>VLOOKUP(TableWRRanks32[[#This Row],[Player]],WR!B:O,6,FALSE)</f>
        <v>73.211519359999983</v>
      </c>
      <c r="AK88" s="86">
        <f>VLOOKUP(TableWRRanks32[[#This Row],[Player]],WR!B:O,7,FALSE)</f>
        <v>41.453279740262964</v>
      </c>
      <c r="AL88" s="86">
        <f>VLOOKUP(TableWRRanks32[[#This Row],[Player]],WR!B:O,8,FALSE)</f>
        <v>509.46080800783182</v>
      </c>
      <c r="AM88" s="86">
        <f>VLOOKUP(TableWRRanks32[[#This Row],[Player]],WR!B:O,9,FALSE)</f>
        <v>2.6115566236365666</v>
      </c>
      <c r="AN88" s="58">
        <f>IFERROR(INDEX(TableWRCalcPts[Custom],MATCH(TableWRRanks32[[#This Row],[RK]],TableWRCalcPts[RK],0)),"")</f>
        <v>87.342060412734071</v>
      </c>
      <c r="AO8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88">
        <v>87</v>
      </c>
      <c r="AR88" t="str">
        <f>IFERROR(INDEX(TableTECalcPts[PLAYER],MATCH(TableTERanks33[[#This Row],[RK]],TableTECalcPts[RK],0)),"")</f>
        <v>Josh Oliver</v>
      </c>
      <c r="AS88" t="str">
        <f>IFERROR(INDEX(TableTECalcPts[TM],MATCH(TableTERanks33[[#This Row],[Player]],TableTECalcPts[PLAYER],0)),"")</f>
        <v>MIN</v>
      </c>
      <c r="AT88">
        <f>IFERROR(INDEX(TableTECalcPts[BYE],MATCH(TableTERanks33[[#This Row],[Player]],TableTECalcPts[PLAYER],0)),"")</f>
        <v>13</v>
      </c>
      <c r="AU88" s="86">
        <f>VLOOKUP(TableTERanks33[[#This Row],[Player]],TE!B:O,4,FALSE)</f>
        <v>6.5287991999999981</v>
      </c>
      <c r="AV88" s="86">
        <f>VLOOKUP(TableTERanks33[[#This Row],[Player]],TE!B:O,5,FALSE)</f>
        <v>4.453760059576144</v>
      </c>
      <c r="AW88" s="86">
        <f>VLOOKUP(TableTERanks33[[#This Row],[Player]],TE!B:O,6,FALSE)</f>
        <v>43.84454177113944</v>
      </c>
      <c r="AX88" s="86">
        <f>VLOOKUP(TableTERanks33[[#This Row],[Player]],TE!B:O,7,FALSE)</f>
        <v>0.2226880029788072</v>
      </c>
      <c r="AY88" s="58">
        <f>IFERROR(INDEX(TableTECalcPts[Custom],MATCH(TableTERanks33[[#This Row],[RK]],TableTECalcPts[RK],0)),"")</f>
        <v>7.947462224774859</v>
      </c>
      <c r="AZ88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89" spans="16:52" x14ac:dyDescent="0.2">
      <c r="P89">
        <v>88</v>
      </c>
      <c r="Q89" t="str">
        <f>IFERROR(INDEX(TableRBCalcPts[PLAYER],MATCH(TableRBRanks31[[#This Row],[RK]],TableRBCalcPts[RK],0)),"")</f>
        <v>Dare Ogunbowale</v>
      </c>
      <c r="R89" t="str">
        <f>IFERROR(INDEX(TableRBCalcPts[TM],MATCH(TableRBRanks31[[#This Row],[Player]],TableRBCalcPts[PLAYER],0)),"")</f>
        <v>HOU</v>
      </c>
      <c r="S89">
        <f>IFERROR(INDEX(TableRBCalcPts[BYE],MATCH(TableRBRanks31[[#This Row],[Player]],TableRBCalcPts[PLAYER],0)),"")</f>
        <v>7</v>
      </c>
      <c r="T89" s="86">
        <f>VLOOKUP(TableRBRanks31[[#This Row],[Player]],RB!B:O,4,FALSE)</f>
        <v>18.446477279999996</v>
      </c>
      <c r="U89" s="86">
        <f>VLOOKUP(TableRBRanks31[[#This Row],[Player]],RB!B:O,5,FALSE)</f>
        <v>76.921810257599986</v>
      </c>
      <c r="V89" s="86">
        <f>VLOOKUP(TableRBRanks31[[#This Row],[Player]],RB!B:O,6,FALSE)</f>
        <v>0.47960840927999987</v>
      </c>
      <c r="W89" s="86">
        <f>VLOOKUP(TableRBRanks31[[#This Row],[Player]],RB!B:O,7,FALSE)</f>
        <v>18.592395360000001</v>
      </c>
      <c r="X89" s="86">
        <f>VLOOKUP(TableRBRanks31[[#This Row],[Player]],RB!B:O,8,FALSE)</f>
        <v>13.6654105896</v>
      </c>
      <c r="Y89" s="86">
        <f>VLOOKUP(TableRBRanks31[[#This Row],[Player]],RB!B:O,9,FALSE)</f>
        <v>99.484189092288005</v>
      </c>
      <c r="Z89" s="86">
        <f>VLOOKUP(TableRBRanks31[[#This Row],[Player]],RB!B:O,10,FALSE)</f>
        <v>0.40996231768800001</v>
      </c>
      <c r="AA89" s="58">
        <f>IFERROR(INDEX(TableRBCalcPts[Custom],MATCH(TableRBRanks31[[#This Row],[RK]],TableRBCalcPts[RK],0)),"")</f>
        <v>29.810729591596797</v>
      </c>
      <c r="AB89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89">
        <v>88</v>
      </c>
      <c r="AE89" t="str">
        <f>IFERROR(INDEX(TableWRCalcPts[PLAYER],MATCH(TableWRRanks32[[#This Row],[RK]],TableWRCalcPts[RK],0)),"")</f>
        <v>Puka Nacua</v>
      </c>
      <c r="AF89" t="str">
        <f>IFERROR(INDEX(TableWRCalcPts[TM],MATCH(TableWRRanks32[[#This Row],[Player]],TableWRCalcPts[PLAYER],0)),"")</f>
        <v>LAR</v>
      </c>
      <c r="AG89">
        <f>IFERROR(INDEX(TableWRCalcPts[BYE],MATCH(TableWRRanks32[[#This Row],[Player]],TableWRCalcPts[PLAYER],0)),"")</f>
        <v>10</v>
      </c>
      <c r="AH89" s="86">
        <f>VLOOKUP(TableWRRanks32[[#This Row],[Player]],WR!B:O,4,FALSE)</f>
        <v>0</v>
      </c>
      <c r="AI89" s="86">
        <f>VLOOKUP(TableWRRanks32[[#This Row],[Player]],WR!B:O,5,FALSE)</f>
        <v>0</v>
      </c>
      <c r="AJ89" s="86">
        <f>VLOOKUP(TableWRRanks32[[#This Row],[Player]],WR!B:O,6,FALSE)</f>
        <v>61.782336000000001</v>
      </c>
      <c r="AK89" s="86">
        <f>VLOOKUP(TableWRRanks32[[#This Row],[Player]],WR!B:O,7,FALSE)</f>
        <v>37.501877952000001</v>
      </c>
      <c r="AL89" s="86">
        <f>VLOOKUP(TableWRRanks32[[#This Row],[Player]],WR!B:O,8,FALSE)</f>
        <v>510.02554014719999</v>
      </c>
      <c r="AM89" s="86">
        <f>VLOOKUP(TableWRRanks32[[#This Row],[Player]],WR!B:O,9,FALSE)</f>
        <v>2.5501277007360001</v>
      </c>
      <c r="AN89" s="58">
        <f>IFERROR(INDEX(TableWRCalcPts[Custom],MATCH(TableWRRanks32[[#This Row],[RK]],TableWRCalcPts[RK],0)),"")</f>
        <v>85.054259195136012</v>
      </c>
      <c r="AO8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89">
        <v>88</v>
      </c>
      <c r="AR89" t="str">
        <f>IFERROR(INDEX(TableTECalcPts[PLAYER],MATCH(TableTERanks33[[#This Row],[RK]],TableTECalcPts[RK],0)),"")</f>
        <v>Charlie Kolar</v>
      </c>
      <c r="AS89" t="str">
        <f>IFERROR(INDEX(TableTECalcPts[TM],MATCH(TableTERanks33[[#This Row],[Player]],TableTECalcPts[PLAYER],0)),"")</f>
        <v>BAL</v>
      </c>
      <c r="AT89">
        <f>IFERROR(INDEX(TableTECalcPts[BYE],MATCH(TableTERanks33[[#This Row],[Player]],TableTECalcPts[PLAYER],0)),"")</f>
        <v>13</v>
      </c>
      <c r="AU89" s="86">
        <f>VLOOKUP(TableTERanks33[[#This Row],[Player]],TE!B:O,4,FALSE)</f>
        <v>6.4154563200000005</v>
      </c>
      <c r="AV89" s="86">
        <f>VLOOKUP(TableTERanks33[[#This Row],[Player]],TE!B:O,5,FALSE)</f>
        <v>4.0238057718349918</v>
      </c>
      <c r="AW89" s="86">
        <f>VLOOKUP(TableTERanks33[[#This Row],[Player]],TE!B:O,6,FALSE)</f>
        <v>40.60923004721645</v>
      </c>
      <c r="AX89" s="86">
        <f>VLOOKUP(TableTERanks33[[#This Row],[Player]],TE!B:O,7,FALSE)</f>
        <v>0.28166640402844945</v>
      </c>
      <c r="AY89" s="58">
        <f>IFERROR(INDEX(TableTECalcPts[Custom],MATCH(TableTERanks33[[#This Row],[RK]],TableTECalcPts[RK],0)),"")</f>
        <v>7.7628243148098379</v>
      </c>
      <c r="AZ89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90" spans="16:52" x14ac:dyDescent="0.2">
      <c r="P90">
        <v>89</v>
      </c>
      <c r="Q90" t="str">
        <f>IFERROR(INDEX(TableRBCalcPts[PLAYER],MATCH(TableRBRanks31[[#This Row],[RK]],TableRBCalcPts[RK],0)),"")</f>
        <v>Trayveon Williams</v>
      </c>
      <c r="R90" t="str">
        <f>IFERROR(INDEX(TableRBCalcPts[TM],MATCH(TableRBRanks31[[#This Row],[Player]],TableRBCalcPts[PLAYER],0)),"")</f>
        <v>CIN</v>
      </c>
      <c r="S90">
        <f>IFERROR(INDEX(TableRBCalcPts[BYE],MATCH(TableRBRanks31[[#This Row],[Player]],TableRBCalcPts[PLAYER],0)),"")</f>
        <v>7</v>
      </c>
      <c r="T90" s="86">
        <f>VLOOKUP(TableRBRanks31[[#This Row],[Player]],RB!B:O,4,FALSE)</f>
        <v>27.877920840000002</v>
      </c>
      <c r="U90" s="86">
        <f>VLOOKUP(TableRBRanks31[[#This Row],[Player]],RB!B:O,5,FALSE)</f>
        <v>116.80848831960002</v>
      </c>
      <c r="V90" s="86">
        <f>VLOOKUP(TableRBRanks31[[#This Row],[Player]],RB!B:O,6,FALSE)</f>
        <v>1.1708726752800001</v>
      </c>
      <c r="W90" s="86">
        <f>VLOOKUP(TableRBRanks31[[#This Row],[Player]],RB!B:O,7,FALSE)</f>
        <v>9.2314088999999999</v>
      </c>
      <c r="X90" s="86">
        <f>VLOOKUP(TableRBRanks31[[#This Row],[Player]],RB!B:O,8,FALSE)</f>
        <v>6.9050938571999998</v>
      </c>
      <c r="Y90" s="86">
        <f>VLOOKUP(TableRBRanks31[[#This Row],[Player]],RB!B:O,9,FALSE)</f>
        <v>53.169222700440002</v>
      </c>
      <c r="Z90" s="86">
        <f>VLOOKUP(TableRBRanks31[[#This Row],[Player]],RB!B:O,10,FALSE)</f>
        <v>0.38668525600319997</v>
      </c>
      <c r="AA90" s="58">
        <f>IFERROR(INDEX(TableRBCalcPts[Custom],MATCH(TableRBRanks31[[#This Row],[RK]],TableRBCalcPts[RK],0)),"")</f>
        <v>29.795665618303204</v>
      </c>
      <c r="AB90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90">
        <v>89</v>
      </c>
      <c r="AE90" t="str">
        <f>IFERROR(INDEX(TableWRCalcPts[PLAYER],MATCH(TableWRRanks32[[#This Row],[RK]],TableWRCalcPts[RK],0)),"")</f>
        <v>Hunter Renfrow</v>
      </c>
      <c r="AF90" t="str">
        <f>IFERROR(INDEX(TableWRCalcPts[TM],MATCH(TableWRRanks32[[#This Row],[Player]],TableWRCalcPts[PLAYER],0)),"")</f>
        <v>LV</v>
      </c>
      <c r="AG90">
        <f>IFERROR(INDEX(TableWRCalcPts[BYE],MATCH(TableWRRanks32[[#This Row],[Player]],TableWRCalcPts[PLAYER],0)),"")</f>
        <v>13</v>
      </c>
      <c r="AH90" s="86">
        <f>VLOOKUP(TableWRRanks32[[#This Row],[Player]],WR!B:O,4,FALSE)</f>
        <v>0</v>
      </c>
      <c r="AI90" s="86">
        <f>VLOOKUP(TableWRRanks32[[#This Row],[Player]],WR!B:O,5,FALSE)</f>
        <v>0</v>
      </c>
      <c r="AJ90" s="86">
        <f>VLOOKUP(TableWRRanks32[[#This Row],[Player]],WR!B:O,6,FALSE)</f>
        <v>60.230897999999989</v>
      </c>
      <c r="AK90" s="86">
        <f>VLOOKUP(TableWRRanks32[[#This Row],[Player]],WR!B:O,7,FALSE)</f>
        <v>45.578120404055198</v>
      </c>
      <c r="AL90" s="86">
        <f>VLOOKUP(TableWRRanks32[[#This Row],[Player]],WR!B:O,8,FALSE)</f>
        <v>467.24420400302046</v>
      </c>
      <c r="AM90" s="86">
        <f>VLOOKUP(TableWRRanks32[[#This Row],[Player]],WR!B:O,9,FALSE)</f>
        <v>2.5067966222230358</v>
      </c>
      <c r="AN90" s="58">
        <f>IFERROR(INDEX(TableWRCalcPts[Custom],MATCH(TableWRRanks32[[#This Row],[RK]],TableWRCalcPts[RK],0)),"")</f>
        <v>84.554260335667863</v>
      </c>
      <c r="AO9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90">
        <v>89</v>
      </c>
      <c r="AR90" t="str">
        <f>IFERROR(INDEX(TableTECalcPts[PLAYER],MATCH(TableTERanks33[[#This Row],[RK]],TableTECalcPts[RK],0)),"")</f>
        <v>Payne Durham</v>
      </c>
      <c r="AS90" t="str">
        <f>IFERROR(INDEX(TableTECalcPts[TM],MATCH(TableTERanks33[[#This Row],[Player]],TableTECalcPts[PLAYER],0)),"")</f>
        <v>TB</v>
      </c>
      <c r="AT90">
        <f>IFERROR(INDEX(TableTECalcPts[BYE],MATCH(TableTERanks33[[#This Row],[Player]],TableTECalcPts[PLAYER],0)),"")</f>
        <v>5</v>
      </c>
      <c r="AU90" s="86">
        <f>VLOOKUP(TableTERanks33[[#This Row],[Player]],TE!B:O,4,FALSE)</f>
        <v>6.7063987199999993</v>
      </c>
      <c r="AV90" s="86">
        <f>VLOOKUP(TableTERanks33[[#This Row],[Player]],TE!B:O,5,FALSE)</f>
        <v>4.0573712255999999</v>
      </c>
      <c r="AW90" s="86">
        <f>VLOOKUP(TableTERanks33[[#This Row],[Player]],TE!B:O,6,FALSE)</f>
        <v>42.602397868799997</v>
      </c>
      <c r="AX90" s="86">
        <f>VLOOKUP(TableTERanks33[[#This Row],[Player]],TE!B:O,7,FALSE)</f>
        <v>0.20286856128</v>
      </c>
      <c r="AY90" s="58">
        <f>IFERROR(INDEX(TableTECalcPts[Custom],MATCH(TableTERanks33[[#This Row],[RK]],TableTECalcPts[RK],0)),"")</f>
        <v>7.5061367673600001</v>
      </c>
      <c r="AZ90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91" spans="16:52" x14ac:dyDescent="0.2">
      <c r="P91">
        <v>90</v>
      </c>
      <c r="Q91" t="str">
        <f>IFERROR(INDEX(TableRBCalcPts[PLAYER],MATCH(TableRBRanks31[[#This Row],[RK]],TableRBCalcPts[RK],0)),"")</f>
        <v>D'Onta Foreman</v>
      </c>
      <c r="R91" t="str">
        <f>IFERROR(INDEX(TableRBCalcPts[TM],MATCH(TableRBRanks31[[#This Row],[Player]],TableRBCalcPts[PLAYER],0)),"")</f>
        <v>CHI</v>
      </c>
      <c r="S91">
        <f>IFERROR(INDEX(TableRBCalcPts[BYE],MATCH(TableRBRanks31[[#This Row],[Player]],TableRBCalcPts[PLAYER],0)),"")</f>
        <v>13</v>
      </c>
      <c r="T91" s="86">
        <f>VLOOKUP(TableRBRanks31[[#This Row],[Player]],RB!B:O,4,FALSE)</f>
        <v>20.881063839999999</v>
      </c>
      <c r="U91" s="86">
        <f>VLOOKUP(TableRBRanks31[[#This Row],[Player]],RB!B:O,5,FALSE)</f>
        <v>89.162142596799995</v>
      </c>
      <c r="V91" s="86">
        <f>VLOOKUP(TableRBRanks31[[#This Row],[Player]],RB!B:O,6,FALSE)</f>
        <v>0.79348042592000001</v>
      </c>
      <c r="W91" s="86">
        <f>VLOOKUP(TableRBRanks31[[#This Row],[Player]],RB!B:O,7,FALSE)</f>
        <v>13.768372799999998</v>
      </c>
      <c r="X91" s="86">
        <f>VLOOKUP(TableRBRanks31[[#This Row],[Player]],RB!B:O,8,FALSE)</f>
        <v>9.2439438794031439</v>
      </c>
      <c r="Y91" s="86">
        <f>VLOOKUP(TableRBRanks31[[#This Row],[Player]],RB!B:O,9,FALSE)</f>
        <v>73.733399864192521</v>
      </c>
      <c r="Z91" s="86">
        <f>VLOOKUP(TableRBRanks31[[#This Row],[Player]],RB!B:O,10,FALSE)</f>
        <v>0.37900169905552894</v>
      </c>
      <c r="AA91" s="58">
        <f>IFERROR(INDEX(TableRBCalcPts[Custom],MATCH(TableRBRanks31[[#This Row],[RK]],TableRBCalcPts[RK],0)),"")</f>
        <v>27.946418935653998</v>
      </c>
      <c r="AB91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91">
        <v>90</v>
      </c>
      <c r="AE91" t="str">
        <f>IFERROR(INDEX(TableWRCalcPts[PLAYER],MATCH(TableWRRanks32[[#This Row],[RK]],TableWRCalcPts[RK],0)),"")</f>
        <v>Terrace Marshall</v>
      </c>
      <c r="AF91" t="str">
        <f>IFERROR(INDEX(TableWRCalcPts[TM],MATCH(TableWRRanks32[[#This Row],[Player]],TableWRCalcPts[PLAYER],0)),"")</f>
        <v>CAR</v>
      </c>
      <c r="AG91">
        <f>IFERROR(INDEX(TableWRCalcPts[BYE],MATCH(TableWRRanks32[[#This Row],[Player]],TableWRCalcPts[PLAYER],0)),"")</f>
        <v>7</v>
      </c>
      <c r="AH91" s="86">
        <f>VLOOKUP(TableWRRanks32[[#This Row],[Player]],WR!B:O,4,FALSE)</f>
        <v>0</v>
      </c>
      <c r="AI91" s="86">
        <f>VLOOKUP(TableWRRanks32[[#This Row],[Player]],WR!B:O,5,FALSE)</f>
        <v>0</v>
      </c>
      <c r="AJ91" s="86">
        <f>VLOOKUP(TableWRRanks32[[#This Row],[Player]],WR!B:O,6,FALSE)</f>
        <v>61.78661369999999</v>
      </c>
      <c r="AK91" s="86">
        <f>VLOOKUP(TableWRRanks32[[#This Row],[Player]],WR!B:O,7,FALSE)</f>
        <v>34.240131916239953</v>
      </c>
      <c r="AL91" s="86">
        <f>VLOOKUP(TableWRRanks32[[#This Row],[Player]],WR!B:O,8,FALSE)</f>
        <v>486.55227452976976</v>
      </c>
      <c r="AM91" s="86">
        <f>VLOOKUP(TableWRRanks32[[#This Row],[Player]],WR!B:O,9,FALSE)</f>
        <v>2.3283289703043168</v>
      </c>
      <c r="AN91" s="58">
        <f>IFERROR(INDEX(TableWRCalcPts[Custom],MATCH(TableWRRanks32[[#This Row],[RK]],TableWRCalcPts[RK],0)),"")</f>
        <v>79.745267232922856</v>
      </c>
      <c r="AO9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91">
        <v>90</v>
      </c>
      <c r="AR91" t="str">
        <f>IFERROR(INDEX(TableTECalcPts[PLAYER],MATCH(TableTERanks33[[#This Row],[RK]],TableTECalcPts[RK],0)),"")</f>
        <v>Luke Farrell</v>
      </c>
      <c r="AS91" t="str">
        <f>IFERROR(INDEX(TableTECalcPts[TM],MATCH(TableTERanks33[[#This Row],[Player]],TableTECalcPts[PLAYER],0)),"")</f>
        <v>JAX</v>
      </c>
      <c r="AT91">
        <f>IFERROR(INDEX(TableTECalcPts[BYE],MATCH(TableTERanks33[[#This Row],[Player]],TableTECalcPts[PLAYER],0)),"")</f>
        <v>9</v>
      </c>
      <c r="AU91" s="86">
        <f>VLOOKUP(TableTERanks33[[#This Row],[Player]],TE!B:O,4,FALSE)</f>
        <v>6.1809579999999986</v>
      </c>
      <c r="AV91" s="86">
        <f>VLOOKUP(TableTERanks33[[#This Row],[Player]],TE!B:O,5,FALSE)</f>
        <v>3.894003539999999</v>
      </c>
      <c r="AW91" s="86">
        <f>VLOOKUP(TableTERanks33[[#This Row],[Player]],TE!B:O,6,FALSE)</f>
        <v>35.824832567999991</v>
      </c>
      <c r="AX91" s="86">
        <f>VLOOKUP(TableTERanks33[[#This Row],[Player]],TE!B:O,7,FALSE)</f>
        <v>0.15576014159999996</v>
      </c>
      <c r="AY91" s="58">
        <f>IFERROR(INDEX(TableTECalcPts[Custom],MATCH(TableTERanks33[[#This Row],[RK]],TableTECalcPts[RK],0)),"")</f>
        <v>6.4640458763999984</v>
      </c>
      <c r="AZ91" s="133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0</v>
      </c>
    </row>
    <row r="92" spans="16:52" x14ac:dyDescent="0.2">
      <c r="P92">
        <v>91</v>
      </c>
      <c r="Q92" t="str">
        <f>IFERROR(INDEX(TableRBCalcPts[PLAYER],MATCH(TableRBRanks31[[#This Row],[RK]],TableRBCalcPts[RK],0)),"")</f>
        <v>Ty Montgomery</v>
      </c>
      <c r="R92" t="str">
        <f>IFERROR(INDEX(TableRBCalcPts[TM],MATCH(TableRBRanks31[[#This Row],[Player]],TableRBCalcPts[PLAYER],0)),"")</f>
        <v>NE</v>
      </c>
      <c r="S92">
        <f>IFERROR(INDEX(TableRBCalcPts[BYE],MATCH(TableRBRanks31[[#This Row],[Player]],TableRBCalcPts[PLAYER],0)),"")</f>
        <v>11</v>
      </c>
      <c r="T92" s="86">
        <f>VLOOKUP(TableRBRanks31[[#This Row],[Player]],RB!B:O,4,FALSE)</f>
        <v>8.753634400000001</v>
      </c>
      <c r="U92" s="86">
        <f>VLOOKUP(TableRBRanks31[[#This Row],[Player]],RB!B:O,5,FALSE)</f>
        <v>37.465555232000007</v>
      </c>
      <c r="V92" s="86">
        <f>VLOOKUP(TableRBRanks31[[#This Row],[Player]],RB!B:O,6,FALSE)</f>
        <v>0.33263810720000003</v>
      </c>
      <c r="W92" s="86">
        <f>VLOOKUP(TableRBRanks31[[#This Row],[Player]],RB!B:O,7,FALSE)</f>
        <v>18.044104959999995</v>
      </c>
      <c r="X92" s="86">
        <f>VLOOKUP(TableRBRanks31[[#This Row],[Player]],RB!B:O,8,FALSE)</f>
        <v>14.182666498559996</v>
      </c>
      <c r="Y92" s="86">
        <f>VLOOKUP(TableRBRanks31[[#This Row],[Player]],RB!B:O,9,FALSE)</f>
        <v>109.20653203891197</v>
      </c>
      <c r="Z92" s="86">
        <f>VLOOKUP(TableRBRanks31[[#This Row],[Player]],RB!B:O,10,FALSE)</f>
        <v>0.36874932896255991</v>
      </c>
      <c r="AA92" s="58">
        <f>IFERROR(INDEX(TableRBCalcPts[Custom],MATCH(TableRBRanks31[[#This Row],[RK]],TableRBCalcPts[RK],0)),"")</f>
        <v>25.966866593346559</v>
      </c>
      <c r="AB92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92">
        <v>91</v>
      </c>
      <c r="AE92" t="str">
        <f>IFERROR(INDEX(TableWRCalcPts[PLAYER],MATCH(TableWRRanks32[[#This Row],[RK]],TableWRCalcPts[RK],0)),"")</f>
        <v>Chase Claypool</v>
      </c>
      <c r="AF92" t="str">
        <f>IFERROR(INDEX(TableWRCalcPts[TM],MATCH(TableWRRanks32[[#This Row],[Player]],TableWRCalcPts[PLAYER],0)),"")</f>
        <v>CHI</v>
      </c>
      <c r="AG92">
        <f>IFERROR(INDEX(TableWRCalcPts[BYE],MATCH(TableWRRanks32[[#This Row],[Player]],TableWRCalcPts[PLAYER],0)),"")</f>
        <v>13</v>
      </c>
      <c r="AH92" s="86">
        <f>VLOOKUP(TableWRRanks32[[#This Row],[Player]],WR!B:O,4,FALSE)</f>
        <v>0</v>
      </c>
      <c r="AI92" s="86">
        <f>VLOOKUP(TableWRRanks32[[#This Row],[Player]],WR!B:O,5,FALSE)</f>
        <v>0</v>
      </c>
      <c r="AJ92" s="86">
        <f>VLOOKUP(TableWRRanks32[[#This Row],[Player]],WR!B:O,6,FALSE)</f>
        <v>56.450328479999989</v>
      </c>
      <c r="AK92" s="86">
        <f>VLOOKUP(TableWRRanks32[[#This Row],[Player]],WR!B:O,7,FALSE)</f>
        <v>32.947886867375303</v>
      </c>
      <c r="AL92" s="86">
        <f>VLOOKUP(TableWRRanks32[[#This Row],[Player]],WR!B:O,8,FALSE)</f>
        <v>416.91079972049295</v>
      </c>
      <c r="AM92" s="86">
        <f>VLOOKUP(TableWRRanks32[[#This Row],[Player]],WR!B:O,9,FALSE)</f>
        <v>3.3277365736049056</v>
      </c>
      <c r="AN92" s="58">
        <f>IFERROR(INDEX(TableWRCalcPts[Custom],MATCH(TableWRRanks32[[#This Row],[RK]],TableWRCalcPts[RK],0)),"")</f>
        <v>78.131442847366372</v>
      </c>
      <c r="AO9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92">
        <v>91</v>
      </c>
      <c r="AR92" t="str">
        <f>IFERROR(INDEX(TableTECalcPts[PLAYER],MATCH(TableTERanks33[[#This Row],[RK]],TableTECalcPts[RK],0)),"")</f>
        <v/>
      </c>
      <c r="AS92" t="str">
        <f>IFERROR(INDEX(TableTECalcPts[TM],MATCH(TableTERanks33[[#This Row],[Player]],TableTECalcPts[PLAYER],0)),"")</f>
        <v/>
      </c>
      <c r="AT92" t="str">
        <f>IFERROR(INDEX(TableTECalcPts[BYE],MATCH(TableTERanks33[[#This Row],[Player]],TableTECalcPts[PLAYER],0)),"")</f>
        <v/>
      </c>
      <c r="AU92" s="86" t="e">
        <f>VLOOKUP(TableTERanks33[[#This Row],[Player]],TE!B:O,4,FALSE)</f>
        <v>#N/A</v>
      </c>
      <c r="AV92" s="86" t="e">
        <f>VLOOKUP(TableTERanks33[[#This Row],[Player]],TE!B:O,5,FALSE)</f>
        <v>#N/A</v>
      </c>
      <c r="AW92" s="86" t="e">
        <f>VLOOKUP(TableTERanks33[[#This Row],[Player]],TE!B:O,6,FALSE)</f>
        <v>#N/A</v>
      </c>
      <c r="AX92" s="86" t="e">
        <f>VLOOKUP(TableTERanks33[[#This Row],[Player]],TE!B:O,7,FALSE)</f>
        <v>#N/A</v>
      </c>
      <c r="AY92" s="58" t="str">
        <f>IFERROR(INDEX(TableTECalcPts[Custom],MATCH(TableTERanks33[[#This Row],[RK]],TableTECalcPts[RK],0)),"")</f>
        <v/>
      </c>
      <c r="AZ92" s="133" t="e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#VALUE!</v>
      </c>
    </row>
    <row r="93" spans="16:52" x14ac:dyDescent="0.2">
      <c r="P93">
        <v>92</v>
      </c>
      <c r="Q93" t="str">
        <f>IFERROR(INDEX(TableRBCalcPts[PLAYER],MATCH(TableRBRanks31[[#This Row],[RK]],TableRBCalcPts[RK],0)),"")</f>
        <v>Jaleel McLaughlin</v>
      </c>
      <c r="R93" t="str">
        <f>IFERROR(INDEX(TableRBCalcPts[TM],MATCH(TableRBRanks31[[#This Row],[Player]],TableRBCalcPts[PLAYER],0)),"")</f>
        <v>DEN</v>
      </c>
      <c r="S93">
        <f>IFERROR(INDEX(TableRBCalcPts[BYE],MATCH(TableRBRanks31[[#This Row],[Player]],TableRBCalcPts[PLAYER],0)),"")</f>
        <v>9</v>
      </c>
      <c r="T93" s="86">
        <f>VLOOKUP(TableRBRanks31[[#This Row],[Player]],RB!B:O,4,FALSE)</f>
        <v>19.610250799999999</v>
      </c>
      <c r="U93" s="86">
        <f>VLOOKUP(TableRBRanks31[[#This Row],[Player]],RB!B:O,5,FALSE)</f>
        <v>81.774745835999994</v>
      </c>
      <c r="V93" s="86">
        <f>VLOOKUP(TableRBRanks31[[#This Row],[Player]],RB!B:O,6,FALSE)</f>
        <v>0.58830752399999997</v>
      </c>
      <c r="W93" s="86">
        <f>VLOOKUP(TableRBRanks31[[#This Row],[Player]],RB!B:O,7,FALSE)</f>
        <v>11.229624000000001</v>
      </c>
      <c r="X93" s="86">
        <f>VLOOKUP(TableRBRanks31[[#This Row],[Player]],RB!B:O,8,FALSE)</f>
        <v>8.4895957440000007</v>
      </c>
      <c r="Y93" s="86">
        <f>VLOOKUP(TableRBRanks31[[#This Row],[Player]],RB!B:O,9,FALSE)</f>
        <v>61.125089356800004</v>
      </c>
      <c r="Z93" s="86">
        <f>VLOOKUP(TableRBRanks31[[#This Row],[Player]],RB!B:O,10,FALSE)</f>
        <v>0.33958382976000001</v>
      </c>
      <c r="AA93" s="58">
        <f>IFERROR(INDEX(TableRBCalcPts[Custom],MATCH(TableRBRanks31[[#This Row],[RK]],TableRBCalcPts[RK],0)),"")</f>
        <v>24.102129513840001</v>
      </c>
      <c r="AB93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93">
        <v>92</v>
      </c>
      <c r="AE93" t="str">
        <f>IFERROR(INDEX(TableWRCalcPts[PLAYER],MATCH(TableWRRanks32[[#This Row],[RK]],TableWRCalcPts[RK],0)),"")</f>
        <v>Rashid Shaheed</v>
      </c>
      <c r="AF93" t="str">
        <f>IFERROR(INDEX(TableWRCalcPts[TM],MATCH(TableWRRanks32[[#This Row],[Player]],TableWRCalcPts[PLAYER],0)),"")</f>
        <v>NO</v>
      </c>
      <c r="AG93">
        <f>IFERROR(INDEX(TableWRCalcPts[BYE],MATCH(TableWRRanks32[[#This Row],[Player]],TableWRCalcPts[PLAYER],0)),"")</f>
        <v>11</v>
      </c>
      <c r="AH93" s="86">
        <f>VLOOKUP(TableWRRanks32[[#This Row],[Player]],WR!B:O,4,FALSE)</f>
        <v>0</v>
      </c>
      <c r="AI93" s="86">
        <f>VLOOKUP(TableWRRanks32[[#This Row],[Player]],WR!B:O,5,FALSE)</f>
        <v>0</v>
      </c>
      <c r="AJ93" s="86">
        <f>VLOOKUP(TableWRRanks32[[#This Row],[Player]],WR!B:O,6,FALSE)</f>
        <v>60.809273615999999</v>
      </c>
      <c r="AK93" s="86">
        <f>VLOOKUP(TableWRRanks32[[#This Row],[Player]],WR!B:O,7,FALSE)</f>
        <v>36.915353573899921</v>
      </c>
      <c r="AL93" s="86">
        <f>VLOOKUP(TableWRRanks32[[#This Row],[Player]],WR!B:O,8,FALSE)</f>
        <v>472.51652574591901</v>
      </c>
      <c r="AM93" s="86">
        <f>VLOOKUP(TableWRRanks32[[#This Row],[Player]],WR!B:O,9,FALSE)</f>
        <v>1.9195983858427959</v>
      </c>
      <c r="AN93" s="58">
        <f>IFERROR(INDEX(TableWRCalcPts[Custom],MATCH(TableWRRanks32[[#This Row],[RK]],TableWRCalcPts[RK],0)),"")</f>
        <v>77.226919676598641</v>
      </c>
      <c r="AO9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93">
        <v>92</v>
      </c>
      <c r="AR93" t="str">
        <f>IFERROR(INDEX(TableTECalcPts[PLAYER],MATCH(TableTERanks33[[#This Row],[RK]],TableTECalcPts[RK],0)),"")</f>
        <v/>
      </c>
      <c r="AS93" t="str">
        <f>IFERROR(INDEX(TableTECalcPts[TM],MATCH(TableTERanks33[[#This Row],[Player]],TableTECalcPts[PLAYER],0)),"")</f>
        <v/>
      </c>
      <c r="AT93" t="str">
        <f>IFERROR(INDEX(TableTECalcPts[BYE],MATCH(TableTERanks33[[#This Row],[Player]],TableTECalcPts[PLAYER],0)),"")</f>
        <v/>
      </c>
      <c r="AU93" s="86" t="e">
        <f>VLOOKUP(TableTERanks33[[#This Row],[Player]],TE!B:O,4,FALSE)</f>
        <v>#N/A</v>
      </c>
      <c r="AV93" s="86" t="e">
        <f>VLOOKUP(TableTERanks33[[#This Row],[Player]],TE!B:O,5,FALSE)</f>
        <v>#N/A</v>
      </c>
      <c r="AW93" s="86" t="e">
        <f>VLOOKUP(TableTERanks33[[#This Row],[Player]],TE!B:O,6,FALSE)</f>
        <v>#N/A</v>
      </c>
      <c r="AX93" s="86" t="e">
        <f>VLOOKUP(TableTERanks33[[#This Row],[Player]],TE!B:O,7,FALSE)</f>
        <v>#N/A</v>
      </c>
      <c r="AY93" s="58" t="str">
        <f>IFERROR(INDEX(TableTECalcPts[Custom],MATCH(TableTERanks33[[#This Row],[RK]],TableTECalcPts[RK],0)),"")</f>
        <v/>
      </c>
      <c r="AZ93" s="133" t="e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#VALUE!</v>
      </c>
    </row>
    <row r="94" spans="16:52" x14ac:dyDescent="0.2">
      <c r="P94">
        <v>93</v>
      </c>
      <c r="Q94" t="str">
        <f>IFERROR(INDEX(TableRBCalcPts[PLAYER],MATCH(TableRBRanks31[[#This Row],[RK]],TableRBCalcPts[RK],0)),"")</f>
        <v>J.J. Taylor</v>
      </c>
      <c r="R94" t="str">
        <f>IFERROR(INDEX(TableRBCalcPts[TM],MATCH(TableRBRanks31[[#This Row],[Player]],TableRBCalcPts[PLAYER],0)),"")</f>
        <v>NE</v>
      </c>
      <c r="S94">
        <f>IFERROR(INDEX(TableRBCalcPts[BYE],MATCH(TableRBRanks31[[#This Row],[Player]],TableRBCalcPts[PLAYER],0)),"")</f>
        <v>11</v>
      </c>
      <c r="T94" s="86">
        <f>VLOOKUP(TableRBRanks31[[#This Row],[Player]],RB!B:O,4,FALSE)</f>
        <v>27.573948359999999</v>
      </c>
      <c r="U94" s="86">
        <f>VLOOKUP(TableRBRanks31[[#This Row],[Player]],RB!B:O,5,FALSE)</f>
        <v>114.9833646612</v>
      </c>
      <c r="V94" s="86">
        <f>VLOOKUP(TableRBRanks31[[#This Row],[Player]],RB!B:O,6,FALSE)</f>
        <v>0.93751424424000007</v>
      </c>
      <c r="W94" s="86">
        <f>VLOOKUP(TableRBRanks31[[#This Row],[Player]],RB!B:O,7,FALSE)</f>
        <v>5.6387827999999987</v>
      </c>
      <c r="X94" s="86">
        <f>VLOOKUP(TableRBRanks31[[#This Row],[Player]],RB!B:O,8,FALSE)</f>
        <v>4.3644178871999992</v>
      </c>
      <c r="Y94" s="86">
        <f>VLOOKUP(TableRBRanks31[[#This Row],[Player]],RB!B:O,9,FALSE)</f>
        <v>33.169575942719995</v>
      </c>
      <c r="Z94" s="86">
        <f>VLOOKUP(TableRBRanks31[[#This Row],[Player]],RB!B:O,10,FALSE)</f>
        <v>8.292393985679998E-2</v>
      </c>
      <c r="AA94" s="58">
        <f>IFERROR(INDEX(TableRBCalcPts[Custom],MATCH(TableRBRanks31[[#This Row],[RK]],TableRBCalcPts[RK],0)),"")</f>
        <v>23.120132108572804</v>
      </c>
      <c r="AB94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94">
        <v>93</v>
      </c>
      <c r="AE94" t="str">
        <f>IFERROR(INDEX(TableWRCalcPts[PLAYER],MATCH(TableWRRanks32[[#This Row],[RK]],TableWRCalcPts[RK],0)),"")</f>
        <v>Mack Hollins</v>
      </c>
      <c r="AF94" t="str">
        <f>IFERROR(INDEX(TableWRCalcPts[TM],MATCH(TableWRRanks32[[#This Row],[Player]],TableWRCalcPts[PLAYER],0)),"")</f>
        <v>ATL</v>
      </c>
      <c r="AG94">
        <f>IFERROR(INDEX(TableWRCalcPts[BYE],MATCH(TableWRRanks32[[#This Row],[Player]],TableWRCalcPts[PLAYER],0)),"")</f>
        <v>11</v>
      </c>
      <c r="AH94" s="86">
        <f>VLOOKUP(TableWRRanks32[[#This Row],[Player]],WR!B:O,4,FALSE)</f>
        <v>0</v>
      </c>
      <c r="AI94" s="86">
        <f>VLOOKUP(TableWRRanks32[[#This Row],[Player]],WR!B:O,5,FALSE)</f>
        <v>0</v>
      </c>
      <c r="AJ94" s="86">
        <f>VLOOKUP(TableWRRanks32[[#This Row],[Player]],WR!B:O,6,FALSE)</f>
        <v>60.187115519999978</v>
      </c>
      <c r="AK94" s="86">
        <f>VLOOKUP(TableWRRanks32[[#This Row],[Player]],WR!B:O,7,FALSE)</f>
        <v>35.686350564995593</v>
      </c>
      <c r="AL94" s="86">
        <f>VLOOKUP(TableWRRanks32[[#This Row],[Player]],WR!B:O,8,FALSE)</f>
        <v>426.45188925169731</v>
      </c>
      <c r="AM94" s="86">
        <f>VLOOKUP(TableWRRanks32[[#This Row],[Player]],WR!B:O,9,FALSE)</f>
        <v>2.7835353440696564</v>
      </c>
      <c r="AN94" s="58">
        <f>IFERROR(INDEX(TableWRCalcPts[Custom],MATCH(TableWRRanks32[[#This Row],[RK]],TableWRCalcPts[RK],0)),"")</f>
        <v>77.189576272085475</v>
      </c>
      <c r="AO9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94">
        <v>93</v>
      </c>
      <c r="AR94" t="str">
        <f>IFERROR(INDEX(TableTECalcPts[PLAYER],MATCH(TableTERanks33[[#This Row],[RK]],TableTECalcPts[RK],0)),"")</f>
        <v/>
      </c>
      <c r="AS94" t="str">
        <f>IFERROR(INDEX(TableTECalcPts[TM],MATCH(TableTERanks33[[#This Row],[Player]],TableTECalcPts[PLAYER],0)),"")</f>
        <v/>
      </c>
      <c r="AT94" t="str">
        <f>IFERROR(INDEX(TableTECalcPts[BYE],MATCH(TableTERanks33[[#This Row],[Player]],TableTECalcPts[PLAYER],0)),"")</f>
        <v/>
      </c>
      <c r="AU94" s="86" t="e">
        <f>VLOOKUP(TableTERanks33[[#This Row],[Player]],TE!B:O,4,FALSE)</f>
        <v>#N/A</v>
      </c>
      <c r="AV94" s="86" t="e">
        <f>VLOOKUP(TableTERanks33[[#This Row],[Player]],TE!B:O,5,FALSE)</f>
        <v>#N/A</v>
      </c>
      <c r="AW94" s="86" t="e">
        <f>VLOOKUP(TableTERanks33[[#This Row],[Player]],TE!B:O,6,FALSE)</f>
        <v>#N/A</v>
      </c>
      <c r="AX94" s="86" t="e">
        <f>VLOOKUP(TableTERanks33[[#This Row],[Player]],TE!B:O,7,FALSE)</f>
        <v>#N/A</v>
      </c>
      <c r="AY94" s="58" t="str">
        <f>IFERROR(INDEX(TableTECalcPts[Custom],MATCH(TableTERanks33[[#This Row],[RK]],TableTECalcPts[RK],0)),"")</f>
        <v/>
      </c>
      <c r="AZ94" s="133" t="e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#VALUE!</v>
      </c>
    </row>
    <row r="95" spans="16:52" x14ac:dyDescent="0.2">
      <c r="P95">
        <v>94</v>
      </c>
      <c r="Q95" t="str">
        <f>IFERROR(INDEX(TableRBCalcPts[PLAYER],MATCH(TableRBRanks31[[#This Row],[RK]],TableRBCalcPts[RK],0)),"")</f>
        <v>Julius Chestnut</v>
      </c>
      <c r="R95" t="str">
        <f>IFERROR(INDEX(TableRBCalcPts[TM],MATCH(TableRBRanks31[[#This Row],[Player]],TableRBCalcPts[PLAYER],0)),"")</f>
        <v>TEN</v>
      </c>
      <c r="S95">
        <f>IFERROR(INDEX(TableRBCalcPts[BYE],MATCH(TableRBRanks31[[#This Row],[Player]],TableRBCalcPts[PLAYER],0)),"")</f>
        <v>7</v>
      </c>
      <c r="T95" s="86">
        <f>VLOOKUP(TableRBRanks31[[#This Row],[Player]],RB!B:O,4,FALSE)</f>
        <v>19.300262099999998</v>
      </c>
      <c r="U95" s="86">
        <f>VLOOKUP(TableRBRanks31[[#This Row],[Player]],RB!B:O,5,FALSE)</f>
        <v>77.587053641999987</v>
      </c>
      <c r="V95" s="86">
        <f>VLOOKUP(TableRBRanks31[[#This Row],[Player]],RB!B:O,6,FALSE)</f>
        <v>0.61760838719999989</v>
      </c>
      <c r="W95" s="86">
        <f>VLOOKUP(TableRBRanks31[[#This Row],[Player]],RB!B:O,7,FALSE)</f>
        <v>10.832037999999999</v>
      </c>
      <c r="X95" s="86">
        <f>VLOOKUP(TableRBRanks31[[#This Row],[Player]],RB!B:O,8,FALSE)</f>
        <v>7.679914941999999</v>
      </c>
      <c r="Y95" s="86">
        <f>VLOOKUP(TableRBRanks31[[#This Row],[Player]],RB!B:O,9,FALSE)</f>
        <v>60.82492634063999</v>
      </c>
      <c r="Z95" s="86">
        <f>VLOOKUP(TableRBRanks31[[#This Row],[Player]],RB!B:O,10,FALSE)</f>
        <v>0.19967778849199996</v>
      </c>
      <c r="AA95" s="58">
        <f>IFERROR(INDEX(TableRBCalcPts[Custom],MATCH(TableRBRanks31[[#This Row],[RK]],TableRBCalcPts[RK],0)),"")</f>
        <v>22.584872523415996</v>
      </c>
      <c r="AB95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95">
        <v>94</v>
      </c>
      <c r="AE95" t="str">
        <f>IFERROR(INDEX(TableWRCalcPts[PLAYER],MATCH(TableWRRanks32[[#This Row],[RK]],TableWRCalcPts[RK],0)),"")</f>
        <v>John Metchie</v>
      </c>
      <c r="AF95" t="str">
        <f>IFERROR(INDEX(TableWRCalcPts[TM],MATCH(TableWRRanks32[[#This Row],[Player]],TableWRCalcPts[PLAYER],0)),"")</f>
        <v>HOU</v>
      </c>
      <c r="AG95">
        <f>IFERROR(INDEX(TableWRCalcPts[BYE],MATCH(TableWRRanks32[[#This Row],[Player]],TableWRCalcPts[PLAYER],0)),"")</f>
        <v>7</v>
      </c>
      <c r="AH95" s="86">
        <f>VLOOKUP(TableWRRanks32[[#This Row],[Player]],WR!B:O,4,FALSE)</f>
        <v>0</v>
      </c>
      <c r="AI95" s="86">
        <f>VLOOKUP(TableWRRanks32[[#This Row],[Player]],WR!B:O,5,FALSE)</f>
        <v>0</v>
      </c>
      <c r="AJ95" s="86">
        <f>VLOOKUP(TableWRRanks32[[#This Row],[Player]],WR!B:O,6,FALSE)</f>
        <v>57.467403839999996</v>
      </c>
      <c r="AK95" s="86">
        <f>VLOOKUP(TableWRRanks32[[#This Row],[Player]],WR!B:O,7,FALSE)</f>
        <v>34.325522061748764</v>
      </c>
      <c r="AL95" s="86">
        <f>VLOOKUP(TableWRRanks32[[#This Row],[Player]],WR!B:O,8,FALSE)</f>
        <v>409.84673341728023</v>
      </c>
      <c r="AM95" s="86">
        <f>VLOOKUP(TableWRRanks32[[#This Row],[Player]],WR!B:O,9,FALSE)</f>
        <v>2.5057631105076594</v>
      </c>
      <c r="AN95" s="58">
        <f>IFERROR(INDEX(TableWRCalcPts[Custom],MATCH(TableWRRanks32[[#This Row],[RK]],TableWRCalcPts[RK],0)),"")</f>
        <v>73.182013035648367</v>
      </c>
      <c r="AO9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95">
        <v>94</v>
      </c>
      <c r="AR95" t="str">
        <f>IFERROR(INDEX(TableTECalcPts[PLAYER],MATCH(TableTERanks33[[#This Row],[RK]],TableTECalcPts[RK],0)),"")</f>
        <v/>
      </c>
      <c r="AS95" t="str">
        <f>IFERROR(INDEX(TableTECalcPts[TM],MATCH(TableTERanks33[[#This Row],[Player]],TableTECalcPts[PLAYER],0)),"")</f>
        <v/>
      </c>
      <c r="AT95" t="str">
        <f>IFERROR(INDEX(TableTECalcPts[BYE],MATCH(TableTERanks33[[#This Row],[Player]],TableTECalcPts[PLAYER],0)),"")</f>
        <v/>
      </c>
      <c r="AU95" s="86" t="e">
        <f>VLOOKUP(TableTERanks33[[#This Row],[Player]],TE!B:O,4,FALSE)</f>
        <v>#N/A</v>
      </c>
      <c r="AV95" s="86" t="e">
        <f>VLOOKUP(TableTERanks33[[#This Row],[Player]],TE!B:O,5,FALSE)</f>
        <v>#N/A</v>
      </c>
      <c r="AW95" s="86" t="e">
        <f>VLOOKUP(TableTERanks33[[#This Row],[Player]],TE!B:O,6,FALSE)</f>
        <v>#N/A</v>
      </c>
      <c r="AX95" s="86" t="e">
        <f>VLOOKUP(TableTERanks33[[#This Row],[Player]],TE!B:O,7,FALSE)</f>
        <v>#N/A</v>
      </c>
      <c r="AY95" s="58" t="str">
        <f>IFERROR(INDEX(TableTECalcPts[Custom],MATCH(TableTERanks33[[#This Row],[RK]],TableTECalcPts[RK],0)),"")</f>
        <v/>
      </c>
      <c r="AZ95" s="133" t="e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#VALUE!</v>
      </c>
    </row>
    <row r="96" spans="16:52" x14ac:dyDescent="0.2">
      <c r="P96">
        <v>95</v>
      </c>
      <c r="Q96" t="str">
        <f>IFERROR(INDEX(TableRBCalcPts[PLAYER],MATCH(TableRBRanks31[[#This Row],[RK]],TableRBCalcPts[RK],0)),"")</f>
        <v>Travis Homer</v>
      </c>
      <c r="R96" t="str">
        <f>IFERROR(INDEX(TableRBCalcPts[TM],MATCH(TableRBRanks31[[#This Row],[Player]],TableRBCalcPts[PLAYER],0)),"")</f>
        <v>CHI</v>
      </c>
      <c r="S96">
        <f>IFERROR(INDEX(TableRBCalcPts[BYE],MATCH(TableRBRanks31[[#This Row],[Player]],TableRBCalcPts[PLAYER],0)),"")</f>
        <v>13</v>
      </c>
      <c r="T96" s="86">
        <f>VLOOKUP(TableRBRanks31[[#This Row],[Player]],RB!B:O,4,FALSE)</f>
        <v>8.658002080000001</v>
      </c>
      <c r="U96" s="86">
        <f>VLOOKUP(TableRBRanks31[[#This Row],[Player]],RB!B:O,5,FALSE)</f>
        <v>35.497808528</v>
      </c>
      <c r="V96" s="86">
        <f>VLOOKUP(TableRBRanks31[[#This Row],[Player]],RB!B:O,6,FALSE)</f>
        <v>0.30303007280000005</v>
      </c>
      <c r="W96" s="86">
        <f>VLOOKUP(TableRBRanks31[[#This Row],[Player]],RB!B:O,7,FALSE)</f>
        <v>16.522047359999998</v>
      </c>
      <c r="X96" s="86">
        <f>VLOOKUP(TableRBRanks31[[#This Row],[Player]],RB!B:O,8,FALSE)</f>
        <v>10.699367488484683</v>
      </c>
      <c r="Y96" s="86">
        <f>VLOOKUP(TableRBRanks31[[#This Row],[Player]],RB!B:O,9,FALSE)</f>
        <v>90.82547794791752</v>
      </c>
      <c r="Z96" s="86">
        <f>VLOOKUP(TableRBRanks31[[#This Row],[Player]],RB!B:O,10,FALSE)</f>
        <v>0.4600728020048413</v>
      </c>
      <c r="AA96" s="58">
        <f>IFERROR(INDEX(TableRBCalcPts[Custom],MATCH(TableRBRanks31[[#This Row],[RK]],TableRBCalcPts[RK],0)),"")</f>
        <v>22.560629640663144</v>
      </c>
      <c r="AB96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96">
        <v>95</v>
      </c>
      <c r="AE96" t="str">
        <f>IFERROR(INDEX(TableWRCalcPts[PLAYER],MATCH(TableWRRanks32[[#This Row],[RK]],TableWRCalcPts[RK],0)),"")</f>
        <v>Randall Cobb</v>
      </c>
      <c r="AF96" t="str">
        <f>IFERROR(INDEX(TableWRCalcPts[TM],MATCH(TableWRRanks32[[#This Row],[Player]],TableWRCalcPts[PLAYER],0)),"")</f>
        <v>NYJ</v>
      </c>
      <c r="AG96">
        <f>IFERROR(INDEX(TableWRCalcPts[BYE],MATCH(TableWRRanks32[[#This Row],[Player]],TableWRCalcPts[PLAYER],0)),"")</f>
        <v>7</v>
      </c>
      <c r="AH96" s="86">
        <f>VLOOKUP(TableWRRanks32[[#This Row],[Player]],WR!B:O,4,FALSE)</f>
        <v>0</v>
      </c>
      <c r="AI96" s="86">
        <f>VLOOKUP(TableWRRanks32[[#This Row],[Player]],WR!B:O,5,FALSE)</f>
        <v>0</v>
      </c>
      <c r="AJ96" s="86">
        <f>VLOOKUP(TableWRRanks32[[#This Row],[Player]],WR!B:O,6,FALSE)</f>
        <v>58.262185799999997</v>
      </c>
      <c r="AK96" s="86">
        <f>VLOOKUP(TableWRRanks32[[#This Row],[Player]],WR!B:O,7,FALSE)</f>
        <v>36.23017611777351</v>
      </c>
      <c r="AL96" s="86">
        <f>VLOOKUP(TableWRRanks32[[#This Row],[Player]],WR!B:O,8,FALSE)</f>
        <v>382.95296156486603</v>
      </c>
      <c r="AM96" s="86">
        <f>VLOOKUP(TableWRRanks32[[#This Row],[Player]],WR!B:O,9,FALSE)</f>
        <v>2.5361123282441458</v>
      </c>
      <c r="AN96" s="58">
        <f>IFERROR(INDEX(TableWRCalcPts[Custom],MATCH(TableWRRanks32[[#This Row],[RK]],TableWRCalcPts[RK],0)),"")</f>
        <v>71.627058184838234</v>
      </c>
      <c r="AO9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96">
        <v>95</v>
      </c>
      <c r="AR96" t="str">
        <f>IFERROR(INDEX(TableTECalcPts[PLAYER],MATCH(TableTERanks33[[#This Row],[RK]],TableTECalcPts[RK],0)),"")</f>
        <v/>
      </c>
      <c r="AS96" t="str">
        <f>IFERROR(INDEX(TableTECalcPts[TM],MATCH(TableTERanks33[[#This Row],[Player]],TableTECalcPts[PLAYER],0)),"")</f>
        <v/>
      </c>
      <c r="AT96" t="str">
        <f>IFERROR(INDEX(TableTECalcPts[BYE],MATCH(TableTERanks33[[#This Row],[Player]],TableTECalcPts[PLAYER],0)),"")</f>
        <v/>
      </c>
      <c r="AU96" s="86" t="e">
        <f>VLOOKUP(TableTERanks33[[#This Row],[Player]],TE!B:O,4,FALSE)</f>
        <v>#N/A</v>
      </c>
      <c r="AV96" s="86" t="e">
        <f>VLOOKUP(TableTERanks33[[#This Row],[Player]],TE!B:O,5,FALSE)</f>
        <v>#N/A</v>
      </c>
      <c r="AW96" s="86" t="e">
        <f>VLOOKUP(TableTERanks33[[#This Row],[Player]],TE!B:O,6,FALSE)</f>
        <v>#N/A</v>
      </c>
      <c r="AX96" s="86" t="e">
        <f>VLOOKUP(TableTERanks33[[#This Row],[Player]],TE!B:O,7,FALSE)</f>
        <v>#N/A</v>
      </c>
      <c r="AY96" s="58" t="str">
        <f>IFERROR(INDEX(TableTECalcPts[Custom],MATCH(TableTERanks33[[#This Row],[RK]],TableTECalcPts[RK],0)),"")</f>
        <v/>
      </c>
      <c r="AZ96" s="133" t="e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#VALUE!</v>
      </c>
    </row>
    <row r="97" spans="16:52" x14ac:dyDescent="0.2">
      <c r="P97">
        <v>96</v>
      </c>
      <c r="Q97" t="str">
        <f>IFERROR(INDEX(TableRBCalcPts[PLAYER],MATCH(TableRBRanks31[[#This Row],[RK]],TableRBCalcPts[RK],0)),"")</f>
        <v>Salvon Ahmed</v>
      </c>
      <c r="R97" t="str">
        <f>IFERROR(INDEX(TableRBCalcPts[TM],MATCH(TableRBRanks31[[#This Row],[Player]],TableRBCalcPts[PLAYER],0)),"")</f>
        <v>MIA</v>
      </c>
      <c r="S97">
        <f>IFERROR(INDEX(TableRBCalcPts[BYE],MATCH(TableRBRanks31[[#This Row],[Player]],TableRBCalcPts[PLAYER],0)),"")</f>
        <v>10</v>
      </c>
      <c r="T97" s="86">
        <f>VLOOKUP(TableRBRanks31[[#This Row],[Player]],RB!B:O,4,FALSE)</f>
        <v>22.708489440000001</v>
      </c>
      <c r="U97" s="86">
        <f>VLOOKUP(TableRBRanks31[[#This Row],[Player]],RB!B:O,5,FALSE)</f>
        <v>89.244363499200006</v>
      </c>
      <c r="V97" s="86">
        <f>VLOOKUP(TableRBRanks31[[#This Row],[Player]],RB!B:O,6,FALSE)</f>
        <v>0.84021410927999995</v>
      </c>
      <c r="W97" s="86">
        <f>VLOOKUP(TableRBRanks31[[#This Row],[Player]],RB!B:O,7,FALSE)</f>
        <v>9.0329148000000021</v>
      </c>
      <c r="X97" s="86">
        <f>VLOOKUP(TableRBRanks31[[#This Row],[Player]],RB!B:O,8,FALSE)</f>
        <v>6.0249541716000019</v>
      </c>
      <c r="Y97" s="86">
        <f>VLOOKUP(TableRBRanks31[[#This Row],[Player]],RB!B:O,9,FALSE)</f>
        <v>42.174679201200014</v>
      </c>
      <c r="Z97" s="86">
        <f>VLOOKUP(TableRBRanks31[[#This Row],[Player]],RB!B:O,10,FALSE)</f>
        <v>0.20484844183440007</v>
      </c>
      <c r="AA97" s="58">
        <f>IFERROR(INDEX(TableRBCalcPts[Custom],MATCH(TableRBRanks31[[#This Row],[RK]],TableRBCalcPts[RK],0)),"")</f>
        <v>22.424756662526406</v>
      </c>
      <c r="AB97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97">
        <v>96</v>
      </c>
      <c r="AE97" t="str">
        <f>IFERROR(INDEX(TableWRCalcPts[PLAYER],MATCH(TableWRRanks32[[#This Row],[RK]],TableWRCalcPts[RK],0)),"")</f>
        <v>Nick Westbrook-Ikhine</v>
      </c>
      <c r="AF97" t="str">
        <f>IFERROR(INDEX(TableWRCalcPts[TM],MATCH(TableWRRanks32[[#This Row],[Player]],TableWRCalcPts[PLAYER],0)),"")</f>
        <v>TEN</v>
      </c>
      <c r="AG97">
        <f>IFERROR(INDEX(TableWRCalcPts[BYE],MATCH(TableWRRanks32[[#This Row],[Player]],TableWRCalcPts[PLAYER],0)),"")</f>
        <v>7</v>
      </c>
      <c r="AH97" s="86">
        <f>VLOOKUP(TableWRRanks32[[#This Row],[Player]],WR!B:O,4,FALSE)</f>
        <v>0</v>
      </c>
      <c r="AI97" s="86">
        <f>VLOOKUP(TableWRRanks32[[#This Row],[Player]],WR!B:O,5,FALSE)</f>
        <v>0</v>
      </c>
      <c r="AJ97" s="86">
        <f>VLOOKUP(TableWRRanks32[[#This Row],[Player]],WR!B:O,6,FALSE)</f>
        <v>55.784995699999989</v>
      </c>
      <c r="AK97" s="86">
        <f>VLOOKUP(TableWRRanks32[[#This Row],[Player]],WR!B:O,7,FALSE)</f>
        <v>32.657657317663329</v>
      </c>
      <c r="AL97" s="86">
        <f>VLOOKUP(TableWRRanks32[[#This Row],[Player]],WR!B:O,8,FALSE)</f>
        <v>426.86754040600385</v>
      </c>
      <c r="AM97" s="86">
        <f>VLOOKUP(TableWRRanks32[[#This Row],[Player]],WR!B:O,9,FALSE)</f>
        <v>1.6981981805184929</v>
      </c>
      <c r="AN97" s="58">
        <f>IFERROR(INDEX(TableWRCalcPts[Custom],MATCH(TableWRRanks32[[#This Row],[RK]],TableWRCalcPts[RK],0)),"")</f>
        <v>69.20477178254302</v>
      </c>
      <c r="AO9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97">
        <v>96</v>
      </c>
      <c r="AR97" t="str">
        <f>IFERROR(INDEX(TableTECalcPts[PLAYER],MATCH(TableTERanks33[[#This Row],[RK]],TableTECalcPts[RK],0)),"")</f>
        <v/>
      </c>
      <c r="AS97" t="str">
        <f>IFERROR(INDEX(TableTECalcPts[TM],MATCH(TableTERanks33[[#This Row],[Player]],TableTECalcPts[PLAYER],0)),"")</f>
        <v/>
      </c>
      <c r="AT97" t="str">
        <f>IFERROR(INDEX(TableTECalcPts[BYE],MATCH(TableTERanks33[[#This Row],[Player]],TableTECalcPts[PLAYER],0)),"")</f>
        <v/>
      </c>
      <c r="AU97" s="86" t="e">
        <f>VLOOKUP(TableTERanks33[[#This Row],[Player]],TE!B:O,4,FALSE)</f>
        <v>#N/A</v>
      </c>
      <c r="AV97" s="86" t="e">
        <f>VLOOKUP(TableTERanks33[[#This Row],[Player]],TE!B:O,5,FALSE)</f>
        <v>#N/A</v>
      </c>
      <c r="AW97" s="86" t="e">
        <f>VLOOKUP(TableTERanks33[[#This Row],[Player]],TE!B:O,6,FALSE)</f>
        <v>#N/A</v>
      </c>
      <c r="AX97" s="86" t="e">
        <f>VLOOKUP(TableTERanks33[[#This Row],[Player]],TE!B:O,7,FALSE)</f>
        <v>#N/A</v>
      </c>
      <c r="AY97" s="58" t="str">
        <f>IFERROR(INDEX(TableTECalcPts[Custom],MATCH(TableTERanks33[[#This Row],[RK]],TableTECalcPts[RK],0)),"")</f>
        <v/>
      </c>
      <c r="AZ97" s="133" t="e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#VALUE!</v>
      </c>
    </row>
    <row r="98" spans="16:52" x14ac:dyDescent="0.2">
      <c r="P98">
        <v>97</v>
      </c>
      <c r="Q98" t="str">
        <f>IFERROR(INDEX(TableRBCalcPts[PLAYER],MATCH(TableRBRanks31[[#This Row],[RK]],TableRBCalcPts[RK],0)),"")</f>
        <v>Brandon Bolden</v>
      </c>
      <c r="R98" t="str">
        <f>IFERROR(INDEX(TableRBCalcPts[TM],MATCH(TableRBRanks31[[#This Row],[Player]],TableRBCalcPts[PLAYER],0)),"")</f>
        <v>LV</v>
      </c>
      <c r="S98">
        <f>IFERROR(INDEX(TableRBCalcPts[BYE],MATCH(TableRBRanks31[[#This Row],[Player]],TableRBCalcPts[PLAYER],0)),"")</f>
        <v>13</v>
      </c>
      <c r="T98" s="86">
        <f>VLOOKUP(TableRBRanks31[[#This Row],[Player]],RB!B:O,4,FALSE)</f>
        <v>11.310327000000001</v>
      </c>
      <c r="U98" s="86">
        <f>VLOOKUP(TableRBRanks31[[#This Row],[Player]],RB!B:O,5,FALSE)</f>
        <v>45.241308000000004</v>
      </c>
      <c r="V98" s="86">
        <f>VLOOKUP(TableRBRanks31[[#This Row],[Player]],RB!B:O,6,FALSE)</f>
        <v>0.31668915600000003</v>
      </c>
      <c r="W98" s="86">
        <f>VLOOKUP(TableRBRanks31[[#This Row],[Player]],RB!B:O,7,FALSE)</f>
        <v>14.171975999999999</v>
      </c>
      <c r="X98" s="86">
        <f>VLOOKUP(TableRBRanks31[[#This Row],[Player]],RB!B:O,8,FALSE)</f>
        <v>11.450956608</v>
      </c>
      <c r="Y98" s="86">
        <f>VLOOKUP(TableRBRanks31[[#This Row],[Player]],RB!B:O,9,FALSE)</f>
        <v>81.301791916799999</v>
      </c>
      <c r="Z98" s="86">
        <f>VLOOKUP(TableRBRanks31[[#This Row],[Player]],RB!B:O,10,FALSE)</f>
        <v>0.34352869823999999</v>
      </c>
      <c r="AA98" s="58">
        <f>IFERROR(INDEX(TableRBCalcPts[Custom],MATCH(TableRBRanks31[[#This Row],[RK]],TableRBCalcPts[RK],0)),"")</f>
        <v>22.341095421120002</v>
      </c>
      <c r="AB98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98">
        <v>97</v>
      </c>
      <c r="AE98" t="str">
        <f>IFERROR(INDEX(TableWRCalcPts[PLAYER],MATCH(TableWRRanks32[[#This Row],[RK]],TableWRCalcPts[RK],0)),"")</f>
        <v>Josh Reynolds</v>
      </c>
      <c r="AF98" t="str">
        <f>IFERROR(INDEX(TableWRCalcPts[TM],MATCH(TableWRRanks32[[#This Row],[Player]],TableWRCalcPts[PLAYER],0)),"")</f>
        <v>DET</v>
      </c>
      <c r="AG98">
        <f>IFERROR(INDEX(TableWRCalcPts[BYE],MATCH(TableWRRanks32[[#This Row],[Player]],TableWRCalcPts[PLAYER],0)),"")</f>
        <v>9</v>
      </c>
      <c r="AH98" s="86">
        <f>VLOOKUP(TableWRRanks32[[#This Row],[Player]],WR!B:O,4,FALSE)</f>
        <v>0</v>
      </c>
      <c r="AI98" s="86">
        <f>VLOOKUP(TableWRRanks32[[#This Row],[Player]],WR!B:O,5,FALSE)</f>
        <v>0</v>
      </c>
      <c r="AJ98" s="86">
        <f>VLOOKUP(TableWRRanks32[[#This Row],[Player]],WR!B:O,6,FALSE)</f>
        <v>43.523458159999997</v>
      </c>
      <c r="AK98" s="86">
        <f>VLOOKUP(TableWRRanks32[[#This Row],[Player]],WR!B:O,7,FALSE)</f>
        <v>30.466420711999994</v>
      </c>
      <c r="AL98" s="86">
        <f>VLOOKUP(TableWRRanks32[[#This Row],[Player]],WR!B:O,8,FALSE)</f>
        <v>399.11011132719989</v>
      </c>
      <c r="AM98" s="86">
        <f>VLOOKUP(TableWRRanks32[[#This Row],[Player]],WR!B:O,9,FALSE)</f>
        <v>2.2545151326879993</v>
      </c>
      <c r="AN98" s="58">
        <f>IFERROR(INDEX(TableWRCalcPts[Custom],MATCH(TableWRRanks32[[#This Row],[RK]],TableWRCalcPts[RK],0)),"")</f>
        <v>68.671312284847986</v>
      </c>
      <c r="AO9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98">
        <v>97</v>
      </c>
      <c r="AR98" t="str">
        <f>IFERROR(INDEX(TableTECalcPts[PLAYER],MATCH(TableTERanks33[[#This Row],[RK]],TableTECalcPts[RK],0)),"")</f>
        <v/>
      </c>
      <c r="AS98" t="str">
        <f>IFERROR(INDEX(TableTECalcPts[TM],MATCH(TableTERanks33[[#This Row],[Player]],TableTECalcPts[PLAYER],0)),"")</f>
        <v/>
      </c>
      <c r="AT98" t="str">
        <f>IFERROR(INDEX(TableTECalcPts[BYE],MATCH(TableTERanks33[[#This Row],[Player]],TableTECalcPts[PLAYER],0)),"")</f>
        <v/>
      </c>
      <c r="AU98" s="86" t="e">
        <f>VLOOKUP(TableTERanks33[[#This Row],[Player]],TE!B:O,4,FALSE)</f>
        <v>#N/A</v>
      </c>
      <c r="AV98" s="86" t="e">
        <f>VLOOKUP(TableTERanks33[[#This Row],[Player]],TE!B:O,5,FALSE)</f>
        <v>#N/A</v>
      </c>
      <c r="AW98" s="86" t="e">
        <f>VLOOKUP(TableTERanks33[[#This Row],[Player]],TE!B:O,6,FALSE)</f>
        <v>#N/A</v>
      </c>
      <c r="AX98" s="86" t="e">
        <f>VLOOKUP(TableTERanks33[[#This Row],[Player]],TE!B:O,7,FALSE)</f>
        <v>#N/A</v>
      </c>
      <c r="AY98" s="58" t="str">
        <f>IFERROR(INDEX(TableTECalcPts[Custom],MATCH(TableTERanks33[[#This Row],[RK]],TableTECalcPts[RK],0)),"")</f>
        <v/>
      </c>
      <c r="AZ98" s="133" t="e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#VALUE!</v>
      </c>
    </row>
    <row r="99" spans="16:52" x14ac:dyDescent="0.2">
      <c r="P99">
        <v>98</v>
      </c>
      <c r="Q99" t="str">
        <f>IFERROR(INDEX(TableRBCalcPts[PLAYER],MATCH(TableRBRanks31[[#This Row],[RK]],TableRBCalcPts[RK],0)),"")</f>
        <v>Justice Hill</v>
      </c>
      <c r="R99" t="str">
        <f>IFERROR(INDEX(TableRBCalcPts[TM],MATCH(TableRBRanks31[[#This Row],[Player]],TableRBCalcPts[PLAYER],0)),"")</f>
        <v>BAL</v>
      </c>
      <c r="S99">
        <f>IFERROR(INDEX(TableRBCalcPts[BYE],MATCH(TableRBRanks31[[#This Row],[Player]],TableRBCalcPts[PLAYER],0)),"")</f>
        <v>13</v>
      </c>
      <c r="T99" s="86">
        <f>VLOOKUP(TableRBRanks31[[#This Row],[Player]],RB!B:O,4,FALSE)</f>
        <v>18.195052400000002</v>
      </c>
      <c r="U99" s="86">
        <f>VLOOKUP(TableRBRanks31[[#This Row],[Player]],RB!B:O,5,FALSE)</f>
        <v>83.333339992000006</v>
      </c>
      <c r="V99" s="86">
        <f>VLOOKUP(TableRBRanks31[[#This Row],[Player]],RB!B:O,6,FALSE)</f>
        <v>0.74599714840000009</v>
      </c>
      <c r="W99" s="86">
        <f>VLOOKUP(TableRBRanks31[[#This Row],[Player]],RB!B:O,7,FALSE)</f>
        <v>7.4846990400000006</v>
      </c>
      <c r="X99" s="86">
        <f>VLOOKUP(TableRBRanks31[[#This Row],[Player]],RB!B:O,8,FALSE)</f>
        <v>5.8455499502400006</v>
      </c>
      <c r="Y99" s="86">
        <f>VLOOKUP(TableRBRanks31[[#This Row],[Player]],RB!B:O,9,FALSE)</f>
        <v>41.971048642723204</v>
      </c>
      <c r="Z99" s="86">
        <f>VLOOKUP(TableRBRanks31[[#This Row],[Player]],RB!B:O,10,FALSE)</f>
        <v>0.22213089810912001</v>
      </c>
      <c r="AA99" s="58">
        <f>IFERROR(INDEX(TableRBCalcPts[Custom],MATCH(TableRBRanks31[[#This Row],[RK]],TableRBCalcPts[RK],0)),"")</f>
        <v>21.261982117647044</v>
      </c>
      <c r="AB99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99">
        <v>98</v>
      </c>
      <c r="AE99" t="str">
        <f>IFERROR(INDEX(TableWRCalcPts[PLAYER],MATCH(TableWRRanks32[[#This Row],[RK]],TableWRCalcPts[RK],0)),"")</f>
        <v>Joshua Palmer</v>
      </c>
      <c r="AF99" t="str">
        <f>IFERROR(INDEX(TableWRCalcPts[TM],MATCH(TableWRRanks32[[#This Row],[Player]],TableWRCalcPts[PLAYER],0)),"")</f>
        <v>LAC</v>
      </c>
      <c r="AG99">
        <f>IFERROR(INDEX(TableWRCalcPts[BYE],MATCH(TableWRRanks32[[#This Row],[Player]],TableWRCalcPts[PLAYER],0)),"")</f>
        <v>5</v>
      </c>
      <c r="AH99" s="86">
        <f>VLOOKUP(TableWRRanks32[[#This Row],[Player]],WR!B:O,4,FALSE)</f>
        <v>0</v>
      </c>
      <c r="AI99" s="86">
        <f>VLOOKUP(TableWRRanks32[[#This Row],[Player]],WR!B:O,5,FALSE)</f>
        <v>0</v>
      </c>
      <c r="AJ99" s="86">
        <f>VLOOKUP(TableWRRanks32[[#This Row],[Player]],WR!B:O,6,FALSE)</f>
        <v>55.464746400000003</v>
      </c>
      <c r="AK99" s="86">
        <f>VLOOKUP(TableWRRanks32[[#This Row],[Player]],WR!B:O,7,FALSE)</f>
        <v>33.278847839999997</v>
      </c>
      <c r="AL99" s="86">
        <f>VLOOKUP(TableWRRanks32[[#This Row],[Player]],WR!B:O,8,FALSE)</f>
        <v>359.41155667200002</v>
      </c>
      <c r="AM99" s="86">
        <f>VLOOKUP(TableWRRanks32[[#This Row],[Player]],WR!B:O,9,FALSE)</f>
        <v>2.1631251095999997</v>
      </c>
      <c r="AN99" s="58">
        <f>IFERROR(INDEX(TableWRCalcPts[Custom],MATCH(TableWRRanks32[[#This Row],[RK]],TableWRCalcPts[RK],0)),"")</f>
        <v>65.559330244799995</v>
      </c>
      <c r="AO9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99">
        <v>98</v>
      </c>
      <c r="AR99" t="str">
        <f>IFERROR(INDEX(TableTECalcPts[PLAYER],MATCH(TableTERanks33[[#This Row],[RK]],TableTECalcPts[RK],0)),"")</f>
        <v/>
      </c>
      <c r="AS99" t="str">
        <f>IFERROR(INDEX(TableTECalcPts[TM],MATCH(TableTERanks33[[#This Row],[Player]],TableTECalcPts[PLAYER],0)),"")</f>
        <v/>
      </c>
      <c r="AT99" t="str">
        <f>IFERROR(INDEX(TableTECalcPts[BYE],MATCH(TableTERanks33[[#This Row],[Player]],TableTECalcPts[PLAYER],0)),"")</f>
        <v/>
      </c>
      <c r="AU99" s="86" t="e">
        <f>VLOOKUP(TableTERanks33[[#This Row],[Player]],TE!B:O,4,FALSE)</f>
        <v>#N/A</v>
      </c>
      <c r="AV99" s="86" t="e">
        <f>VLOOKUP(TableTERanks33[[#This Row],[Player]],TE!B:O,5,FALSE)</f>
        <v>#N/A</v>
      </c>
      <c r="AW99" s="86" t="e">
        <f>VLOOKUP(TableTERanks33[[#This Row],[Player]],TE!B:O,6,FALSE)</f>
        <v>#N/A</v>
      </c>
      <c r="AX99" s="86" t="e">
        <f>VLOOKUP(TableTERanks33[[#This Row],[Player]],TE!B:O,7,FALSE)</f>
        <v>#N/A</v>
      </c>
      <c r="AY99" s="58" t="str">
        <f>IFERROR(INDEX(TableTECalcPts[Custom],MATCH(TableTERanks33[[#This Row],[RK]],TableTECalcPts[RK],0)),"")</f>
        <v/>
      </c>
      <c r="AZ99" s="133" t="e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#VALUE!</v>
      </c>
    </row>
    <row r="100" spans="16:52" x14ac:dyDescent="0.2">
      <c r="P100">
        <v>99</v>
      </c>
      <c r="Q100" t="str">
        <f>IFERROR(INDEX(TableRBCalcPts[PLAYER],MATCH(TableRBRanks31[[#This Row],[RK]],TableRBCalcPts[RK],0)),"")</f>
        <v>Ke'Shawn Vaughn</v>
      </c>
      <c r="R100" t="str">
        <f>IFERROR(INDEX(TableRBCalcPts[TM],MATCH(TableRBRanks31[[#This Row],[Player]],TableRBCalcPts[PLAYER],0)),"")</f>
        <v>TB</v>
      </c>
      <c r="S100">
        <f>IFERROR(INDEX(TableRBCalcPts[BYE],MATCH(TableRBRanks31[[#This Row],[Player]],TableRBCalcPts[PLAYER],0)),"")</f>
        <v>5</v>
      </c>
      <c r="T100" s="86">
        <f>VLOOKUP(TableRBRanks31[[#This Row],[Player]],RB!B:O,4,FALSE)</f>
        <v>14.451816960000004</v>
      </c>
      <c r="U100" s="86">
        <f>VLOOKUP(TableRBRanks31[[#This Row],[Player]],RB!B:O,5,FALSE)</f>
        <v>57.951786009600013</v>
      </c>
      <c r="V100" s="86">
        <f>VLOOKUP(TableRBRanks31[[#This Row],[Player]],RB!B:O,6,FALSE)</f>
        <v>0.37574724096000006</v>
      </c>
      <c r="W100" s="86">
        <f>VLOOKUP(TableRBRanks31[[#This Row],[Player]],RB!B:O,7,FALSE)</f>
        <v>12.295064319999998</v>
      </c>
      <c r="X100" s="86">
        <f>VLOOKUP(TableRBRanks31[[#This Row],[Player]],RB!B:O,8,FALSE)</f>
        <v>8.6434302169599988</v>
      </c>
      <c r="Y100" s="86">
        <f>VLOOKUP(TableRBRanks31[[#This Row],[Player]],RB!B:O,9,FALSE)</f>
        <v>57.210676484281272</v>
      </c>
      <c r="Z100" s="86">
        <f>VLOOKUP(TableRBRanks31[[#This Row],[Player]],RB!B:O,10,FALSE)</f>
        <v>0.34573720867839997</v>
      </c>
      <c r="AA100" s="58">
        <f>IFERROR(INDEX(TableRBCalcPts[Custom],MATCH(TableRBRanks31[[#This Row],[RK]],TableRBCalcPts[RK],0)),"")</f>
        <v>20.166868055698529</v>
      </c>
      <c r="AB100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00">
        <v>99</v>
      </c>
      <c r="AE100" t="str">
        <f>IFERROR(INDEX(TableWRCalcPts[PLAYER],MATCH(TableWRRanks32[[#This Row],[RK]],TableWRCalcPts[RK],0)),"")</f>
        <v>Tutu Atwell</v>
      </c>
      <c r="AF100" t="str">
        <f>IFERROR(INDEX(TableWRCalcPts[TM],MATCH(TableWRRanks32[[#This Row],[Player]],TableWRCalcPts[PLAYER],0)),"")</f>
        <v>LAR</v>
      </c>
      <c r="AG100">
        <f>IFERROR(INDEX(TableWRCalcPts[BYE],MATCH(TableWRRanks32[[#This Row],[Player]],TableWRCalcPts[PLAYER],0)),"")</f>
        <v>10</v>
      </c>
      <c r="AH100" s="86">
        <f>VLOOKUP(TableWRRanks32[[#This Row],[Player]],WR!B:O,4,FALSE)</f>
        <v>0</v>
      </c>
      <c r="AI100" s="86">
        <f>VLOOKUP(TableWRRanks32[[#This Row],[Player]],WR!B:O,5,FALSE)</f>
        <v>0</v>
      </c>
      <c r="AJ100" s="86">
        <f>VLOOKUP(TableWRRanks32[[#This Row],[Player]],WR!B:O,6,FALSE)</f>
        <v>52.514985600000003</v>
      </c>
      <c r="AK100" s="86">
        <f>VLOOKUP(TableWRRanks32[[#This Row],[Player]],WR!B:O,7,FALSE)</f>
        <v>31.561506345600002</v>
      </c>
      <c r="AL100" s="86">
        <f>VLOOKUP(TableWRRanks32[[#This Row],[Player]],WR!B:O,8,FALSE)</f>
        <v>379.36930627411198</v>
      </c>
      <c r="AM100" s="86">
        <f>VLOOKUP(TableWRRanks32[[#This Row],[Player]],WR!B:O,9,FALSE)</f>
        <v>1.7674443553536001</v>
      </c>
      <c r="AN100" s="58">
        <f>IFERROR(INDEX(TableWRCalcPts[Custom],MATCH(TableWRRanks32[[#This Row],[RK]],TableWRCalcPts[RK],0)),"")</f>
        <v>64.322349932332799</v>
      </c>
      <c r="AO10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100">
        <v>99</v>
      </c>
      <c r="AR100" t="str">
        <f>IFERROR(INDEX(TableTECalcPts[PLAYER],MATCH(TableTERanks33[[#This Row],[RK]],TableTECalcPts[RK],0)),"")</f>
        <v/>
      </c>
      <c r="AS100" t="str">
        <f>IFERROR(INDEX(TableTECalcPts[TM],MATCH(TableTERanks33[[#This Row],[Player]],TableTECalcPts[PLAYER],0)),"")</f>
        <v/>
      </c>
      <c r="AT100" t="str">
        <f>IFERROR(INDEX(TableTECalcPts[BYE],MATCH(TableTERanks33[[#This Row],[Player]],TableTECalcPts[PLAYER],0)),"")</f>
        <v/>
      </c>
      <c r="AU100" s="86" t="e">
        <f>VLOOKUP(TableTERanks33[[#This Row],[Player]],TE!B:O,4,FALSE)</f>
        <v>#N/A</v>
      </c>
      <c r="AV100" s="86" t="e">
        <f>VLOOKUP(TableTERanks33[[#This Row],[Player]],TE!B:O,5,FALSE)</f>
        <v>#N/A</v>
      </c>
      <c r="AW100" s="86" t="e">
        <f>VLOOKUP(TableTERanks33[[#This Row],[Player]],TE!B:O,6,FALSE)</f>
        <v>#N/A</v>
      </c>
      <c r="AX100" s="86" t="e">
        <f>VLOOKUP(TableTERanks33[[#This Row],[Player]],TE!B:O,7,FALSE)</f>
        <v>#N/A</v>
      </c>
      <c r="AY100" s="58" t="str">
        <f>IFERROR(INDEX(TableTECalcPts[Custom],MATCH(TableTERanks33[[#This Row],[RK]],TableTECalcPts[RK],0)),"")</f>
        <v/>
      </c>
      <c r="AZ100" s="133" t="e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#VALUE!</v>
      </c>
    </row>
    <row r="101" spans="16:52" x14ac:dyDescent="0.2">
      <c r="P101">
        <v>100</v>
      </c>
      <c r="Q101" t="str">
        <f>IFERROR(INDEX(TableRBCalcPts[PLAYER],MATCH(TableRBRanks31[[#This Row],[RK]],TableRBCalcPts[RK],0)),"")</f>
        <v>Tyrion Davis-Price</v>
      </c>
      <c r="R101" t="str">
        <f>IFERROR(INDEX(TableRBCalcPts[TM],MATCH(TableRBRanks31[[#This Row],[Player]],TableRBCalcPts[PLAYER],0)),"")</f>
        <v>SF</v>
      </c>
      <c r="S101">
        <f>IFERROR(INDEX(TableRBCalcPts[BYE],MATCH(TableRBRanks31[[#This Row],[Player]],TableRBCalcPts[PLAYER],0)),"")</f>
        <v>9</v>
      </c>
      <c r="T101" s="86">
        <f>VLOOKUP(TableRBRanks31[[#This Row],[Player]],RB!B:O,4,FALSE)</f>
        <v>17.44138732</v>
      </c>
      <c r="U101" s="86">
        <f>VLOOKUP(TableRBRanks31[[#This Row],[Player]],RB!B:O,5,FALSE)</f>
        <v>69.097751481800813</v>
      </c>
      <c r="V101" s="86">
        <f>VLOOKUP(TableRBRanks31[[#This Row],[Player]],RB!B:O,6,FALSE)</f>
        <v>0.55812439424000004</v>
      </c>
      <c r="W101" s="86">
        <f>VLOOKUP(TableRBRanks31[[#This Row],[Player]],RB!B:O,7,FALSE)</f>
        <v>10.3007604</v>
      </c>
      <c r="X101" s="86">
        <f>VLOOKUP(TableRBRanks31[[#This Row],[Player]],RB!B:O,8,FALSE)</f>
        <v>6.8381536080645331</v>
      </c>
      <c r="Y101" s="86">
        <f>VLOOKUP(TableRBRanks31[[#This Row],[Player]],RB!B:O,9,FALSE)</f>
        <v>40.297278995015219</v>
      </c>
      <c r="Z101" s="86">
        <f>VLOOKUP(TableRBRanks31[[#This Row],[Player]],RB!B:O,10,FALSE)</f>
        <v>0.20514460824193598</v>
      </c>
      <c r="AA101" s="58">
        <f>IFERROR(INDEX(TableRBCalcPts[Custom],MATCH(TableRBRanks31[[#This Row],[RK]],TableRBCalcPts[RK],0)),"")</f>
        <v>18.938193866605488</v>
      </c>
      <c r="AB101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01">
        <v>100</v>
      </c>
      <c r="AE101" t="str">
        <f>IFERROR(INDEX(TableWRCalcPts[PLAYER],MATCH(TableWRRanks32[[#This Row],[RK]],TableWRCalcPts[RK],0)),"")</f>
        <v>Trent Sherfield</v>
      </c>
      <c r="AF101" t="str">
        <f>IFERROR(INDEX(TableWRCalcPts[TM],MATCH(TableWRRanks32[[#This Row],[Player]],TableWRCalcPts[PLAYER],0)),"")</f>
        <v>BUF</v>
      </c>
      <c r="AG101">
        <f>IFERROR(INDEX(TableWRCalcPts[BYE],MATCH(TableWRRanks32[[#This Row],[Player]],TableWRCalcPts[PLAYER],0)),"")</f>
        <v>13</v>
      </c>
      <c r="AH101" s="86">
        <f>VLOOKUP(TableWRRanks32[[#This Row],[Player]],WR!B:O,4,FALSE)</f>
        <v>0</v>
      </c>
      <c r="AI101" s="86">
        <f>VLOOKUP(TableWRRanks32[[#This Row],[Player]],WR!B:O,5,FALSE)</f>
        <v>0</v>
      </c>
      <c r="AJ101" s="86">
        <f>VLOOKUP(TableWRRanks32[[#This Row],[Player]],WR!B:O,6,FALSE)</f>
        <v>51.954210000000003</v>
      </c>
      <c r="AK101" s="86">
        <f>VLOOKUP(TableWRRanks32[[#This Row],[Player]],WR!B:O,7,FALSE)</f>
        <v>27.978584843108639</v>
      </c>
      <c r="AL101" s="86">
        <f>VLOOKUP(TableWRRanks32[[#This Row],[Player]],WR!B:O,8,FALSE)</f>
        <v>356.72695674963512</v>
      </c>
      <c r="AM101" s="86">
        <f>VLOOKUP(TableWRRanks32[[#This Row],[Player]],WR!B:O,9,FALSE)</f>
        <v>1.695671808673251</v>
      </c>
      <c r="AN101" s="58">
        <f>IFERROR(INDEX(TableWRCalcPts[Custom],MATCH(TableWRRanks32[[#This Row],[RK]],TableWRCalcPts[RK],0)),"")</f>
        <v>59.836018948557339</v>
      </c>
      <c r="AO10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  <c r="AQ101">
        <v>100</v>
      </c>
      <c r="AR101" t="str">
        <f>IFERROR(INDEX(TableTECalcPts[PLAYER],MATCH(TableTERanks33[[#This Row],[RK]],TableTECalcPts[RK],0)),"")</f>
        <v/>
      </c>
      <c r="AS101" t="str">
        <f>IFERROR(INDEX(TableTECalcPts[TM],MATCH(TableTERanks33[[#This Row],[Player]],TableTECalcPts[PLAYER],0)),"")</f>
        <v/>
      </c>
      <c r="AT101" t="str">
        <f>IFERROR(INDEX(TableTECalcPts[BYE],MATCH(TableTERanks33[[#This Row],[Player]],TableTECalcPts[PLAYER],0)),"")</f>
        <v/>
      </c>
      <c r="AU101" s="86" t="e">
        <f>VLOOKUP(TableTERanks33[[#This Row],[Player]],TE!B:O,4,FALSE)</f>
        <v>#N/A</v>
      </c>
      <c r="AV101" s="86" t="e">
        <f>VLOOKUP(TableTERanks33[[#This Row],[Player]],TE!B:O,5,FALSE)</f>
        <v>#N/A</v>
      </c>
      <c r="AW101" s="86" t="e">
        <f>VLOOKUP(TableTERanks33[[#This Row],[Player]],TE!B:O,6,FALSE)</f>
        <v>#N/A</v>
      </c>
      <c r="AX101" s="86" t="e">
        <f>VLOOKUP(TableTERanks33[[#This Row],[Player]],TE!B:O,7,FALSE)</f>
        <v>#N/A</v>
      </c>
      <c r="AY101" s="58" t="str">
        <f>IFERROR(INDEX(TableTECalcPts[Custom],MATCH(TableTERanks33[[#This Row],[RK]],TableTECalcPts[RK],0)),"")</f>
        <v/>
      </c>
      <c r="AZ101" s="133" t="e">
        <f>IF(((VLOOKUP(TableTERanks33[[#This Row],[Player]],'OVR &amp; VORP Ranks'!$W:$AA,5,FALSE))/('OVR &amp; VORP Ranks'!$BM$6))*(Settings!$E$10*TEAMS)&lt;0,0,((VLOOKUP(TableTERanks33[[#This Row],[Player]],'OVR &amp; VORP Ranks'!$W:$AA,5,FALSE))/('OVR &amp; VORP Ranks'!$BM$6))*(Settings!$E$10*TEAMS))</f>
        <v>#VALUE!</v>
      </c>
    </row>
    <row r="102" spans="16:52" x14ac:dyDescent="0.2">
      <c r="P102">
        <v>101</v>
      </c>
      <c r="Q102" t="str">
        <f>IFERROR(INDEX(TableRBCalcPts[PLAYER],MATCH(TableRBRanks31[[#This Row],[RK]],TableRBCalcPts[RK],0)),"")</f>
        <v>D'Ernest Johnson</v>
      </c>
      <c r="R102" t="str">
        <f>IFERROR(INDEX(TableRBCalcPts[TM],MATCH(TableRBRanks31[[#This Row],[Player]],TableRBCalcPts[PLAYER],0)),"")</f>
        <v>JAX</v>
      </c>
      <c r="S102">
        <f>IFERROR(INDEX(TableRBCalcPts[BYE],MATCH(TableRBRanks31[[#This Row],[Player]],TableRBCalcPts[PLAYER],0)),"")</f>
        <v>9</v>
      </c>
      <c r="T102" s="86">
        <f>VLOOKUP(TableRBRanks31[[#This Row],[Player]],RB!B:O,4,FALSE)</f>
        <v>17.610492199999999</v>
      </c>
      <c r="U102" s="86">
        <f>VLOOKUP(TableRBRanks31[[#This Row],[Player]],RB!B:O,5,FALSE)</f>
        <v>73.051263821083509</v>
      </c>
      <c r="V102" s="86">
        <f>VLOOKUP(TableRBRanks31[[#This Row],[Player]],RB!B:O,6,FALSE)</f>
        <v>0.61636722700000002</v>
      </c>
      <c r="W102" s="86">
        <f>VLOOKUP(TableRBRanks31[[#This Row],[Player]],RB!B:O,7,FALSE)</f>
        <v>7.4171495999999992</v>
      </c>
      <c r="X102" s="86">
        <f>VLOOKUP(TableRBRanks31[[#This Row],[Player]],RB!B:O,8,FALSE)</f>
        <v>5.1994218695999992</v>
      </c>
      <c r="Y102" s="86">
        <f>VLOOKUP(TableRBRanks31[[#This Row],[Player]],RB!B:O,9,FALSE)</f>
        <v>40.83669505263326</v>
      </c>
      <c r="Z102" s="86">
        <f>VLOOKUP(TableRBRanks31[[#This Row],[Player]],RB!B:O,10,FALSE)</f>
        <v>0.13518496860959997</v>
      </c>
      <c r="AA102" s="58">
        <f>IFERROR(INDEX(TableRBCalcPts[Custom],MATCH(TableRBRanks31[[#This Row],[RK]],TableRBCalcPts[RK],0)),"")</f>
        <v>18.497819995829275</v>
      </c>
      <c r="AB102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02">
        <v>101</v>
      </c>
      <c r="AE102" t="str">
        <f>IFERROR(INDEX(TableWRCalcPts[PLAYER],MATCH(TableWRRanks32[[#This Row],[RK]],TableWRCalcPts[RK],0)),"")</f>
        <v>Tank Dell</v>
      </c>
      <c r="AF102" t="str">
        <f>IFERROR(INDEX(TableWRCalcPts[TM],MATCH(TableWRRanks32[[#This Row],[Player]],TableWRCalcPts[PLAYER],0)),"")</f>
        <v>HOU</v>
      </c>
      <c r="AG102">
        <f>IFERROR(INDEX(TableWRCalcPts[BYE],MATCH(TableWRRanks32[[#This Row],[Player]],TableWRCalcPts[PLAYER],0)),"")</f>
        <v>7</v>
      </c>
      <c r="AH102" s="86">
        <f>VLOOKUP(TableWRRanks32[[#This Row],[Player]],WR!B:O,4,FALSE)</f>
        <v>0</v>
      </c>
      <c r="AI102" s="86">
        <f>VLOOKUP(TableWRRanks32[[#This Row],[Player]],WR!B:O,5,FALSE)</f>
        <v>0</v>
      </c>
      <c r="AJ102" s="86">
        <f>VLOOKUP(TableWRRanks32[[#This Row],[Player]],WR!B:O,6,FALSE)</f>
        <v>49.016315039999995</v>
      </c>
      <c r="AK102" s="86">
        <f>VLOOKUP(TableWRRanks32[[#This Row],[Player]],WR!B:O,7,FALSE)</f>
        <v>28.208674713124026</v>
      </c>
      <c r="AL102" s="86">
        <f>VLOOKUP(TableWRRanks32[[#This Row],[Player]],WR!B:O,8,FALSE)</f>
        <v>332.58027486773221</v>
      </c>
      <c r="AM102" s="86">
        <f>VLOOKUP(TableWRRanks32[[#This Row],[Player]],WR!B:O,9,FALSE)</f>
        <v>1.9746072299186821</v>
      </c>
      <c r="AN102" s="58">
        <f>IFERROR(INDEX(TableWRCalcPts[Custom],MATCH(TableWRRanks32[[#This Row],[RK]],TableWRCalcPts[RK],0)),"")</f>
        <v>59.210008222847328</v>
      </c>
      <c r="AO10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03" spans="16:52" x14ac:dyDescent="0.2">
      <c r="P103">
        <v>102</v>
      </c>
      <c r="Q103" t="str">
        <f>IFERROR(INDEX(TableRBCalcPts[PLAYER],MATCH(TableRBRanks31[[#This Row],[RK]],TableRBCalcPts[RK],0)),"")</f>
        <v>Boston Scott</v>
      </c>
      <c r="R103" t="str">
        <f>IFERROR(INDEX(TableRBCalcPts[TM],MATCH(TableRBRanks31[[#This Row],[Player]],TableRBCalcPts[PLAYER],0)),"")</f>
        <v>PHI</v>
      </c>
      <c r="S103">
        <f>IFERROR(INDEX(TableRBCalcPts[BYE],MATCH(TableRBRanks31[[#This Row],[Player]],TableRBCalcPts[PLAYER],0)),"")</f>
        <v>10</v>
      </c>
      <c r="T103" s="86">
        <f>VLOOKUP(TableRBRanks31[[#This Row],[Player]],RB!B:O,4,FALSE)</f>
        <v>17.953374600000004</v>
      </c>
      <c r="U103" s="86">
        <f>VLOOKUP(TableRBRanks31[[#This Row],[Player]],RB!B:O,5,FALSE)</f>
        <v>75.763240812000006</v>
      </c>
      <c r="V103" s="86">
        <f>VLOOKUP(TableRBRanks31[[#This Row],[Player]],RB!B:O,6,FALSE)</f>
        <v>0.86176198080000022</v>
      </c>
      <c r="W103" s="86">
        <f>VLOOKUP(TableRBRanks31[[#This Row],[Player]],RB!B:O,7,FALSE)</f>
        <v>5.4250643999999992</v>
      </c>
      <c r="X103" s="86">
        <f>VLOOKUP(TableRBRanks31[[#This Row],[Player]],RB!B:O,8,FALSE)</f>
        <v>3.8818224335214815</v>
      </c>
      <c r="Y103" s="86">
        <f>VLOOKUP(TableRBRanks31[[#This Row],[Player]],RB!B:O,9,FALSE)</f>
        <v>26.008210304593927</v>
      </c>
      <c r="Z103" s="86">
        <f>VLOOKUP(TableRBRanks31[[#This Row],[Player]],RB!B:O,10,FALSE)</f>
        <v>0.11645467300564444</v>
      </c>
      <c r="AA103" s="58">
        <f>IFERROR(INDEX(TableRBCalcPts[Custom],MATCH(TableRBRanks31[[#This Row],[RK]],TableRBCalcPts[RK],0)),"")</f>
        <v>17.987356251254003</v>
      </c>
      <c r="AB103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03">
        <v>102</v>
      </c>
      <c r="AE103" t="str">
        <f>IFERROR(INDEX(TableWRCalcPts[PLAYER],MATCH(TableWRRanks32[[#This Row],[RK]],TableWRCalcPts[RK],0)),"")</f>
        <v>Cedrick Wilson</v>
      </c>
      <c r="AF103" t="str">
        <f>IFERROR(INDEX(TableWRCalcPts[TM],MATCH(TableWRRanks32[[#This Row],[Player]],TableWRCalcPts[PLAYER],0)),"")</f>
        <v>MIA</v>
      </c>
      <c r="AG103">
        <f>IFERROR(INDEX(TableWRCalcPts[BYE],MATCH(TableWRRanks32[[#This Row],[Player]],TableWRCalcPts[PLAYER],0)),"")</f>
        <v>10</v>
      </c>
      <c r="AH103" s="86">
        <f>VLOOKUP(TableWRRanks32[[#This Row],[Player]],WR!B:O,4,FALSE)</f>
        <v>0</v>
      </c>
      <c r="AI103" s="86">
        <f>VLOOKUP(TableWRRanks32[[#This Row],[Player]],WR!B:O,5,FALSE)</f>
        <v>0</v>
      </c>
      <c r="AJ103" s="86">
        <f>VLOOKUP(TableWRRanks32[[#This Row],[Player]],WR!B:O,6,FALSE)</f>
        <v>42.153602400000018</v>
      </c>
      <c r="AK103" s="86">
        <f>VLOOKUP(TableWRRanks32[[#This Row],[Player]],WR!B:O,7,FALSE)</f>
        <v>29.04383205360001</v>
      </c>
      <c r="AL103" s="86">
        <f>VLOOKUP(TableWRRanks32[[#This Row],[Player]],WR!B:O,8,FALSE)</f>
        <v>331.32626462693077</v>
      </c>
      <c r="AM103" s="86">
        <f>VLOOKUP(TableWRRanks32[[#This Row],[Player]],WR!B:O,9,FALSE)</f>
        <v>1.9168929155376007</v>
      </c>
      <c r="AN103" s="58">
        <f>IFERROR(INDEX(TableWRCalcPts[Custom],MATCH(TableWRRanks32[[#This Row],[RK]],TableWRCalcPts[RK],0)),"")</f>
        <v>59.155899982718687</v>
      </c>
      <c r="AO10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04" spans="16:52" x14ac:dyDescent="0.2">
      <c r="P104">
        <v>103</v>
      </c>
      <c r="Q104" t="str">
        <f>IFERROR(INDEX(TableRBCalcPts[PLAYER],MATCH(TableRBRanks31[[#This Row],[RK]],TableRBCalcPts[RK],0)),"")</f>
        <v>Mike Boone</v>
      </c>
      <c r="R104" t="str">
        <f>IFERROR(INDEX(TableRBCalcPts[TM],MATCH(TableRBRanks31[[#This Row],[Player]],TableRBCalcPts[PLAYER],0)),"")</f>
        <v>HOU</v>
      </c>
      <c r="S104">
        <f>IFERROR(INDEX(TableRBCalcPts[BYE],MATCH(TableRBRanks31[[#This Row],[Player]],TableRBCalcPts[PLAYER],0)),"")</f>
        <v>7</v>
      </c>
      <c r="T104" s="86">
        <f>VLOOKUP(TableRBRanks31[[#This Row],[Player]],RB!B:O,4,FALSE)</f>
        <v>17.096735039999995</v>
      </c>
      <c r="U104" s="86">
        <f>VLOOKUP(TableRBRanks31[[#This Row],[Player]],RB!B:O,5,FALSE)</f>
        <v>76.803881847514418</v>
      </c>
      <c r="V104" s="86">
        <f>VLOOKUP(TableRBRanks31[[#This Row],[Player]],RB!B:O,6,FALSE)</f>
        <v>0.49724953187603343</v>
      </c>
      <c r="W104" s="86">
        <f>VLOOKUP(TableRBRanks31[[#This Row],[Player]],RB!B:O,7,FALSE)</f>
        <v>6.7608710399999996</v>
      </c>
      <c r="X104" s="86">
        <f>VLOOKUP(TableRBRanks31[[#This Row],[Player]],RB!B:O,8,FALSE)</f>
        <v>4.9246526065857994</v>
      </c>
      <c r="Y104" s="86">
        <f>VLOOKUP(TableRBRanks31[[#This Row],[Player]],RB!B:O,9,FALSE)</f>
        <v>32.502707203466272</v>
      </c>
      <c r="Z104" s="86">
        <f>VLOOKUP(TableRBRanks31[[#This Row],[Player]],RB!B:O,10,FALSE)</f>
        <v>0.12804096777123078</v>
      </c>
      <c r="AA104" s="58">
        <f>IFERROR(INDEX(TableRBCalcPts[Custom],MATCH(TableRBRanks31[[#This Row],[RK]],TableRBCalcPts[RK],0)),"")</f>
        <v>17.144728206274554</v>
      </c>
      <c r="AB104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04">
        <v>103</v>
      </c>
      <c r="AE104" t="str">
        <f>IFERROR(INDEX(TableWRCalcPts[PLAYER],MATCH(TableWRRanks32[[#This Row],[RK]],TableWRCalcPts[RK],0)),"")</f>
        <v>Wan'Dale Robinson</v>
      </c>
      <c r="AF104" t="str">
        <f>IFERROR(INDEX(TableWRCalcPts[TM],MATCH(TableWRRanks32[[#This Row],[Player]],TableWRCalcPts[PLAYER],0)),"")</f>
        <v>NYG</v>
      </c>
      <c r="AG104">
        <f>IFERROR(INDEX(TableWRCalcPts[BYE],MATCH(TableWRRanks32[[#This Row],[Player]],TableWRCalcPts[PLAYER],0)),"")</f>
        <v>13</v>
      </c>
      <c r="AH104" s="86">
        <f>VLOOKUP(TableWRRanks32[[#This Row],[Player]],WR!B:O,4,FALSE)</f>
        <v>73.660377000000011</v>
      </c>
      <c r="AI104" s="86">
        <f>VLOOKUP(TableWRRanks32[[#This Row],[Player]],WR!B:O,5,FALSE)</f>
        <v>1.1662308598941786</v>
      </c>
      <c r="AJ104" s="86">
        <f>VLOOKUP(TableWRRanks32[[#This Row],[Player]],WR!B:O,6,FALSE)</f>
        <v>34.749190839999997</v>
      </c>
      <c r="AK104" s="86">
        <f>VLOOKUP(TableWRRanks32[[#This Row],[Player]],WR!B:O,7,FALSE)</f>
        <v>23.340354816046812</v>
      </c>
      <c r="AL104" s="86">
        <f>VLOOKUP(TableWRRanks32[[#This Row],[Player]],WR!B:O,8,FALSE)</f>
        <v>250.20860362802185</v>
      </c>
      <c r="AM104" s="86">
        <f>VLOOKUP(TableWRRanks32[[#This Row],[Player]],WR!B:O,9,FALSE)</f>
        <v>1.120337031170247</v>
      </c>
      <c r="AN104" s="58">
        <f>IFERROR(INDEX(TableWRCalcPts[Custom],MATCH(TableWRRanks32[[#This Row],[RK]],TableWRCalcPts[RK],0)),"")</f>
        <v>57.776482817212141</v>
      </c>
      <c r="AO10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05" spans="16:52" x14ac:dyDescent="0.2">
      <c r="P105">
        <v>104</v>
      </c>
      <c r="Q105" t="str">
        <f>IFERROR(INDEX(TableRBCalcPts[PLAYER],MATCH(TableRBRanks31[[#This Row],[RK]],TableRBCalcPts[RK],0)),"")</f>
        <v>DeeJay Dallas</v>
      </c>
      <c r="R105" t="str">
        <f>IFERROR(INDEX(TableRBCalcPts[TM],MATCH(TableRBRanks31[[#This Row],[Player]],TableRBCalcPts[PLAYER],0)),"")</f>
        <v>SEA</v>
      </c>
      <c r="S105">
        <f>IFERROR(INDEX(TableRBCalcPts[BYE],MATCH(TableRBRanks31[[#This Row],[Player]],TableRBCalcPts[PLAYER],0)),"")</f>
        <v>5</v>
      </c>
      <c r="T105" s="86">
        <f>VLOOKUP(TableRBRanks31[[#This Row],[Player]],RB!B:O,4,FALSE)</f>
        <v>11.332077120000001</v>
      </c>
      <c r="U105" s="86">
        <f>VLOOKUP(TableRBRanks31[[#This Row],[Player]],RB!B:O,5,FALSE)</f>
        <v>47.368082361600003</v>
      </c>
      <c r="V105" s="86">
        <f>VLOOKUP(TableRBRanks31[[#This Row],[Player]],RB!B:O,6,FALSE)</f>
        <v>0.35129439072000002</v>
      </c>
      <c r="W105" s="86">
        <f>VLOOKUP(TableRBRanks31[[#This Row],[Player]],RB!B:O,7,FALSE)</f>
        <v>8.2217923199999987</v>
      </c>
      <c r="X105" s="86">
        <f>VLOOKUP(TableRBRanks31[[#This Row],[Player]],RB!B:O,8,FALSE)</f>
        <v>6.1488542708693501</v>
      </c>
      <c r="Y105" s="86">
        <f>VLOOKUP(TableRBRanks31[[#This Row],[Player]],RB!B:O,9,FALSE)</f>
        <v>47.961063312780929</v>
      </c>
      <c r="Z105" s="86">
        <f>VLOOKUP(TableRBRanks31[[#This Row],[Player]],RB!B:O,10,FALSE)</f>
        <v>0.25825187937651273</v>
      </c>
      <c r="AA105" s="58">
        <f>IFERROR(INDEX(TableRBCalcPts[Custom],MATCH(TableRBRanks31[[#This Row],[RK]],TableRBCalcPts[RK],0)),"")</f>
        <v>16.264619323451843</v>
      </c>
      <c r="AB105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05">
        <v>104</v>
      </c>
      <c r="AE105" t="str">
        <f>IFERROR(INDEX(TableWRCalcPts[PLAYER],MATCH(TableWRRanks32[[#This Row],[RK]],TableWRCalcPts[RK],0)),"")</f>
        <v>Rashee Rice</v>
      </c>
      <c r="AF105" t="str">
        <f>IFERROR(INDEX(TableWRCalcPts[TM],MATCH(TableWRRanks32[[#This Row],[Player]],TableWRCalcPts[PLAYER],0)),"")</f>
        <v>KC</v>
      </c>
      <c r="AG105">
        <f>IFERROR(INDEX(TableWRCalcPts[BYE],MATCH(TableWRRanks32[[#This Row],[Player]],TableWRCalcPts[PLAYER],0)),"")</f>
        <v>10</v>
      </c>
      <c r="AH105" s="86">
        <f>VLOOKUP(TableWRRanks32[[#This Row],[Player]],WR!B:O,4,FALSE)</f>
        <v>0</v>
      </c>
      <c r="AI105" s="86">
        <f>VLOOKUP(TableWRRanks32[[#This Row],[Player]],WR!B:O,5,FALSE)</f>
        <v>0</v>
      </c>
      <c r="AJ105" s="86">
        <f>VLOOKUP(TableWRRanks32[[#This Row],[Player]],WR!B:O,6,FALSE)</f>
        <v>38.578197839999994</v>
      </c>
      <c r="AK105" s="86">
        <f>VLOOKUP(TableWRRanks32[[#This Row],[Player]],WR!B:O,7,FALSE)</f>
        <v>24.666538407496827</v>
      </c>
      <c r="AL105" s="86">
        <f>VLOOKUP(TableWRRanks32[[#This Row],[Player]],WR!B:O,8,FALSE)</f>
        <v>313.26503777520969</v>
      </c>
      <c r="AM105" s="86">
        <f>VLOOKUP(TableWRRanks32[[#This Row],[Player]],WR!B:O,9,FALSE)</f>
        <v>2.1953219182672177</v>
      </c>
      <c r="AN105" s="58">
        <f>IFERROR(INDEX(TableWRCalcPts[Custom],MATCH(TableWRRanks32[[#This Row],[RK]],TableWRCalcPts[RK],0)),"")</f>
        <v>56.831704490872688</v>
      </c>
      <c r="AO10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06" spans="16:52" x14ac:dyDescent="0.2">
      <c r="P106">
        <v>105</v>
      </c>
      <c r="Q106" t="str">
        <f>IFERROR(INDEX(TableRBCalcPts[PLAYER],MATCH(TableRBRanks31[[#This Row],[RK]],TableRBCalcPts[RK],0)),"")</f>
        <v>Emanuel Wilson</v>
      </c>
      <c r="R106" t="str">
        <f>IFERROR(INDEX(TableRBCalcPts[TM],MATCH(TableRBRanks31[[#This Row],[Player]],TableRBCalcPts[PLAYER],0)),"")</f>
        <v>GB</v>
      </c>
      <c r="S106">
        <f>IFERROR(INDEX(TableRBCalcPts[BYE],MATCH(TableRBRanks31[[#This Row],[Player]],TableRBCalcPts[PLAYER],0)),"")</f>
        <v>6</v>
      </c>
      <c r="T106" s="86">
        <f>VLOOKUP(TableRBRanks31[[#This Row],[Player]],RB!B:O,4,FALSE)</f>
        <v>14.010162319999997</v>
      </c>
      <c r="U106" s="86">
        <f>VLOOKUP(TableRBRanks31[[#This Row],[Player]],RB!B:O,5,FALSE)</f>
        <v>58.562478497599983</v>
      </c>
      <c r="V106" s="86">
        <f>VLOOKUP(TableRBRanks31[[#This Row],[Player]],RB!B:O,6,FALSE)</f>
        <v>0.51837600583999988</v>
      </c>
      <c r="W106" s="86">
        <f>VLOOKUP(TableRBRanks31[[#This Row],[Player]],RB!B:O,7,FALSE)</f>
        <v>6.73655136</v>
      </c>
      <c r="X106" s="86">
        <f>VLOOKUP(TableRBRanks31[[#This Row],[Player]],RB!B:O,8,FALSE)</f>
        <v>4.7762149142399997</v>
      </c>
      <c r="Y106" s="86">
        <f>VLOOKUP(TableRBRanks31[[#This Row],[Player]],RB!B:O,9,FALSE)</f>
        <v>33.433504399679997</v>
      </c>
      <c r="Z106" s="86">
        <f>VLOOKUP(TableRBRanks31[[#This Row],[Player]],RB!B:O,10,FALSE)</f>
        <v>0.14328644742719998</v>
      </c>
      <c r="AA106" s="58">
        <f>IFERROR(INDEX(TableRBCalcPts[Custom],MATCH(TableRBRanks31[[#This Row],[RK]],TableRBCalcPts[RK],0)),"")</f>
        <v>15.557680466451197</v>
      </c>
      <c r="AB106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06">
        <v>105</v>
      </c>
      <c r="AE106" t="str">
        <f>IFERROR(INDEX(TableWRCalcPts[PLAYER],MATCH(TableWRRanks32[[#This Row],[RK]],TableWRCalcPts[RK],0)),"")</f>
        <v>Deonte Harty</v>
      </c>
      <c r="AF106" t="str">
        <f>IFERROR(INDEX(TableWRCalcPts[TM],MATCH(TableWRRanks32[[#This Row],[Player]],TableWRCalcPts[PLAYER],0)),"")</f>
        <v>BUF</v>
      </c>
      <c r="AG106">
        <f>IFERROR(INDEX(TableWRCalcPts[BYE],MATCH(TableWRRanks32[[#This Row],[Player]],TableWRCalcPts[PLAYER],0)),"")</f>
        <v>13</v>
      </c>
      <c r="AH106" s="86">
        <f>VLOOKUP(TableWRRanks32[[#This Row],[Player]],WR!B:O,4,FALSE)</f>
        <v>11.088287437500004</v>
      </c>
      <c r="AI106" s="86">
        <f>VLOOKUP(TableWRRanks32[[#This Row],[Player]],WR!B:O,5,FALSE)</f>
        <v>6.5281573350000024E-2</v>
      </c>
      <c r="AJ106" s="86">
        <f>VLOOKUP(TableWRRanks32[[#This Row],[Player]],WR!B:O,6,FALSE)</f>
        <v>42.333060000000003</v>
      </c>
      <c r="AK106" s="86">
        <f>VLOOKUP(TableWRRanks32[[#This Row],[Player]],WR!B:O,7,FALSE)</f>
        <v>26.51810311999764</v>
      </c>
      <c r="AL106" s="86">
        <f>VLOOKUP(TableWRRanks32[[#This Row],[Player]],WR!B:O,8,FALSE)</f>
        <v>299.70842900588661</v>
      </c>
      <c r="AM106" s="86">
        <f>VLOOKUP(TableWRRanks32[[#This Row],[Player]],WR!B:O,9,FALSE)</f>
        <v>2.0153758371198207</v>
      </c>
      <c r="AN106" s="58">
        <f>IFERROR(INDEX(TableWRCalcPts[Custom],MATCH(TableWRRanks32[[#This Row],[RK]],TableWRCalcPts[RK],0)),"")</f>
        <v>56.822667667156409</v>
      </c>
      <c r="AO10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07" spans="16:52" x14ac:dyDescent="0.2">
      <c r="P107">
        <v>106</v>
      </c>
      <c r="Q107" t="str">
        <f>IFERROR(INDEX(TableRBCalcPts[PLAYER],MATCH(TableRBRanks31[[#This Row],[RK]],TableRBCalcPts[RK],0)),"")</f>
        <v>Anthony McFarland</v>
      </c>
      <c r="R107" t="str">
        <f>IFERROR(INDEX(TableRBCalcPts[TM],MATCH(TableRBRanks31[[#This Row],[Player]],TableRBCalcPts[PLAYER],0)),"")</f>
        <v>PIT</v>
      </c>
      <c r="S107">
        <f>IFERROR(INDEX(TableRBCalcPts[BYE],MATCH(TableRBRanks31[[#This Row],[Player]],TableRBCalcPts[PLAYER],0)),"")</f>
        <v>6</v>
      </c>
      <c r="T107" s="86">
        <f>VLOOKUP(TableRBRanks31[[#This Row],[Player]],RB!B:O,4,FALSE)</f>
        <v>14.929084799999998</v>
      </c>
      <c r="U107" s="86">
        <f>VLOOKUP(TableRBRanks31[[#This Row],[Player]],RB!B:O,5,FALSE)</f>
        <v>57.92484902399999</v>
      </c>
      <c r="V107" s="86">
        <f>VLOOKUP(TableRBRanks31[[#This Row],[Player]],RB!B:O,6,FALSE)</f>
        <v>0.38815620479999996</v>
      </c>
      <c r="W107" s="86">
        <f>VLOOKUP(TableRBRanks31[[#This Row],[Player]],RB!B:O,7,FALSE)</f>
        <v>5.7716609999999999</v>
      </c>
      <c r="X107" s="86">
        <f>VLOOKUP(TableRBRanks31[[#This Row],[Player]],RB!B:O,8,FALSE)</f>
        <v>4.0401626999999998</v>
      </c>
      <c r="Y107" s="86">
        <f>VLOOKUP(TableRBRanks31[[#This Row],[Player]],RB!B:O,9,FALSE)</f>
        <v>26.261057549999997</v>
      </c>
      <c r="Z107" s="86">
        <f>VLOOKUP(TableRBRanks31[[#This Row],[Player]],RB!B:O,10,FALSE)</f>
        <v>8.4843416700000007E-2</v>
      </c>
      <c r="AA107" s="58">
        <f>IFERROR(INDEX(TableRBCalcPts[Custom],MATCH(TableRBRanks31[[#This Row],[RK]],TableRBCalcPts[RK],0)),"")</f>
        <v>13.276669736399999</v>
      </c>
      <c r="AB107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07">
        <v>106</v>
      </c>
      <c r="AE107" t="str">
        <f>IFERROR(INDEX(TableWRCalcPts[PLAYER],MATCH(TableWRRanks32[[#This Row],[RK]],TableWRCalcPts[RK],0)),"")</f>
        <v>Braxton Berrios</v>
      </c>
      <c r="AF107" t="str">
        <f>IFERROR(INDEX(TableWRCalcPts[TM],MATCH(TableWRRanks32[[#This Row],[Player]],TableWRCalcPts[PLAYER],0)),"")</f>
        <v>MIA</v>
      </c>
      <c r="AG107">
        <f>IFERROR(INDEX(TableWRCalcPts[BYE],MATCH(TableWRRanks32[[#This Row],[Player]],TableWRCalcPts[PLAYER],0)),"")</f>
        <v>10</v>
      </c>
      <c r="AH107" s="86">
        <f>VLOOKUP(TableWRRanks32[[#This Row],[Player]],WR!B:O,4,FALSE)</f>
        <v>0</v>
      </c>
      <c r="AI107" s="86">
        <f>VLOOKUP(TableWRRanks32[[#This Row],[Player]],WR!B:O,5,FALSE)</f>
        <v>0</v>
      </c>
      <c r="AJ107" s="86">
        <f>VLOOKUP(TableWRRanks32[[#This Row],[Player]],WR!B:O,6,FALSE)</f>
        <v>45.766768320000004</v>
      </c>
      <c r="AK107" s="86">
        <f>VLOOKUP(TableWRRanks32[[#This Row],[Player]],WR!B:O,7,FALSE)</f>
        <v>28.055028980160003</v>
      </c>
      <c r="AL107" s="86">
        <f>VLOOKUP(TableWRRanks32[[#This Row],[Player]],WR!B:O,8,FALSE)</f>
        <v>303.71081896473197</v>
      </c>
      <c r="AM107" s="86">
        <f>VLOOKUP(TableWRRanks32[[#This Row],[Player]],WR!B:O,9,FALSE)</f>
        <v>2.04801711555168</v>
      </c>
      <c r="AN107" s="58">
        <f>IFERROR(INDEX(TableWRCalcPts[Custom],MATCH(TableWRRanks32[[#This Row],[RK]],TableWRCalcPts[RK],0)),"")</f>
        <v>56.686699079863281</v>
      </c>
      <c r="AO10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08" spans="16:52" x14ac:dyDescent="0.2">
      <c r="P108">
        <v>107</v>
      </c>
      <c r="Q108" t="str">
        <f>IFERROR(INDEX(TableRBCalcPts[PLAYER],MATCH(TableRBRanks31[[#This Row],[RK]],TableRBCalcPts[RK],0)),"")</f>
        <v>Emari Demercado</v>
      </c>
      <c r="R108" t="str">
        <f>IFERROR(INDEX(TableRBCalcPts[TM],MATCH(TableRBRanks31[[#This Row],[Player]],TableRBCalcPts[PLAYER],0)),"")</f>
        <v>ARI</v>
      </c>
      <c r="S108">
        <f>IFERROR(INDEX(TableRBCalcPts[BYE],MATCH(TableRBRanks31[[#This Row],[Player]],TableRBCalcPts[PLAYER],0)),"")</f>
        <v>14</v>
      </c>
      <c r="T108" s="86">
        <f>VLOOKUP(TableRBRanks31[[#This Row],[Player]],RB!B:O,4,FALSE)</f>
        <v>9.0601000000000003</v>
      </c>
      <c r="U108" s="86">
        <f>VLOOKUP(TableRBRanks31[[#This Row],[Player]],RB!B:O,5,FALSE)</f>
        <v>36.132633134493688</v>
      </c>
      <c r="V108" s="86">
        <f>VLOOKUP(TableRBRanks31[[#This Row],[Player]],RB!B:O,6,FALSE)</f>
        <v>0.27180300000000002</v>
      </c>
      <c r="W108" s="86">
        <f>VLOOKUP(TableRBRanks31[[#This Row],[Player]],RB!B:O,7,FALSE)</f>
        <v>7.20594</v>
      </c>
      <c r="X108" s="86">
        <f>VLOOKUP(TableRBRanks31[[#This Row],[Player]],RB!B:O,8,FALSE)</f>
        <v>5.1738649199999998</v>
      </c>
      <c r="Y108" s="86">
        <f>VLOOKUP(TableRBRanks31[[#This Row],[Player]],RB!B:O,9,FALSE)</f>
        <v>36.786179581200003</v>
      </c>
      <c r="Z108" s="86">
        <f>VLOOKUP(TableRBRanks31[[#This Row],[Player]],RB!B:O,10,FALSE)</f>
        <v>0.12934662299999999</v>
      </c>
      <c r="AA108" s="58">
        <f>IFERROR(INDEX(TableRBCalcPts[Custom],MATCH(TableRBRanks31[[#This Row],[RK]],TableRBCalcPts[RK],0)),"")</f>
        <v>12.285711469569369</v>
      </c>
      <c r="AB108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08">
        <v>107</v>
      </c>
      <c r="AE108" t="str">
        <f>IFERROR(INDEX(TableWRCalcPts[PLAYER],MATCH(TableWRRanks32[[#This Row],[RK]],TableWRCalcPts[RK],0)),"")</f>
        <v>Ben Skowronek</v>
      </c>
      <c r="AF108" t="str">
        <f>IFERROR(INDEX(TableWRCalcPts[TM],MATCH(TableWRRanks32[[#This Row],[Player]],TableWRCalcPts[PLAYER],0)),"")</f>
        <v>LAR</v>
      </c>
      <c r="AG108">
        <f>IFERROR(INDEX(TableWRCalcPts[BYE],MATCH(TableWRRanks32[[#This Row],[Player]],TableWRCalcPts[PLAYER],0)),"")</f>
        <v>10</v>
      </c>
      <c r="AH108" s="86">
        <f>VLOOKUP(TableWRRanks32[[#This Row],[Player]],WR!B:O,4,FALSE)</f>
        <v>0</v>
      </c>
      <c r="AI108" s="86">
        <f>VLOOKUP(TableWRRanks32[[#This Row],[Player]],WR!B:O,5,FALSE)</f>
        <v>0</v>
      </c>
      <c r="AJ108" s="86">
        <f>VLOOKUP(TableWRRanks32[[#This Row],[Player]],WR!B:O,6,FALSE)</f>
        <v>43.865458559999993</v>
      </c>
      <c r="AK108" s="86">
        <f>VLOOKUP(TableWRRanks32[[#This Row],[Player]],WR!B:O,7,FALSE)</f>
        <v>28.080836275187906</v>
      </c>
      <c r="AL108" s="86">
        <f>VLOOKUP(TableWRRanks32[[#This Row],[Player]],WR!B:O,8,FALSE)</f>
        <v>331.3538680472173</v>
      </c>
      <c r="AM108" s="86">
        <f>VLOOKUP(TableWRRanks32[[#This Row],[Player]],WR!B:O,9,FALSE)</f>
        <v>1.3478801412090196</v>
      </c>
      <c r="AN108" s="58">
        <f>IFERROR(INDEX(TableWRCalcPts[Custom],MATCH(TableWRRanks32[[#This Row],[RK]],TableWRCalcPts[RK],0)),"")</f>
        <v>55.2630857895698</v>
      </c>
      <c r="AO10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09" spans="16:52" x14ac:dyDescent="0.2">
      <c r="P109">
        <v>108</v>
      </c>
      <c r="Q109" t="str">
        <f>IFERROR(INDEX(TableRBCalcPts[PLAYER],MATCH(TableRBRanks31[[#This Row],[RK]],TableRBCalcPts[RK],0)),"")</f>
        <v>Israel Abanikanda</v>
      </c>
      <c r="R109" t="str">
        <f>IFERROR(INDEX(TableRBCalcPts[TM],MATCH(TableRBRanks31[[#This Row],[Player]],TableRBCalcPts[PLAYER],0)),"")</f>
        <v>NYJ</v>
      </c>
      <c r="S109">
        <f>IFERROR(INDEX(TableRBCalcPts[BYE],MATCH(TableRBRanks31[[#This Row],[Player]],TableRBCalcPts[PLAYER],0)),"")</f>
        <v>7</v>
      </c>
      <c r="T109" s="86">
        <f>VLOOKUP(TableRBRanks31[[#This Row],[Player]],RB!B:O,4,FALSE)</f>
        <v>5.1380454822335029</v>
      </c>
      <c r="U109" s="86">
        <f>VLOOKUP(TableRBRanks31[[#This Row],[Player]],RB!B:O,5,FALSE)</f>
        <v>21.68255193502538</v>
      </c>
      <c r="V109" s="86">
        <f>VLOOKUP(TableRBRanks31[[#This Row],[Player]],RB!B:O,6,FALSE)</f>
        <v>0.15414136446700508</v>
      </c>
      <c r="W109" s="86">
        <f>VLOOKUP(TableRBRanks31[[#This Row],[Player]],RB!B:O,7,FALSE)</f>
        <v>7.7286572999999992</v>
      </c>
      <c r="X109" s="86">
        <f>VLOOKUP(TableRBRanks31[[#This Row],[Player]],RB!B:O,8,FALSE)</f>
        <v>5.5569045986999992</v>
      </c>
      <c r="Y109" s="86">
        <f>VLOOKUP(TableRBRanks31[[#This Row],[Player]],RB!B:O,9,FALSE)</f>
        <v>44.121822513677998</v>
      </c>
      <c r="Z109" s="86">
        <f>VLOOKUP(TableRBRanks31[[#This Row],[Player]],RB!B:O,10,FALSE)</f>
        <v>0.17782094715839997</v>
      </c>
      <c r="AA109" s="58">
        <f>IFERROR(INDEX(TableRBCalcPts[Custom],MATCH(TableRBRanks31[[#This Row],[RK]],TableRBCalcPts[RK],0)),"")</f>
        <v>11.350663613972769</v>
      </c>
      <c r="AB109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09">
        <v>108</v>
      </c>
      <c r="AE109" t="str">
        <f>IFERROR(INDEX(TableWRCalcPts[PLAYER],MATCH(TableWRRanks32[[#This Row],[RK]],TableWRCalcPts[RK],0)),"")</f>
        <v>Richie James</v>
      </c>
      <c r="AF109" t="str">
        <f>IFERROR(INDEX(TableWRCalcPts[TM],MATCH(TableWRRanks32[[#This Row],[Player]],TableWRCalcPts[PLAYER],0)),"")</f>
        <v>KC</v>
      </c>
      <c r="AG109">
        <f>IFERROR(INDEX(TableWRCalcPts[BYE],MATCH(TableWRRanks32[[#This Row],[Player]],TableWRCalcPts[PLAYER],0)),"")</f>
        <v>10</v>
      </c>
      <c r="AH109" s="86">
        <f>VLOOKUP(TableWRRanks32[[#This Row],[Player]],WR!B:O,4,FALSE)</f>
        <v>0</v>
      </c>
      <c r="AI109" s="86">
        <f>VLOOKUP(TableWRRanks32[[#This Row],[Player]],WR!B:O,5,FALSE)</f>
        <v>0</v>
      </c>
      <c r="AJ109" s="86">
        <f>VLOOKUP(TableWRRanks32[[#This Row],[Player]],WR!B:O,6,FALSE)</f>
        <v>36.616594559999996</v>
      </c>
      <c r="AK109" s="86">
        <f>VLOOKUP(TableWRRanks32[[#This Row],[Player]],WR!B:O,7,FALSE)</f>
        <v>25.631616191999996</v>
      </c>
      <c r="AL109" s="86">
        <f>VLOOKUP(TableWRRanks32[[#This Row],[Player]],WR!B:O,8,FALSE)</f>
        <v>287.07410135039993</v>
      </c>
      <c r="AM109" s="86">
        <f>VLOOKUP(TableWRRanks32[[#This Row],[Player]],WR!B:O,9,FALSE)</f>
        <v>2.1786873763199996</v>
      </c>
      <c r="AN109" s="58">
        <f>IFERROR(INDEX(TableWRCalcPts[Custom],MATCH(TableWRRanks32[[#This Row],[RK]],TableWRCalcPts[RK],0)),"")</f>
        <v>54.595342488959986</v>
      </c>
      <c r="AO10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10" spans="16:52" x14ac:dyDescent="0.2">
      <c r="P110">
        <v>109</v>
      </c>
      <c r="Q110" t="str">
        <f>IFERROR(INDEX(TableRBCalcPts[PLAYER],MATCH(TableRBRanks31[[#This Row],[RK]],TableRBCalcPts[RK],0)),"")</f>
        <v>Craig Reynolds</v>
      </c>
      <c r="R110" t="str">
        <f>IFERROR(INDEX(TableRBCalcPts[TM],MATCH(TableRBRanks31[[#This Row],[Player]],TableRBCalcPts[PLAYER],0)),"")</f>
        <v>DET</v>
      </c>
      <c r="S110">
        <f>IFERROR(INDEX(TableRBCalcPts[BYE],MATCH(TableRBRanks31[[#This Row],[Player]],TableRBCalcPts[PLAYER],0)),"")</f>
        <v>9</v>
      </c>
      <c r="T110" s="86">
        <f>VLOOKUP(TableRBRanks31[[#This Row],[Player]],RB!B:O,4,FALSE)</f>
        <v>0</v>
      </c>
      <c r="U110" s="86">
        <f>VLOOKUP(TableRBRanks31[[#This Row],[Player]],RB!B:O,5,FALSE)</f>
        <v>0</v>
      </c>
      <c r="V110" s="86">
        <f>VLOOKUP(TableRBRanks31[[#This Row],[Player]],RB!B:O,6,FALSE)</f>
        <v>0</v>
      </c>
      <c r="W110" s="86">
        <f>VLOOKUP(TableRBRanks31[[#This Row],[Player]],RB!B:O,7,FALSE)</f>
        <v>5.8815483999999989</v>
      </c>
      <c r="X110" s="86">
        <f>VLOOKUP(TableRBRanks31[[#This Row],[Player]],RB!B:O,8,FALSE)</f>
        <v>4.1288469767999993</v>
      </c>
      <c r="Y110" s="86">
        <f>VLOOKUP(TableRBRanks31[[#This Row],[Player]],RB!B:O,9,FALSE)</f>
        <v>30.140582930639994</v>
      </c>
      <c r="Z110" s="86">
        <f>VLOOKUP(TableRBRanks31[[#This Row],[Player]],RB!B:O,10,FALSE)</f>
        <v>0.10322117441999999</v>
      </c>
      <c r="AA110" s="58">
        <f>IFERROR(INDEX(TableRBCalcPts[Custom],MATCH(TableRBRanks31[[#This Row],[RK]],TableRBCalcPts[RK],0)),"")</f>
        <v>5.6978088279839989</v>
      </c>
      <c r="AB110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10">
        <v>109</v>
      </c>
      <c r="AE110" t="str">
        <f>IFERROR(INDEX(TableWRCalcPts[PLAYER],MATCH(TableWRRanks32[[#This Row],[RK]],TableWRCalcPts[RK],0)),"")</f>
        <v>Kayshon Boutte</v>
      </c>
      <c r="AF110" t="str">
        <f>IFERROR(INDEX(TableWRCalcPts[TM],MATCH(TableWRRanks32[[#This Row],[Player]],TableWRCalcPts[PLAYER],0)),"")</f>
        <v>NE</v>
      </c>
      <c r="AG110">
        <f>IFERROR(INDEX(TableWRCalcPts[BYE],MATCH(TableWRRanks32[[#This Row],[Player]],TableWRCalcPts[PLAYER],0)),"")</f>
        <v>11</v>
      </c>
      <c r="AH110" s="86">
        <f>VLOOKUP(TableWRRanks32[[#This Row],[Player]],WR!B:O,4,FALSE)</f>
        <v>0</v>
      </c>
      <c r="AI110" s="86">
        <f>VLOOKUP(TableWRRanks32[[#This Row],[Player]],WR!B:O,5,FALSE)</f>
        <v>0</v>
      </c>
      <c r="AJ110" s="86">
        <f>VLOOKUP(TableWRRanks32[[#This Row],[Player]],WR!B:O,6,FALSE)</f>
        <v>36.08820991999999</v>
      </c>
      <c r="AK110" s="86">
        <f>VLOOKUP(TableWRRanks32[[#This Row],[Player]],WR!B:O,7,FALSE)</f>
        <v>21.436396692479992</v>
      </c>
      <c r="AL110" s="86">
        <f>VLOOKUP(TableWRRanks32[[#This Row],[Player]],WR!B:O,8,FALSE)</f>
        <v>275.88642543221749</v>
      </c>
      <c r="AM110" s="86">
        <f>VLOOKUP(TableWRRanks32[[#This Row],[Player]],WR!B:O,9,FALSE)</f>
        <v>1.4791113717811195</v>
      </c>
      <c r="AN110" s="58">
        <f>IFERROR(INDEX(TableWRCalcPts[Custom],MATCH(TableWRRanks32[[#This Row],[RK]],TableWRCalcPts[RK],0)),"")</f>
        <v>47.181509120148462</v>
      </c>
      <c r="AO11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11" spans="16:52" x14ac:dyDescent="0.2">
      <c r="P111">
        <v>110</v>
      </c>
      <c r="Q111" t="str">
        <f>IFERROR(INDEX(TableRBCalcPts[PLAYER],MATCH(TableRBRanks31[[#This Row],[RK]],TableRBCalcPts[RK],0)),"")</f>
        <v>Myles Gaskin</v>
      </c>
      <c r="R111" t="str">
        <f>IFERROR(INDEX(TableRBCalcPts[TM],MATCH(TableRBRanks31[[#This Row],[Player]],TableRBCalcPts[PLAYER],0)),"")</f>
        <v>MIN</v>
      </c>
      <c r="S111">
        <f>IFERROR(INDEX(TableRBCalcPts[BYE],MATCH(TableRBRanks31[[#This Row],[Player]],TableRBCalcPts[PLAYER],0)),"")</f>
        <v>13</v>
      </c>
      <c r="T111" s="86">
        <f>VLOOKUP(TableRBRanks31[[#This Row],[Player]],RB!B:O,4,FALSE)</f>
        <v>0</v>
      </c>
      <c r="U111" s="86">
        <f>VLOOKUP(TableRBRanks31[[#This Row],[Player]],RB!B:O,5,FALSE)</f>
        <v>0</v>
      </c>
      <c r="V111" s="86">
        <f>VLOOKUP(TableRBRanks31[[#This Row],[Player]],RB!B:O,6,FALSE)</f>
        <v>0</v>
      </c>
      <c r="W111" s="86">
        <f>VLOOKUP(TableRBRanks31[[#This Row],[Player]],RB!B:O,7,FALSE)</f>
        <v>0</v>
      </c>
      <c r="X111" s="86">
        <f>VLOOKUP(TableRBRanks31[[#This Row],[Player]],RB!B:O,8,FALSE)</f>
        <v>0</v>
      </c>
      <c r="Y111" s="86">
        <f>VLOOKUP(TableRBRanks31[[#This Row],[Player]],RB!B:O,9,FALSE)</f>
        <v>0</v>
      </c>
      <c r="Z111" s="86">
        <f>VLOOKUP(TableRBRanks31[[#This Row],[Player]],RB!B:O,10,FALSE)</f>
        <v>0</v>
      </c>
      <c r="AA111" s="58">
        <f>IFERROR(INDEX(TableRBCalcPts[Custom],MATCH(TableRBRanks31[[#This Row],[RK]],TableRBCalcPts[RK],0)),"")</f>
        <v>0</v>
      </c>
      <c r="AB111" s="133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0</v>
      </c>
      <c r="AD111">
        <v>110</v>
      </c>
      <c r="AE111" t="str">
        <f>IFERROR(INDEX(TableWRCalcPts[PLAYER],MATCH(TableWRRanks32[[#This Row],[RK]],TableWRCalcPts[RK],0)),"")</f>
        <v>KhaDarel Hodge</v>
      </c>
      <c r="AF111" t="str">
        <f>IFERROR(INDEX(TableWRCalcPts[TM],MATCH(TableWRRanks32[[#This Row],[Player]],TableWRCalcPts[PLAYER],0)),"")</f>
        <v>ATL</v>
      </c>
      <c r="AG111">
        <f>IFERROR(INDEX(TableWRCalcPts[BYE],MATCH(TableWRRanks32[[#This Row],[Player]],TableWRCalcPts[PLAYER],0)),"")</f>
        <v>11</v>
      </c>
      <c r="AH111" s="86">
        <f>VLOOKUP(TableWRRanks32[[#This Row],[Player]],WR!B:O,4,FALSE)</f>
        <v>0</v>
      </c>
      <c r="AI111" s="86">
        <f>VLOOKUP(TableWRRanks32[[#This Row],[Player]],WR!B:O,5,FALSE)</f>
        <v>0</v>
      </c>
      <c r="AJ111" s="86">
        <f>VLOOKUP(TableWRRanks32[[#This Row],[Player]],WR!B:O,6,FALSE)</f>
        <v>39.450378239999992</v>
      </c>
      <c r="AK111" s="86">
        <f>VLOOKUP(TableWRRanks32[[#This Row],[Player]],WR!B:O,7,FALSE)</f>
        <v>20.356879289535335</v>
      </c>
      <c r="AL111" s="86">
        <f>VLOOKUP(TableWRRanks32[[#This Row],[Player]],WR!B:O,8,FALSE)</f>
        <v>266.67511869291286</v>
      </c>
      <c r="AM111" s="86">
        <f>VLOOKUP(TableWRRanks32[[#This Row],[Player]],WR!B:O,9,FALSE)</f>
        <v>1.5471228260046854</v>
      </c>
      <c r="AN111" s="58">
        <f>IFERROR(INDEX(TableWRCalcPts[Custom],MATCH(TableWRRanks32[[#This Row],[RK]],TableWRCalcPts[RK],0)),"")</f>
        <v>46.12868847008707</v>
      </c>
      <c r="AO11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12" spans="16:52" x14ac:dyDescent="0.2">
      <c r="P112">
        <v>111</v>
      </c>
      <c r="Q112" t="str">
        <f>IFERROR(INDEX(TableRBCalcPts[PLAYER],MATCH(TableRBRanks31[[#This Row],[RK]],TableRBCalcPts[RK],0)),"")</f>
        <v/>
      </c>
      <c r="R112" t="str">
        <f>IFERROR(INDEX(TableRBCalcPts[TM],MATCH(TableRBRanks31[[#This Row],[Player]],TableRBCalcPts[PLAYER],0)),"")</f>
        <v/>
      </c>
      <c r="S112" t="str">
        <f>IFERROR(INDEX(TableRBCalcPts[BYE],MATCH(TableRBRanks31[[#This Row],[Player]],TableRBCalcPts[PLAYER],0)),"")</f>
        <v/>
      </c>
      <c r="T112" s="86" t="e">
        <f>VLOOKUP(TableRBRanks31[[#This Row],[Player]],RB!B:O,4,FALSE)</f>
        <v>#N/A</v>
      </c>
      <c r="U112" s="86" t="e">
        <f>VLOOKUP(TableRBRanks31[[#This Row],[Player]],RB!B:O,5,FALSE)</f>
        <v>#N/A</v>
      </c>
      <c r="V112" s="86" t="e">
        <f>VLOOKUP(TableRBRanks31[[#This Row],[Player]],RB!B:O,6,FALSE)</f>
        <v>#N/A</v>
      </c>
      <c r="W112" s="86" t="e">
        <f>VLOOKUP(TableRBRanks31[[#This Row],[Player]],RB!B:O,7,FALSE)</f>
        <v>#N/A</v>
      </c>
      <c r="X112" s="86" t="e">
        <f>VLOOKUP(TableRBRanks31[[#This Row],[Player]],RB!B:O,8,FALSE)</f>
        <v>#N/A</v>
      </c>
      <c r="Y112" s="86" t="e">
        <f>VLOOKUP(TableRBRanks31[[#This Row],[Player]],RB!B:O,9,FALSE)</f>
        <v>#N/A</v>
      </c>
      <c r="Z112" s="86" t="e">
        <f>VLOOKUP(TableRBRanks31[[#This Row],[Player]],RB!B:O,10,FALSE)</f>
        <v>#N/A</v>
      </c>
      <c r="AA112" s="58" t="str">
        <f>IFERROR(INDEX(TableRBCalcPts[Custom],MATCH(TableRBRanks31[[#This Row],[RK]],TableRBCalcPts[RK],0)),"")</f>
        <v/>
      </c>
      <c r="AB112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12">
        <v>111</v>
      </c>
      <c r="AE112" t="str">
        <f>IFERROR(INDEX(TableWRCalcPts[PLAYER],MATCH(TableWRRanks32[[#This Row],[RK]],TableWRCalcPts[RK],0)),"")</f>
        <v>Quez Watkins</v>
      </c>
      <c r="AF112" t="str">
        <f>IFERROR(INDEX(TableWRCalcPts[TM],MATCH(TableWRRanks32[[#This Row],[Player]],TableWRCalcPts[PLAYER],0)),"")</f>
        <v>PHI</v>
      </c>
      <c r="AG112">
        <f>IFERROR(INDEX(TableWRCalcPts[BYE],MATCH(TableWRRanks32[[#This Row],[Player]],TableWRCalcPts[PLAYER],0)),"")</f>
        <v>10</v>
      </c>
      <c r="AH112" s="86">
        <f>VLOOKUP(TableWRRanks32[[#This Row],[Player]],WR!B:O,4,FALSE)</f>
        <v>0</v>
      </c>
      <c r="AI112" s="86">
        <f>VLOOKUP(TableWRRanks32[[#This Row],[Player]],WR!B:O,5,FALSE)</f>
        <v>0</v>
      </c>
      <c r="AJ112" s="86">
        <f>VLOOKUP(TableWRRanks32[[#This Row],[Player]],WR!B:O,6,FALSE)</f>
        <v>36.890437920000004</v>
      </c>
      <c r="AK112" s="86">
        <f>VLOOKUP(TableWRRanks32[[#This Row],[Player]],WR!B:O,7,FALSE)</f>
        <v>23.40604935761209</v>
      </c>
      <c r="AL112" s="86">
        <f>VLOOKUP(TableWRRanks32[[#This Row],[Player]],WR!B:O,8,FALSE)</f>
        <v>252.78533306221058</v>
      </c>
      <c r="AM112" s="86">
        <f>VLOOKUP(TableWRRanks32[[#This Row],[Player]],WR!B:O,9,FALSE)</f>
        <v>1.4511750601719495</v>
      </c>
      <c r="AN112" s="58">
        <f>IFERROR(INDEX(TableWRCalcPts[Custom],MATCH(TableWRRanks32[[#This Row],[RK]],TableWRCalcPts[RK],0)),"")</f>
        <v>45.688608346058807</v>
      </c>
      <c r="AO11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13" spans="16:41" x14ac:dyDescent="0.2">
      <c r="P113">
        <v>112</v>
      </c>
      <c r="Q113" t="str">
        <f>IFERROR(INDEX(TableRBCalcPts[PLAYER],MATCH(TableRBRanks31[[#This Row],[RK]],TableRBCalcPts[RK],0)),"")</f>
        <v/>
      </c>
      <c r="R113" t="str">
        <f>IFERROR(INDEX(TableRBCalcPts[TM],MATCH(TableRBRanks31[[#This Row],[Player]],TableRBCalcPts[PLAYER],0)),"")</f>
        <v/>
      </c>
      <c r="S113" t="str">
        <f>IFERROR(INDEX(TableRBCalcPts[BYE],MATCH(TableRBRanks31[[#This Row],[Player]],TableRBCalcPts[PLAYER],0)),"")</f>
        <v/>
      </c>
      <c r="T113" s="86" t="e">
        <f>VLOOKUP(TableRBRanks31[[#This Row],[Player]],RB!B:O,4,FALSE)</f>
        <v>#N/A</v>
      </c>
      <c r="U113" s="86" t="e">
        <f>VLOOKUP(TableRBRanks31[[#This Row],[Player]],RB!B:O,5,FALSE)</f>
        <v>#N/A</v>
      </c>
      <c r="V113" s="86" t="e">
        <f>VLOOKUP(TableRBRanks31[[#This Row],[Player]],RB!B:O,6,FALSE)</f>
        <v>#N/A</v>
      </c>
      <c r="W113" s="86" t="e">
        <f>VLOOKUP(TableRBRanks31[[#This Row],[Player]],RB!B:O,7,FALSE)</f>
        <v>#N/A</v>
      </c>
      <c r="X113" s="86" t="e">
        <f>VLOOKUP(TableRBRanks31[[#This Row],[Player]],RB!B:O,8,FALSE)</f>
        <v>#N/A</v>
      </c>
      <c r="Y113" s="86" t="e">
        <f>VLOOKUP(TableRBRanks31[[#This Row],[Player]],RB!B:O,9,FALSE)</f>
        <v>#N/A</v>
      </c>
      <c r="Z113" s="86" t="e">
        <f>VLOOKUP(TableRBRanks31[[#This Row],[Player]],RB!B:O,10,FALSE)</f>
        <v>#N/A</v>
      </c>
      <c r="AA113" s="58" t="str">
        <f>IFERROR(INDEX(TableRBCalcPts[Custom],MATCH(TableRBRanks31[[#This Row],[RK]],TableRBCalcPts[RK],0)),"")</f>
        <v/>
      </c>
      <c r="AB113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13">
        <v>112</v>
      </c>
      <c r="AE113" t="str">
        <f>IFERROR(INDEX(TableWRCalcPts[PLAYER],MATCH(TableWRRanks32[[#This Row],[RK]],TableWRCalcPts[RK],0)),"")</f>
        <v>Jauan Jennings</v>
      </c>
      <c r="AF113" t="str">
        <f>IFERROR(INDEX(TableWRCalcPts[TM],MATCH(TableWRRanks32[[#This Row],[Player]],TableWRCalcPts[PLAYER],0)),"")</f>
        <v>SF</v>
      </c>
      <c r="AG113">
        <f>IFERROR(INDEX(TableWRCalcPts[BYE],MATCH(TableWRRanks32[[#This Row],[Player]],TableWRCalcPts[PLAYER],0)),"")</f>
        <v>9</v>
      </c>
      <c r="AH113" s="86">
        <f>VLOOKUP(TableWRRanks32[[#This Row],[Player]],WR!B:O,4,FALSE)</f>
        <v>0</v>
      </c>
      <c r="AI113" s="86">
        <f>VLOOKUP(TableWRRanks32[[#This Row],[Player]],WR!B:O,5,FALSE)</f>
        <v>0</v>
      </c>
      <c r="AJ113" s="86">
        <f>VLOOKUP(TableWRRanks32[[#This Row],[Player]],WR!B:O,6,FALSE)</f>
        <v>31.41731922</v>
      </c>
      <c r="AK113" s="86">
        <f>VLOOKUP(TableWRRanks32[[#This Row],[Player]],WR!B:O,7,FALSE)</f>
        <v>18.877697626551964</v>
      </c>
      <c r="AL113" s="86">
        <f>VLOOKUP(TableWRRanks32[[#This Row],[Player]],WR!B:O,8,FALSE)</f>
        <v>224.92718631083955</v>
      </c>
      <c r="AM113" s="86">
        <f>VLOOKUP(TableWRRanks32[[#This Row],[Player]],WR!B:O,9,FALSE)</f>
        <v>1.3969496243648452</v>
      </c>
      <c r="AN113" s="58">
        <f>IFERROR(INDEX(TableWRCalcPts[Custom],MATCH(TableWRRanks32[[#This Row],[RK]],TableWRCalcPts[RK],0)),"")</f>
        <v>40.313265190549011</v>
      </c>
      <c r="AO11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14" spans="16:41" x14ac:dyDescent="0.2">
      <c r="P114">
        <v>113</v>
      </c>
      <c r="Q114" t="str">
        <f>IFERROR(INDEX(TableRBCalcPts[PLAYER],MATCH(TableRBRanks31[[#This Row],[RK]],TableRBCalcPts[RK],0)),"")</f>
        <v/>
      </c>
      <c r="R114" t="str">
        <f>IFERROR(INDEX(TableRBCalcPts[TM],MATCH(TableRBRanks31[[#This Row],[Player]],TableRBCalcPts[PLAYER],0)),"")</f>
        <v/>
      </c>
      <c r="S114" t="str">
        <f>IFERROR(INDEX(TableRBCalcPts[BYE],MATCH(TableRBRanks31[[#This Row],[Player]],TableRBCalcPts[PLAYER],0)),"")</f>
        <v/>
      </c>
      <c r="T114" s="86" t="e">
        <f>VLOOKUP(TableRBRanks31[[#This Row],[Player]],RB!B:O,4,FALSE)</f>
        <v>#N/A</v>
      </c>
      <c r="U114" s="86" t="e">
        <f>VLOOKUP(TableRBRanks31[[#This Row],[Player]],RB!B:O,5,FALSE)</f>
        <v>#N/A</v>
      </c>
      <c r="V114" s="86" t="e">
        <f>VLOOKUP(TableRBRanks31[[#This Row],[Player]],RB!B:O,6,FALSE)</f>
        <v>#N/A</v>
      </c>
      <c r="W114" s="86" t="e">
        <f>VLOOKUP(TableRBRanks31[[#This Row],[Player]],RB!B:O,7,FALSE)</f>
        <v>#N/A</v>
      </c>
      <c r="X114" s="86" t="e">
        <f>VLOOKUP(TableRBRanks31[[#This Row],[Player]],RB!B:O,8,FALSE)</f>
        <v>#N/A</v>
      </c>
      <c r="Y114" s="86" t="e">
        <f>VLOOKUP(TableRBRanks31[[#This Row],[Player]],RB!B:O,9,FALSE)</f>
        <v>#N/A</v>
      </c>
      <c r="Z114" s="86" t="e">
        <f>VLOOKUP(TableRBRanks31[[#This Row],[Player]],RB!B:O,10,FALSE)</f>
        <v>#N/A</v>
      </c>
      <c r="AA114" s="58" t="str">
        <f>IFERROR(INDEX(TableRBCalcPts[Custom],MATCH(TableRBRanks31[[#This Row],[RK]],TableRBCalcPts[RK],0)),"")</f>
        <v/>
      </c>
      <c r="AB114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14">
        <v>113</v>
      </c>
      <c r="AE114" t="str">
        <f>IFERROR(INDEX(TableWRCalcPts[PLAYER],MATCH(TableWRRanks32[[#This Row],[RK]],TableWRCalcPts[RK],0)),"")</f>
        <v>Isaiah McKenzie</v>
      </c>
      <c r="AF114" t="str">
        <f>IFERROR(INDEX(TableWRCalcPts[TM],MATCH(TableWRRanks32[[#This Row],[Player]],TableWRCalcPts[PLAYER],0)),"")</f>
        <v>IND</v>
      </c>
      <c r="AG114">
        <f>IFERROR(INDEX(TableWRCalcPts[BYE],MATCH(TableWRRanks32[[#This Row],[Player]],TableWRCalcPts[PLAYER],0)),"")</f>
        <v>11</v>
      </c>
      <c r="AH114" s="86">
        <f>VLOOKUP(TableWRRanks32[[#This Row],[Player]],WR!B:O,4,FALSE)</f>
        <v>0</v>
      </c>
      <c r="AI114" s="86">
        <f>VLOOKUP(TableWRRanks32[[#This Row],[Player]],WR!B:O,5,FALSE)</f>
        <v>0</v>
      </c>
      <c r="AJ114" s="86">
        <f>VLOOKUP(TableWRRanks32[[#This Row],[Player]],WR!B:O,6,FALSE)</f>
        <v>33.143972400000003</v>
      </c>
      <c r="AK114" s="86">
        <f>VLOOKUP(TableWRRanks32[[#This Row],[Player]],WR!B:O,7,FALSE)</f>
        <v>21.444150142800002</v>
      </c>
      <c r="AL114" s="86">
        <f>VLOOKUP(TableWRRanks32[[#This Row],[Player]],WR!B:O,8,FALSE)</f>
        <v>223.01916148512004</v>
      </c>
      <c r="AM114" s="86">
        <f>VLOOKUP(TableWRRanks32[[#This Row],[Player]],WR!B:O,9,FALSE)</f>
        <v>1.0507633569972001</v>
      </c>
      <c r="AN114" s="58">
        <f>IFERROR(INDEX(TableWRCalcPts[Custom],MATCH(TableWRRanks32[[#This Row],[RK]],TableWRCalcPts[RK],0)),"")</f>
        <v>39.328571361895207</v>
      </c>
      <c r="AO11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15" spans="16:41" x14ac:dyDescent="0.2">
      <c r="P115">
        <v>114</v>
      </c>
      <c r="Q115" t="str">
        <f>IFERROR(INDEX(TableRBCalcPts[PLAYER],MATCH(TableRBRanks31[[#This Row],[RK]],TableRBCalcPts[RK],0)),"")</f>
        <v/>
      </c>
      <c r="R115" t="str">
        <f>IFERROR(INDEX(TableRBCalcPts[TM],MATCH(TableRBRanks31[[#This Row],[Player]],TableRBCalcPts[PLAYER],0)),"")</f>
        <v/>
      </c>
      <c r="S115" t="str">
        <f>IFERROR(INDEX(TableRBCalcPts[BYE],MATCH(TableRBRanks31[[#This Row],[Player]],TableRBCalcPts[PLAYER],0)),"")</f>
        <v/>
      </c>
      <c r="T115" s="86" t="e">
        <f>VLOOKUP(TableRBRanks31[[#This Row],[Player]],RB!B:O,4,FALSE)</f>
        <v>#N/A</v>
      </c>
      <c r="U115" s="86" t="e">
        <f>VLOOKUP(TableRBRanks31[[#This Row],[Player]],RB!B:O,5,FALSE)</f>
        <v>#N/A</v>
      </c>
      <c r="V115" s="86" t="e">
        <f>VLOOKUP(TableRBRanks31[[#This Row],[Player]],RB!B:O,6,FALSE)</f>
        <v>#N/A</v>
      </c>
      <c r="W115" s="86" t="e">
        <f>VLOOKUP(TableRBRanks31[[#This Row],[Player]],RB!B:O,7,FALSE)</f>
        <v>#N/A</v>
      </c>
      <c r="X115" s="86" t="e">
        <f>VLOOKUP(TableRBRanks31[[#This Row],[Player]],RB!B:O,8,FALSE)</f>
        <v>#N/A</v>
      </c>
      <c r="Y115" s="86" t="e">
        <f>VLOOKUP(TableRBRanks31[[#This Row],[Player]],RB!B:O,9,FALSE)</f>
        <v>#N/A</v>
      </c>
      <c r="Z115" s="86" t="e">
        <f>VLOOKUP(TableRBRanks31[[#This Row],[Player]],RB!B:O,10,FALSE)</f>
        <v>#N/A</v>
      </c>
      <c r="AA115" s="58" t="str">
        <f>IFERROR(INDEX(TableRBCalcPts[Custom],MATCH(TableRBRanks31[[#This Row],[RK]],TableRBCalcPts[RK],0)),"")</f>
        <v/>
      </c>
      <c r="AB115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15">
        <v>114</v>
      </c>
      <c r="AE115" t="str">
        <f>IFERROR(INDEX(TableWRCalcPts[PLAYER],MATCH(TableWRRanks32[[#This Row],[RK]],TableWRCalcPts[RK],0)),"")</f>
        <v>Jalin Hyatt</v>
      </c>
      <c r="AF115" t="str">
        <f>IFERROR(INDEX(TableWRCalcPts[TM],MATCH(TableWRRanks32[[#This Row],[Player]],TableWRCalcPts[PLAYER],0)),"")</f>
        <v>NYG</v>
      </c>
      <c r="AG115">
        <f>IFERROR(INDEX(TableWRCalcPts[BYE],MATCH(TableWRRanks32[[#This Row],[Player]],TableWRCalcPts[PLAYER],0)),"")</f>
        <v>13</v>
      </c>
      <c r="AH115" s="86">
        <f>VLOOKUP(TableWRRanks32[[#This Row],[Player]],WR!B:O,4,FALSE)</f>
        <v>0</v>
      </c>
      <c r="AI115" s="86">
        <f>VLOOKUP(TableWRRanks32[[#This Row],[Player]],WR!B:O,5,FALSE)</f>
        <v>0</v>
      </c>
      <c r="AJ115" s="86">
        <f>VLOOKUP(TableWRRanks32[[#This Row],[Player]],WR!B:O,6,FALSE)</f>
        <v>28.023541000000002</v>
      </c>
      <c r="AK115" s="86">
        <f>VLOOKUP(TableWRRanks32[[#This Row],[Player]],WR!B:O,7,FALSE)</f>
        <v>18.054814166380091</v>
      </c>
      <c r="AL115" s="86">
        <f>VLOOKUP(TableWRRanks32[[#This Row],[Player]],WR!B:O,8,FALSE)</f>
        <v>220.81037725482852</v>
      </c>
      <c r="AM115" s="86">
        <f>VLOOKUP(TableWRRanks32[[#This Row],[Player]],WR!B:O,9,FALSE)</f>
        <v>1.3180014341457464</v>
      </c>
      <c r="AN115" s="58">
        <f>IFERROR(INDEX(TableWRCalcPts[Custom],MATCH(TableWRRanks32[[#This Row],[RK]],TableWRCalcPts[RK],0)),"")</f>
        <v>39.016453413547382</v>
      </c>
      <c r="AO11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16" spans="16:41" x14ac:dyDescent="0.2">
      <c r="P116">
        <v>115</v>
      </c>
      <c r="Q116" t="str">
        <f>IFERROR(INDEX(TableRBCalcPts[PLAYER],MATCH(TableRBRanks31[[#This Row],[RK]],TableRBCalcPts[RK],0)),"")</f>
        <v/>
      </c>
      <c r="R116" t="str">
        <f>IFERROR(INDEX(TableRBCalcPts[TM],MATCH(TableRBRanks31[[#This Row],[Player]],TableRBCalcPts[PLAYER],0)),"")</f>
        <v/>
      </c>
      <c r="S116" t="str">
        <f>IFERROR(INDEX(TableRBCalcPts[BYE],MATCH(TableRBRanks31[[#This Row],[Player]],TableRBCalcPts[PLAYER],0)),"")</f>
        <v/>
      </c>
      <c r="T116" s="86" t="e">
        <f>VLOOKUP(TableRBRanks31[[#This Row],[Player]],RB!B:O,4,FALSE)</f>
        <v>#N/A</v>
      </c>
      <c r="U116" s="86" t="e">
        <f>VLOOKUP(TableRBRanks31[[#This Row],[Player]],RB!B:O,5,FALSE)</f>
        <v>#N/A</v>
      </c>
      <c r="V116" s="86" t="e">
        <f>VLOOKUP(TableRBRanks31[[#This Row],[Player]],RB!B:O,6,FALSE)</f>
        <v>#N/A</v>
      </c>
      <c r="W116" s="86" t="e">
        <f>VLOOKUP(TableRBRanks31[[#This Row],[Player]],RB!B:O,7,FALSE)</f>
        <v>#N/A</v>
      </c>
      <c r="X116" s="86" t="e">
        <f>VLOOKUP(TableRBRanks31[[#This Row],[Player]],RB!B:O,8,FALSE)</f>
        <v>#N/A</v>
      </c>
      <c r="Y116" s="86" t="e">
        <f>VLOOKUP(TableRBRanks31[[#This Row],[Player]],RB!B:O,9,FALSE)</f>
        <v>#N/A</v>
      </c>
      <c r="Z116" s="86" t="e">
        <f>VLOOKUP(TableRBRanks31[[#This Row],[Player]],RB!B:O,10,FALSE)</f>
        <v>#N/A</v>
      </c>
      <c r="AA116" s="58" t="str">
        <f>IFERROR(INDEX(TableRBCalcPts[Custom],MATCH(TableRBRanks31[[#This Row],[RK]],TableRBCalcPts[RK],0)),"")</f>
        <v/>
      </c>
      <c r="AB116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16">
        <v>115</v>
      </c>
      <c r="AE116" t="str">
        <f>IFERROR(INDEX(TableWRCalcPts[PLAYER],MATCH(TableWRRanks32[[#This Row],[RK]],TableWRCalcPts[RK],0)),"")</f>
        <v>Khalil Shakir</v>
      </c>
      <c r="AF116" t="str">
        <f>IFERROR(INDEX(TableWRCalcPts[TM],MATCH(TableWRRanks32[[#This Row],[Player]],TableWRCalcPts[PLAYER],0)),"")</f>
        <v>BUF</v>
      </c>
      <c r="AG116">
        <f>IFERROR(INDEX(TableWRCalcPts[BYE],MATCH(TableWRRanks32[[#This Row],[Player]],TableWRCalcPts[PLAYER],0)),"")</f>
        <v>13</v>
      </c>
      <c r="AH116" s="86">
        <f>VLOOKUP(TableWRRanks32[[#This Row],[Player]],WR!B:O,4,FALSE)</f>
        <v>0</v>
      </c>
      <c r="AI116" s="86">
        <f>VLOOKUP(TableWRRanks32[[#This Row],[Player]],WR!B:O,5,FALSE)</f>
        <v>0</v>
      </c>
      <c r="AJ116" s="86">
        <f>VLOOKUP(TableWRRanks32[[#This Row],[Player]],WR!B:O,6,FALSE)</f>
        <v>31.429089999999999</v>
      </c>
      <c r="AK116" s="86">
        <f>VLOOKUP(TableWRRanks32[[#This Row],[Player]],WR!B:O,7,FALSE)</f>
        <v>18.62431366668449</v>
      </c>
      <c r="AL116" s="86">
        <f>VLOOKUP(TableWRRanks32[[#This Row],[Player]],WR!B:O,8,FALSE)</f>
        <v>222.00181890687912</v>
      </c>
      <c r="AM116" s="86">
        <f>VLOOKUP(TableWRRanks32[[#This Row],[Player]],WR!B:O,9,FALSE)</f>
        <v>1.1461116102575071</v>
      </c>
      <c r="AN116" s="58">
        <f>IFERROR(INDEX(TableWRCalcPts[Custom],MATCH(TableWRRanks32[[#This Row],[RK]],TableWRCalcPts[RK],0)),"")</f>
        <v>38.389008385575202</v>
      </c>
      <c r="AO11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17" spans="16:41" x14ac:dyDescent="0.2">
      <c r="P117">
        <v>116</v>
      </c>
      <c r="Q117" t="str">
        <f>IFERROR(INDEX(TableRBCalcPts[PLAYER],MATCH(TableRBRanks31[[#This Row],[RK]],TableRBCalcPts[RK],0)),"")</f>
        <v/>
      </c>
      <c r="R117" t="str">
        <f>IFERROR(INDEX(TableRBCalcPts[TM],MATCH(TableRBRanks31[[#This Row],[Player]],TableRBCalcPts[PLAYER],0)),"")</f>
        <v/>
      </c>
      <c r="S117" t="str">
        <f>IFERROR(INDEX(TableRBCalcPts[BYE],MATCH(TableRBRanks31[[#This Row],[Player]],TableRBCalcPts[PLAYER],0)),"")</f>
        <v/>
      </c>
      <c r="T117" s="86" t="e">
        <f>VLOOKUP(TableRBRanks31[[#This Row],[Player]],RB!B:O,4,FALSE)</f>
        <v>#N/A</v>
      </c>
      <c r="U117" s="86" t="e">
        <f>VLOOKUP(TableRBRanks31[[#This Row],[Player]],RB!B:O,5,FALSE)</f>
        <v>#N/A</v>
      </c>
      <c r="V117" s="86" t="e">
        <f>VLOOKUP(TableRBRanks31[[#This Row],[Player]],RB!B:O,6,FALSE)</f>
        <v>#N/A</v>
      </c>
      <c r="W117" s="86" t="e">
        <f>VLOOKUP(TableRBRanks31[[#This Row],[Player]],RB!B:O,7,FALSE)</f>
        <v>#N/A</v>
      </c>
      <c r="X117" s="86" t="e">
        <f>VLOOKUP(TableRBRanks31[[#This Row],[Player]],RB!B:O,8,FALSE)</f>
        <v>#N/A</v>
      </c>
      <c r="Y117" s="86" t="e">
        <f>VLOOKUP(TableRBRanks31[[#This Row],[Player]],RB!B:O,9,FALSE)</f>
        <v>#N/A</v>
      </c>
      <c r="Z117" s="86" t="e">
        <f>VLOOKUP(TableRBRanks31[[#This Row],[Player]],RB!B:O,10,FALSE)</f>
        <v>#N/A</v>
      </c>
      <c r="AA117" s="58" t="str">
        <f>IFERROR(INDEX(TableRBCalcPts[Custom],MATCH(TableRBRanks31[[#This Row],[RK]],TableRBCalcPts[RK],0)),"")</f>
        <v/>
      </c>
      <c r="AB117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17">
        <v>116</v>
      </c>
      <c r="AE117" t="str">
        <f>IFERROR(INDEX(TableWRCalcPts[PLAYER],MATCH(TableWRRanks32[[#This Row],[RK]],TableWRCalcPts[RK],0)),"")</f>
        <v>Demario Douglas</v>
      </c>
      <c r="AF117" t="str">
        <f>IFERROR(INDEX(TableWRCalcPts[TM],MATCH(TableWRRanks32[[#This Row],[Player]],TableWRCalcPts[PLAYER],0)),"")</f>
        <v>NE</v>
      </c>
      <c r="AG117">
        <f>IFERROR(INDEX(TableWRCalcPts[BYE],MATCH(TableWRRanks32[[#This Row],[Player]],TableWRCalcPts[PLAYER],0)),"")</f>
        <v>11</v>
      </c>
      <c r="AH117" s="86">
        <f>VLOOKUP(TableWRRanks32[[#This Row],[Player]],WR!B:O,4,FALSE)</f>
        <v>0</v>
      </c>
      <c r="AI117" s="86">
        <f>VLOOKUP(TableWRRanks32[[#This Row],[Player]],WR!B:O,5,FALSE)</f>
        <v>0</v>
      </c>
      <c r="AJ117" s="86">
        <f>VLOOKUP(TableWRRanks32[[#This Row],[Player]],WR!B:O,6,FALSE)</f>
        <v>29.321670559999991</v>
      </c>
      <c r="AK117" s="86">
        <f>VLOOKUP(TableWRRanks32[[#This Row],[Player]],WR!B:O,7,FALSE)</f>
        <v>16.830638901439993</v>
      </c>
      <c r="AL117" s="86">
        <f>VLOOKUP(TableWRRanks32[[#This Row],[Player]],WR!B:O,8,FALSE)</f>
        <v>227.21362516943992</v>
      </c>
      <c r="AM117" s="86">
        <f>VLOOKUP(TableWRRanks32[[#This Row],[Player]],WR!B:O,9,FALSE)</f>
        <v>1.0098383340863997</v>
      </c>
      <c r="AN117" s="58">
        <f>IFERROR(INDEX(TableWRCalcPts[Custom],MATCH(TableWRRanks32[[#This Row],[RK]],TableWRCalcPts[RK],0)),"")</f>
        <v>37.195711972182387</v>
      </c>
      <c r="AO11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18" spans="16:41" x14ac:dyDescent="0.2">
      <c r="P118">
        <v>117</v>
      </c>
      <c r="Q118" t="str">
        <f>IFERROR(INDEX(TableRBCalcPts[PLAYER],MATCH(TableRBRanks31[[#This Row],[RK]],TableRBCalcPts[RK],0)),"")</f>
        <v/>
      </c>
      <c r="R118" t="str">
        <f>IFERROR(INDEX(TableRBCalcPts[TM],MATCH(TableRBRanks31[[#This Row],[Player]],TableRBCalcPts[PLAYER],0)),"")</f>
        <v/>
      </c>
      <c r="S118" t="str">
        <f>IFERROR(INDEX(TableRBCalcPts[BYE],MATCH(TableRBRanks31[[#This Row],[Player]],TableRBCalcPts[PLAYER],0)),"")</f>
        <v/>
      </c>
      <c r="T118" s="86" t="e">
        <f>VLOOKUP(TableRBRanks31[[#This Row],[Player]],RB!B:O,4,FALSE)</f>
        <v>#N/A</v>
      </c>
      <c r="U118" s="86" t="e">
        <f>VLOOKUP(TableRBRanks31[[#This Row],[Player]],RB!B:O,5,FALSE)</f>
        <v>#N/A</v>
      </c>
      <c r="V118" s="86" t="e">
        <f>VLOOKUP(TableRBRanks31[[#This Row],[Player]],RB!B:O,6,FALSE)</f>
        <v>#N/A</v>
      </c>
      <c r="W118" s="86" t="e">
        <f>VLOOKUP(TableRBRanks31[[#This Row],[Player]],RB!B:O,7,FALSE)</f>
        <v>#N/A</v>
      </c>
      <c r="X118" s="86" t="e">
        <f>VLOOKUP(TableRBRanks31[[#This Row],[Player]],RB!B:O,8,FALSE)</f>
        <v>#N/A</v>
      </c>
      <c r="Y118" s="86" t="e">
        <f>VLOOKUP(TableRBRanks31[[#This Row],[Player]],RB!B:O,9,FALSE)</f>
        <v>#N/A</v>
      </c>
      <c r="Z118" s="86" t="e">
        <f>VLOOKUP(TableRBRanks31[[#This Row],[Player]],RB!B:O,10,FALSE)</f>
        <v>#N/A</v>
      </c>
      <c r="AA118" s="58" t="str">
        <f>IFERROR(INDEX(TableRBCalcPts[Custom],MATCH(TableRBRanks31[[#This Row],[RK]],TableRBCalcPts[RK],0)),"")</f>
        <v/>
      </c>
      <c r="AB118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18">
        <v>117</v>
      </c>
      <c r="AE118" t="str">
        <f>IFERROR(INDEX(TableWRCalcPts[PLAYER],MATCH(TableWRRanks32[[#This Row],[RK]],TableWRCalcPts[RK],0)),"")</f>
        <v>Kyle Philips</v>
      </c>
      <c r="AF118" t="str">
        <f>IFERROR(INDEX(TableWRCalcPts[TM],MATCH(TableWRRanks32[[#This Row],[Player]],TableWRCalcPts[PLAYER],0)),"")</f>
        <v>TEN</v>
      </c>
      <c r="AG118">
        <f>IFERROR(INDEX(TableWRCalcPts[BYE],MATCH(TableWRRanks32[[#This Row],[Player]],TableWRCalcPts[PLAYER],0)),"")</f>
        <v>7</v>
      </c>
      <c r="AH118" s="86">
        <f>VLOOKUP(TableWRRanks32[[#This Row],[Player]],WR!B:O,4,FALSE)</f>
        <v>0</v>
      </c>
      <c r="AI118" s="86">
        <f>VLOOKUP(TableWRRanks32[[#This Row],[Player]],WR!B:O,5,FALSE)</f>
        <v>0</v>
      </c>
      <c r="AJ118" s="86">
        <f>VLOOKUP(TableWRRanks32[[#This Row],[Player]],WR!B:O,6,FALSE)</f>
        <v>28.704900699999996</v>
      </c>
      <c r="AK118" s="86">
        <f>VLOOKUP(TableWRRanks32[[#This Row],[Player]],WR!B:O,7,FALSE)</f>
        <v>18.861777643343569</v>
      </c>
      <c r="AL118" s="86">
        <f>VLOOKUP(TableWRRanks32[[#This Row],[Player]],WR!B:O,8,FALSE)</f>
        <v>205.59337631244492</v>
      </c>
      <c r="AM118" s="86">
        <f>VLOOKUP(TableWRRanks32[[#This Row],[Player]],WR!B:O,9,FALSE)</f>
        <v>1.1317066586006141</v>
      </c>
      <c r="AN118" s="58">
        <f>IFERROR(INDEX(TableWRCalcPts[Custom],MATCH(TableWRRanks32[[#This Row],[RK]],TableWRCalcPts[RK],0)),"")</f>
        <v>36.780466404519956</v>
      </c>
      <c r="AO11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19" spans="16:41" x14ac:dyDescent="0.2">
      <c r="P119">
        <v>118</v>
      </c>
      <c r="Q119" t="str">
        <f>IFERROR(INDEX(TableRBCalcPts[PLAYER],MATCH(TableRBRanks31[[#This Row],[RK]],TableRBCalcPts[RK],0)),"")</f>
        <v/>
      </c>
      <c r="R119" t="str">
        <f>IFERROR(INDEX(TableRBCalcPts[TM],MATCH(TableRBRanks31[[#This Row],[Player]],TableRBCalcPts[PLAYER],0)),"")</f>
        <v/>
      </c>
      <c r="S119" t="str">
        <f>IFERROR(INDEX(TableRBCalcPts[BYE],MATCH(TableRBRanks31[[#This Row],[Player]],TableRBCalcPts[PLAYER],0)),"")</f>
        <v/>
      </c>
      <c r="T119" s="86" t="e">
        <f>VLOOKUP(TableRBRanks31[[#This Row],[Player]],RB!B:O,4,FALSE)</f>
        <v>#N/A</v>
      </c>
      <c r="U119" s="86" t="e">
        <f>VLOOKUP(TableRBRanks31[[#This Row],[Player]],RB!B:O,5,FALSE)</f>
        <v>#N/A</v>
      </c>
      <c r="V119" s="86" t="e">
        <f>VLOOKUP(TableRBRanks31[[#This Row],[Player]],RB!B:O,6,FALSE)</f>
        <v>#N/A</v>
      </c>
      <c r="W119" s="86" t="e">
        <f>VLOOKUP(TableRBRanks31[[#This Row],[Player]],RB!B:O,7,FALSE)</f>
        <v>#N/A</v>
      </c>
      <c r="X119" s="86" t="e">
        <f>VLOOKUP(TableRBRanks31[[#This Row],[Player]],RB!B:O,8,FALSE)</f>
        <v>#N/A</v>
      </c>
      <c r="Y119" s="86" t="e">
        <f>VLOOKUP(TableRBRanks31[[#This Row],[Player]],RB!B:O,9,FALSE)</f>
        <v>#N/A</v>
      </c>
      <c r="Z119" s="86" t="e">
        <f>VLOOKUP(TableRBRanks31[[#This Row],[Player]],RB!B:O,10,FALSE)</f>
        <v>#N/A</v>
      </c>
      <c r="AA119" s="58" t="str">
        <f>IFERROR(INDEX(TableRBCalcPts[Custom],MATCH(TableRBRanks31[[#This Row],[RK]],TableRBCalcPts[RK],0)),"")</f>
        <v/>
      </c>
      <c r="AB119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19">
        <v>118</v>
      </c>
      <c r="AE119" t="str">
        <f>IFERROR(INDEX(TableWRCalcPts[PLAYER],MATCH(TableWRRanks32[[#This Row],[RK]],TableWRCalcPts[RK],0)),"")</f>
        <v>Sterling Shepard</v>
      </c>
      <c r="AF119" t="str">
        <f>IFERROR(INDEX(TableWRCalcPts[TM],MATCH(TableWRRanks32[[#This Row],[Player]],TableWRCalcPts[PLAYER],0)),"")</f>
        <v>NYG</v>
      </c>
      <c r="AG119">
        <f>IFERROR(INDEX(TableWRCalcPts[BYE],MATCH(TableWRRanks32[[#This Row],[Player]],TableWRCalcPts[PLAYER],0)),"")</f>
        <v>13</v>
      </c>
      <c r="AH119" s="86">
        <f>VLOOKUP(TableWRRanks32[[#This Row],[Player]],WR!B:O,4,FALSE)</f>
        <v>0</v>
      </c>
      <c r="AI119" s="86">
        <f>VLOOKUP(TableWRRanks32[[#This Row],[Player]],WR!B:O,5,FALSE)</f>
        <v>0</v>
      </c>
      <c r="AJ119" s="86">
        <f>VLOOKUP(TableWRRanks32[[#This Row],[Player]],WR!B:O,6,FALSE)</f>
        <v>30.265424280000001</v>
      </c>
      <c r="AK119" s="86">
        <f>VLOOKUP(TableWRRanks32[[#This Row],[Player]],WR!B:O,7,FALSE)</f>
        <v>20.241711463807505</v>
      </c>
      <c r="AL119" s="86">
        <f>VLOOKUP(TableWRRanks32[[#This Row],[Player]],WR!B:O,8,FALSE)</f>
        <v>204.4412857844558</v>
      </c>
      <c r="AM119" s="86">
        <f>VLOOKUP(TableWRRanks32[[#This Row],[Player]],WR!B:O,9,FALSE)</f>
        <v>0.85015188147991527</v>
      </c>
      <c r="AN119" s="58">
        <f>IFERROR(INDEX(TableWRCalcPts[Custom],MATCH(TableWRRanks32[[#This Row],[RK]],TableWRCalcPts[RK],0)),"")</f>
        <v>35.665895599228826</v>
      </c>
      <c r="AO11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20" spans="16:41" x14ac:dyDescent="0.2">
      <c r="P120">
        <v>119</v>
      </c>
      <c r="Q120" t="str">
        <f>IFERROR(INDEX(TableRBCalcPts[PLAYER],MATCH(TableRBRanks31[[#This Row],[RK]],TableRBCalcPts[RK],0)),"")</f>
        <v/>
      </c>
      <c r="R120" t="str">
        <f>IFERROR(INDEX(TableRBCalcPts[TM],MATCH(TableRBRanks31[[#This Row],[Player]],TableRBCalcPts[PLAYER],0)),"")</f>
        <v/>
      </c>
      <c r="S120" t="str">
        <f>IFERROR(INDEX(TableRBCalcPts[BYE],MATCH(TableRBRanks31[[#This Row],[Player]],TableRBCalcPts[PLAYER],0)),"")</f>
        <v/>
      </c>
      <c r="T120" s="86" t="e">
        <f>VLOOKUP(TableRBRanks31[[#This Row],[Player]],RB!B:O,4,FALSE)</f>
        <v>#N/A</v>
      </c>
      <c r="U120" s="86" t="e">
        <f>VLOOKUP(TableRBRanks31[[#This Row],[Player]],RB!B:O,5,FALSE)</f>
        <v>#N/A</v>
      </c>
      <c r="V120" s="86" t="e">
        <f>VLOOKUP(TableRBRanks31[[#This Row],[Player]],RB!B:O,6,FALSE)</f>
        <v>#N/A</v>
      </c>
      <c r="W120" s="86" t="e">
        <f>VLOOKUP(TableRBRanks31[[#This Row],[Player]],RB!B:O,7,FALSE)</f>
        <v>#N/A</v>
      </c>
      <c r="X120" s="86" t="e">
        <f>VLOOKUP(TableRBRanks31[[#This Row],[Player]],RB!B:O,8,FALSE)</f>
        <v>#N/A</v>
      </c>
      <c r="Y120" s="86" t="e">
        <f>VLOOKUP(TableRBRanks31[[#This Row],[Player]],RB!B:O,9,FALSE)</f>
        <v>#N/A</v>
      </c>
      <c r="Z120" s="86" t="e">
        <f>VLOOKUP(TableRBRanks31[[#This Row],[Player]],RB!B:O,10,FALSE)</f>
        <v>#N/A</v>
      </c>
      <c r="AA120" s="58" t="str">
        <f>IFERROR(INDEX(TableRBCalcPts[Custom],MATCH(TableRBRanks31[[#This Row],[RK]],TableRBCalcPts[RK],0)),"")</f>
        <v/>
      </c>
      <c r="AB120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20">
        <v>119</v>
      </c>
      <c r="AE120" t="str">
        <f>IFERROR(INDEX(TableWRCalcPts[PLAYER],MATCH(TableWRRanks32[[#This Row],[RK]],TableWRCalcPts[RK],0)),"")</f>
        <v>Charlie Jones</v>
      </c>
      <c r="AF120" t="str">
        <f>IFERROR(INDEX(TableWRCalcPts[TM],MATCH(TableWRRanks32[[#This Row],[Player]],TableWRCalcPts[PLAYER],0)),"")</f>
        <v>CIN</v>
      </c>
      <c r="AG120">
        <f>IFERROR(INDEX(TableWRCalcPts[BYE],MATCH(TableWRRanks32[[#This Row],[Player]],TableWRCalcPts[PLAYER],0)),"")</f>
        <v>7</v>
      </c>
      <c r="AH120" s="86">
        <f>VLOOKUP(TableWRRanks32[[#This Row],[Player]],WR!B:O,4,FALSE)</f>
        <v>0</v>
      </c>
      <c r="AI120" s="86">
        <f>VLOOKUP(TableWRRanks32[[#This Row],[Player]],WR!B:O,5,FALSE)</f>
        <v>0</v>
      </c>
      <c r="AJ120" s="86">
        <f>VLOOKUP(TableWRRanks32[[#This Row],[Player]],WR!B:O,6,FALSE)</f>
        <v>26.463372179999997</v>
      </c>
      <c r="AK120" s="86">
        <f>VLOOKUP(TableWRRanks32[[#This Row],[Player]],WR!B:O,7,FALSE)</f>
        <v>17.31956823776633</v>
      </c>
      <c r="AL120" s="86">
        <f>VLOOKUP(TableWRRanks32[[#This Row],[Player]],WR!B:O,8,FALSE)</f>
        <v>194.31528442811873</v>
      </c>
      <c r="AM120" s="86">
        <f>VLOOKUP(TableWRRanks32[[#This Row],[Player]],WR!B:O,9,FALSE)</f>
        <v>1.1777306401681105</v>
      </c>
      <c r="AN120" s="58">
        <f>IFERROR(INDEX(TableWRCalcPts[Custom],MATCH(TableWRRanks32[[#This Row],[RK]],TableWRCalcPts[RK],0)),"")</f>
        <v>35.157696402703706</v>
      </c>
      <c r="AO12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21" spans="16:41" x14ac:dyDescent="0.2">
      <c r="P121">
        <v>120</v>
      </c>
      <c r="Q121" t="str">
        <f>IFERROR(INDEX(TableRBCalcPts[PLAYER],MATCH(TableRBRanks31[[#This Row],[RK]],TableRBCalcPts[RK],0)),"")</f>
        <v/>
      </c>
      <c r="R121" t="str">
        <f>IFERROR(INDEX(TableRBCalcPts[TM],MATCH(TableRBRanks31[[#This Row],[Player]],TableRBCalcPts[PLAYER],0)),"")</f>
        <v/>
      </c>
      <c r="S121" t="str">
        <f>IFERROR(INDEX(TableRBCalcPts[BYE],MATCH(TableRBRanks31[[#This Row],[Player]],TableRBCalcPts[PLAYER],0)),"")</f>
        <v/>
      </c>
      <c r="T121" s="86" t="e">
        <f>VLOOKUP(TableRBRanks31[[#This Row],[Player]],RB!B:O,4,FALSE)</f>
        <v>#N/A</v>
      </c>
      <c r="U121" s="86" t="e">
        <f>VLOOKUP(TableRBRanks31[[#This Row],[Player]],RB!B:O,5,FALSE)</f>
        <v>#N/A</v>
      </c>
      <c r="V121" s="86" t="e">
        <f>VLOOKUP(TableRBRanks31[[#This Row],[Player]],RB!B:O,6,FALSE)</f>
        <v>#N/A</v>
      </c>
      <c r="W121" s="86" t="e">
        <f>VLOOKUP(TableRBRanks31[[#This Row],[Player]],RB!B:O,7,FALSE)</f>
        <v>#N/A</v>
      </c>
      <c r="X121" s="86" t="e">
        <f>VLOOKUP(TableRBRanks31[[#This Row],[Player]],RB!B:O,8,FALSE)</f>
        <v>#N/A</v>
      </c>
      <c r="Y121" s="86" t="e">
        <f>VLOOKUP(TableRBRanks31[[#This Row],[Player]],RB!B:O,9,FALSE)</f>
        <v>#N/A</v>
      </c>
      <c r="Z121" s="86" t="e">
        <f>VLOOKUP(TableRBRanks31[[#This Row],[Player]],RB!B:O,10,FALSE)</f>
        <v>#N/A</v>
      </c>
      <c r="AA121" s="58" t="str">
        <f>IFERROR(INDEX(TableRBCalcPts[Custom],MATCH(TableRBRanks31[[#This Row],[RK]],TableRBCalcPts[RK],0)),"")</f>
        <v/>
      </c>
      <c r="AB121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21">
        <v>120</v>
      </c>
      <c r="AE121" t="str">
        <f>IFERROR(INDEX(TableWRCalcPts[PLAYER],MATCH(TableWRRanks32[[#This Row],[RK]],TableWRCalcPts[RK],0)),"")</f>
        <v>Antoine Green</v>
      </c>
      <c r="AF121" t="str">
        <f>IFERROR(INDEX(TableWRCalcPts[TM],MATCH(TableWRRanks32[[#This Row],[Player]],TableWRCalcPts[PLAYER],0)),"")</f>
        <v>DET</v>
      </c>
      <c r="AG121">
        <f>IFERROR(INDEX(TableWRCalcPts[BYE],MATCH(TableWRRanks32[[#This Row],[Player]],TableWRCalcPts[PLAYER],0)),"")</f>
        <v>9</v>
      </c>
      <c r="AH121" s="86">
        <f>VLOOKUP(TableWRRanks32[[#This Row],[Player]],WR!B:O,4,FALSE)</f>
        <v>0</v>
      </c>
      <c r="AI121" s="86">
        <f>VLOOKUP(TableWRRanks32[[#This Row],[Player]],WR!B:O,5,FALSE)</f>
        <v>0</v>
      </c>
      <c r="AJ121" s="86">
        <f>VLOOKUP(TableWRRanks32[[#This Row],[Player]],WR!B:O,6,FALSE)</f>
        <v>25.878812959999994</v>
      </c>
      <c r="AK121" s="86">
        <f>VLOOKUP(TableWRRanks32[[#This Row],[Player]],WR!B:O,7,FALSE)</f>
        <v>15.630803027839995</v>
      </c>
      <c r="AL121" s="86">
        <f>VLOOKUP(TableWRRanks32[[#This Row],[Player]],WR!B:O,8,FALSE)</f>
        <v>198.51119845356794</v>
      </c>
      <c r="AM121" s="86">
        <f>VLOOKUP(TableWRRanks32[[#This Row],[Player]],WR!B:O,9,FALSE)</f>
        <v>1.2192026361715196</v>
      </c>
      <c r="AN121" s="58">
        <f>IFERROR(INDEX(TableWRCalcPts[Custom],MATCH(TableWRRanks32[[#This Row],[RK]],TableWRCalcPts[RK],0)),"")</f>
        <v>34.981737176305913</v>
      </c>
      <c r="AO12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22" spans="16:41" x14ac:dyDescent="0.2">
      <c r="P122">
        <v>121</v>
      </c>
      <c r="Q122" t="str">
        <f>IFERROR(INDEX(TableRBCalcPts[PLAYER],MATCH(TableRBRanks31[[#This Row],[RK]],TableRBCalcPts[RK],0)),"")</f>
        <v/>
      </c>
      <c r="R122" t="str">
        <f>IFERROR(INDEX(TableRBCalcPts[TM],MATCH(TableRBRanks31[[#This Row],[Player]],TableRBCalcPts[PLAYER],0)),"")</f>
        <v/>
      </c>
      <c r="S122" t="str">
        <f>IFERROR(INDEX(TableRBCalcPts[BYE],MATCH(TableRBRanks31[[#This Row],[Player]],TableRBCalcPts[PLAYER],0)),"")</f>
        <v/>
      </c>
      <c r="T122" s="86" t="e">
        <f>VLOOKUP(TableRBRanks31[[#This Row],[Player]],RB!B:O,4,FALSE)</f>
        <v>#N/A</v>
      </c>
      <c r="U122" s="86" t="e">
        <f>VLOOKUP(TableRBRanks31[[#This Row],[Player]],RB!B:O,5,FALSE)</f>
        <v>#N/A</v>
      </c>
      <c r="V122" s="86" t="e">
        <f>VLOOKUP(TableRBRanks31[[#This Row],[Player]],RB!B:O,6,FALSE)</f>
        <v>#N/A</v>
      </c>
      <c r="W122" s="86" t="e">
        <f>VLOOKUP(TableRBRanks31[[#This Row],[Player]],RB!B:O,7,FALSE)</f>
        <v>#N/A</v>
      </c>
      <c r="X122" s="86" t="e">
        <f>VLOOKUP(TableRBRanks31[[#This Row],[Player]],RB!B:O,8,FALSE)</f>
        <v>#N/A</v>
      </c>
      <c r="Y122" s="86" t="e">
        <f>VLOOKUP(TableRBRanks31[[#This Row],[Player]],RB!B:O,9,FALSE)</f>
        <v>#N/A</v>
      </c>
      <c r="Z122" s="86" t="e">
        <f>VLOOKUP(TableRBRanks31[[#This Row],[Player]],RB!B:O,10,FALSE)</f>
        <v>#N/A</v>
      </c>
      <c r="AA122" s="58" t="str">
        <f>IFERROR(INDEX(TableRBCalcPts[Custom],MATCH(TableRBRanks31[[#This Row],[RK]],TableRBCalcPts[RK],0)),"")</f>
        <v/>
      </c>
      <c r="AB122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22">
        <v>121</v>
      </c>
      <c r="AE122" t="str">
        <f>IFERROR(INDEX(TableWRCalcPts[PLAYER],MATCH(TableWRRanks32[[#This Row],[RK]],TableWRCalcPts[RK],0)),"")</f>
        <v>Brandon Johnson</v>
      </c>
      <c r="AF122" t="str">
        <f>IFERROR(INDEX(TableWRCalcPts[TM],MATCH(TableWRRanks32[[#This Row],[Player]],TableWRCalcPts[PLAYER],0)),"")</f>
        <v>DEN</v>
      </c>
      <c r="AG122">
        <f>IFERROR(INDEX(TableWRCalcPts[BYE],MATCH(TableWRRanks32[[#This Row],[Player]],TableWRCalcPts[PLAYER],0)),"")</f>
        <v>9</v>
      </c>
      <c r="AH122" s="86">
        <f>VLOOKUP(TableWRRanks32[[#This Row],[Player]],WR!B:O,4,FALSE)</f>
        <v>0</v>
      </c>
      <c r="AI122" s="86">
        <f>VLOOKUP(TableWRRanks32[[#This Row],[Player]],WR!B:O,5,FALSE)</f>
        <v>0</v>
      </c>
      <c r="AJ122" s="86">
        <f>VLOOKUP(TableWRRanks32[[#This Row],[Player]],WR!B:O,6,FALSE)</f>
        <v>27.512578800000004</v>
      </c>
      <c r="AK122" s="86">
        <f>VLOOKUP(TableWRRanks32[[#This Row],[Player]],WR!B:O,7,FALSE)</f>
        <v>15.214456076400003</v>
      </c>
      <c r="AL122" s="86">
        <f>VLOOKUP(TableWRRanks32[[#This Row],[Player]],WR!B:O,8,FALSE)</f>
        <v>190.33284551576403</v>
      </c>
      <c r="AM122" s="86">
        <f>VLOOKUP(TableWRRanks32[[#This Row],[Player]],WR!B:O,9,FALSE)</f>
        <v>1.2627998543412002</v>
      </c>
      <c r="AN122" s="58">
        <f>IFERROR(INDEX(TableWRCalcPts[Custom],MATCH(TableWRRanks32[[#This Row],[RK]],TableWRCalcPts[RK],0)),"")</f>
        <v>34.217311715823605</v>
      </c>
      <c r="AO12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23" spans="16:41" x14ac:dyDescent="0.2">
      <c r="P123">
        <v>122</v>
      </c>
      <c r="Q123" t="str">
        <f>IFERROR(INDEX(TableRBCalcPts[PLAYER],MATCH(TableRBRanks31[[#This Row],[RK]],TableRBCalcPts[RK],0)),"")</f>
        <v/>
      </c>
      <c r="R123" t="str">
        <f>IFERROR(INDEX(TableRBCalcPts[TM],MATCH(TableRBRanks31[[#This Row],[Player]],TableRBCalcPts[PLAYER],0)),"")</f>
        <v/>
      </c>
      <c r="S123" t="str">
        <f>IFERROR(INDEX(TableRBCalcPts[BYE],MATCH(TableRBRanks31[[#This Row],[Player]],TableRBCalcPts[PLAYER],0)),"")</f>
        <v/>
      </c>
      <c r="T123" s="86" t="e">
        <f>VLOOKUP(TableRBRanks31[[#This Row],[Player]],RB!B:O,4,FALSE)</f>
        <v>#N/A</v>
      </c>
      <c r="U123" s="86" t="e">
        <f>VLOOKUP(TableRBRanks31[[#This Row],[Player]],RB!B:O,5,FALSE)</f>
        <v>#N/A</v>
      </c>
      <c r="V123" s="86" t="e">
        <f>VLOOKUP(TableRBRanks31[[#This Row],[Player]],RB!B:O,6,FALSE)</f>
        <v>#N/A</v>
      </c>
      <c r="W123" s="86" t="e">
        <f>VLOOKUP(TableRBRanks31[[#This Row],[Player]],RB!B:O,7,FALSE)</f>
        <v>#N/A</v>
      </c>
      <c r="X123" s="86" t="e">
        <f>VLOOKUP(TableRBRanks31[[#This Row],[Player]],RB!B:O,8,FALSE)</f>
        <v>#N/A</v>
      </c>
      <c r="Y123" s="86" t="e">
        <f>VLOOKUP(TableRBRanks31[[#This Row],[Player]],RB!B:O,9,FALSE)</f>
        <v>#N/A</v>
      </c>
      <c r="Z123" s="86" t="e">
        <f>VLOOKUP(TableRBRanks31[[#This Row],[Player]],RB!B:O,10,FALSE)</f>
        <v>#N/A</v>
      </c>
      <c r="AA123" s="58" t="str">
        <f>IFERROR(INDEX(TableRBCalcPts[Custom],MATCH(TableRBRanks31[[#This Row],[RK]],TableRBCalcPts[RK],0)),"")</f>
        <v/>
      </c>
      <c r="AB123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23">
        <v>122</v>
      </c>
      <c r="AE123" t="str">
        <f>IFERROR(INDEX(TableWRCalcPts[PLAYER],MATCH(TableWRRanks32[[#This Row],[RK]],TableWRCalcPts[RK],0)),"")</f>
        <v>Deven Thompkins</v>
      </c>
      <c r="AF123" t="str">
        <f>IFERROR(INDEX(TableWRCalcPts[TM],MATCH(TableWRRanks32[[#This Row],[Player]],TableWRCalcPts[PLAYER],0)),"")</f>
        <v>TB</v>
      </c>
      <c r="AG123">
        <f>IFERROR(INDEX(TableWRCalcPts[BYE],MATCH(TableWRRanks32[[#This Row],[Player]],TableWRCalcPts[PLAYER],0)),"")</f>
        <v>5</v>
      </c>
      <c r="AH123" s="86">
        <f>VLOOKUP(TableWRRanks32[[#This Row],[Player]],WR!B:O,4,FALSE)</f>
        <v>0</v>
      </c>
      <c r="AI123" s="86">
        <f>VLOOKUP(TableWRRanks32[[#This Row],[Player]],WR!B:O,5,FALSE)</f>
        <v>0</v>
      </c>
      <c r="AJ123" s="86">
        <f>VLOOKUP(TableWRRanks32[[#This Row],[Player]],WR!B:O,6,FALSE)</f>
        <v>29.061061119999994</v>
      </c>
      <c r="AK123" s="86">
        <f>VLOOKUP(TableWRRanks32[[#This Row],[Player]],WR!B:O,7,FALSE)</f>
        <v>15.925461493759999</v>
      </c>
      <c r="AL123" s="86">
        <f>VLOOKUP(TableWRRanks32[[#This Row],[Player]],WR!B:O,8,FALSE)</f>
        <v>202.73112481556478</v>
      </c>
      <c r="AM123" s="86">
        <f>VLOOKUP(TableWRRanks32[[#This Row],[Player]],WR!B:O,9,FALSE)</f>
        <v>0.95552768962559986</v>
      </c>
      <c r="AN123" s="58">
        <f>IFERROR(INDEX(TableWRCalcPts[Custom],MATCH(TableWRRanks32[[#This Row],[RK]],TableWRCalcPts[RK],0)),"")</f>
        <v>33.969009366190079</v>
      </c>
      <c r="AO12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24" spans="16:41" x14ac:dyDescent="0.2">
      <c r="P124">
        <v>123</v>
      </c>
      <c r="Q124" t="str">
        <f>IFERROR(INDEX(TableRBCalcPts[PLAYER],MATCH(TableRBRanks31[[#This Row],[RK]],TableRBCalcPts[RK],0)),"")</f>
        <v/>
      </c>
      <c r="R124" t="str">
        <f>IFERROR(INDEX(TableRBCalcPts[TM],MATCH(TableRBRanks31[[#This Row],[Player]],TableRBCalcPts[PLAYER],0)),"")</f>
        <v/>
      </c>
      <c r="S124" t="str">
        <f>IFERROR(INDEX(TableRBCalcPts[BYE],MATCH(TableRBRanks31[[#This Row],[Player]],TableRBCalcPts[PLAYER],0)),"")</f>
        <v/>
      </c>
      <c r="T124" s="86" t="e">
        <f>VLOOKUP(TableRBRanks31[[#This Row],[Player]],RB!B:O,4,FALSE)</f>
        <v>#N/A</v>
      </c>
      <c r="U124" s="86" t="e">
        <f>VLOOKUP(TableRBRanks31[[#This Row],[Player]],RB!B:O,5,FALSE)</f>
        <v>#N/A</v>
      </c>
      <c r="V124" s="86" t="e">
        <f>VLOOKUP(TableRBRanks31[[#This Row],[Player]],RB!B:O,6,FALSE)</f>
        <v>#N/A</v>
      </c>
      <c r="W124" s="86" t="e">
        <f>VLOOKUP(TableRBRanks31[[#This Row],[Player]],RB!B:O,7,FALSE)</f>
        <v>#N/A</v>
      </c>
      <c r="X124" s="86" t="e">
        <f>VLOOKUP(TableRBRanks31[[#This Row],[Player]],RB!B:O,8,FALSE)</f>
        <v>#N/A</v>
      </c>
      <c r="Y124" s="86" t="e">
        <f>VLOOKUP(TableRBRanks31[[#This Row],[Player]],RB!B:O,9,FALSE)</f>
        <v>#N/A</v>
      </c>
      <c r="Z124" s="86" t="e">
        <f>VLOOKUP(TableRBRanks31[[#This Row],[Player]],RB!B:O,10,FALSE)</f>
        <v>#N/A</v>
      </c>
      <c r="AA124" s="58" t="str">
        <f>IFERROR(INDEX(TableRBCalcPts[Custom],MATCH(TableRBRanks31[[#This Row],[RK]],TableRBCalcPts[RK],0)),"")</f>
        <v/>
      </c>
      <c r="AB124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24">
        <v>123</v>
      </c>
      <c r="AE124" t="str">
        <f>IFERROR(INDEX(TableWRCalcPts[PLAYER],MATCH(TableWRRanks32[[#This Row],[RK]],TableWRCalcPts[RK],0)),"")</f>
        <v>Cedric Tillman</v>
      </c>
      <c r="AF124" t="str">
        <f>IFERROR(INDEX(TableWRCalcPts[TM],MATCH(TableWRRanks32[[#This Row],[Player]],TableWRCalcPts[PLAYER],0)),"")</f>
        <v>CLE</v>
      </c>
      <c r="AG124">
        <f>IFERROR(INDEX(TableWRCalcPts[BYE],MATCH(TableWRRanks32[[#This Row],[Player]],TableWRCalcPts[PLAYER],0)),"")</f>
        <v>5</v>
      </c>
      <c r="AH124" s="86">
        <f>VLOOKUP(TableWRRanks32[[#This Row],[Player]],WR!B:O,4,FALSE)</f>
        <v>0</v>
      </c>
      <c r="AI124" s="86">
        <f>VLOOKUP(TableWRRanks32[[#This Row],[Player]],WR!B:O,5,FALSE)</f>
        <v>0</v>
      </c>
      <c r="AJ124" s="86">
        <f>VLOOKUP(TableWRRanks32[[#This Row],[Player]],WR!B:O,6,FALSE)</f>
        <v>27.335561399999992</v>
      </c>
      <c r="AK124" s="86">
        <f>VLOOKUP(TableWRRanks32[[#This Row],[Player]],WR!B:O,7,FALSE)</f>
        <v>14.627987476215029</v>
      </c>
      <c r="AL124" s="86">
        <f>VLOOKUP(TableWRRanks32[[#This Row],[Player]],WR!B:O,8,FALSE)</f>
        <v>200.40342842414589</v>
      </c>
      <c r="AM124" s="86">
        <f>VLOOKUP(TableWRRanks32[[#This Row],[Player]],WR!B:O,9,FALSE)</f>
        <v>1.0970990607161271</v>
      </c>
      <c r="AN124" s="58">
        <f>IFERROR(INDEX(TableWRCalcPts[Custom],MATCH(TableWRRanks32[[#This Row],[RK]],TableWRCalcPts[RK],0)),"")</f>
        <v>33.936930944818862</v>
      </c>
      <c r="AO12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25" spans="16:41" x14ac:dyDescent="0.2">
      <c r="P125">
        <v>124</v>
      </c>
      <c r="Q125" t="str">
        <f>IFERROR(INDEX(TableRBCalcPts[PLAYER],MATCH(TableRBRanks31[[#This Row],[RK]],TableRBCalcPts[RK],0)),"")</f>
        <v/>
      </c>
      <c r="R125" t="str">
        <f>IFERROR(INDEX(TableRBCalcPts[TM],MATCH(TableRBRanks31[[#This Row],[Player]],TableRBCalcPts[PLAYER],0)),"")</f>
        <v/>
      </c>
      <c r="S125" t="str">
        <f>IFERROR(INDEX(TableRBCalcPts[BYE],MATCH(TableRBRanks31[[#This Row],[Player]],TableRBCalcPts[PLAYER],0)),"")</f>
        <v/>
      </c>
      <c r="T125" s="86" t="e">
        <f>VLOOKUP(TableRBRanks31[[#This Row],[Player]],RB!B:O,4,FALSE)</f>
        <v>#N/A</v>
      </c>
      <c r="U125" s="86" t="e">
        <f>VLOOKUP(TableRBRanks31[[#This Row],[Player]],RB!B:O,5,FALSE)</f>
        <v>#N/A</v>
      </c>
      <c r="V125" s="86" t="e">
        <f>VLOOKUP(TableRBRanks31[[#This Row],[Player]],RB!B:O,6,FALSE)</f>
        <v>#N/A</v>
      </c>
      <c r="W125" s="86" t="e">
        <f>VLOOKUP(TableRBRanks31[[#This Row],[Player]],RB!B:O,7,FALSE)</f>
        <v>#N/A</v>
      </c>
      <c r="X125" s="86" t="e">
        <f>VLOOKUP(TableRBRanks31[[#This Row],[Player]],RB!B:O,8,FALSE)</f>
        <v>#N/A</v>
      </c>
      <c r="Y125" s="86" t="e">
        <f>VLOOKUP(TableRBRanks31[[#This Row],[Player]],RB!B:O,9,FALSE)</f>
        <v>#N/A</v>
      </c>
      <c r="Z125" s="86" t="e">
        <f>VLOOKUP(TableRBRanks31[[#This Row],[Player]],RB!B:O,10,FALSE)</f>
        <v>#N/A</v>
      </c>
      <c r="AA125" s="58" t="str">
        <f>IFERROR(INDEX(TableRBCalcPts[Custom],MATCH(TableRBRanks31[[#This Row],[RK]],TableRBCalcPts[RK],0)),"")</f>
        <v/>
      </c>
      <c r="AB125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25">
        <v>124</v>
      </c>
      <c r="AE125" t="str">
        <f>IFERROR(INDEX(TableWRCalcPts[PLAYER],MATCH(TableWRRanks32[[#This Row],[RK]],TableWRCalcPts[RK],0)),"")</f>
        <v>Greg Dortch</v>
      </c>
      <c r="AF125" t="str">
        <f>IFERROR(INDEX(TableWRCalcPts[TM],MATCH(TableWRRanks32[[#This Row],[Player]],TableWRCalcPts[PLAYER],0)),"")</f>
        <v>ARI</v>
      </c>
      <c r="AG125">
        <f>IFERROR(INDEX(TableWRCalcPts[BYE],MATCH(TableWRRanks32[[#This Row],[Player]],TableWRCalcPts[PLAYER],0)),"")</f>
        <v>14</v>
      </c>
      <c r="AH125" s="86">
        <f>VLOOKUP(TableWRRanks32[[#This Row],[Player]],WR!B:O,4,FALSE)</f>
        <v>0</v>
      </c>
      <c r="AI125" s="86">
        <f>VLOOKUP(TableWRRanks32[[#This Row],[Player]],WR!B:O,5,FALSE)</f>
        <v>0</v>
      </c>
      <c r="AJ125" s="86">
        <f>VLOOKUP(TableWRRanks32[[#This Row],[Player]],WR!B:O,6,FALSE)</f>
        <v>29.424254999999999</v>
      </c>
      <c r="AK125" s="86">
        <f>VLOOKUP(TableWRRanks32[[#This Row],[Player]],WR!B:O,7,FALSE)</f>
        <v>19.567129574999999</v>
      </c>
      <c r="AL125" s="86">
        <f>VLOOKUP(TableWRRanks32[[#This Row],[Player]],WR!B:O,8,FALSE)</f>
        <v>184.71370318799998</v>
      </c>
      <c r="AM125" s="86">
        <f>VLOOKUP(TableWRRanks32[[#This Row],[Player]],WR!B:O,9,FALSE)</f>
        <v>0.93922221959999996</v>
      </c>
      <c r="AN125" s="58">
        <f>IFERROR(INDEX(TableWRCalcPts[Custom],MATCH(TableWRRanks32[[#This Row],[RK]],TableWRCalcPts[RK],0)),"")</f>
        <v>33.890268423899997</v>
      </c>
      <c r="AO12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26" spans="16:41" x14ac:dyDescent="0.2">
      <c r="P126">
        <v>125</v>
      </c>
      <c r="Q126" t="str">
        <f>IFERROR(INDEX(TableRBCalcPts[PLAYER],MATCH(TableRBRanks31[[#This Row],[RK]],TableRBCalcPts[RK],0)),"")</f>
        <v/>
      </c>
      <c r="R126" t="str">
        <f>IFERROR(INDEX(TableRBCalcPts[TM],MATCH(TableRBRanks31[[#This Row],[Player]],TableRBCalcPts[PLAYER],0)),"")</f>
        <v/>
      </c>
      <c r="S126" t="str">
        <f>IFERROR(INDEX(TableRBCalcPts[BYE],MATCH(TableRBRanks31[[#This Row],[Player]],TableRBCalcPts[PLAYER],0)),"")</f>
        <v/>
      </c>
      <c r="T126" s="86" t="e">
        <f>VLOOKUP(TableRBRanks31[[#This Row],[Player]],RB!B:O,4,FALSE)</f>
        <v>#N/A</v>
      </c>
      <c r="U126" s="86" t="e">
        <f>VLOOKUP(TableRBRanks31[[#This Row],[Player]],RB!B:O,5,FALSE)</f>
        <v>#N/A</v>
      </c>
      <c r="V126" s="86" t="e">
        <f>VLOOKUP(TableRBRanks31[[#This Row],[Player]],RB!B:O,6,FALSE)</f>
        <v>#N/A</v>
      </c>
      <c r="W126" s="86" t="e">
        <f>VLOOKUP(TableRBRanks31[[#This Row],[Player]],RB!B:O,7,FALSE)</f>
        <v>#N/A</v>
      </c>
      <c r="X126" s="86" t="e">
        <f>VLOOKUP(TableRBRanks31[[#This Row],[Player]],RB!B:O,8,FALSE)</f>
        <v>#N/A</v>
      </c>
      <c r="Y126" s="86" t="e">
        <f>VLOOKUP(TableRBRanks31[[#This Row],[Player]],RB!B:O,9,FALSE)</f>
        <v>#N/A</v>
      </c>
      <c r="Z126" s="86" t="e">
        <f>VLOOKUP(TableRBRanks31[[#This Row],[Player]],RB!B:O,10,FALSE)</f>
        <v>#N/A</v>
      </c>
      <c r="AA126" s="58" t="str">
        <f>IFERROR(INDEX(TableRBCalcPts[Custom],MATCH(TableRBRanks31[[#This Row],[RK]],TableRBCalcPts[RK],0)),"")</f>
        <v/>
      </c>
      <c r="AB126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26">
        <v>125</v>
      </c>
      <c r="AE126" t="str">
        <f>IFERROR(INDEX(TableWRCalcPts[PLAYER],MATCH(TableWRRanks32[[#This Row],[RK]],TableWRCalcPts[RK],0)),"")</f>
        <v>Jamal Agnew</v>
      </c>
      <c r="AF126" t="str">
        <f>IFERROR(INDEX(TableWRCalcPts[TM],MATCH(TableWRRanks32[[#This Row],[Player]],TableWRCalcPts[PLAYER],0)),"")</f>
        <v>JAX</v>
      </c>
      <c r="AG126">
        <f>IFERROR(INDEX(TableWRCalcPts[BYE],MATCH(TableWRRanks32[[#This Row],[Player]],TableWRCalcPts[PLAYER],0)),"")</f>
        <v>9</v>
      </c>
      <c r="AH126" s="86">
        <f>VLOOKUP(TableWRRanks32[[#This Row],[Player]],WR!B:O,4,FALSE)</f>
        <v>44.588742341925034</v>
      </c>
      <c r="AI126" s="86">
        <f>VLOOKUP(TableWRRanks32[[#This Row],[Player]],WR!B:O,5,FALSE)</f>
        <v>0.33533646220945618</v>
      </c>
      <c r="AJ126" s="86">
        <f>VLOOKUP(TableWRRanks32[[#This Row],[Player]],WR!B:O,6,FALSE)</f>
        <v>22.869544599999998</v>
      </c>
      <c r="AK126" s="86">
        <f>VLOOKUP(TableWRRanks32[[#This Row],[Player]],WR!B:O,7,FALSE)</f>
        <v>14.599334398252845</v>
      </c>
      <c r="AL126" s="86">
        <f>VLOOKUP(TableWRRanks32[[#This Row],[Player]],WR!B:O,8,FALSE)</f>
        <v>128.60373070278661</v>
      </c>
      <c r="AM126" s="86">
        <f>VLOOKUP(TableWRRanks32[[#This Row],[Player]],WR!B:O,9,FALSE)</f>
        <v>1.1679467518602276</v>
      </c>
      <c r="AN126" s="58">
        <f>IFERROR(INDEX(TableWRCalcPts[Custom],MATCH(TableWRRanks32[[#This Row],[RK]],TableWRCalcPts[RK],0)),"")</f>
        <v>33.638613788015689</v>
      </c>
      <c r="AO12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27" spans="16:41" x14ac:dyDescent="0.2">
      <c r="P127">
        <v>126</v>
      </c>
      <c r="Q127" t="str">
        <f>IFERROR(INDEX(TableRBCalcPts[PLAYER],MATCH(TableRBRanks31[[#This Row],[RK]],TableRBCalcPts[RK],0)),"")</f>
        <v/>
      </c>
      <c r="R127" t="str">
        <f>IFERROR(INDEX(TableRBCalcPts[TM],MATCH(TableRBRanks31[[#This Row],[Player]],TableRBCalcPts[PLAYER],0)),"")</f>
        <v/>
      </c>
      <c r="S127" t="str">
        <f>IFERROR(INDEX(TableRBCalcPts[BYE],MATCH(TableRBRanks31[[#This Row],[Player]],TableRBCalcPts[PLAYER],0)),"")</f>
        <v/>
      </c>
      <c r="T127" s="86" t="e">
        <f>VLOOKUP(TableRBRanks31[[#This Row],[Player]],RB!B:O,4,FALSE)</f>
        <v>#N/A</v>
      </c>
      <c r="U127" s="86" t="e">
        <f>VLOOKUP(TableRBRanks31[[#This Row],[Player]],RB!B:O,5,FALSE)</f>
        <v>#N/A</v>
      </c>
      <c r="V127" s="86" t="e">
        <f>VLOOKUP(TableRBRanks31[[#This Row],[Player]],RB!B:O,6,FALSE)</f>
        <v>#N/A</v>
      </c>
      <c r="W127" s="86" t="e">
        <f>VLOOKUP(TableRBRanks31[[#This Row],[Player]],RB!B:O,7,FALSE)</f>
        <v>#N/A</v>
      </c>
      <c r="X127" s="86" t="e">
        <f>VLOOKUP(TableRBRanks31[[#This Row],[Player]],RB!B:O,8,FALSE)</f>
        <v>#N/A</v>
      </c>
      <c r="Y127" s="86" t="e">
        <f>VLOOKUP(TableRBRanks31[[#This Row],[Player]],RB!B:O,9,FALSE)</f>
        <v>#N/A</v>
      </c>
      <c r="Z127" s="86" t="e">
        <f>VLOOKUP(TableRBRanks31[[#This Row],[Player]],RB!B:O,10,FALSE)</f>
        <v>#N/A</v>
      </c>
      <c r="AA127" s="58" t="str">
        <f>IFERROR(INDEX(TableRBCalcPts[Custom],MATCH(TableRBRanks31[[#This Row],[RK]],TableRBCalcPts[RK],0)),"")</f>
        <v/>
      </c>
      <c r="AB127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27">
        <v>126</v>
      </c>
      <c r="AE127" t="str">
        <f>IFERROR(INDEX(TableWRCalcPts[PLAYER],MATCH(TableWRRanks32[[#This Row],[RK]],TableWRCalcPts[RK],0)),"")</f>
        <v>Scott Miller</v>
      </c>
      <c r="AF127" t="str">
        <f>IFERROR(INDEX(TableWRCalcPts[TM],MATCH(TableWRRanks32[[#This Row],[Player]],TableWRCalcPts[PLAYER],0)),"")</f>
        <v>ATL</v>
      </c>
      <c r="AG127">
        <f>IFERROR(INDEX(TableWRCalcPts[BYE],MATCH(TableWRRanks32[[#This Row],[Player]],TableWRCalcPts[PLAYER],0)),"")</f>
        <v>11</v>
      </c>
      <c r="AH127" s="86">
        <f>VLOOKUP(TableWRRanks32[[#This Row],[Player]],WR!B:O,4,FALSE)</f>
        <v>0</v>
      </c>
      <c r="AI127" s="86">
        <f>VLOOKUP(TableWRRanks32[[#This Row],[Player]],WR!B:O,5,FALSE)</f>
        <v>0</v>
      </c>
      <c r="AJ127" s="86">
        <f>VLOOKUP(TableWRRanks32[[#This Row],[Player]],WR!B:O,6,FALSE)</f>
        <v>25.79447807999999</v>
      </c>
      <c r="AK127" s="86">
        <f>VLOOKUP(TableWRRanks32[[#This Row],[Player]],WR!B:O,7,FALSE)</f>
        <v>14.48358448003961</v>
      </c>
      <c r="AL127" s="86">
        <f>VLOOKUP(TableWRRanks32[[#This Row],[Player]],WR!B:O,8,FALSE)</f>
        <v>168.86476278993538</v>
      </c>
      <c r="AM127" s="86">
        <f>VLOOKUP(TableWRRanks32[[#This Row],[Player]],WR!B:O,9,FALSE)</f>
        <v>0.98488374464269357</v>
      </c>
      <c r="AN127" s="58">
        <f>IFERROR(INDEX(TableWRCalcPts[Custom],MATCH(TableWRRanks32[[#This Row],[RK]],TableWRCalcPts[RK],0)),"")</f>
        <v>30.037570986869504</v>
      </c>
      <c r="AO12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28" spans="16:41" x14ac:dyDescent="0.2">
      <c r="P128">
        <v>127</v>
      </c>
      <c r="Q128" t="str">
        <f>IFERROR(INDEX(TableRBCalcPts[PLAYER],MATCH(TableRBRanks31[[#This Row],[RK]],TableRBCalcPts[RK],0)),"")</f>
        <v/>
      </c>
      <c r="R128" t="str">
        <f>IFERROR(INDEX(TableRBCalcPts[TM],MATCH(TableRBRanks31[[#This Row],[Player]],TableRBCalcPts[PLAYER],0)),"")</f>
        <v/>
      </c>
      <c r="S128" t="str">
        <f>IFERROR(INDEX(TableRBCalcPts[BYE],MATCH(TableRBRanks31[[#This Row],[Player]],TableRBCalcPts[PLAYER],0)),"")</f>
        <v/>
      </c>
      <c r="T128" s="86" t="e">
        <f>VLOOKUP(TableRBRanks31[[#This Row],[Player]],RB!B:O,4,FALSE)</f>
        <v>#N/A</v>
      </c>
      <c r="U128" s="86" t="e">
        <f>VLOOKUP(TableRBRanks31[[#This Row],[Player]],RB!B:O,5,FALSE)</f>
        <v>#N/A</v>
      </c>
      <c r="V128" s="86" t="e">
        <f>VLOOKUP(TableRBRanks31[[#This Row],[Player]],RB!B:O,6,FALSE)</f>
        <v>#N/A</v>
      </c>
      <c r="W128" s="86" t="e">
        <f>VLOOKUP(TableRBRanks31[[#This Row],[Player]],RB!B:O,7,FALSE)</f>
        <v>#N/A</v>
      </c>
      <c r="X128" s="86" t="e">
        <f>VLOOKUP(TableRBRanks31[[#This Row],[Player]],RB!B:O,8,FALSE)</f>
        <v>#N/A</v>
      </c>
      <c r="Y128" s="86" t="e">
        <f>VLOOKUP(TableRBRanks31[[#This Row],[Player]],RB!B:O,9,FALSE)</f>
        <v>#N/A</v>
      </c>
      <c r="Z128" s="86" t="e">
        <f>VLOOKUP(TableRBRanks31[[#This Row],[Player]],RB!B:O,10,FALSE)</f>
        <v>#N/A</v>
      </c>
      <c r="AA128" s="58" t="str">
        <f>IFERROR(INDEX(TableRBCalcPts[Custom],MATCH(TableRBRanks31[[#This Row],[RK]],TableRBCalcPts[RK],0)),"")</f>
        <v/>
      </c>
      <c r="AB128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28">
        <v>127</v>
      </c>
      <c r="AE128" t="str">
        <f>IFERROR(INDEX(TableWRCalcPts[PLAYER],MATCH(TableWRRanks32[[#This Row],[RK]],TableWRCalcPts[RK],0)),"")</f>
        <v>Jalen Tolbert</v>
      </c>
      <c r="AF128" t="str">
        <f>IFERROR(INDEX(TableWRCalcPts[TM],MATCH(TableWRRanks32[[#This Row],[Player]],TableWRCalcPts[PLAYER],0)),"")</f>
        <v>DAL</v>
      </c>
      <c r="AG128">
        <f>IFERROR(INDEX(TableWRCalcPts[BYE],MATCH(TableWRRanks32[[#This Row],[Player]],TableWRCalcPts[PLAYER],0)),"")</f>
        <v>7</v>
      </c>
      <c r="AH128" s="86">
        <f>VLOOKUP(TableWRRanks32[[#This Row],[Player]],WR!B:O,4,FALSE)</f>
        <v>0</v>
      </c>
      <c r="AI128" s="86">
        <f>VLOOKUP(TableWRRanks32[[#This Row],[Player]],WR!B:O,5,FALSE)</f>
        <v>0</v>
      </c>
      <c r="AJ128" s="86">
        <f>VLOOKUP(TableWRRanks32[[#This Row],[Player]],WR!B:O,6,FALSE)</f>
        <v>25.706419200000003</v>
      </c>
      <c r="AK128" s="86">
        <f>VLOOKUP(TableWRRanks32[[#This Row],[Player]],WR!B:O,7,FALSE)</f>
        <v>14.047465550191733</v>
      </c>
      <c r="AL128" s="86">
        <f>VLOOKUP(TableWRRanks32[[#This Row],[Player]],WR!B:O,8,FALSE)</f>
        <v>176.43616731040817</v>
      </c>
      <c r="AM128" s="86">
        <f>VLOOKUP(TableWRRanks32[[#This Row],[Player]],WR!B:O,9,FALSE)</f>
        <v>0.84284793301150396</v>
      </c>
      <c r="AN128" s="58">
        <f>IFERROR(INDEX(TableWRCalcPts[Custom],MATCH(TableWRRanks32[[#This Row],[RK]],TableWRCalcPts[RK],0)),"")</f>
        <v>29.724437104205709</v>
      </c>
      <c r="AO12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29" spans="16:41" x14ac:dyDescent="0.2">
      <c r="P129">
        <v>128</v>
      </c>
      <c r="Q129" t="str">
        <f>IFERROR(INDEX(TableRBCalcPts[PLAYER],MATCH(TableRBRanks31[[#This Row],[RK]],TableRBCalcPts[RK],0)),"")</f>
        <v/>
      </c>
      <c r="R129" t="str">
        <f>IFERROR(INDEX(TableRBCalcPts[TM],MATCH(TableRBRanks31[[#This Row],[Player]],TableRBCalcPts[PLAYER],0)),"")</f>
        <v/>
      </c>
      <c r="S129" t="str">
        <f>IFERROR(INDEX(TableRBCalcPts[BYE],MATCH(TableRBRanks31[[#This Row],[Player]],TableRBCalcPts[PLAYER],0)),"")</f>
        <v/>
      </c>
      <c r="T129" s="86" t="e">
        <f>VLOOKUP(TableRBRanks31[[#This Row],[Player]],RB!B:O,4,FALSE)</f>
        <v>#N/A</v>
      </c>
      <c r="U129" s="86" t="e">
        <f>VLOOKUP(TableRBRanks31[[#This Row],[Player]],RB!B:O,5,FALSE)</f>
        <v>#N/A</v>
      </c>
      <c r="V129" s="86" t="e">
        <f>VLOOKUP(TableRBRanks31[[#This Row],[Player]],RB!B:O,6,FALSE)</f>
        <v>#N/A</v>
      </c>
      <c r="W129" s="86" t="e">
        <f>VLOOKUP(TableRBRanks31[[#This Row],[Player]],RB!B:O,7,FALSE)</f>
        <v>#N/A</v>
      </c>
      <c r="X129" s="86" t="e">
        <f>VLOOKUP(TableRBRanks31[[#This Row],[Player]],RB!B:O,8,FALSE)</f>
        <v>#N/A</v>
      </c>
      <c r="Y129" s="86" t="e">
        <f>VLOOKUP(TableRBRanks31[[#This Row],[Player]],RB!B:O,9,FALSE)</f>
        <v>#N/A</v>
      </c>
      <c r="Z129" s="86" t="e">
        <f>VLOOKUP(TableRBRanks31[[#This Row],[Player]],RB!B:O,10,FALSE)</f>
        <v>#N/A</v>
      </c>
      <c r="AA129" s="58" t="str">
        <f>IFERROR(INDEX(TableRBCalcPts[Custom],MATCH(TableRBRanks31[[#This Row],[RK]],TableRBCalcPts[RK],0)),"")</f>
        <v/>
      </c>
      <c r="AB129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29">
        <v>128</v>
      </c>
      <c r="AE129" t="str">
        <f>IFERROR(INDEX(TableWRCalcPts[PLAYER],MATCH(TableWRRanks32[[#This Row],[RK]],TableWRCalcPts[RK],0)),"")</f>
        <v>Zach Pascal</v>
      </c>
      <c r="AF129" t="str">
        <f>IFERROR(INDEX(TableWRCalcPts[TM],MATCH(TableWRRanks32[[#This Row],[Player]],TableWRCalcPts[PLAYER],0)),"")</f>
        <v>ARI</v>
      </c>
      <c r="AG129">
        <f>IFERROR(INDEX(TableWRCalcPts[BYE],MATCH(TableWRRanks32[[#This Row],[Player]],TableWRCalcPts[PLAYER],0)),"")</f>
        <v>14</v>
      </c>
      <c r="AH129" s="86">
        <f>VLOOKUP(TableWRRanks32[[#This Row],[Player]],WR!B:O,4,FALSE)</f>
        <v>0</v>
      </c>
      <c r="AI129" s="86">
        <f>VLOOKUP(TableWRRanks32[[#This Row],[Player]],WR!B:O,5,FALSE)</f>
        <v>0</v>
      </c>
      <c r="AJ129" s="86">
        <f>VLOOKUP(TableWRRanks32[[#This Row],[Player]],WR!B:O,6,FALSE)</f>
        <v>25.220790000000001</v>
      </c>
      <c r="AK129" s="86">
        <f>VLOOKUP(TableWRRanks32[[#This Row],[Player]],WR!B:O,7,FALSE)</f>
        <v>15.485565060000001</v>
      </c>
      <c r="AL129" s="86">
        <f>VLOOKUP(TableWRRanks32[[#This Row],[Player]],WR!B:O,8,FALSE)</f>
        <v>149.12599152780001</v>
      </c>
      <c r="AM129" s="86">
        <f>VLOOKUP(TableWRRanks32[[#This Row],[Player]],WR!B:O,9,FALSE)</f>
        <v>0.8517060783</v>
      </c>
      <c r="AN129" s="58">
        <f>IFERROR(INDEX(TableWRCalcPts[Custom],MATCH(TableWRRanks32[[#This Row],[RK]],TableWRCalcPts[RK],0)),"")</f>
        <v>27.765618152580004</v>
      </c>
      <c r="AO12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30" spans="16:41" x14ac:dyDescent="0.2">
      <c r="P130">
        <v>129</v>
      </c>
      <c r="Q130" t="str">
        <f>IFERROR(INDEX(TableRBCalcPts[PLAYER],MATCH(TableRBRanks31[[#This Row],[RK]],TableRBCalcPts[RK],0)),"")</f>
        <v/>
      </c>
      <c r="R130" t="str">
        <f>IFERROR(INDEX(TableRBCalcPts[TM],MATCH(TableRBRanks31[[#This Row],[Player]],TableRBCalcPts[PLAYER],0)),"")</f>
        <v/>
      </c>
      <c r="S130" t="str">
        <f>IFERROR(INDEX(TableRBCalcPts[BYE],MATCH(TableRBRanks31[[#This Row],[Player]],TableRBCalcPts[PLAYER],0)),"")</f>
        <v/>
      </c>
      <c r="T130" s="86" t="e">
        <f>VLOOKUP(TableRBRanks31[[#This Row],[Player]],RB!B:O,4,FALSE)</f>
        <v>#N/A</v>
      </c>
      <c r="U130" s="86" t="e">
        <f>VLOOKUP(TableRBRanks31[[#This Row],[Player]],RB!B:O,5,FALSE)</f>
        <v>#N/A</v>
      </c>
      <c r="V130" s="86" t="e">
        <f>VLOOKUP(TableRBRanks31[[#This Row],[Player]],RB!B:O,6,FALSE)</f>
        <v>#N/A</v>
      </c>
      <c r="W130" s="86" t="e">
        <f>VLOOKUP(TableRBRanks31[[#This Row],[Player]],RB!B:O,7,FALSE)</f>
        <v>#N/A</v>
      </c>
      <c r="X130" s="86" t="e">
        <f>VLOOKUP(TableRBRanks31[[#This Row],[Player]],RB!B:O,8,FALSE)</f>
        <v>#N/A</v>
      </c>
      <c r="Y130" s="86" t="e">
        <f>VLOOKUP(TableRBRanks31[[#This Row],[Player]],RB!B:O,9,FALSE)</f>
        <v>#N/A</v>
      </c>
      <c r="Z130" s="86" t="e">
        <f>VLOOKUP(TableRBRanks31[[#This Row],[Player]],RB!B:O,10,FALSE)</f>
        <v>#N/A</v>
      </c>
      <c r="AA130" s="58" t="str">
        <f>IFERROR(INDEX(TableRBCalcPts[Custom],MATCH(TableRBRanks31[[#This Row],[RK]],TableRBCalcPts[RK],0)),"")</f>
        <v/>
      </c>
      <c r="AB130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30">
        <v>129</v>
      </c>
      <c r="AE130" t="str">
        <f>IFERROR(INDEX(TableWRCalcPts[PLAYER],MATCH(TableWRRanks32[[#This Row],[RK]],TableWRCalcPts[RK],0)),"")</f>
        <v>River Cracraft</v>
      </c>
      <c r="AF130" t="str">
        <f>IFERROR(INDEX(TableWRCalcPts[TM],MATCH(TableWRRanks32[[#This Row],[Player]],TableWRCalcPts[PLAYER],0)),"")</f>
        <v>MIA</v>
      </c>
      <c r="AG130">
        <f>IFERROR(INDEX(TableWRCalcPts[BYE],MATCH(TableWRRanks32[[#This Row],[Player]],TableWRCalcPts[PLAYER],0)),"")</f>
        <v>10</v>
      </c>
      <c r="AH130" s="86">
        <f>VLOOKUP(TableWRRanks32[[#This Row],[Player]],WR!B:O,4,FALSE)</f>
        <v>0</v>
      </c>
      <c r="AI130" s="86">
        <f>VLOOKUP(TableWRRanks32[[#This Row],[Player]],WR!B:O,5,FALSE)</f>
        <v>0</v>
      </c>
      <c r="AJ130" s="86">
        <f>VLOOKUP(TableWRRanks32[[#This Row],[Player]],WR!B:O,6,FALSE)</f>
        <v>22.281189840000007</v>
      </c>
      <c r="AK130" s="86">
        <f>VLOOKUP(TableWRRanks32[[#This Row],[Player]],WR!B:O,7,FALSE)</f>
        <v>13.368713904000003</v>
      </c>
      <c r="AL130" s="86">
        <f>VLOOKUP(TableWRRanks32[[#This Row],[Player]],WR!B:O,8,FALSE)</f>
        <v>148.39272433440004</v>
      </c>
      <c r="AM130" s="86">
        <f>VLOOKUP(TableWRRanks32[[#This Row],[Player]],WR!B:O,9,FALSE)</f>
        <v>0.81549154814400016</v>
      </c>
      <c r="AN130" s="58">
        <f>IFERROR(INDEX(TableWRCalcPts[Custom],MATCH(TableWRRanks32[[#This Row],[RK]],TableWRCalcPts[RK],0)),"")</f>
        <v>26.416578674304006</v>
      </c>
      <c r="AO13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31" spans="16:41" x14ac:dyDescent="0.2">
      <c r="P131">
        <v>130</v>
      </c>
      <c r="Q131" t="str">
        <f>IFERROR(INDEX(TableRBCalcPts[PLAYER],MATCH(TableRBRanks31[[#This Row],[RK]],TableRBCalcPts[RK],0)),"")</f>
        <v/>
      </c>
      <c r="R131" t="str">
        <f>IFERROR(INDEX(TableRBCalcPts[TM],MATCH(TableRBRanks31[[#This Row],[Player]],TableRBCalcPts[PLAYER],0)),"")</f>
        <v/>
      </c>
      <c r="S131" t="str">
        <f>IFERROR(INDEX(TableRBCalcPts[BYE],MATCH(TableRBRanks31[[#This Row],[Player]],TableRBCalcPts[PLAYER],0)),"")</f>
        <v/>
      </c>
      <c r="T131" s="86" t="e">
        <f>VLOOKUP(TableRBRanks31[[#This Row],[Player]],RB!B:O,4,FALSE)</f>
        <v>#N/A</v>
      </c>
      <c r="U131" s="86" t="e">
        <f>VLOOKUP(TableRBRanks31[[#This Row],[Player]],RB!B:O,5,FALSE)</f>
        <v>#N/A</v>
      </c>
      <c r="V131" s="86" t="e">
        <f>VLOOKUP(TableRBRanks31[[#This Row],[Player]],RB!B:O,6,FALSE)</f>
        <v>#N/A</v>
      </c>
      <c r="W131" s="86" t="e">
        <f>VLOOKUP(TableRBRanks31[[#This Row],[Player]],RB!B:O,7,FALSE)</f>
        <v>#N/A</v>
      </c>
      <c r="X131" s="86" t="e">
        <f>VLOOKUP(TableRBRanks31[[#This Row],[Player]],RB!B:O,8,FALSE)</f>
        <v>#N/A</v>
      </c>
      <c r="Y131" s="86" t="e">
        <f>VLOOKUP(TableRBRanks31[[#This Row],[Player]],RB!B:O,9,FALSE)</f>
        <v>#N/A</v>
      </c>
      <c r="Z131" s="86" t="e">
        <f>VLOOKUP(TableRBRanks31[[#This Row],[Player]],RB!B:O,10,FALSE)</f>
        <v>#N/A</v>
      </c>
      <c r="AA131" s="58" t="str">
        <f>IFERROR(INDEX(TableRBCalcPts[Custom],MATCH(TableRBRanks31[[#This Row],[RK]],TableRBCalcPts[RK],0)),"")</f>
        <v/>
      </c>
      <c r="AB131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31">
        <v>130</v>
      </c>
      <c r="AE131" t="str">
        <f>IFERROR(INDEX(TableWRCalcPts[PLAYER],MATCH(TableWRRanks32[[#This Row],[RK]],TableWRCalcPts[RK],0)),"")</f>
        <v>Brandon Powell</v>
      </c>
      <c r="AF131" t="str">
        <f>IFERROR(INDEX(TableWRCalcPts[TM],MATCH(TableWRRanks32[[#This Row],[Player]],TableWRCalcPts[PLAYER],0)),"")</f>
        <v>MIN</v>
      </c>
      <c r="AG131">
        <f>IFERROR(INDEX(TableWRCalcPts[BYE],MATCH(TableWRRanks32[[#This Row],[Player]],TableWRCalcPts[PLAYER],0)),"")</f>
        <v>13</v>
      </c>
      <c r="AH131" s="86">
        <f>VLOOKUP(TableWRRanks32[[#This Row],[Player]],WR!B:O,4,FALSE)</f>
        <v>0</v>
      </c>
      <c r="AI131" s="86">
        <f>VLOOKUP(TableWRRanks32[[#This Row],[Player]],WR!B:O,5,FALSE)</f>
        <v>0</v>
      </c>
      <c r="AJ131" s="86">
        <f>VLOOKUP(TableWRRanks32[[#This Row],[Player]],WR!B:O,6,FALSE)</f>
        <v>22.197917279999995</v>
      </c>
      <c r="AK131" s="86">
        <f>VLOOKUP(TableWRRanks32[[#This Row],[Player]],WR!B:O,7,FALSE)</f>
        <v>13.096771195199997</v>
      </c>
      <c r="AL131" s="86">
        <f>VLOOKUP(TableWRRanks32[[#This Row],[Player]],WR!B:O,8,FALSE)</f>
        <v>156.11351264678396</v>
      </c>
      <c r="AM131" s="86">
        <f>VLOOKUP(TableWRRanks32[[#This Row],[Player]],WR!B:O,9,FALSE)</f>
        <v>0.69412887334559981</v>
      </c>
      <c r="AN131" s="58">
        <f>IFERROR(INDEX(TableWRCalcPts[Custom],MATCH(TableWRRanks32[[#This Row],[RK]],TableWRCalcPts[RK],0)),"")</f>
        <v>26.324510102351994</v>
      </c>
      <c r="AO13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32" spans="16:41" x14ac:dyDescent="0.2">
      <c r="P132">
        <v>131</v>
      </c>
      <c r="Q132" t="str">
        <f>IFERROR(INDEX(TableRBCalcPts[PLAYER],MATCH(TableRBRanks31[[#This Row],[RK]],TableRBCalcPts[RK],0)),"")</f>
        <v/>
      </c>
      <c r="R132" t="str">
        <f>IFERROR(INDEX(TableRBCalcPts[TM],MATCH(TableRBRanks31[[#This Row],[Player]],TableRBCalcPts[PLAYER],0)),"")</f>
        <v/>
      </c>
      <c r="S132" t="str">
        <f>IFERROR(INDEX(TableRBCalcPts[BYE],MATCH(TableRBRanks31[[#This Row],[Player]],TableRBCalcPts[PLAYER],0)),"")</f>
        <v/>
      </c>
      <c r="T132" s="86" t="e">
        <f>VLOOKUP(TableRBRanks31[[#This Row],[Player]],RB!B:O,4,FALSE)</f>
        <v>#N/A</v>
      </c>
      <c r="U132" s="86" t="e">
        <f>VLOOKUP(TableRBRanks31[[#This Row],[Player]],RB!B:O,5,FALSE)</f>
        <v>#N/A</v>
      </c>
      <c r="V132" s="86" t="e">
        <f>VLOOKUP(TableRBRanks31[[#This Row],[Player]],RB!B:O,6,FALSE)</f>
        <v>#N/A</v>
      </c>
      <c r="W132" s="86" t="e">
        <f>VLOOKUP(TableRBRanks31[[#This Row],[Player]],RB!B:O,7,FALSE)</f>
        <v>#N/A</v>
      </c>
      <c r="X132" s="86" t="e">
        <f>VLOOKUP(TableRBRanks31[[#This Row],[Player]],RB!B:O,8,FALSE)</f>
        <v>#N/A</v>
      </c>
      <c r="Y132" s="86" t="e">
        <f>VLOOKUP(TableRBRanks31[[#This Row],[Player]],RB!B:O,9,FALSE)</f>
        <v>#N/A</v>
      </c>
      <c r="Z132" s="86" t="e">
        <f>VLOOKUP(TableRBRanks31[[#This Row],[Player]],RB!B:O,10,FALSE)</f>
        <v>#N/A</v>
      </c>
      <c r="AA132" s="58" t="str">
        <f>IFERROR(INDEX(TableRBCalcPts[Custom],MATCH(TableRBRanks31[[#This Row],[RK]],TableRBCalcPts[RK],0)),"")</f>
        <v/>
      </c>
      <c r="AB132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32">
        <v>131</v>
      </c>
      <c r="AE132" t="str">
        <f>IFERROR(INDEX(TableWRCalcPts[PLAYER],MATCH(TableWRRanks32[[#This Row],[RK]],TableWRCalcPts[RK],0)),"")</f>
        <v>Jason Brownlee</v>
      </c>
      <c r="AF132" t="str">
        <f>IFERROR(INDEX(TableWRCalcPts[TM],MATCH(TableWRRanks32[[#This Row],[Player]],TableWRCalcPts[PLAYER],0)),"")</f>
        <v>NYJ</v>
      </c>
      <c r="AG132">
        <f>IFERROR(INDEX(TableWRCalcPts[BYE],MATCH(TableWRRanks32[[#This Row],[Player]],TableWRCalcPts[PLAYER],0)),"")</f>
        <v>7</v>
      </c>
      <c r="AH132" s="86">
        <f>VLOOKUP(TableWRRanks32[[#This Row],[Player]],WR!B:O,4,FALSE)</f>
        <v>0</v>
      </c>
      <c r="AI132" s="86">
        <f>VLOOKUP(TableWRRanks32[[#This Row],[Player]],WR!B:O,5,FALSE)</f>
        <v>0</v>
      </c>
      <c r="AJ132" s="86">
        <f>VLOOKUP(TableWRRanks32[[#This Row],[Player]],WR!B:O,6,FALSE)</f>
        <v>19.618899299999999</v>
      </c>
      <c r="AK132" s="86">
        <f>VLOOKUP(TableWRRanks32[[#This Row],[Player]],WR!B:O,7,FALSE)</f>
        <v>11.869434076499999</v>
      </c>
      <c r="AL132" s="86">
        <f>VLOOKUP(TableWRRanks32[[#This Row],[Player]],WR!B:O,8,FALSE)</f>
        <v>155.37089206138498</v>
      </c>
      <c r="AM132" s="86">
        <f>VLOOKUP(TableWRRanks32[[#This Row],[Player]],WR!B:O,9,FALSE)</f>
        <v>0.80712151720199998</v>
      </c>
      <c r="AN132" s="58">
        <f>IFERROR(INDEX(TableWRCalcPts[Custom],MATCH(TableWRRanks32[[#This Row],[RK]],TableWRCalcPts[RK],0)),"")</f>
        <v>26.314535347600497</v>
      </c>
      <c r="AO13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33" spans="16:41" x14ac:dyDescent="0.2">
      <c r="P133">
        <v>132</v>
      </c>
      <c r="Q133" t="str">
        <f>IFERROR(INDEX(TableRBCalcPts[PLAYER],MATCH(TableRBRanks31[[#This Row],[RK]],TableRBCalcPts[RK],0)),"")</f>
        <v/>
      </c>
      <c r="R133" t="str">
        <f>IFERROR(INDEX(TableRBCalcPts[TM],MATCH(TableRBRanks31[[#This Row],[Player]],TableRBCalcPts[PLAYER],0)),"")</f>
        <v/>
      </c>
      <c r="S133" t="str">
        <f>IFERROR(INDEX(TableRBCalcPts[BYE],MATCH(TableRBRanks31[[#This Row],[Player]],TableRBCalcPts[PLAYER],0)),"")</f>
        <v/>
      </c>
      <c r="T133" s="86" t="e">
        <f>VLOOKUP(TableRBRanks31[[#This Row],[Player]],RB!B:O,4,FALSE)</f>
        <v>#N/A</v>
      </c>
      <c r="U133" s="86" t="e">
        <f>VLOOKUP(TableRBRanks31[[#This Row],[Player]],RB!B:O,5,FALSE)</f>
        <v>#N/A</v>
      </c>
      <c r="V133" s="86" t="e">
        <f>VLOOKUP(TableRBRanks31[[#This Row],[Player]],RB!B:O,6,FALSE)</f>
        <v>#N/A</v>
      </c>
      <c r="W133" s="86" t="e">
        <f>VLOOKUP(TableRBRanks31[[#This Row],[Player]],RB!B:O,7,FALSE)</f>
        <v>#N/A</v>
      </c>
      <c r="X133" s="86" t="e">
        <f>VLOOKUP(TableRBRanks31[[#This Row],[Player]],RB!B:O,8,FALSE)</f>
        <v>#N/A</v>
      </c>
      <c r="Y133" s="86" t="e">
        <f>VLOOKUP(TableRBRanks31[[#This Row],[Player]],RB!B:O,9,FALSE)</f>
        <v>#N/A</v>
      </c>
      <c r="Z133" s="86" t="e">
        <f>VLOOKUP(TableRBRanks31[[#This Row],[Player]],RB!B:O,10,FALSE)</f>
        <v>#N/A</v>
      </c>
      <c r="AA133" s="58" t="str">
        <f>IFERROR(INDEX(TableRBCalcPts[Custom],MATCH(TableRBRanks31[[#This Row],[RK]],TableRBCalcPts[RK],0)),"")</f>
        <v/>
      </c>
      <c r="AB133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33">
        <v>132</v>
      </c>
      <c r="AE133" t="str">
        <f>IFERROR(INDEX(TableWRCalcPts[PLAYER],MATCH(TableWRRanks32[[#This Row],[RK]],TableWRCalcPts[RK],0)),"")</f>
        <v>Samori Toure</v>
      </c>
      <c r="AF133" t="str">
        <f>IFERROR(INDEX(TableWRCalcPts[TM],MATCH(TableWRRanks32[[#This Row],[Player]],TableWRCalcPts[PLAYER],0)),"")</f>
        <v>GB</v>
      </c>
      <c r="AG133">
        <f>IFERROR(INDEX(TableWRCalcPts[BYE],MATCH(TableWRRanks32[[#This Row],[Player]],TableWRCalcPts[PLAYER],0)),"")</f>
        <v>6</v>
      </c>
      <c r="AH133" s="86">
        <f>VLOOKUP(TableWRRanks32[[#This Row],[Player]],WR!B:O,4,FALSE)</f>
        <v>0</v>
      </c>
      <c r="AI133" s="86">
        <f>VLOOKUP(TableWRRanks32[[#This Row],[Player]],WR!B:O,5,FALSE)</f>
        <v>0</v>
      </c>
      <c r="AJ133" s="86">
        <f>VLOOKUP(TableWRRanks32[[#This Row],[Player]],WR!B:O,6,FALSE)</f>
        <v>19.648274800000003</v>
      </c>
      <c r="AK133" s="86">
        <f>VLOOKUP(TableWRRanks32[[#This Row],[Player]],WR!B:O,7,FALSE)</f>
        <v>12.704648106926047</v>
      </c>
      <c r="AL133" s="86">
        <f>VLOOKUP(TableWRRanks32[[#This Row],[Player]],WR!B:O,8,FALSE)</f>
        <v>159.02429591523125</v>
      </c>
      <c r="AM133" s="86">
        <f>VLOOKUP(TableWRRanks32[[#This Row],[Player]],WR!B:O,9,FALSE)</f>
        <v>0.62252775723937637</v>
      </c>
      <c r="AN133" s="58">
        <f>IFERROR(INDEX(TableWRCalcPts[Custom],MATCH(TableWRRanks32[[#This Row],[RK]],TableWRCalcPts[RK],0)),"")</f>
        <v>25.989920188422406</v>
      </c>
      <c r="AO13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34" spans="16:41" x14ac:dyDescent="0.2">
      <c r="P134">
        <v>133</v>
      </c>
      <c r="Q134" t="str">
        <f>IFERROR(INDEX(TableRBCalcPts[PLAYER],MATCH(TableRBRanks31[[#This Row],[RK]],TableRBCalcPts[RK],0)),"")</f>
        <v/>
      </c>
      <c r="R134" t="str">
        <f>IFERROR(INDEX(TableRBCalcPts[TM],MATCH(TableRBRanks31[[#This Row],[Player]],TableRBCalcPts[PLAYER],0)),"")</f>
        <v/>
      </c>
      <c r="S134" t="str">
        <f>IFERROR(INDEX(TableRBCalcPts[BYE],MATCH(TableRBRanks31[[#This Row],[Player]],TableRBCalcPts[PLAYER],0)),"")</f>
        <v/>
      </c>
      <c r="T134" s="86" t="e">
        <f>VLOOKUP(TableRBRanks31[[#This Row],[Player]],RB!B:O,4,FALSE)</f>
        <v>#N/A</v>
      </c>
      <c r="U134" s="86" t="e">
        <f>VLOOKUP(TableRBRanks31[[#This Row],[Player]],RB!B:O,5,FALSE)</f>
        <v>#N/A</v>
      </c>
      <c r="V134" s="86" t="e">
        <f>VLOOKUP(TableRBRanks31[[#This Row],[Player]],RB!B:O,6,FALSE)</f>
        <v>#N/A</v>
      </c>
      <c r="W134" s="86" t="e">
        <f>VLOOKUP(TableRBRanks31[[#This Row],[Player]],RB!B:O,7,FALSE)</f>
        <v>#N/A</v>
      </c>
      <c r="X134" s="86" t="e">
        <f>VLOOKUP(TableRBRanks31[[#This Row],[Player]],RB!B:O,8,FALSE)</f>
        <v>#N/A</v>
      </c>
      <c r="Y134" s="86" t="e">
        <f>VLOOKUP(TableRBRanks31[[#This Row],[Player]],RB!B:O,9,FALSE)</f>
        <v>#N/A</v>
      </c>
      <c r="Z134" s="86" t="e">
        <f>VLOOKUP(TableRBRanks31[[#This Row],[Player]],RB!B:O,10,FALSE)</f>
        <v>#N/A</v>
      </c>
      <c r="AA134" s="58" t="str">
        <f>IFERROR(INDEX(TableRBCalcPts[Custom],MATCH(TableRBRanks31[[#This Row],[RK]],TableRBCalcPts[RK],0)),"")</f>
        <v/>
      </c>
      <c r="AB134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34">
        <v>133</v>
      </c>
      <c r="AE134" t="str">
        <f>IFERROR(INDEX(TableWRCalcPts[PLAYER],MATCH(TableWRRanks32[[#This Row],[RK]],TableWRCalcPts[RK],0)),"")</f>
        <v>Nelson Agholor</v>
      </c>
      <c r="AF134" t="str">
        <f>IFERROR(INDEX(TableWRCalcPts[TM],MATCH(TableWRRanks32[[#This Row],[Player]],TableWRCalcPts[PLAYER],0)),"")</f>
        <v>BAL</v>
      </c>
      <c r="AG134">
        <f>IFERROR(INDEX(TableWRCalcPts[BYE],MATCH(TableWRRanks32[[#This Row],[Player]],TableWRCalcPts[PLAYER],0)),"")</f>
        <v>13</v>
      </c>
      <c r="AH134" s="86">
        <f>VLOOKUP(TableWRRanks32[[#This Row],[Player]],WR!B:O,4,FALSE)</f>
        <v>0</v>
      </c>
      <c r="AI134" s="86">
        <f>VLOOKUP(TableWRRanks32[[#This Row],[Player]],WR!B:O,5,FALSE)</f>
        <v>0</v>
      </c>
      <c r="AJ134" s="86">
        <f>VLOOKUP(TableWRRanks32[[#This Row],[Player]],WR!B:O,6,FALSE)</f>
        <v>20.31561168</v>
      </c>
      <c r="AK134" s="86">
        <f>VLOOKUP(TableWRRanks32[[#This Row],[Player]],WR!B:O,7,FALSE)</f>
        <v>11.714933023967783</v>
      </c>
      <c r="AL134" s="86">
        <f>VLOOKUP(TableWRRanks32[[#This Row],[Player]],WR!B:O,8,FALSE)</f>
        <v>146.43666279959729</v>
      </c>
      <c r="AM134" s="86">
        <f>VLOOKUP(TableWRRanks32[[#This Row],[Player]],WR!B:O,9,FALSE)</f>
        <v>0.69118104841409911</v>
      </c>
      <c r="AN134" s="58">
        <f>IFERROR(INDEX(TableWRCalcPts[Custom],MATCH(TableWRRanks32[[#This Row],[RK]],TableWRCalcPts[RK],0)),"")</f>
        <v>24.648219082428216</v>
      </c>
      <c r="AO13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35" spans="16:41" x14ac:dyDescent="0.2">
      <c r="P135">
        <v>134</v>
      </c>
      <c r="Q135" t="str">
        <f>IFERROR(INDEX(TableRBCalcPts[PLAYER],MATCH(TableRBRanks31[[#This Row],[RK]],TableRBCalcPts[RK],0)),"")</f>
        <v/>
      </c>
      <c r="R135" t="str">
        <f>IFERROR(INDEX(TableRBCalcPts[TM],MATCH(TableRBRanks31[[#This Row],[Player]],TableRBCalcPts[PLAYER],0)),"")</f>
        <v/>
      </c>
      <c r="S135" t="str">
        <f>IFERROR(INDEX(TableRBCalcPts[BYE],MATCH(TableRBRanks31[[#This Row],[Player]],TableRBCalcPts[PLAYER],0)),"")</f>
        <v/>
      </c>
      <c r="T135" s="86" t="e">
        <f>VLOOKUP(TableRBRanks31[[#This Row],[Player]],RB!B:O,4,FALSE)</f>
        <v>#N/A</v>
      </c>
      <c r="U135" s="86" t="e">
        <f>VLOOKUP(TableRBRanks31[[#This Row],[Player]],RB!B:O,5,FALSE)</f>
        <v>#N/A</v>
      </c>
      <c r="V135" s="86" t="e">
        <f>VLOOKUP(TableRBRanks31[[#This Row],[Player]],RB!B:O,6,FALSE)</f>
        <v>#N/A</v>
      </c>
      <c r="W135" s="86" t="e">
        <f>VLOOKUP(TableRBRanks31[[#This Row],[Player]],RB!B:O,7,FALSE)</f>
        <v>#N/A</v>
      </c>
      <c r="X135" s="86" t="e">
        <f>VLOOKUP(TableRBRanks31[[#This Row],[Player]],RB!B:O,8,FALSE)</f>
        <v>#N/A</v>
      </c>
      <c r="Y135" s="86" t="e">
        <f>VLOOKUP(TableRBRanks31[[#This Row],[Player]],RB!B:O,9,FALSE)</f>
        <v>#N/A</v>
      </c>
      <c r="Z135" s="86" t="e">
        <f>VLOOKUP(TableRBRanks31[[#This Row],[Player]],RB!B:O,10,FALSE)</f>
        <v>#N/A</v>
      </c>
      <c r="AA135" s="58" t="str">
        <f>IFERROR(INDEX(TableRBCalcPts[Custom],MATCH(TableRBRanks31[[#This Row],[RK]],TableRBCalcPts[RK],0)),"")</f>
        <v/>
      </c>
      <c r="AB135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35">
        <v>134</v>
      </c>
      <c r="AE135" t="str">
        <f>IFERROR(INDEX(TableWRCalcPts[PLAYER],MATCH(TableWRRanks32[[#This Row],[RK]],TableWRCalcPts[RK],0)),"")</f>
        <v>A.T. Perry</v>
      </c>
      <c r="AF135" t="str">
        <f>IFERROR(INDEX(TableWRCalcPts[TM],MATCH(TableWRRanks32[[#This Row],[Player]],TableWRCalcPts[PLAYER],0)),"")</f>
        <v>NO</v>
      </c>
      <c r="AG135">
        <f>IFERROR(INDEX(TableWRCalcPts[BYE],MATCH(TableWRRanks32[[#This Row],[Player]],TableWRCalcPts[PLAYER],0)),"")</f>
        <v>11</v>
      </c>
      <c r="AH135" s="86">
        <f>VLOOKUP(TableWRRanks32[[#This Row],[Player]],WR!B:O,4,FALSE)</f>
        <v>0</v>
      </c>
      <c r="AI135" s="86">
        <f>VLOOKUP(TableWRRanks32[[#This Row],[Player]],WR!B:O,5,FALSE)</f>
        <v>0</v>
      </c>
      <c r="AJ135" s="86">
        <f>VLOOKUP(TableWRRanks32[[#This Row],[Player]],WR!B:O,6,FALSE)</f>
        <v>20.444497163999998</v>
      </c>
      <c r="AK135" s="86">
        <f>VLOOKUP(TableWRRanks32[[#This Row],[Player]],WR!B:O,7,FALSE)</f>
        <v>11.089302089134792</v>
      </c>
      <c r="AL135" s="86">
        <f>VLOOKUP(TableWRRanks32[[#This Row],[Player]],WR!B:O,8,FALSE)</f>
        <v>146.37878757657924</v>
      </c>
      <c r="AM135" s="86">
        <f>VLOOKUP(TableWRRanks32[[#This Row],[Player]],WR!B:O,9,FALSE)</f>
        <v>0.72080463579376153</v>
      </c>
      <c r="AN135" s="58">
        <f>IFERROR(INDEX(TableWRCalcPts[Custom],MATCH(TableWRRanks32[[#This Row],[RK]],TableWRCalcPts[RK],0)),"")</f>
        <v>24.507357616987889</v>
      </c>
      <c r="AO13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36" spans="16:41" x14ac:dyDescent="0.2">
      <c r="P136">
        <v>135</v>
      </c>
      <c r="Q136" t="str">
        <f>IFERROR(INDEX(TableRBCalcPts[PLAYER],MATCH(TableRBRanks31[[#This Row],[RK]],TableRBCalcPts[RK],0)),"")</f>
        <v/>
      </c>
      <c r="R136" t="str">
        <f>IFERROR(INDEX(TableRBCalcPts[TM],MATCH(TableRBRanks31[[#This Row],[Player]],TableRBCalcPts[PLAYER],0)),"")</f>
        <v/>
      </c>
      <c r="S136" t="str">
        <f>IFERROR(INDEX(TableRBCalcPts[BYE],MATCH(TableRBRanks31[[#This Row],[Player]],TableRBCalcPts[PLAYER],0)),"")</f>
        <v/>
      </c>
      <c r="T136" s="86" t="e">
        <f>VLOOKUP(TableRBRanks31[[#This Row],[Player]],RB!B:O,4,FALSE)</f>
        <v>#N/A</v>
      </c>
      <c r="U136" s="86" t="e">
        <f>VLOOKUP(TableRBRanks31[[#This Row],[Player]],RB!B:O,5,FALSE)</f>
        <v>#N/A</v>
      </c>
      <c r="V136" s="86" t="e">
        <f>VLOOKUP(TableRBRanks31[[#This Row],[Player]],RB!B:O,6,FALSE)</f>
        <v>#N/A</v>
      </c>
      <c r="W136" s="86" t="e">
        <f>VLOOKUP(TableRBRanks31[[#This Row],[Player]],RB!B:O,7,FALSE)</f>
        <v>#N/A</v>
      </c>
      <c r="X136" s="86" t="e">
        <f>VLOOKUP(TableRBRanks31[[#This Row],[Player]],RB!B:O,8,FALSE)</f>
        <v>#N/A</v>
      </c>
      <c r="Y136" s="86" t="e">
        <f>VLOOKUP(TableRBRanks31[[#This Row],[Player]],RB!B:O,9,FALSE)</f>
        <v>#N/A</v>
      </c>
      <c r="Z136" s="86" t="e">
        <f>VLOOKUP(TableRBRanks31[[#This Row],[Player]],RB!B:O,10,FALSE)</f>
        <v>#N/A</v>
      </c>
      <c r="AA136" s="58" t="str">
        <f>IFERROR(INDEX(TableRBCalcPts[Custom],MATCH(TableRBRanks31[[#This Row],[RK]],TableRBCalcPts[RK],0)),"")</f>
        <v/>
      </c>
      <c r="AB136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36">
        <v>135</v>
      </c>
      <c r="AE136" t="str">
        <f>IFERROR(INDEX(TableWRCalcPts[PLAYER],MATCH(TableWRRanks32[[#This Row],[RK]],TableWRCalcPts[RK],0)),"")</f>
        <v>Dyami Brown</v>
      </c>
      <c r="AF136" t="str">
        <f>IFERROR(INDEX(TableWRCalcPts[TM],MATCH(TableWRRanks32[[#This Row],[Player]],TableWRCalcPts[PLAYER],0)),"")</f>
        <v>WSH</v>
      </c>
      <c r="AG136">
        <f>IFERROR(INDEX(TableWRCalcPts[BYE],MATCH(TableWRRanks32[[#This Row],[Player]],TableWRCalcPts[PLAYER],0)),"")</f>
        <v>14</v>
      </c>
      <c r="AH136" s="86">
        <f>VLOOKUP(TableWRRanks32[[#This Row],[Player]],WR!B:O,4,FALSE)</f>
        <v>0</v>
      </c>
      <c r="AI136" s="86">
        <f>VLOOKUP(TableWRRanks32[[#This Row],[Player]],WR!B:O,5,FALSE)</f>
        <v>0</v>
      </c>
      <c r="AJ136" s="86">
        <f>VLOOKUP(TableWRRanks32[[#This Row],[Player]],WR!B:O,6,FALSE)</f>
        <v>20.652613100000003</v>
      </c>
      <c r="AK136" s="86">
        <f>VLOOKUP(TableWRRanks32[[#This Row],[Player]],WR!B:O,7,FALSE)</f>
        <v>12.012129533312951</v>
      </c>
      <c r="AL136" s="86">
        <f>VLOOKUP(TableWRRanks32[[#This Row],[Player]],WR!B:O,8,FALSE)</f>
        <v>151.83331730107571</v>
      </c>
      <c r="AM136" s="86">
        <f>VLOOKUP(TableWRRanks32[[#This Row],[Player]],WR!B:O,9,FALSE)</f>
        <v>0.5165215699324569</v>
      </c>
      <c r="AN136" s="58">
        <f>IFERROR(INDEX(TableWRCalcPts[Custom],MATCH(TableWRRanks32[[#This Row],[RK]],TableWRCalcPts[RK],0)),"")</f>
        <v>24.28852591635879</v>
      </c>
      <c r="AO13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37" spans="16:41" x14ac:dyDescent="0.2">
      <c r="P137">
        <v>136</v>
      </c>
      <c r="Q137" t="str">
        <f>IFERROR(INDEX(TableRBCalcPts[PLAYER],MATCH(TableRBRanks31[[#This Row],[RK]],TableRBCalcPts[RK],0)),"")</f>
        <v/>
      </c>
      <c r="R137" t="str">
        <f>IFERROR(INDEX(TableRBCalcPts[TM],MATCH(TableRBRanks31[[#This Row],[Player]],TableRBCalcPts[PLAYER],0)),"")</f>
        <v/>
      </c>
      <c r="S137" t="str">
        <f>IFERROR(INDEX(TableRBCalcPts[BYE],MATCH(TableRBRanks31[[#This Row],[Player]],TableRBCalcPts[PLAYER],0)),"")</f>
        <v/>
      </c>
      <c r="T137" s="86" t="e">
        <f>VLOOKUP(TableRBRanks31[[#This Row],[Player]],RB!B:O,4,FALSE)</f>
        <v>#N/A</v>
      </c>
      <c r="U137" s="86" t="e">
        <f>VLOOKUP(TableRBRanks31[[#This Row],[Player]],RB!B:O,5,FALSE)</f>
        <v>#N/A</v>
      </c>
      <c r="V137" s="86" t="e">
        <f>VLOOKUP(TableRBRanks31[[#This Row],[Player]],RB!B:O,6,FALSE)</f>
        <v>#N/A</v>
      </c>
      <c r="W137" s="86" t="e">
        <f>VLOOKUP(TableRBRanks31[[#This Row],[Player]],RB!B:O,7,FALSE)</f>
        <v>#N/A</v>
      </c>
      <c r="X137" s="86" t="e">
        <f>VLOOKUP(TableRBRanks31[[#This Row],[Player]],RB!B:O,8,FALSE)</f>
        <v>#N/A</v>
      </c>
      <c r="Y137" s="86" t="e">
        <f>VLOOKUP(TableRBRanks31[[#This Row],[Player]],RB!B:O,9,FALSE)</f>
        <v>#N/A</v>
      </c>
      <c r="Z137" s="86" t="e">
        <f>VLOOKUP(TableRBRanks31[[#This Row],[Player]],RB!B:O,10,FALSE)</f>
        <v>#N/A</v>
      </c>
      <c r="AA137" s="58" t="str">
        <f>IFERROR(INDEX(TableRBCalcPts[Custom],MATCH(TableRBRanks31[[#This Row],[RK]],TableRBCalcPts[RK],0)),"")</f>
        <v/>
      </c>
      <c r="AB137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37">
        <v>136</v>
      </c>
      <c r="AE137" t="str">
        <f>IFERROR(INDEX(TableWRCalcPts[PLAYER],MATCH(TableWRRanks32[[#This Row],[RK]],TableWRCalcPts[RK],0)),"")</f>
        <v>Tyler Scott</v>
      </c>
      <c r="AF137" t="str">
        <f>IFERROR(INDEX(TableWRCalcPts[TM],MATCH(TableWRRanks32[[#This Row],[Player]],TableWRCalcPts[PLAYER],0)),"")</f>
        <v>CHI</v>
      </c>
      <c r="AG137">
        <f>IFERROR(INDEX(TableWRCalcPts[BYE],MATCH(TableWRRanks32[[#This Row],[Player]],TableWRCalcPts[PLAYER],0)),"")</f>
        <v>13</v>
      </c>
      <c r="AH137" s="86">
        <f>VLOOKUP(TableWRRanks32[[#This Row],[Player]],WR!B:O,4,FALSE)</f>
        <v>0</v>
      </c>
      <c r="AI137" s="86">
        <f>VLOOKUP(TableWRRanks32[[#This Row],[Player]],WR!B:O,5,FALSE)</f>
        <v>0</v>
      </c>
      <c r="AJ137" s="86">
        <f>VLOOKUP(TableWRRanks32[[#This Row],[Player]],WR!B:O,6,FALSE)</f>
        <v>18.357830399999997</v>
      </c>
      <c r="AK137" s="86">
        <f>VLOOKUP(TableWRRanks32[[#This Row],[Player]],WR!B:O,7,FALSE)</f>
        <v>9.7623569176099245</v>
      </c>
      <c r="AL137" s="86">
        <f>VLOOKUP(TableWRRanks32[[#This Row],[Player]],WR!B:O,8,FALSE)</f>
        <v>141.60490254511797</v>
      </c>
      <c r="AM137" s="86">
        <f>VLOOKUP(TableWRRanks32[[#This Row],[Player]],WR!B:O,9,FALSE)</f>
        <v>0.63455319964464507</v>
      </c>
      <c r="AN137" s="58">
        <f>IFERROR(INDEX(TableWRCalcPts[Custom],MATCH(TableWRRanks32[[#This Row],[RK]],TableWRCalcPts[RK],0)),"")</f>
        <v>22.848987911184629</v>
      </c>
      <c r="AO13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38" spans="16:41" x14ac:dyDescent="0.2">
      <c r="P138">
        <v>137</v>
      </c>
      <c r="Q138" t="str">
        <f>IFERROR(INDEX(TableRBCalcPts[PLAYER],MATCH(TableRBRanks31[[#This Row],[RK]],TableRBCalcPts[RK],0)),"")</f>
        <v/>
      </c>
      <c r="R138" t="str">
        <f>IFERROR(INDEX(TableRBCalcPts[TM],MATCH(TableRBRanks31[[#This Row],[Player]],TableRBCalcPts[PLAYER],0)),"")</f>
        <v/>
      </c>
      <c r="S138" t="str">
        <f>IFERROR(INDEX(TableRBCalcPts[BYE],MATCH(TableRBRanks31[[#This Row],[Player]],TableRBCalcPts[PLAYER],0)),"")</f>
        <v/>
      </c>
      <c r="T138" s="86" t="e">
        <f>VLOOKUP(TableRBRanks31[[#This Row],[Player]],RB!B:O,4,FALSE)</f>
        <v>#N/A</v>
      </c>
      <c r="U138" s="86" t="e">
        <f>VLOOKUP(TableRBRanks31[[#This Row],[Player]],RB!B:O,5,FALSE)</f>
        <v>#N/A</v>
      </c>
      <c r="V138" s="86" t="e">
        <f>VLOOKUP(TableRBRanks31[[#This Row],[Player]],RB!B:O,6,FALSE)</f>
        <v>#N/A</v>
      </c>
      <c r="W138" s="86" t="e">
        <f>VLOOKUP(TableRBRanks31[[#This Row],[Player]],RB!B:O,7,FALSE)</f>
        <v>#N/A</v>
      </c>
      <c r="X138" s="86" t="e">
        <f>VLOOKUP(TableRBRanks31[[#This Row],[Player]],RB!B:O,8,FALSE)</f>
        <v>#N/A</v>
      </c>
      <c r="Y138" s="86" t="e">
        <f>VLOOKUP(TableRBRanks31[[#This Row],[Player]],RB!B:O,9,FALSE)</f>
        <v>#N/A</v>
      </c>
      <c r="Z138" s="86" t="e">
        <f>VLOOKUP(TableRBRanks31[[#This Row],[Player]],RB!B:O,10,FALSE)</f>
        <v>#N/A</v>
      </c>
      <c r="AA138" s="58" t="str">
        <f>IFERROR(INDEX(TableRBCalcPts[Custom],MATCH(TableRBRanks31[[#This Row],[RK]],TableRBCalcPts[RK],0)),"")</f>
        <v/>
      </c>
      <c r="AB138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38">
        <v>137</v>
      </c>
      <c r="AE138" t="str">
        <f>IFERROR(INDEX(TableWRCalcPts[PLAYER],MATCH(TableWRRanks32[[#This Row],[RK]],TableWRCalcPts[RK],0)),"")</f>
        <v>Tre'Quan Smith</v>
      </c>
      <c r="AF138" t="str">
        <f>IFERROR(INDEX(TableWRCalcPts[TM],MATCH(TableWRRanks32[[#This Row],[Player]],TableWRCalcPts[PLAYER],0)),"")</f>
        <v>NO</v>
      </c>
      <c r="AG138">
        <f>IFERROR(INDEX(TableWRCalcPts[BYE],MATCH(TableWRRanks32[[#This Row],[Player]],TableWRCalcPts[PLAYER],0)),"")</f>
        <v>11</v>
      </c>
      <c r="AH138" s="86">
        <f>VLOOKUP(TableWRRanks32[[#This Row],[Player]],WR!B:O,4,FALSE)</f>
        <v>0</v>
      </c>
      <c r="AI138" s="86">
        <f>VLOOKUP(TableWRRanks32[[#This Row],[Player]],WR!B:O,5,FALSE)</f>
        <v>0</v>
      </c>
      <c r="AJ138" s="86">
        <f>VLOOKUP(TableWRRanks32[[#This Row],[Player]],WR!B:O,6,FALSE)</f>
        <v>17.823407784</v>
      </c>
      <c r="AK138" s="86">
        <f>VLOOKUP(TableWRRanks32[[#This Row],[Player]],WR!B:O,7,FALSE)</f>
        <v>10.78316170932</v>
      </c>
      <c r="AL138" s="86">
        <f>VLOOKUP(TableWRRanks32[[#This Row],[Player]],WR!B:O,8,FALSE)</f>
        <v>140.18110222115999</v>
      </c>
      <c r="AM138" s="86">
        <f>VLOOKUP(TableWRRanks32[[#This Row],[Player]],WR!B:O,9,FALSE)</f>
        <v>0.53915808546599997</v>
      </c>
      <c r="AN138" s="58">
        <f>IFERROR(INDEX(TableWRCalcPts[Custom],MATCH(TableWRRanks32[[#This Row],[RK]],TableWRCalcPts[RK],0)),"")</f>
        <v>22.644639589571998</v>
      </c>
      <c r="AO13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39" spans="16:41" x14ac:dyDescent="0.2">
      <c r="P139">
        <v>138</v>
      </c>
      <c r="Q139" t="str">
        <f>IFERROR(INDEX(TableRBCalcPts[PLAYER],MATCH(TableRBRanks31[[#This Row],[RK]],TableRBCalcPts[RK],0)),"")</f>
        <v/>
      </c>
      <c r="R139" t="str">
        <f>IFERROR(INDEX(TableRBCalcPts[TM],MATCH(TableRBRanks31[[#This Row],[Player]],TableRBCalcPts[PLAYER],0)),"")</f>
        <v/>
      </c>
      <c r="S139" t="str">
        <f>IFERROR(INDEX(TableRBCalcPts[BYE],MATCH(TableRBRanks31[[#This Row],[Player]],TableRBCalcPts[PLAYER],0)),"")</f>
        <v/>
      </c>
      <c r="T139" s="86" t="e">
        <f>VLOOKUP(TableRBRanks31[[#This Row],[Player]],RB!B:O,4,FALSE)</f>
        <v>#N/A</v>
      </c>
      <c r="U139" s="86" t="e">
        <f>VLOOKUP(TableRBRanks31[[#This Row],[Player]],RB!B:O,5,FALSE)</f>
        <v>#N/A</v>
      </c>
      <c r="V139" s="86" t="e">
        <f>VLOOKUP(TableRBRanks31[[#This Row],[Player]],RB!B:O,6,FALSE)</f>
        <v>#N/A</v>
      </c>
      <c r="W139" s="86" t="e">
        <f>VLOOKUP(TableRBRanks31[[#This Row],[Player]],RB!B:O,7,FALSE)</f>
        <v>#N/A</v>
      </c>
      <c r="X139" s="86" t="e">
        <f>VLOOKUP(TableRBRanks31[[#This Row],[Player]],RB!B:O,8,FALSE)</f>
        <v>#N/A</v>
      </c>
      <c r="Y139" s="86" t="e">
        <f>VLOOKUP(TableRBRanks31[[#This Row],[Player]],RB!B:O,9,FALSE)</f>
        <v>#N/A</v>
      </c>
      <c r="Z139" s="86" t="e">
        <f>VLOOKUP(TableRBRanks31[[#This Row],[Player]],RB!B:O,10,FALSE)</f>
        <v>#N/A</v>
      </c>
      <c r="AA139" s="58" t="str">
        <f>IFERROR(INDEX(TableRBCalcPts[Custom],MATCH(TableRBRanks31[[#This Row],[RK]],TableRBCalcPts[RK],0)),"")</f>
        <v/>
      </c>
      <c r="AB139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39">
        <v>138</v>
      </c>
      <c r="AE139" t="str">
        <f>IFERROR(INDEX(TableWRCalcPts[PLAYER],MATCH(TableWRRanks32[[#This Row],[RK]],TableWRCalcPts[RK],0)),"")</f>
        <v>Jake Bobo</v>
      </c>
      <c r="AF139" t="str">
        <f>IFERROR(INDEX(TableWRCalcPts[TM],MATCH(TableWRRanks32[[#This Row],[Player]],TableWRCalcPts[PLAYER],0)),"")</f>
        <v>SEA</v>
      </c>
      <c r="AG139">
        <f>IFERROR(INDEX(TableWRCalcPts[BYE],MATCH(TableWRRanks32[[#This Row],[Player]],TableWRCalcPts[PLAYER],0)),"")</f>
        <v>5</v>
      </c>
      <c r="AH139" s="86">
        <f>VLOOKUP(TableWRRanks32[[#This Row],[Player]],WR!B:O,4,FALSE)</f>
        <v>0</v>
      </c>
      <c r="AI139" s="86">
        <f>VLOOKUP(TableWRRanks32[[#This Row],[Player]],WR!B:O,5,FALSE)</f>
        <v>0</v>
      </c>
      <c r="AJ139" s="86">
        <f>VLOOKUP(TableWRRanks32[[#This Row],[Player]],WR!B:O,6,FALSE)</f>
        <v>18.20539728</v>
      </c>
      <c r="AK139" s="86">
        <f>VLOOKUP(TableWRRanks32[[#This Row],[Player]],WR!B:O,7,FALSE)</f>
        <v>11.17811392992</v>
      </c>
      <c r="AL139" s="86">
        <f>VLOOKUP(TableWRRanks32[[#This Row],[Player]],WR!B:O,8,FALSE)</f>
        <v>114.57566778168</v>
      </c>
      <c r="AM139" s="86">
        <f>VLOOKUP(TableWRRanks32[[#This Row],[Player]],WR!B:O,9,FALSE)</f>
        <v>0.73775551937472006</v>
      </c>
      <c r="AN139" s="58">
        <f>IFERROR(INDEX(TableWRCalcPts[Custom],MATCH(TableWRRanks32[[#This Row],[RK]],TableWRCalcPts[RK],0)),"")</f>
        <v>21.473156859376324</v>
      </c>
      <c r="AO13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40" spans="16:41" x14ac:dyDescent="0.2">
      <c r="P140">
        <v>139</v>
      </c>
      <c r="Q140" t="str">
        <f>IFERROR(INDEX(TableRBCalcPts[PLAYER],MATCH(TableRBRanks31[[#This Row],[RK]],TableRBCalcPts[RK],0)),"")</f>
        <v/>
      </c>
      <c r="R140" t="str">
        <f>IFERROR(INDEX(TableRBCalcPts[TM],MATCH(TableRBRanks31[[#This Row],[Player]],TableRBCalcPts[PLAYER],0)),"")</f>
        <v/>
      </c>
      <c r="S140" t="str">
        <f>IFERROR(INDEX(TableRBCalcPts[BYE],MATCH(TableRBRanks31[[#This Row],[Player]],TableRBCalcPts[PLAYER],0)),"")</f>
        <v/>
      </c>
      <c r="T140" s="86" t="e">
        <f>VLOOKUP(TableRBRanks31[[#This Row],[Player]],RB!B:O,4,FALSE)</f>
        <v>#N/A</v>
      </c>
      <c r="U140" s="86" t="e">
        <f>VLOOKUP(TableRBRanks31[[#This Row],[Player]],RB!B:O,5,FALSE)</f>
        <v>#N/A</v>
      </c>
      <c r="V140" s="86" t="e">
        <f>VLOOKUP(TableRBRanks31[[#This Row],[Player]],RB!B:O,6,FALSE)</f>
        <v>#N/A</v>
      </c>
      <c r="W140" s="86" t="e">
        <f>VLOOKUP(TableRBRanks31[[#This Row],[Player]],RB!B:O,7,FALSE)</f>
        <v>#N/A</v>
      </c>
      <c r="X140" s="86" t="e">
        <f>VLOOKUP(TableRBRanks31[[#This Row],[Player]],RB!B:O,8,FALSE)</f>
        <v>#N/A</v>
      </c>
      <c r="Y140" s="86" t="e">
        <f>VLOOKUP(TableRBRanks31[[#This Row],[Player]],RB!B:O,9,FALSE)</f>
        <v>#N/A</v>
      </c>
      <c r="Z140" s="86" t="e">
        <f>VLOOKUP(TableRBRanks31[[#This Row],[Player]],RB!B:O,10,FALSE)</f>
        <v>#N/A</v>
      </c>
      <c r="AA140" s="58" t="str">
        <f>IFERROR(INDEX(TableRBCalcPts[Custom],MATCH(TableRBRanks31[[#This Row],[RK]],TableRBCalcPts[RK],0)),"")</f>
        <v/>
      </c>
      <c r="AB140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40">
        <v>139</v>
      </c>
      <c r="AE140" t="str">
        <f>IFERROR(INDEX(TableWRCalcPts[PLAYER],MATCH(TableWRRanks32[[#This Row],[RK]],TableWRCalcPts[RK],0)),"")</f>
        <v>Parker Washington</v>
      </c>
      <c r="AF140" t="str">
        <f>IFERROR(INDEX(TableWRCalcPts[TM],MATCH(TableWRRanks32[[#This Row],[Player]],TableWRCalcPts[PLAYER],0)),"")</f>
        <v>JAX</v>
      </c>
      <c r="AG140">
        <f>IFERROR(INDEX(TableWRCalcPts[BYE],MATCH(TableWRRanks32[[#This Row],[Player]],TableWRCalcPts[PLAYER],0)),"")</f>
        <v>9</v>
      </c>
      <c r="AH140" s="86">
        <f>VLOOKUP(TableWRRanks32[[#This Row],[Player]],WR!B:O,4,FALSE)</f>
        <v>0</v>
      </c>
      <c r="AI140" s="86">
        <f>VLOOKUP(TableWRRanks32[[#This Row],[Player]],WR!B:O,5,FALSE)</f>
        <v>0</v>
      </c>
      <c r="AJ140" s="86">
        <f>VLOOKUP(TableWRRanks32[[#This Row],[Player]],WR!B:O,6,FALSE)</f>
        <v>16.070490799999998</v>
      </c>
      <c r="AK140" s="86">
        <f>VLOOKUP(TableWRRanks32[[#This Row],[Player]],WR!B:O,7,FALSE)</f>
        <v>9.3530256455999989</v>
      </c>
      <c r="AL140" s="86">
        <f>VLOOKUP(TableWRRanks32[[#This Row],[Player]],WR!B:O,8,FALSE)</f>
        <v>121.21521236697599</v>
      </c>
      <c r="AM140" s="86">
        <f>VLOOKUP(TableWRRanks32[[#This Row],[Player]],WR!B:O,9,FALSE)</f>
        <v>0.7669481029391999</v>
      </c>
      <c r="AN140" s="58">
        <f>IFERROR(INDEX(TableWRCalcPts[Custom],MATCH(TableWRRanks32[[#This Row],[RK]],TableWRCalcPts[RK],0)),"")</f>
        <v>21.3997226771328</v>
      </c>
      <c r="AO14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41" spans="16:41" x14ac:dyDescent="0.2">
      <c r="P141">
        <v>140</v>
      </c>
      <c r="Q141" t="str">
        <f>IFERROR(INDEX(TableRBCalcPts[PLAYER],MATCH(TableRBRanks31[[#This Row],[RK]],TableRBCalcPts[RK],0)),"")</f>
        <v/>
      </c>
      <c r="R141" t="str">
        <f>IFERROR(INDEX(TableRBCalcPts[TM],MATCH(TableRBRanks31[[#This Row],[Player]],TableRBCalcPts[PLAYER],0)),"")</f>
        <v/>
      </c>
      <c r="S141" t="str">
        <f>IFERROR(INDEX(TableRBCalcPts[BYE],MATCH(TableRBRanks31[[#This Row],[Player]],TableRBCalcPts[PLAYER],0)),"")</f>
        <v/>
      </c>
      <c r="T141" s="86" t="e">
        <f>VLOOKUP(TableRBRanks31[[#This Row],[Player]],RB!B:O,4,FALSE)</f>
        <v>#N/A</v>
      </c>
      <c r="U141" s="86" t="e">
        <f>VLOOKUP(TableRBRanks31[[#This Row],[Player]],RB!B:O,5,FALSE)</f>
        <v>#N/A</v>
      </c>
      <c r="V141" s="86" t="e">
        <f>VLOOKUP(TableRBRanks31[[#This Row],[Player]],RB!B:O,6,FALSE)</f>
        <v>#N/A</v>
      </c>
      <c r="W141" s="86" t="e">
        <f>VLOOKUP(TableRBRanks31[[#This Row],[Player]],RB!B:O,7,FALSE)</f>
        <v>#N/A</v>
      </c>
      <c r="X141" s="86" t="e">
        <f>VLOOKUP(TableRBRanks31[[#This Row],[Player]],RB!B:O,8,FALSE)</f>
        <v>#N/A</v>
      </c>
      <c r="Y141" s="86" t="e">
        <f>VLOOKUP(TableRBRanks31[[#This Row],[Player]],RB!B:O,9,FALSE)</f>
        <v>#N/A</v>
      </c>
      <c r="Z141" s="86" t="e">
        <f>VLOOKUP(TableRBRanks31[[#This Row],[Player]],RB!B:O,10,FALSE)</f>
        <v>#N/A</v>
      </c>
      <c r="AA141" s="58" t="str">
        <f>IFERROR(INDEX(TableRBCalcPts[Custom],MATCH(TableRBRanks31[[#This Row],[RK]],TableRBCalcPts[RK],0)),"")</f>
        <v/>
      </c>
      <c r="AB141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41">
        <v>140</v>
      </c>
      <c r="AE141" t="str">
        <f>IFERROR(INDEX(TableWRCalcPts[PLAYER],MATCH(TableWRRanks32[[#This Row],[RK]],TableWRCalcPts[RK],0)),"")</f>
        <v>Chris Moore</v>
      </c>
      <c r="AF141" t="str">
        <f>IFERROR(INDEX(TableWRCalcPts[TM],MATCH(TableWRRanks32[[#This Row],[Player]],TableWRCalcPts[PLAYER],0)),"")</f>
        <v>TEN</v>
      </c>
      <c r="AG141">
        <f>IFERROR(INDEX(TableWRCalcPts[BYE],MATCH(TableWRRanks32[[#This Row],[Player]],TableWRCalcPts[PLAYER],0)),"")</f>
        <v>7</v>
      </c>
      <c r="AH141" s="86">
        <f>VLOOKUP(TableWRRanks32[[#This Row],[Player]],WR!B:O,4,FALSE)</f>
        <v>0</v>
      </c>
      <c r="AI141" s="86">
        <f>VLOOKUP(TableWRRanks32[[#This Row],[Player]],WR!B:O,5,FALSE)</f>
        <v>0</v>
      </c>
      <c r="AJ141" s="86">
        <f>VLOOKUP(TableWRRanks32[[#This Row],[Player]],WR!B:O,6,FALSE)</f>
        <v>20.039270299999998</v>
      </c>
      <c r="AK141" s="86">
        <f>VLOOKUP(TableWRRanks32[[#This Row],[Player]],WR!B:O,7,FALSE)</f>
        <v>11.442423341299998</v>
      </c>
      <c r="AL141" s="86">
        <f>VLOOKUP(TableWRRanks32[[#This Row],[Player]],WR!B:O,8,FALSE)</f>
        <v>119.00120274951998</v>
      </c>
      <c r="AM141" s="86">
        <f>VLOOKUP(TableWRRanks32[[#This Row],[Player]],WR!B:O,9,FALSE)</f>
        <v>0.60644843708889984</v>
      </c>
      <c r="AN141" s="58">
        <f>IFERROR(INDEX(TableWRCalcPts[Custom],MATCH(TableWRRanks32[[#This Row],[RK]],TableWRCalcPts[RK],0)),"")</f>
        <v>21.260022568135398</v>
      </c>
      <c r="AO14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42" spans="16:41" x14ac:dyDescent="0.2">
      <c r="P142">
        <v>141</v>
      </c>
      <c r="Q142" t="str">
        <f>IFERROR(INDEX(TableRBCalcPts[PLAYER],MATCH(TableRBRanks31[[#This Row],[RK]],TableRBCalcPts[RK],0)),"")</f>
        <v/>
      </c>
      <c r="R142" t="str">
        <f>IFERROR(INDEX(TableRBCalcPts[TM],MATCH(TableRBRanks31[[#This Row],[Player]],TableRBCalcPts[PLAYER],0)),"")</f>
        <v/>
      </c>
      <c r="S142" t="str">
        <f>IFERROR(INDEX(TableRBCalcPts[BYE],MATCH(TableRBRanks31[[#This Row],[Player]],TableRBCalcPts[PLAYER],0)),"")</f>
        <v/>
      </c>
      <c r="T142" s="86" t="e">
        <f>VLOOKUP(TableRBRanks31[[#This Row],[Player]],RB!B:O,4,FALSE)</f>
        <v>#N/A</v>
      </c>
      <c r="U142" s="86" t="e">
        <f>VLOOKUP(TableRBRanks31[[#This Row],[Player]],RB!B:O,5,FALSE)</f>
        <v>#N/A</v>
      </c>
      <c r="V142" s="86" t="e">
        <f>VLOOKUP(TableRBRanks31[[#This Row],[Player]],RB!B:O,6,FALSE)</f>
        <v>#N/A</v>
      </c>
      <c r="W142" s="86" t="e">
        <f>VLOOKUP(TableRBRanks31[[#This Row],[Player]],RB!B:O,7,FALSE)</f>
        <v>#N/A</v>
      </c>
      <c r="X142" s="86" t="e">
        <f>VLOOKUP(TableRBRanks31[[#This Row],[Player]],RB!B:O,8,FALSE)</f>
        <v>#N/A</v>
      </c>
      <c r="Y142" s="86" t="e">
        <f>VLOOKUP(TableRBRanks31[[#This Row],[Player]],RB!B:O,9,FALSE)</f>
        <v>#N/A</v>
      </c>
      <c r="Z142" s="86" t="e">
        <f>VLOOKUP(TableRBRanks31[[#This Row],[Player]],RB!B:O,10,FALSE)</f>
        <v>#N/A</v>
      </c>
      <c r="AA142" s="58" t="str">
        <f>IFERROR(INDEX(TableRBCalcPts[Custom],MATCH(TableRBRanks31[[#This Row],[RK]],TableRBCalcPts[RK],0)),"")</f>
        <v/>
      </c>
      <c r="AB142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42">
        <v>141</v>
      </c>
      <c r="AE142" t="str">
        <f>IFERROR(INDEX(TableWRCalcPts[PLAYER],MATCH(TableWRRanks32[[#This Row],[RK]],TableWRCalcPts[RK],0)),"")</f>
        <v>Josh Ali</v>
      </c>
      <c r="AF142" t="str">
        <f>IFERROR(INDEX(TableWRCalcPts[TM],MATCH(TableWRRanks32[[#This Row],[Player]],TableWRCalcPts[PLAYER],0)),"")</f>
        <v>ATL</v>
      </c>
      <c r="AG142">
        <f>IFERROR(INDEX(TableWRCalcPts[BYE],MATCH(TableWRRanks32[[#This Row],[Player]],TableWRCalcPts[PLAYER],0)),"")</f>
        <v>11</v>
      </c>
      <c r="AH142" s="86">
        <f>VLOOKUP(TableWRRanks32[[#This Row],[Player]],WR!B:O,4,FALSE)</f>
        <v>0</v>
      </c>
      <c r="AI142" s="86">
        <f>VLOOKUP(TableWRRanks32[[#This Row],[Player]],WR!B:O,5,FALSE)</f>
        <v>0</v>
      </c>
      <c r="AJ142" s="86">
        <f>VLOOKUP(TableWRRanks32[[#This Row],[Player]],WR!B:O,6,FALSE)</f>
        <v>20.230963199999994</v>
      </c>
      <c r="AK142" s="86">
        <f>VLOOKUP(TableWRRanks32[[#This Row],[Player]],WR!B:O,7,FALSE)</f>
        <v>10.666547924945423</v>
      </c>
      <c r="AL142" s="86">
        <f>VLOOKUP(TableWRRanks32[[#This Row],[Player]],WR!B:O,8,FALSE)</f>
        <v>115.02676799212875</v>
      </c>
      <c r="AM142" s="86">
        <f>VLOOKUP(TableWRRanks32[[#This Row],[Player]],WR!B:O,9,FALSE)</f>
        <v>0.71465871097134337</v>
      </c>
      <c r="AN142" s="58">
        <f>IFERROR(INDEX(TableWRCalcPts[Custom],MATCH(TableWRRanks32[[#This Row],[RK]],TableWRCalcPts[RK],0)),"")</f>
        <v>21.123903027513649</v>
      </c>
      <c r="AO14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43" spans="16:41" x14ac:dyDescent="0.2">
      <c r="P143">
        <v>142</v>
      </c>
      <c r="Q143" t="str">
        <f>IFERROR(INDEX(TableRBCalcPts[PLAYER],MATCH(TableRBRanks31[[#This Row],[RK]],TableRBCalcPts[RK],0)),"")</f>
        <v/>
      </c>
      <c r="R143" t="str">
        <f>IFERROR(INDEX(TableRBCalcPts[TM],MATCH(TableRBRanks31[[#This Row],[Player]],TableRBCalcPts[PLAYER],0)),"")</f>
        <v/>
      </c>
      <c r="S143" t="str">
        <f>IFERROR(INDEX(TableRBCalcPts[BYE],MATCH(TableRBRanks31[[#This Row],[Player]],TableRBCalcPts[PLAYER],0)),"")</f>
        <v/>
      </c>
      <c r="T143" s="86" t="e">
        <f>VLOOKUP(TableRBRanks31[[#This Row],[Player]],RB!B:O,4,FALSE)</f>
        <v>#N/A</v>
      </c>
      <c r="U143" s="86" t="e">
        <f>VLOOKUP(TableRBRanks31[[#This Row],[Player]],RB!B:O,5,FALSE)</f>
        <v>#N/A</v>
      </c>
      <c r="V143" s="86" t="e">
        <f>VLOOKUP(TableRBRanks31[[#This Row],[Player]],RB!B:O,6,FALSE)</f>
        <v>#N/A</v>
      </c>
      <c r="W143" s="86" t="e">
        <f>VLOOKUP(TableRBRanks31[[#This Row],[Player]],RB!B:O,7,FALSE)</f>
        <v>#N/A</v>
      </c>
      <c r="X143" s="86" t="e">
        <f>VLOOKUP(TableRBRanks31[[#This Row],[Player]],RB!B:O,8,FALSE)</f>
        <v>#N/A</v>
      </c>
      <c r="Y143" s="86" t="e">
        <f>VLOOKUP(TableRBRanks31[[#This Row],[Player]],RB!B:O,9,FALSE)</f>
        <v>#N/A</v>
      </c>
      <c r="Z143" s="86" t="e">
        <f>VLOOKUP(TableRBRanks31[[#This Row],[Player]],RB!B:O,10,FALSE)</f>
        <v>#N/A</v>
      </c>
      <c r="AA143" s="58" t="str">
        <f>IFERROR(INDEX(TableRBCalcPts[Custom],MATCH(TableRBRanks31[[#This Row],[RK]],TableRBCalcPts[RK],0)),"")</f>
        <v/>
      </c>
      <c r="AB143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43">
        <v>142</v>
      </c>
      <c r="AE143" t="str">
        <f>IFERROR(INDEX(TableWRCalcPts[PLAYER],MATCH(TableWRRanks32[[#This Row],[RK]],TableWRCalcPts[RK],0)),"")</f>
        <v>Calvin Austin</v>
      </c>
      <c r="AF143" t="str">
        <f>IFERROR(INDEX(TableWRCalcPts[TM],MATCH(TableWRRanks32[[#This Row],[Player]],TableWRCalcPts[PLAYER],0)),"")</f>
        <v>PIT</v>
      </c>
      <c r="AG143">
        <f>IFERROR(INDEX(TableWRCalcPts[BYE],MATCH(TableWRRanks32[[#This Row],[Player]],TableWRCalcPts[PLAYER],0)),"")</f>
        <v>6</v>
      </c>
      <c r="AH143" s="86">
        <f>VLOOKUP(TableWRRanks32[[#This Row],[Player]],WR!B:O,4,FALSE)</f>
        <v>0</v>
      </c>
      <c r="AI143" s="86">
        <f>VLOOKUP(TableWRRanks32[[#This Row],[Player]],WR!B:O,5,FALSE)</f>
        <v>0</v>
      </c>
      <c r="AJ143" s="86">
        <f>VLOOKUP(TableWRRanks32[[#This Row],[Player]],WR!B:O,6,FALSE)</f>
        <v>19.046481300000004</v>
      </c>
      <c r="AK143" s="86">
        <f>VLOOKUP(TableWRRanks32[[#This Row],[Player]],WR!B:O,7,FALSE)</f>
        <v>11.488192096317984</v>
      </c>
      <c r="AL143" s="86">
        <f>VLOOKUP(TableWRRanks32[[#This Row],[Player]],WR!B:O,8,FALSE)</f>
        <v>115.22656672606938</v>
      </c>
      <c r="AM143" s="86">
        <f>VLOOKUP(TableWRRanks32[[#This Row],[Player]],WR!B:O,9,FALSE)</f>
        <v>0.48250406804535539</v>
      </c>
      <c r="AN143" s="58">
        <f>IFERROR(INDEX(TableWRCalcPts[Custom],MATCH(TableWRRanks32[[#This Row],[RK]],TableWRCalcPts[RK],0)),"")</f>
        <v>20.161777129038061</v>
      </c>
      <c r="AO14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44" spans="16:41" x14ac:dyDescent="0.2">
      <c r="P144">
        <v>143</v>
      </c>
      <c r="Q144" t="str">
        <f>IFERROR(INDEX(TableRBCalcPts[PLAYER],MATCH(TableRBRanks31[[#This Row],[RK]],TableRBCalcPts[RK],0)),"")</f>
        <v/>
      </c>
      <c r="R144" t="str">
        <f>IFERROR(INDEX(TableRBCalcPts[TM],MATCH(TableRBRanks31[[#This Row],[Player]],TableRBCalcPts[PLAYER],0)),"")</f>
        <v/>
      </c>
      <c r="S144" t="str">
        <f>IFERROR(INDEX(TableRBCalcPts[BYE],MATCH(TableRBRanks31[[#This Row],[Player]],TableRBCalcPts[PLAYER],0)),"")</f>
        <v/>
      </c>
      <c r="T144" s="86" t="e">
        <f>VLOOKUP(TableRBRanks31[[#This Row],[Player]],RB!B:O,4,FALSE)</f>
        <v>#N/A</v>
      </c>
      <c r="U144" s="86" t="e">
        <f>VLOOKUP(TableRBRanks31[[#This Row],[Player]],RB!B:O,5,FALSE)</f>
        <v>#N/A</v>
      </c>
      <c r="V144" s="86" t="e">
        <f>VLOOKUP(TableRBRanks31[[#This Row],[Player]],RB!B:O,6,FALSE)</f>
        <v>#N/A</v>
      </c>
      <c r="W144" s="86" t="e">
        <f>VLOOKUP(TableRBRanks31[[#This Row],[Player]],RB!B:O,7,FALSE)</f>
        <v>#N/A</v>
      </c>
      <c r="X144" s="86" t="e">
        <f>VLOOKUP(TableRBRanks31[[#This Row],[Player]],RB!B:O,8,FALSE)</f>
        <v>#N/A</v>
      </c>
      <c r="Y144" s="86" t="e">
        <f>VLOOKUP(TableRBRanks31[[#This Row],[Player]],RB!B:O,9,FALSE)</f>
        <v>#N/A</v>
      </c>
      <c r="Z144" s="86" t="e">
        <f>VLOOKUP(TableRBRanks31[[#This Row],[Player]],RB!B:O,10,FALSE)</f>
        <v>#N/A</v>
      </c>
      <c r="AA144" s="58" t="str">
        <f>IFERROR(INDEX(TableRBCalcPts[Custom],MATCH(TableRBRanks31[[#This Row],[RK]],TableRBCalcPts[RK],0)),"")</f>
        <v/>
      </c>
      <c r="AB144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44">
        <v>143</v>
      </c>
      <c r="AE144" t="str">
        <f>IFERROR(INDEX(TableWRCalcPts[PLAYER],MATCH(TableWRRanks32[[#This Row],[RK]],TableWRCalcPts[RK],0)),"")</f>
        <v>Malik Heath</v>
      </c>
      <c r="AF144" t="str">
        <f>IFERROR(INDEX(TableWRCalcPts[TM],MATCH(TableWRRanks32[[#This Row],[Player]],TableWRCalcPts[PLAYER],0)),"")</f>
        <v>GB</v>
      </c>
      <c r="AG144">
        <f>IFERROR(INDEX(TableWRCalcPts[BYE],MATCH(TableWRRanks32[[#This Row],[Player]],TableWRCalcPts[PLAYER],0)),"")</f>
        <v>6</v>
      </c>
      <c r="AH144" s="86">
        <f>VLOOKUP(TableWRRanks32[[#This Row],[Player]],WR!B:O,4,FALSE)</f>
        <v>0</v>
      </c>
      <c r="AI144" s="86">
        <f>VLOOKUP(TableWRRanks32[[#This Row],[Player]],WR!B:O,5,FALSE)</f>
        <v>0</v>
      </c>
      <c r="AJ144" s="86">
        <f>VLOOKUP(TableWRRanks32[[#This Row],[Player]],WR!B:O,6,FALSE)</f>
        <v>15.15724056</v>
      </c>
      <c r="AK144" s="86">
        <f>VLOOKUP(TableWRRanks32[[#This Row],[Player]],WR!B:O,7,FALSE)</f>
        <v>9.5047790608555704</v>
      </c>
      <c r="AL144" s="86">
        <f>VLOOKUP(TableWRRanks32[[#This Row],[Player]],WR!B:O,8,FALSE)</f>
        <v>109.30495919983906</v>
      </c>
      <c r="AM144" s="86">
        <f>VLOOKUP(TableWRRanks32[[#This Row],[Player]],WR!B:O,9,FALSE)</f>
        <v>0.47523895304277852</v>
      </c>
      <c r="AN144" s="58">
        <f>IFERROR(INDEX(TableWRCalcPts[Custom],MATCH(TableWRRanks32[[#This Row],[RK]],TableWRCalcPts[RK],0)),"")</f>
        <v>18.534319168668365</v>
      </c>
      <c r="AO14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45" spans="16:41" x14ac:dyDescent="0.2">
      <c r="P145">
        <v>144</v>
      </c>
      <c r="Q145" t="str">
        <f>IFERROR(INDEX(TableRBCalcPts[PLAYER],MATCH(TableRBRanks31[[#This Row],[RK]],TableRBCalcPts[RK],0)),"")</f>
        <v/>
      </c>
      <c r="R145" t="str">
        <f>IFERROR(INDEX(TableRBCalcPts[TM],MATCH(TableRBRanks31[[#This Row],[Player]],TableRBCalcPts[PLAYER],0)),"")</f>
        <v/>
      </c>
      <c r="S145" t="str">
        <f>IFERROR(INDEX(TableRBCalcPts[BYE],MATCH(TableRBRanks31[[#This Row],[Player]],TableRBCalcPts[PLAYER],0)),"")</f>
        <v/>
      </c>
      <c r="T145" s="86" t="e">
        <f>VLOOKUP(TableRBRanks31[[#This Row],[Player]],RB!B:O,4,FALSE)</f>
        <v>#N/A</v>
      </c>
      <c r="U145" s="86" t="e">
        <f>VLOOKUP(TableRBRanks31[[#This Row],[Player]],RB!B:O,5,FALSE)</f>
        <v>#N/A</v>
      </c>
      <c r="V145" s="86" t="e">
        <f>VLOOKUP(TableRBRanks31[[#This Row],[Player]],RB!B:O,6,FALSE)</f>
        <v>#N/A</v>
      </c>
      <c r="W145" s="86" t="e">
        <f>VLOOKUP(TableRBRanks31[[#This Row],[Player]],RB!B:O,7,FALSE)</f>
        <v>#N/A</v>
      </c>
      <c r="X145" s="86" t="e">
        <f>VLOOKUP(TableRBRanks31[[#This Row],[Player]],RB!B:O,8,FALSE)</f>
        <v>#N/A</v>
      </c>
      <c r="Y145" s="86" t="e">
        <f>VLOOKUP(TableRBRanks31[[#This Row],[Player]],RB!B:O,9,FALSE)</f>
        <v>#N/A</v>
      </c>
      <c r="Z145" s="86" t="e">
        <f>VLOOKUP(TableRBRanks31[[#This Row],[Player]],RB!B:O,10,FALSE)</f>
        <v>#N/A</v>
      </c>
      <c r="AA145" s="58" t="str">
        <f>IFERROR(INDEX(TableRBCalcPts[Custom],MATCH(TableRBRanks31[[#This Row],[RK]],TableRBCalcPts[RK],0)),"")</f>
        <v/>
      </c>
      <c r="AB145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45">
        <v>144</v>
      </c>
      <c r="AE145" t="str">
        <f>IFERROR(INDEX(TableWRCalcPts[PLAYER],MATCH(TableWRRanks32[[#This Row],[RK]],TableWRCalcPts[RK],0)),"")</f>
        <v>Dareke Young</v>
      </c>
      <c r="AF145" t="str">
        <f>IFERROR(INDEX(TableWRCalcPts[TM],MATCH(TableWRRanks32[[#This Row],[Player]],TableWRCalcPts[PLAYER],0)),"")</f>
        <v>SEA</v>
      </c>
      <c r="AG145">
        <f>IFERROR(INDEX(TableWRCalcPts[BYE],MATCH(TableWRRanks32[[#This Row],[Player]],TableWRCalcPts[PLAYER],0)),"")</f>
        <v>5</v>
      </c>
      <c r="AH145" s="86">
        <f>VLOOKUP(TableWRRanks32[[#This Row],[Player]],WR!B:O,4,FALSE)</f>
        <v>0</v>
      </c>
      <c r="AI145" s="86">
        <f>VLOOKUP(TableWRRanks32[[#This Row],[Player]],WR!B:O,5,FALSE)</f>
        <v>0</v>
      </c>
      <c r="AJ145" s="86">
        <f>VLOOKUP(TableWRRanks32[[#This Row],[Player]],WR!B:O,6,FALSE)</f>
        <v>14.094501119999999</v>
      </c>
      <c r="AK145" s="86">
        <f>VLOOKUP(TableWRRanks32[[#This Row],[Player]],WR!B:O,7,FALSE)</f>
        <v>8.7063341982299498</v>
      </c>
      <c r="AL145" s="86">
        <f>VLOOKUP(TableWRRanks32[[#This Row],[Player]],WR!B:O,8,FALSE)</f>
        <v>103.6053769589364</v>
      </c>
      <c r="AM145" s="86">
        <f>VLOOKUP(TableWRRanks32[[#This Row],[Player]],WR!B:O,9,FALSE)</f>
        <v>0.56591172288494673</v>
      </c>
      <c r="AN145" s="58">
        <f>IFERROR(INDEX(TableWRCalcPts[Custom],MATCH(TableWRRanks32[[#This Row],[RK]],TableWRCalcPts[RK],0)),"")</f>
        <v>18.109175132318295</v>
      </c>
      <c r="AO14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46" spans="16:41" x14ac:dyDescent="0.2">
      <c r="P146">
        <v>145</v>
      </c>
      <c r="Q146" t="str">
        <f>IFERROR(INDEX(TableRBCalcPts[PLAYER],MATCH(TableRBRanks31[[#This Row],[RK]],TableRBCalcPts[RK],0)),"")</f>
        <v/>
      </c>
      <c r="R146" t="str">
        <f>IFERROR(INDEX(TableRBCalcPts[TM],MATCH(TableRBRanks31[[#This Row],[Player]],TableRBCalcPts[PLAYER],0)),"")</f>
        <v/>
      </c>
      <c r="S146" t="str">
        <f>IFERROR(INDEX(TableRBCalcPts[BYE],MATCH(TableRBRanks31[[#This Row],[Player]],TableRBCalcPts[PLAYER],0)),"")</f>
        <v/>
      </c>
      <c r="T146" s="86" t="e">
        <f>VLOOKUP(TableRBRanks31[[#This Row],[Player]],RB!B:O,4,FALSE)</f>
        <v>#N/A</v>
      </c>
      <c r="U146" s="86" t="e">
        <f>VLOOKUP(TableRBRanks31[[#This Row],[Player]],RB!B:O,5,FALSE)</f>
        <v>#N/A</v>
      </c>
      <c r="V146" s="86" t="e">
        <f>VLOOKUP(TableRBRanks31[[#This Row],[Player]],RB!B:O,6,FALSE)</f>
        <v>#N/A</v>
      </c>
      <c r="W146" s="86" t="e">
        <f>VLOOKUP(TableRBRanks31[[#This Row],[Player]],RB!B:O,7,FALSE)</f>
        <v>#N/A</v>
      </c>
      <c r="X146" s="86" t="e">
        <f>VLOOKUP(TableRBRanks31[[#This Row],[Player]],RB!B:O,8,FALSE)</f>
        <v>#N/A</v>
      </c>
      <c r="Y146" s="86" t="e">
        <f>VLOOKUP(TableRBRanks31[[#This Row],[Player]],RB!B:O,9,FALSE)</f>
        <v>#N/A</v>
      </c>
      <c r="Z146" s="86" t="e">
        <f>VLOOKUP(TableRBRanks31[[#This Row],[Player]],RB!B:O,10,FALSE)</f>
        <v>#N/A</v>
      </c>
      <c r="AA146" s="58" t="str">
        <f>IFERROR(INDEX(TableRBCalcPts[Custom],MATCH(TableRBRanks31[[#This Row],[RK]],TableRBCalcPts[RK],0)),"")</f>
        <v/>
      </c>
      <c r="AB146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46">
        <v>145</v>
      </c>
      <c r="AE146" t="str">
        <f>IFERROR(INDEX(TableWRCalcPts[PLAYER],MATCH(TableWRRanks32[[#This Row],[RK]],TableWRCalcPts[RK],0)),"")</f>
        <v>Olamide Zaccheaus</v>
      </c>
      <c r="AF146" t="str">
        <f>IFERROR(INDEX(TableWRCalcPts[TM],MATCH(TableWRRanks32[[#This Row],[Player]],TableWRCalcPts[PLAYER],0)),"")</f>
        <v>PHI</v>
      </c>
      <c r="AG146">
        <f>IFERROR(INDEX(TableWRCalcPts[BYE],MATCH(TableWRRanks32[[#This Row],[Player]],TableWRCalcPts[PLAYER],0)),"")</f>
        <v>10</v>
      </c>
      <c r="AH146" s="86">
        <f>VLOOKUP(TableWRRanks32[[#This Row],[Player]],WR!B:O,4,FALSE)</f>
        <v>0</v>
      </c>
      <c r="AI146" s="86">
        <f>VLOOKUP(TableWRRanks32[[#This Row],[Player]],WR!B:O,5,FALSE)</f>
        <v>0</v>
      </c>
      <c r="AJ146" s="86">
        <f>VLOOKUP(TableWRRanks32[[#This Row],[Player]],WR!B:O,6,FALSE)</f>
        <v>14.105167439999999</v>
      </c>
      <c r="AK146" s="86">
        <f>VLOOKUP(TableWRRanks32[[#This Row],[Player]],WR!B:O,7,FALSE)</f>
        <v>9.3235156778399997</v>
      </c>
      <c r="AL146" s="86">
        <f>VLOOKUP(TableWRRanks32[[#This Row],[Player]],WR!B:O,8,FALSE)</f>
        <v>95.09985991396799</v>
      </c>
      <c r="AM146" s="86">
        <f>VLOOKUP(TableWRRanks32[[#This Row],[Player]],WR!B:O,9,FALSE)</f>
        <v>0.52211687795903994</v>
      </c>
      <c r="AN146" s="58">
        <f>IFERROR(INDEX(TableWRCalcPts[Custom],MATCH(TableWRRanks32[[#This Row],[RK]],TableWRCalcPts[RK],0)),"")</f>
        <v>17.304445098071039</v>
      </c>
      <c r="AO14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47" spans="16:41" x14ac:dyDescent="0.2">
      <c r="P147">
        <v>146</v>
      </c>
      <c r="Q147" t="str">
        <f>IFERROR(INDEX(TableRBCalcPts[PLAYER],MATCH(TableRBRanks31[[#This Row],[RK]],TableRBCalcPts[RK],0)),"")</f>
        <v/>
      </c>
      <c r="R147" t="str">
        <f>IFERROR(INDEX(TableRBCalcPts[TM],MATCH(TableRBRanks31[[#This Row],[Player]],TableRBCalcPts[PLAYER],0)),"")</f>
        <v/>
      </c>
      <c r="S147" t="str">
        <f>IFERROR(INDEX(TableRBCalcPts[BYE],MATCH(TableRBRanks31[[#This Row],[Player]],TableRBCalcPts[PLAYER],0)),"")</f>
        <v/>
      </c>
      <c r="T147" s="86" t="e">
        <f>VLOOKUP(TableRBRanks31[[#This Row],[Player]],RB!B:O,4,FALSE)</f>
        <v>#N/A</v>
      </c>
      <c r="U147" s="86" t="e">
        <f>VLOOKUP(TableRBRanks31[[#This Row],[Player]],RB!B:O,5,FALSE)</f>
        <v>#N/A</v>
      </c>
      <c r="V147" s="86" t="e">
        <f>VLOOKUP(TableRBRanks31[[#This Row],[Player]],RB!B:O,6,FALSE)</f>
        <v>#N/A</v>
      </c>
      <c r="W147" s="86" t="e">
        <f>VLOOKUP(TableRBRanks31[[#This Row],[Player]],RB!B:O,7,FALSE)</f>
        <v>#N/A</v>
      </c>
      <c r="X147" s="86" t="e">
        <f>VLOOKUP(TableRBRanks31[[#This Row],[Player]],RB!B:O,8,FALSE)</f>
        <v>#N/A</v>
      </c>
      <c r="Y147" s="86" t="e">
        <f>VLOOKUP(TableRBRanks31[[#This Row],[Player]],RB!B:O,9,FALSE)</f>
        <v>#N/A</v>
      </c>
      <c r="Z147" s="86" t="e">
        <f>VLOOKUP(TableRBRanks31[[#This Row],[Player]],RB!B:O,10,FALSE)</f>
        <v>#N/A</v>
      </c>
      <c r="AA147" s="58" t="str">
        <f>IFERROR(INDEX(TableRBCalcPts[Custom],MATCH(TableRBRanks31[[#This Row],[RK]],TableRBCalcPts[RK],0)),"")</f>
        <v/>
      </c>
      <c r="AB147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47">
        <v>146</v>
      </c>
      <c r="AE147" t="str">
        <f>IFERROR(INDEX(TableWRCalcPts[PLAYER],MATCH(TableWRRanks32[[#This Row],[RK]],TableWRCalcPts[RK],0)),"")</f>
        <v>Justin Shorter</v>
      </c>
      <c r="AF147" t="str">
        <f>IFERROR(INDEX(TableWRCalcPts[TM],MATCH(TableWRRanks32[[#This Row],[Player]],TableWRCalcPts[PLAYER],0)),"")</f>
        <v>BUF</v>
      </c>
      <c r="AG147">
        <f>IFERROR(INDEX(TableWRCalcPts[BYE],MATCH(TableWRRanks32[[#This Row],[Player]],TableWRCalcPts[PLAYER],0)),"")</f>
        <v>13</v>
      </c>
      <c r="AH147" s="86">
        <f>VLOOKUP(TableWRRanks32[[#This Row],[Player]],WR!B:O,4,FALSE)</f>
        <v>0</v>
      </c>
      <c r="AI147" s="86">
        <f>VLOOKUP(TableWRRanks32[[#This Row],[Player]],WR!B:O,5,FALSE)</f>
        <v>0</v>
      </c>
      <c r="AJ147" s="86">
        <f>VLOOKUP(TableWRRanks32[[#This Row],[Player]],WR!B:O,6,FALSE)</f>
        <v>14.752429999999999</v>
      </c>
      <c r="AK147" s="86">
        <f>VLOOKUP(TableWRRanks32[[#This Row],[Player]],WR!B:O,7,FALSE)</f>
        <v>9.3972979099999989</v>
      </c>
      <c r="AL147" s="86">
        <f>VLOOKUP(TableWRRanks32[[#This Row],[Player]],WR!B:O,8,FALSE)</f>
        <v>101.490817428</v>
      </c>
      <c r="AM147" s="86">
        <f>VLOOKUP(TableWRRanks32[[#This Row],[Player]],WR!B:O,9,FALSE)</f>
        <v>0.37589191639999997</v>
      </c>
      <c r="AN147" s="58">
        <f>IFERROR(INDEX(TableWRCalcPts[Custom],MATCH(TableWRRanks32[[#This Row],[RK]],TableWRCalcPts[RK],0)),"")</f>
        <v>17.103082196199999</v>
      </c>
      <c r="AO14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48" spans="16:41" x14ac:dyDescent="0.2">
      <c r="P148">
        <v>147</v>
      </c>
      <c r="Q148" t="str">
        <f>IFERROR(INDEX(TableRBCalcPts[PLAYER],MATCH(TableRBRanks31[[#This Row],[RK]],TableRBCalcPts[RK],0)),"")</f>
        <v/>
      </c>
      <c r="R148" t="str">
        <f>IFERROR(INDEX(TableRBCalcPts[TM],MATCH(TableRBRanks31[[#This Row],[Player]],TableRBCalcPts[PLAYER],0)),"")</f>
        <v/>
      </c>
      <c r="S148" t="str">
        <f>IFERROR(INDEX(TableRBCalcPts[BYE],MATCH(TableRBRanks31[[#This Row],[Player]],TableRBCalcPts[PLAYER],0)),"")</f>
        <v/>
      </c>
      <c r="T148" s="86" t="e">
        <f>VLOOKUP(TableRBRanks31[[#This Row],[Player]],RB!B:O,4,FALSE)</f>
        <v>#N/A</v>
      </c>
      <c r="U148" s="86" t="e">
        <f>VLOOKUP(TableRBRanks31[[#This Row],[Player]],RB!B:O,5,FALSE)</f>
        <v>#N/A</v>
      </c>
      <c r="V148" s="86" t="e">
        <f>VLOOKUP(TableRBRanks31[[#This Row],[Player]],RB!B:O,6,FALSE)</f>
        <v>#N/A</v>
      </c>
      <c r="W148" s="86" t="e">
        <f>VLOOKUP(TableRBRanks31[[#This Row],[Player]],RB!B:O,7,FALSE)</f>
        <v>#N/A</v>
      </c>
      <c r="X148" s="86" t="e">
        <f>VLOOKUP(TableRBRanks31[[#This Row],[Player]],RB!B:O,8,FALSE)</f>
        <v>#N/A</v>
      </c>
      <c r="Y148" s="86" t="e">
        <f>VLOOKUP(TableRBRanks31[[#This Row],[Player]],RB!B:O,9,FALSE)</f>
        <v>#N/A</v>
      </c>
      <c r="Z148" s="86" t="e">
        <f>VLOOKUP(TableRBRanks31[[#This Row],[Player]],RB!B:O,10,FALSE)</f>
        <v>#N/A</v>
      </c>
      <c r="AA148" s="58" t="str">
        <f>IFERROR(INDEX(TableRBCalcPts[Custom],MATCH(TableRBRanks31[[#This Row],[RK]],TableRBCalcPts[RK],0)),"")</f>
        <v/>
      </c>
      <c r="AB148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48">
        <v>147</v>
      </c>
      <c r="AE148" t="str">
        <f>IFERROR(INDEX(TableWRCalcPts[PLAYER],MATCH(TableWRRanks32[[#This Row],[RK]],TableWRCalcPts[RK],0)),"")</f>
        <v>DeAndre Carter</v>
      </c>
      <c r="AF148" t="str">
        <f>IFERROR(INDEX(TableWRCalcPts[TM],MATCH(TableWRRanks32[[#This Row],[Player]],TableWRCalcPts[PLAYER],0)),"")</f>
        <v>LV</v>
      </c>
      <c r="AG148">
        <f>IFERROR(INDEX(TableWRCalcPts[BYE],MATCH(TableWRRanks32[[#This Row],[Player]],TableWRCalcPts[PLAYER],0)),"")</f>
        <v>13</v>
      </c>
      <c r="AH148" s="86">
        <f>VLOOKUP(TableWRRanks32[[#This Row],[Player]],WR!B:O,4,FALSE)</f>
        <v>0</v>
      </c>
      <c r="AI148" s="86">
        <f>VLOOKUP(TableWRRanks32[[#This Row],[Player]],WR!B:O,5,FALSE)</f>
        <v>0</v>
      </c>
      <c r="AJ148" s="86">
        <f>VLOOKUP(TableWRRanks32[[#This Row],[Player]],WR!B:O,6,FALSE)</f>
        <v>11.809979999999999</v>
      </c>
      <c r="AK148" s="86">
        <f>VLOOKUP(TableWRRanks32[[#This Row],[Player]],WR!B:O,7,FALSE)</f>
        <v>7.41342729324667</v>
      </c>
      <c r="AL148" s="86">
        <f>VLOOKUP(TableWRRanks32[[#This Row],[Player]],WR!B:O,8,FALSE)</f>
        <v>96.374554812206711</v>
      </c>
      <c r="AM148" s="86">
        <f>VLOOKUP(TableWRRanks32[[#This Row],[Player]],WR!B:O,9,FALSE)</f>
        <v>0.54118019240700688</v>
      </c>
      <c r="AN148" s="58">
        <f>IFERROR(INDEX(TableWRCalcPts[Custom],MATCH(TableWRRanks32[[#This Row],[RK]],TableWRCalcPts[RK],0)),"")</f>
        <v>16.591250282286047</v>
      </c>
      <c r="AO14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49" spans="16:41" x14ac:dyDescent="0.2">
      <c r="P149">
        <v>148</v>
      </c>
      <c r="Q149" t="str">
        <f>IFERROR(INDEX(TableRBCalcPts[PLAYER],MATCH(TableRBRanks31[[#This Row],[RK]],TableRBCalcPts[RK],0)),"")</f>
        <v/>
      </c>
      <c r="R149" t="str">
        <f>IFERROR(INDEX(TableRBCalcPts[TM],MATCH(TableRBRanks31[[#This Row],[Player]],TableRBCalcPts[PLAYER],0)),"")</f>
        <v/>
      </c>
      <c r="S149" t="str">
        <f>IFERROR(INDEX(TableRBCalcPts[BYE],MATCH(TableRBRanks31[[#This Row],[Player]],TableRBCalcPts[PLAYER],0)),"")</f>
        <v/>
      </c>
      <c r="T149" s="86" t="e">
        <f>VLOOKUP(TableRBRanks31[[#This Row],[Player]],RB!B:O,4,FALSE)</f>
        <v>#N/A</v>
      </c>
      <c r="U149" s="86" t="e">
        <f>VLOOKUP(TableRBRanks31[[#This Row],[Player]],RB!B:O,5,FALSE)</f>
        <v>#N/A</v>
      </c>
      <c r="V149" s="86" t="e">
        <f>VLOOKUP(TableRBRanks31[[#This Row],[Player]],RB!B:O,6,FALSE)</f>
        <v>#N/A</v>
      </c>
      <c r="W149" s="86" t="e">
        <f>VLOOKUP(TableRBRanks31[[#This Row],[Player]],RB!B:O,7,FALSE)</f>
        <v>#N/A</v>
      </c>
      <c r="X149" s="86" t="e">
        <f>VLOOKUP(TableRBRanks31[[#This Row],[Player]],RB!B:O,8,FALSE)</f>
        <v>#N/A</v>
      </c>
      <c r="Y149" s="86" t="e">
        <f>VLOOKUP(TableRBRanks31[[#This Row],[Player]],RB!B:O,9,FALSE)</f>
        <v>#N/A</v>
      </c>
      <c r="Z149" s="86" t="e">
        <f>VLOOKUP(TableRBRanks31[[#This Row],[Player]],RB!B:O,10,FALSE)</f>
        <v>#N/A</v>
      </c>
      <c r="AA149" s="58" t="str">
        <f>IFERROR(INDEX(TableRBCalcPts[Custom],MATCH(TableRBRanks31[[#This Row],[RK]],TableRBCalcPts[RK],0)),"")</f>
        <v/>
      </c>
      <c r="AB149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49">
        <v>148</v>
      </c>
      <c r="AE149" t="str">
        <f>IFERROR(INDEX(TableWRCalcPts[PLAYER],MATCH(TableWRRanks32[[#This Row],[RK]],TableWRCalcPts[RK],0)),"")</f>
        <v>Tre Tucker</v>
      </c>
      <c r="AF149" t="str">
        <f>IFERROR(INDEX(TableWRCalcPts[TM],MATCH(TableWRRanks32[[#This Row],[Player]],TableWRCalcPts[PLAYER],0)),"")</f>
        <v>LV</v>
      </c>
      <c r="AG149">
        <f>IFERROR(INDEX(TableWRCalcPts[BYE],MATCH(TableWRRanks32[[#This Row],[Player]],TableWRCalcPts[PLAYER],0)),"")</f>
        <v>13</v>
      </c>
      <c r="AH149" s="86">
        <f>VLOOKUP(TableWRRanks32[[#This Row],[Player]],WR!B:O,4,FALSE)</f>
        <v>0</v>
      </c>
      <c r="AI149" s="86">
        <f>VLOOKUP(TableWRRanks32[[#This Row],[Player]],WR!B:O,5,FALSE)</f>
        <v>0</v>
      </c>
      <c r="AJ149" s="86">
        <f>VLOOKUP(TableWRRanks32[[#This Row],[Player]],WR!B:O,6,FALSE)</f>
        <v>14.171975999999999</v>
      </c>
      <c r="AK149" s="86">
        <f>VLOOKUP(TableWRRanks32[[#This Row],[Player]],WR!B:O,7,FALSE)</f>
        <v>7.5944034011607711</v>
      </c>
      <c r="AL149" s="86">
        <f>VLOOKUP(TableWRRanks32[[#This Row],[Player]],WR!B:O,8,FALSE)</f>
        <v>95.917314956660547</v>
      </c>
      <c r="AM149" s="86">
        <f>VLOOKUP(TableWRRanks32[[#This Row],[Player]],WR!B:O,9,FALSE)</f>
        <v>0.48604181767428933</v>
      </c>
      <c r="AN149" s="58">
        <f>IFERROR(INDEX(TableWRCalcPts[Custom],MATCH(TableWRRanks32[[#This Row],[RK]],TableWRCalcPts[RK],0)),"")</f>
        <v>16.305184102292177</v>
      </c>
      <c r="AO14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50" spans="16:41" x14ac:dyDescent="0.2">
      <c r="P150">
        <v>149</v>
      </c>
      <c r="Q150" t="str">
        <f>IFERROR(INDEX(TableRBCalcPts[PLAYER],MATCH(TableRBRanks31[[#This Row],[RK]],TableRBCalcPts[RK],0)),"")</f>
        <v/>
      </c>
      <c r="R150" t="str">
        <f>IFERROR(INDEX(TableRBCalcPts[TM],MATCH(TableRBRanks31[[#This Row],[Player]],TableRBCalcPts[PLAYER],0)),"")</f>
        <v/>
      </c>
      <c r="S150" t="str">
        <f>IFERROR(INDEX(TableRBCalcPts[BYE],MATCH(TableRBRanks31[[#This Row],[Player]],TableRBCalcPts[PLAYER],0)),"")</f>
        <v/>
      </c>
      <c r="T150" s="86" t="e">
        <f>VLOOKUP(TableRBRanks31[[#This Row],[Player]],RB!B:O,4,FALSE)</f>
        <v>#N/A</v>
      </c>
      <c r="U150" s="86" t="e">
        <f>VLOOKUP(TableRBRanks31[[#This Row],[Player]],RB!B:O,5,FALSE)</f>
        <v>#N/A</v>
      </c>
      <c r="V150" s="86" t="e">
        <f>VLOOKUP(TableRBRanks31[[#This Row],[Player]],RB!B:O,6,FALSE)</f>
        <v>#N/A</v>
      </c>
      <c r="W150" s="86" t="e">
        <f>VLOOKUP(TableRBRanks31[[#This Row],[Player]],RB!B:O,7,FALSE)</f>
        <v>#N/A</v>
      </c>
      <c r="X150" s="86" t="e">
        <f>VLOOKUP(TableRBRanks31[[#This Row],[Player]],RB!B:O,8,FALSE)</f>
        <v>#N/A</v>
      </c>
      <c r="Y150" s="86" t="e">
        <f>VLOOKUP(TableRBRanks31[[#This Row],[Player]],RB!B:O,9,FALSE)</f>
        <v>#N/A</v>
      </c>
      <c r="Z150" s="86" t="e">
        <f>VLOOKUP(TableRBRanks31[[#This Row],[Player]],RB!B:O,10,FALSE)</f>
        <v>#N/A</v>
      </c>
      <c r="AA150" s="58" t="str">
        <f>IFERROR(INDEX(TableRBCalcPts[Custom],MATCH(TableRBRanks31[[#This Row],[RK]],TableRBCalcPts[RK],0)),"")</f>
        <v/>
      </c>
      <c r="AB150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50">
        <v>149</v>
      </c>
      <c r="AE150" t="str">
        <f>IFERROR(INDEX(TableWRCalcPts[PLAYER],MATCH(TableWRRanks32[[#This Row],[RK]],TableWRCalcPts[RK],0)),"")</f>
        <v>David Bell</v>
      </c>
      <c r="AF150" t="str">
        <f>IFERROR(INDEX(TableWRCalcPts[TM],MATCH(TableWRRanks32[[#This Row],[Player]],TableWRCalcPts[PLAYER],0)),"")</f>
        <v>CLE</v>
      </c>
      <c r="AG150">
        <f>IFERROR(INDEX(TableWRCalcPts[BYE],MATCH(TableWRRanks32[[#This Row],[Player]],TableWRCalcPts[PLAYER],0)),"")</f>
        <v>5</v>
      </c>
      <c r="AH150" s="86">
        <f>VLOOKUP(TableWRRanks32[[#This Row],[Player]],WR!B:O,4,FALSE)</f>
        <v>0</v>
      </c>
      <c r="AI150" s="86">
        <f>VLOOKUP(TableWRRanks32[[#This Row],[Player]],WR!B:O,5,FALSE)</f>
        <v>0</v>
      </c>
      <c r="AJ150" s="86">
        <f>VLOOKUP(TableWRRanks32[[#This Row],[Player]],WR!B:O,6,FALSE)</f>
        <v>12.863793599999997</v>
      </c>
      <c r="AK150" s="86">
        <f>VLOOKUP(TableWRRanks32[[#This Row],[Player]],WR!B:O,7,FALSE)</f>
        <v>8.016901029969226</v>
      </c>
      <c r="AL150" s="86">
        <f>VLOOKUP(TableWRRanks32[[#This Row],[Player]],WR!B:O,8,FALSE)</f>
        <v>93.79774205063994</v>
      </c>
      <c r="AM150" s="86">
        <f>VLOOKUP(TableWRRanks32[[#This Row],[Player]],WR!B:O,9,FALSE)</f>
        <v>0.48101406179815354</v>
      </c>
      <c r="AN150" s="58">
        <f>IFERROR(INDEX(TableWRCalcPts[Custom],MATCH(TableWRRanks32[[#This Row],[RK]],TableWRCalcPts[RK],0)),"")</f>
        <v>16.274309090837527</v>
      </c>
      <c r="AO15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51" spans="16:41" x14ac:dyDescent="0.2">
      <c r="P151">
        <v>150</v>
      </c>
      <c r="Q151" t="str">
        <f>IFERROR(INDEX(TableRBCalcPts[PLAYER],MATCH(TableRBRanks31[[#This Row],[RK]],TableRBCalcPts[RK],0)),"")</f>
        <v/>
      </c>
      <c r="R151" t="str">
        <f>IFERROR(INDEX(TableRBCalcPts[TM],MATCH(TableRBRanks31[[#This Row],[Player]],TableRBCalcPts[PLAYER],0)),"")</f>
        <v/>
      </c>
      <c r="S151" t="str">
        <f>IFERROR(INDEX(TableRBCalcPts[BYE],MATCH(TableRBRanks31[[#This Row],[Player]],TableRBCalcPts[PLAYER],0)),"")</f>
        <v/>
      </c>
      <c r="T151" s="86" t="e">
        <f>VLOOKUP(TableRBRanks31[[#This Row],[Player]],RB!B:O,4,FALSE)</f>
        <v>#N/A</v>
      </c>
      <c r="U151" s="86" t="e">
        <f>VLOOKUP(TableRBRanks31[[#This Row],[Player]],RB!B:O,5,FALSE)</f>
        <v>#N/A</v>
      </c>
      <c r="V151" s="86" t="e">
        <f>VLOOKUP(TableRBRanks31[[#This Row],[Player]],RB!B:O,6,FALSE)</f>
        <v>#N/A</v>
      </c>
      <c r="W151" s="86" t="e">
        <f>VLOOKUP(TableRBRanks31[[#This Row],[Player]],RB!B:O,7,FALSE)</f>
        <v>#N/A</v>
      </c>
      <c r="X151" s="86" t="e">
        <f>VLOOKUP(TableRBRanks31[[#This Row],[Player]],RB!B:O,8,FALSE)</f>
        <v>#N/A</v>
      </c>
      <c r="Y151" s="86" t="e">
        <f>VLOOKUP(TableRBRanks31[[#This Row],[Player]],RB!B:O,9,FALSE)</f>
        <v>#N/A</v>
      </c>
      <c r="Z151" s="86" t="e">
        <f>VLOOKUP(TableRBRanks31[[#This Row],[Player]],RB!B:O,10,FALSE)</f>
        <v>#N/A</v>
      </c>
      <c r="AA151" s="58" t="str">
        <f>IFERROR(INDEX(TableRBCalcPts[Custom],MATCH(TableRBRanks31[[#This Row],[RK]],TableRBCalcPts[RK],0)),"")</f>
        <v/>
      </c>
      <c r="AB151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51">
        <v>150</v>
      </c>
      <c r="AE151" t="str">
        <f>IFERROR(INDEX(TableWRCalcPts[PLAYER],MATCH(TableWRRanks32[[#This Row],[RK]],TableWRCalcPts[RK],0)),"")</f>
        <v>Andrei Iosivas</v>
      </c>
      <c r="AF151" t="str">
        <f>IFERROR(INDEX(TableWRCalcPts[TM],MATCH(TableWRRanks32[[#This Row],[Player]],TableWRCalcPts[PLAYER],0)),"")</f>
        <v>CIN</v>
      </c>
      <c r="AG151">
        <f>IFERROR(INDEX(TableWRCalcPts[BYE],MATCH(TableWRRanks32[[#This Row],[Player]],TableWRCalcPts[PLAYER],0)),"")</f>
        <v>7</v>
      </c>
      <c r="AH151" s="86">
        <f>VLOOKUP(TableWRRanks32[[#This Row],[Player]],WR!B:O,4,FALSE)</f>
        <v>0</v>
      </c>
      <c r="AI151" s="86">
        <f>VLOOKUP(TableWRRanks32[[#This Row],[Player]],WR!B:O,5,FALSE)</f>
        <v>0</v>
      </c>
      <c r="AJ151" s="86">
        <f>VLOOKUP(TableWRRanks32[[#This Row],[Player]],WR!B:O,6,FALSE)</f>
        <v>12.308545199999999</v>
      </c>
      <c r="AK151" s="86">
        <f>VLOOKUP(TableWRRanks32[[#This Row],[Player]],WR!B:O,7,FALSE)</f>
        <v>7.385127119999999</v>
      </c>
      <c r="AL151" s="86">
        <f>VLOOKUP(TableWRRanks32[[#This Row],[Player]],WR!B:O,8,FALSE)</f>
        <v>91.723278830399991</v>
      </c>
      <c r="AM151" s="86">
        <f>VLOOKUP(TableWRRanks32[[#This Row],[Player]],WR!B:O,9,FALSE)</f>
        <v>0.44310762719999991</v>
      </c>
      <c r="AN151" s="58">
        <f>IFERROR(INDEX(TableWRCalcPts[Custom],MATCH(TableWRRanks32[[#This Row],[RK]],TableWRCalcPts[RK],0)),"")</f>
        <v>15.523537206239999</v>
      </c>
      <c r="AO15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52" spans="16:41" x14ac:dyDescent="0.2">
      <c r="P152">
        <v>151</v>
      </c>
      <c r="Q152" t="str">
        <f>IFERROR(INDEX(TableRBCalcPts[PLAYER],MATCH(TableRBRanks31[[#This Row],[RK]],TableRBCalcPts[RK],0)),"")</f>
        <v/>
      </c>
      <c r="R152" t="str">
        <f>IFERROR(INDEX(TableRBCalcPts[TM],MATCH(TableRBRanks31[[#This Row],[Player]],TableRBCalcPts[PLAYER],0)),"")</f>
        <v/>
      </c>
      <c r="S152" t="str">
        <f>IFERROR(INDEX(TableRBCalcPts[BYE],MATCH(TableRBRanks31[[#This Row],[Player]],TableRBCalcPts[PLAYER],0)),"")</f>
        <v/>
      </c>
      <c r="T152" s="86" t="e">
        <f>VLOOKUP(TableRBRanks31[[#This Row],[Player]],RB!B:O,4,FALSE)</f>
        <v>#N/A</v>
      </c>
      <c r="U152" s="86" t="e">
        <f>VLOOKUP(TableRBRanks31[[#This Row],[Player]],RB!B:O,5,FALSE)</f>
        <v>#N/A</v>
      </c>
      <c r="V152" s="86" t="e">
        <f>VLOOKUP(TableRBRanks31[[#This Row],[Player]],RB!B:O,6,FALSE)</f>
        <v>#N/A</v>
      </c>
      <c r="W152" s="86" t="e">
        <f>VLOOKUP(TableRBRanks31[[#This Row],[Player]],RB!B:O,7,FALSE)</f>
        <v>#N/A</v>
      </c>
      <c r="X152" s="86" t="e">
        <f>VLOOKUP(TableRBRanks31[[#This Row],[Player]],RB!B:O,8,FALSE)</f>
        <v>#N/A</v>
      </c>
      <c r="Y152" s="86" t="e">
        <f>VLOOKUP(TableRBRanks31[[#This Row],[Player]],RB!B:O,9,FALSE)</f>
        <v>#N/A</v>
      </c>
      <c r="Z152" s="86" t="e">
        <f>VLOOKUP(TableRBRanks31[[#This Row],[Player]],RB!B:O,10,FALSE)</f>
        <v>#N/A</v>
      </c>
      <c r="AA152" s="58" t="str">
        <f>IFERROR(INDEX(TableRBCalcPts[Custom],MATCH(TableRBRanks31[[#This Row],[RK]],TableRBCalcPts[RK],0)),"")</f>
        <v/>
      </c>
      <c r="AB152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52">
        <v>151</v>
      </c>
      <c r="AE152" t="str">
        <f>IFERROR(INDEX(TableWRCalcPts[PLAYER],MATCH(TableWRRanks32[[#This Row],[RK]],TableWRCalcPts[RK],0)),"")</f>
        <v>Devin Duvernay</v>
      </c>
      <c r="AF152" t="str">
        <f>IFERROR(INDEX(TableWRCalcPts[TM],MATCH(TableWRRanks32[[#This Row],[Player]],TableWRCalcPts[PLAYER],0)),"")</f>
        <v>BAL</v>
      </c>
      <c r="AG152">
        <f>IFERROR(INDEX(TableWRCalcPts[BYE],MATCH(TableWRRanks32[[#This Row],[Player]],TableWRCalcPts[PLAYER],0)),"")</f>
        <v>13</v>
      </c>
      <c r="AH152" s="86">
        <f>VLOOKUP(TableWRRanks32[[#This Row],[Player]],WR!B:O,4,FALSE)</f>
        <v>0</v>
      </c>
      <c r="AI152" s="86">
        <f>VLOOKUP(TableWRRanks32[[#This Row],[Player]],WR!B:O,5,FALSE)</f>
        <v>0</v>
      </c>
      <c r="AJ152" s="86">
        <f>VLOOKUP(TableWRRanks32[[#This Row],[Player]],WR!B:O,6,FALSE)</f>
        <v>11.227048560000002</v>
      </c>
      <c r="AK152" s="86">
        <f>VLOOKUP(TableWRRanks32[[#This Row],[Player]],WR!B:O,7,FALSE)</f>
        <v>7.1709536200219475</v>
      </c>
      <c r="AL152" s="86">
        <f>VLOOKUP(TableWRRanks32[[#This Row],[Player]],WR!B:O,8,FALSE)</f>
        <v>84.402124107658324</v>
      </c>
      <c r="AM152" s="86">
        <f>VLOOKUP(TableWRRanks32[[#This Row],[Player]],WR!B:O,9,FALSE)</f>
        <v>0.46611198530142661</v>
      </c>
      <c r="AN152" s="58">
        <f>IFERROR(INDEX(TableWRCalcPts[Custom],MATCH(TableWRRanks32[[#This Row],[RK]],TableWRCalcPts[RK],0)),"")</f>
        <v>14.822361132585366</v>
      </c>
      <c r="AO15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53" spans="16:41" x14ac:dyDescent="0.2">
      <c r="P153">
        <v>152</v>
      </c>
      <c r="Q153" t="str">
        <f>IFERROR(INDEX(TableRBCalcPts[PLAYER],MATCH(TableRBRanks31[[#This Row],[RK]],TableRBCalcPts[RK],0)),"")</f>
        <v/>
      </c>
      <c r="R153" t="str">
        <f>IFERROR(INDEX(TableRBCalcPts[TM],MATCH(TableRBRanks31[[#This Row],[Player]],TableRBCalcPts[PLAYER],0)),"")</f>
        <v/>
      </c>
      <c r="S153" t="str">
        <f>IFERROR(INDEX(TableRBCalcPts[BYE],MATCH(TableRBRanks31[[#This Row],[Player]],TableRBCalcPts[PLAYER],0)),"")</f>
        <v/>
      </c>
      <c r="T153" s="86" t="e">
        <f>VLOOKUP(TableRBRanks31[[#This Row],[Player]],RB!B:O,4,FALSE)</f>
        <v>#N/A</v>
      </c>
      <c r="U153" s="86" t="e">
        <f>VLOOKUP(TableRBRanks31[[#This Row],[Player]],RB!B:O,5,FALSE)</f>
        <v>#N/A</v>
      </c>
      <c r="V153" s="86" t="e">
        <f>VLOOKUP(TableRBRanks31[[#This Row],[Player]],RB!B:O,6,FALSE)</f>
        <v>#N/A</v>
      </c>
      <c r="W153" s="86" t="e">
        <f>VLOOKUP(TableRBRanks31[[#This Row],[Player]],RB!B:O,7,FALSE)</f>
        <v>#N/A</v>
      </c>
      <c r="X153" s="86" t="e">
        <f>VLOOKUP(TableRBRanks31[[#This Row],[Player]],RB!B:O,8,FALSE)</f>
        <v>#N/A</v>
      </c>
      <c r="Y153" s="86" t="e">
        <f>VLOOKUP(TableRBRanks31[[#This Row],[Player]],RB!B:O,9,FALSE)</f>
        <v>#N/A</v>
      </c>
      <c r="Z153" s="86" t="e">
        <f>VLOOKUP(TableRBRanks31[[#This Row],[Player]],RB!B:O,10,FALSE)</f>
        <v>#N/A</v>
      </c>
      <c r="AA153" s="58" t="str">
        <f>IFERROR(INDEX(TableRBCalcPts[Custom],MATCH(TableRBRanks31[[#This Row],[RK]],TableRBCalcPts[RK],0)),"")</f>
        <v/>
      </c>
      <c r="AB153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53">
        <v>152</v>
      </c>
      <c r="AE153" t="str">
        <f>IFERROR(INDEX(TableWRCalcPts[PLAYER],MATCH(TableWRRanks32[[#This Row],[RK]],TableWRCalcPts[RK],0)),"")</f>
        <v>Dax Milne</v>
      </c>
      <c r="AF153" t="str">
        <f>IFERROR(INDEX(TableWRCalcPts[TM],MATCH(TableWRRanks32[[#This Row],[Player]],TableWRCalcPts[PLAYER],0)),"")</f>
        <v>WSH</v>
      </c>
      <c r="AG153">
        <f>IFERROR(INDEX(TableWRCalcPts[BYE],MATCH(TableWRRanks32[[#This Row],[Player]],TableWRCalcPts[PLAYER],0)),"")</f>
        <v>14</v>
      </c>
      <c r="AH153" s="86">
        <f>VLOOKUP(TableWRRanks32[[#This Row],[Player]],WR!B:O,4,FALSE)</f>
        <v>0</v>
      </c>
      <c r="AI153" s="86">
        <f>VLOOKUP(TableWRRanks32[[#This Row],[Player]],WR!B:O,5,FALSE)</f>
        <v>0</v>
      </c>
      <c r="AJ153" s="86">
        <f>VLOOKUP(TableWRRanks32[[#This Row],[Player]],WR!B:O,6,FALSE)</f>
        <v>12.981642520000001</v>
      </c>
      <c r="AK153" s="86">
        <f>VLOOKUP(TableWRRanks32[[#This Row],[Player]],WR!B:O,7,FALSE)</f>
        <v>7.8668753671200005</v>
      </c>
      <c r="AL153" s="86">
        <f>VLOOKUP(TableWRRanks32[[#This Row],[Player]],WR!B:O,8,FALSE)</f>
        <v>78.668753671200008</v>
      </c>
      <c r="AM153" s="86">
        <f>VLOOKUP(TableWRRanks32[[#This Row],[Player]],WR!B:O,9,FALSE)</f>
        <v>0.33827564078616001</v>
      </c>
      <c r="AN153" s="58">
        <f>IFERROR(INDEX(TableWRCalcPts[Custom],MATCH(TableWRRanks32[[#This Row],[RK]],TableWRCalcPts[RK],0)),"")</f>
        <v>13.829966895396961</v>
      </c>
      <c r="AO15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54" spans="16:41" x14ac:dyDescent="0.2">
      <c r="P154">
        <v>153</v>
      </c>
      <c r="Q154" t="str">
        <f>IFERROR(INDEX(TableRBCalcPts[PLAYER],MATCH(TableRBRanks31[[#This Row],[RK]],TableRBCalcPts[RK],0)),"")</f>
        <v/>
      </c>
      <c r="R154" t="str">
        <f>IFERROR(INDEX(TableRBCalcPts[TM],MATCH(TableRBRanks31[[#This Row],[Player]],TableRBCalcPts[PLAYER],0)),"")</f>
        <v/>
      </c>
      <c r="S154" t="str">
        <f>IFERROR(INDEX(TableRBCalcPts[BYE],MATCH(TableRBRanks31[[#This Row],[Player]],TableRBCalcPts[PLAYER],0)),"")</f>
        <v/>
      </c>
      <c r="T154" s="86" t="e">
        <f>VLOOKUP(TableRBRanks31[[#This Row],[Player]],RB!B:O,4,FALSE)</f>
        <v>#N/A</v>
      </c>
      <c r="U154" s="86" t="e">
        <f>VLOOKUP(TableRBRanks31[[#This Row],[Player]],RB!B:O,5,FALSE)</f>
        <v>#N/A</v>
      </c>
      <c r="V154" s="86" t="e">
        <f>VLOOKUP(TableRBRanks31[[#This Row],[Player]],RB!B:O,6,FALSE)</f>
        <v>#N/A</v>
      </c>
      <c r="W154" s="86" t="e">
        <f>VLOOKUP(TableRBRanks31[[#This Row],[Player]],RB!B:O,7,FALSE)</f>
        <v>#N/A</v>
      </c>
      <c r="X154" s="86" t="e">
        <f>VLOOKUP(TableRBRanks31[[#This Row],[Player]],RB!B:O,8,FALSE)</f>
        <v>#N/A</v>
      </c>
      <c r="Y154" s="86" t="e">
        <f>VLOOKUP(TableRBRanks31[[#This Row],[Player]],RB!B:O,9,FALSE)</f>
        <v>#N/A</v>
      </c>
      <c r="Z154" s="86" t="e">
        <f>VLOOKUP(TableRBRanks31[[#This Row],[Player]],RB!B:O,10,FALSE)</f>
        <v>#N/A</v>
      </c>
      <c r="AA154" s="58" t="str">
        <f>IFERROR(INDEX(TableRBCalcPts[Custom],MATCH(TableRBRanks31[[#This Row],[RK]],TableRBCalcPts[RK],0)),"")</f>
        <v/>
      </c>
      <c r="AB154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54">
        <v>153</v>
      </c>
      <c r="AE154" t="str">
        <f>IFERROR(INDEX(TableWRCalcPts[PLAYER],MATCH(TableWRRanks32[[#This Row],[RK]],TableWRCalcPts[RK],0)),"")</f>
        <v>Derius Davis</v>
      </c>
      <c r="AF154" t="str">
        <f>IFERROR(INDEX(TableWRCalcPts[TM],MATCH(TableWRRanks32[[#This Row],[Player]],TableWRCalcPts[PLAYER],0)),"")</f>
        <v>LAC</v>
      </c>
      <c r="AG154">
        <f>IFERROR(INDEX(TableWRCalcPts[BYE],MATCH(TableWRRanks32[[#This Row],[Player]],TableWRCalcPts[PLAYER],0)),"")</f>
        <v>5</v>
      </c>
      <c r="AH154" s="86">
        <f>VLOOKUP(TableWRRanks32[[#This Row],[Player]],WR!B:O,4,FALSE)</f>
        <v>0</v>
      </c>
      <c r="AI154" s="86">
        <f>VLOOKUP(TableWRRanks32[[#This Row],[Player]],WR!B:O,5,FALSE)</f>
        <v>0</v>
      </c>
      <c r="AJ154" s="86">
        <f>VLOOKUP(TableWRRanks32[[#This Row],[Player]],WR!B:O,6,FALSE)</f>
        <v>11.225008200000001</v>
      </c>
      <c r="AK154" s="86">
        <f>VLOOKUP(TableWRRanks32[[#This Row],[Player]],WR!B:O,7,FALSE)</f>
        <v>7.3748303874000012</v>
      </c>
      <c r="AL154" s="86">
        <f>VLOOKUP(TableWRRanks32[[#This Row],[Player]],WR!B:O,8,FALSE)</f>
        <v>76.698236028960011</v>
      </c>
      <c r="AM154" s="86">
        <f>VLOOKUP(TableWRRanks32[[#This Row],[Player]],WR!B:O,9,FALSE)</f>
        <v>0.39824084091960005</v>
      </c>
      <c r="AN154" s="58">
        <f>IFERROR(INDEX(TableWRCalcPts[Custom],MATCH(TableWRRanks32[[#This Row],[RK]],TableWRCalcPts[RK],0)),"")</f>
        <v>13.746683842113603</v>
      </c>
      <c r="AO154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55" spans="16:41" x14ac:dyDescent="0.2">
      <c r="P155">
        <v>154</v>
      </c>
      <c r="Q155" t="str">
        <f>IFERROR(INDEX(TableRBCalcPts[PLAYER],MATCH(TableRBRanks31[[#This Row],[RK]],TableRBCalcPts[RK],0)),"")</f>
        <v/>
      </c>
      <c r="R155" t="str">
        <f>IFERROR(INDEX(TableRBCalcPts[TM],MATCH(TableRBRanks31[[#This Row],[Player]],TableRBCalcPts[PLAYER],0)),"")</f>
        <v/>
      </c>
      <c r="S155" t="str">
        <f>IFERROR(INDEX(TableRBCalcPts[BYE],MATCH(TableRBRanks31[[#This Row],[Player]],TableRBCalcPts[PLAYER],0)),"")</f>
        <v/>
      </c>
      <c r="T155" s="86" t="e">
        <f>VLOOKUP(TableRBRanks31[[#This Row],[Player]],RB!B:O,4,FALSE)</f>
        <v>#N/A</v>
      </c>
      <c r="U155" s="86" t="e">
        <f>VLOOKUP(TableRBRanks31[[#This Row],[Player]],RB!B:O,5,FALSE)</f>
        <v>#N/A</v>
      </c>
      <c r="V155" s="86" t="e">
        <f>VLOOKUP(TableRBRanks31[[#This Row],[Player]],RB!B:O,6,FALSE)</f>
        <v>#N/A</v>
      </c>
      <c r="W155" s="86" t="e">
        <f>VLOOKUP(TableRBRanks31[[#This Row],[Player]],RB!B:O,7,FALSE)</f>
        <v>#N/A</v>
      </c>
      <c r="X155" s="86" t="e">
        <f>VLOOKUP(TableRBRanks31[[#This Row],[Player]],RB!B:O,8,FALSE)</f>
        <v>#N/A</v>
      </c>
      <c r="Y155" s="86" t="e">
        <f>VLOOKUP(TableRBRanks31[[#This Row],[Player]],RB!B:O,9,FALSE)</f>
        <v>#N/A</v>
      </c>
      <c r="Z155" s="86" t="e">
        <f>VLOOKUP(TableRBRanks31[[#This Row],[Player]],RB!B:O,10,FALSE)</f>
        <v>#N/A</v>
      </c>
      <c r="AA155" s="58" t="str">
        <f>IFERROR(INDEX(TableRBCalcPts[Custom],MATCH(TableRBRanks31[[#This Row],[RK]],TableRBCalcPts[RK],0)),"")</f>
        <v/>
      </c>
      <c r="AB155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55">
        <v>154</v>
      </c>
      <c r="AE155" t="str">
        <f>IFERROR(INDEX(TableWRCalcPts[PLAYER],MATCH(TableWRRanks32[[#This Row],[RK]],TableWRCalcPts[RK],0)),"")</f>
        <v>Velus Jones</v>
      </c>
      <c r="AF155" t="str">
        <f>IFERROR(INDEX(TableWRCalcPts[TM],MATCH(TableWRRanks32[[#This Row],[Player]],TableWRCalcPts[PLAYER],0)),"")</f>
        <v>CHI</v>
      </c>
      <c r="AG155">
        <f>IFERROR(INDEX(TableWRCalcPts[BYE],MATCH(TableWRRanks32[[#This Row],[Player]],TableWRCalcPts[PLAYER],0)),"")</f>
        <v>13</v>
      </c>
      <c r="AH155" s="86">
        <f>VLOOKUP(TableWRRanks32[[#This Row],[Player]],WR!B:O,4,FALSE)</f>
        <v>0</v>
      </c>
      <c r="AI155" s="86">
        <f>VLOOKUP(TableWRRanks32[[#This Row],[Player]],WR!B:O,5,FALSE)</f>
        <v>0</v>
      </c>
      <c r="AJ155" s="86">
        <f>VLOOKUP(TableWRRanks32[[#This Row],[Player]],WR!B:O,6,FALSE)</f>
        <v>11.473644</v>
      </c>
      <c r="AK155" s="86">
        <f>VLOOKUP(TableWRRanks32[[#This Row],[Player]],WR!B:O,7,FALSE)</f>
        <v>6.4695268296932928</v>
      </c>
      <c r="AL155" s="86">
        <f>VLOOKUP(TableWRRanks32[[#This Row],[Player]],WR!B:O,8,FALSE)</f>
        <v>86.750160323236742</v>
      </c>
      <c r="AM155" s="86">
        <f>VLOOKUP(TableWRRanks32[[#This Row],[Player]],WR!B:O,9,FALSE)</f>
        <v>0.28465918050650485</v>
      </c>
      <c r="AN155" s="58">
        <f>IFERROR(INDEX(TableWRCalcPts[Custom],MATCH(TableWRRanks32[[#This Row],[RK]],TableWRCalcPts[RK],0)),"")</f>
        <v>13.617734530209351</v>
      </c>
      <c r="AO155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56" spans="16:41" x14ac:dyDescent="0.2">
      <c r="P156">
        <v>155</v>
      </c>
      <c r="Q156" t="str">
        <f>IFERROR(INDEX(TableRBCalcPts[PLAYER],MATCH(TableRBRanks31[[#This Row],[RK]],TableRBCalcPts[RK],0)),"")</f>
        <v/>
      </c>
      <c r="R156" t="str">
        <f>IFERROR(INDEX(TableRBCalcPts[TM],MATCH(TableRBRanks31[[#This Row],[Player]],TableRBCalcPts[PLAYER],0)),"")</f>
        <v/>
      </c>
      <c r="S156" t="str">
        <f>IFERROR(INDEX(TableRBCalcPts[BYE],MATCH(TableRBRanks31[[#This Row],[Player]],TableRBCalcPts[PLAYER],0)),"")</f>
        <v/>
      </c>
      <c r="T156" s="86" t="e">
        <f>VLOOKUP(TableRBRanks31[[#This Row],[Player]],RB!B:O,4,FALSE)</f>
        <v>#N/A</v>
      </c>
      <c r="U156" s="86" t="e">
        <f>VLOOKUP(TableRBRanks31[[#This Row],[Player]],RB!B:O,5,FALSE)</f>
        <v>#N/A</v>
      </c>
      <c r="V156" s="86" t="e">
        <f>VLOOKUP(TableRBRanks31[[#This Row],[Player]],RB!B:O,6,FALSE)</f>
        <v>#N/A</v>
      </c>
      <c r="W156" s="86" t="e">
        <f>VLOOKUP(TableRBRanks31[[#This Row],[Player]],RB!B:O,7,FALSE)</f>
        <v>#N/A</v>
      </c>
      <c r="X156" s="86" t="e">
        <f>VLOOKUP(TableRBRanks31[[#This Row],[Player]],RB!B:O,8,FALSE)</f>
        <v>#N/A</v>
      </c>
      <c r="Y156" s="86" t="e">
        <f>VLOOKUP(TableRBRanks31[[#This Row],[Player]],RB!B:O,9,FALSE)</f>
        <v>#N/A</v>
      </c>
      <c r="Z156" s="86" t="e">
        <f>VLOOKUP(TableRBRanks31[[#This Row],[Player]],RB!B:O,10,FALSE)</f>
        <v>#N/A</v>
      </c>
      <c r="AA156" s="58" t="str">
        <f>IFERROR(INDEX(TableRBCalcPts[Custom],MATCH(TableRBRanks31[[#This Row],[RK]],TableRBCalcPts[RK],0)),"")</f>
        <v/>
      </c>
      <c r="AB156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56">
        <v>155</v>
      </c>
      <c r="AE156" t="str">
        <f>IFERROR(INDEX(TableWRCalcPts[PLAYER],MATCH(TableWRRanks32[[#This Row],[RK]],TableWRCalcPts[RK],0)),"")</f>
        <v>KaVontae Turpin</v>
      </c>
      <c r="AF156" t="str">
        <f>IFERROR(INDEX(TableWRCalcPts[TM],MATCH(TableWRRanks32[[#This Row],[Player]],TableWRCalcPts[PLAYER],0)),"")</f>
        <v>DAL</v>
      </c>
      <c r="AG156">
        <f>IFERROR(INDEX(TableWRCalcPts[BYE],MATCH(TableWRRanks32[[#This Row],[Player]],TableWRCalcPts[PLAYER],0)),"")</f>
        <v>7</v>
      </c>
      <c r="AH156" s="86">
        <f>VLOOKUP(TableWRRanks32[[#This Row],[Player]],WR!B:O,4,FALSE)</f>
        <v>0</v>
      </c>
      <c r="AI156" s="86">
        <f>VLOOKUP(TableWRRanks32[[#This Row],[Player]],WR!B:O,5,FALSE)</f>
        <v>0</v>
      </c>
      <c r="AJ156" s="86">
        <f>VLOOKUP(TableWRRanks32[[#This Row],[Player]],WR!B:O,6,FALSE)</f>
        <v>11.4250752</v>
      </c>
      <c r="AK156" s="86">
        <f>VLOOKUP(TableWRRanks32[[#This Row],[Player]],WR!B:O,7,FALSE)</f>
        <v>6.6950940671999994</v>
      </c>
      <c r="AL156" s="86">
        <f>VLOOKUP(TableWRRanks32[[#This Row],[Player]],WR!B:O,8,FALSE)</f>
        <v>72.976525332479994</v>
      </c>
      <c r="AM156" s="86">
        <f>VLOOKUP(TableWRRanks32[[#This Row],[Player]],WR!B:O,9,FALSE)</f>
        <v>0.46865658470400001</v>
      </c>
      <c r="AN156" s="58">
        <f>IFERROR(INDEX(TableWRCalcPts[Custom],MATCH(TableWRRanks32[[#This Row],[RK]],TableWRCalcPts[RK],0)),"")</f>
        <v>13.457139075072</v>
      </c>
      <c r="AO156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57" spans="16:41" x14ac:dyDescent="0.2">
      <c r="P157">
        <v>156</v>
      </c>
      <c r="Q157" t="str">
        <f>IFERROR(INDEX(TableRBCalcPts[PLAYER],MATCH(TableRBRanks31[[#This Row],[RK]],TableRBCalcPts[RK],0)),"")</f>
        <v/>
      </c>
      <c r="R157" t="str">
        <f>IFERROR(INDEX(TableRBCalcPts[TM],MATCH(TableRBRanks31[[#This Row],[Player]],TableRBCalcPts[PLAYER],0)),"")</f>
        <v/>
      </c>
      <c r="S157" t="str">
        <f>IFERROR(INDEX(TableRBCalcPts[BYE],MATCH(TableRBRanks31[[#This Row],[Player]],TableRBCalcPts[PLAYER],0)),"")</f>
        <v/>
      </c>
      <c r="T157" s="86" t="e">
        <f>VLOOKUP(TableRBRanks31[[#This Row],[Player]],RB!B:O,4,FALSE)</f>
        <v>#N/A</v>
      </c>
      <c r="U157" s="86" t="e">
        <f>VLOOKUP(TableRBRanks31[[#This Row],[Player]],RB!B:O,5,FALSE)</f>
        <v>#N/A</v>
      </c>
      <c r="V157" s="86" t="e">
        <f>VLOOKUP(TableRBRanks31[[#This Row],[Player]],RB!B:O,6,FALSE)</f>
        <v>#N/A</v>
      </c>
      <c r="W157" s="86" t="e">
        <f>VLOOKUP(TableRBRanks31[[#This Row],[Player]],RB!B:O,7,FALSE)</f>
        <v>#N/A</v>
      </c>
      <c r="X157" s="86" t="e">
        <f>VLOOKUP(TableRBRanks31[[#This Row],[Player]],RB!B:O,8,FALSE)</f>
        <v>#N/A</v>
      </c>
      <c r="Y157" s="86" t="e">
        <f>VLOOKUP(TableRBRanks31[[#This Row],[Player]],RB!B:O,9,FALSE)</f>
        <v>#N/A</v>
      </c>
      <c r="Z157" s="86" t="e">
        <f>VLOOKUP(TableRBRanks31[[#This Row],[Player]],RB!B:O,10,FALSE)</f>
        <v>#N/A</v>
      </c>
      <c r="AA157" s="58" t="str">
        <f>IFERROR(INDEX(TableRBCalcPts[Custom],MATCH(TableRBRanks31[[#This Row],[RK]],TableRBCalcPts[RK],0)),"")</f>
        <v/>
      </c>
      <c r="AB157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57">
        <v>156</v>
      </c>
      <c r="AE157" t="str">
        <f>IFERROR(INDEX(TableWRCalcPts[PLAYER],MATCH(TableWRRanks32[[#This Row],[RK]],TableWRCalcPts[RK],0)),"")</f>
        <v>Rakim Jarrett</v>
      </c>
      <c r="AF157" t="str">
        <f>IFERROR(INDEX(TableWRCalcPts[TM],MATCH(TableWRRanks32[[#This Row],[Player]],TableWRCalcPts[PLAYER],0)),"")</f>
        <v>TB</v>
      </c>
      <c r="AG157">
        <f>IFERROR(INDEX(TableWRCalcPts[BYE],MATCH(TableWRRanks32[[#This Row],[Player]],TableWRCalcPts[PLAYER],0)),"")</f>
        <v>5</v>
      </c>
      <c r="AH157" s="86">
        <f>VLOOKUP(TableWRRanks32[[#This Row],[Player]],WR!B:O,4,FALSE)</f>
        <v>0</v>
      </c>
      <c r="AI157" s="86">
        <f>VLOOKUP(TableWRRanks32[[#This Row],[Player]],WR!B:O,5,FALSE)</f>
        <v>0</v>
      </c>
      <c r="AJ157" s="86">
        <f>VLOOKUP(TableWRRanks32[[#This Row],[Player]],WR!B:O,6,FALSE)</f>
        <v>11.73619776</v>
      </c>
      <c r="AK157" s="86">
        <f>VLOOKUP(TableWRRanks32[[#This Row],[Player]],WR!B:O,7,FALSE)</f>
        <v>6.5840069433600004</v>
      </c>
      <c r="AL157" s="86">
        <f>VLOOKUP(TableWRRanks32[[#This Row],[Player]],WR!B:O,8,FALSE)</f>
        <v>80.127364500691201</v>
      </c>
      <c r="AM157" s="86">
        <f>VLOOKUP(TableWRRanks32[[#This Row],[Player]],WR!B:O,9,FALSE)</f>
        <v>0.34895236799807999</v>
      </c>
      <c r="AN157" s="58">
        <f>IFERROR(INDEX(TableWRCalcPts[Custom],MATCH(TableWRRanks32[[#This Row],[RK]],TableWRCalcPts[RK],0)),"")</f>
        <v>13.398454129737601</v>
      </c>
      <c r="AO157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58" spans="16:41" x14ac:dyDescent="0.2">
      <c r="P158">
        <v>157</v>
      </c>
      <c r="Q158" t="str">
        <f>IFERROR(INDEX(TableRBCalcPts[PLAYER],MATCH(TableRBRanks31[[#This Row],[RK]],TableRBCalcPts[RK],0)),"")</f>
        <v/>
      </c>
      <c r="R158" t="str">
        <f>IFERROR(INDEX(TableRBCalcPts[TM],MATCH(TableRBRanks31[[#This Row],[Player]],TableRBCalcPts[PLAYER],0)),"")</f>
        <v/>
      </c>
      <c r="S158" t="str">
        <f>IFERROR(INDEX(TableRBCalcPts[BYE],MATCH(TableRBRanks31[[#This Row],[Player]],TableRBCalcPts[PLAYER],0)),"")</f>
        <v/>
      </c>
      <c r="T158" s="86" t="e">
        <f>VLOOKUP(TableRBRanks31[[#This Row],[Player]],RB!B:O,4,FALSE)</f>
        <v>#N/A</v>
      </c>
      <c r="U158" s="86" t="e">
        <f>VLOOKUP(TableRBRanks31[[#This Row],[Player]],RB!B:O,5,FALSE)</f>
        <v>#N/A</v>
      </c>
      <c r="V158" s="86" t="e">
        <f>VLOOKUP(TableRBRanks31[[#This Row],[Player]],RB!B:O,6,FALSE)</f>
        <v>#N/A</v>
      </c>
      <c r="W158" s="86" t="e">
        <f>VLOOKUP(TableRBRanks31[[#This Row],[Player]],RB!B:O,7,FALSE)</f>
        <v>#N/A</v>
      </c>
      <c r="X158" s="86" t="e">
        <f>VLOOKUP(TableRBRanks31[[#This Row],[Player]],RB!B:O,8,FALSE)</f>
        <v>#N/A</v>
      </c>
      <c r="Y158" s="86" t="e">
        <f>VLOOKUP(TableRBRanks31[[#This Row],[Player]],RB!B:O,9,FALSE)</f>
        <v>#N/A</v>
      </c>
      <c r="Z158" s="86" t="e">
        <f>VLOOKUP(TableRBRanks31[[#This Row],[Player]],RB!B:O,10,FALSE)</f>
        <v>#N/A</v>
      </c>
      <c r="AA158" s="58" t="str">
        <f>IFERROR(INDEX(TableRBCalcPts[Custom],MATCH(TableRBRanks31[[#This Row],[RK]],TableRBCalcPts[RK],0)),"")</f>
        <v/>
      </c>
      <c r="AB158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58">
        <v>157</v>
      </c>
      <c r="AE158" t="str">
        <f>IFERROR(INDEX(TableWRCalcPts[PLAYER],MATCH(TableWRRanks32[[#This Row],[RK]],TableWRCalcPts[RK],0)),"")</f>
        <v>Jalen Nailor</v>
      </c>
      <c r="AF158" t="str">
        <f>IFERROR(INDEX(TableWRCalcPts[TM],MATCH(TableWRRanks32[[#This Row],[Player]],TableWRCalcPts[PLAYER],0)),"")</f>
        <v>MIN</v>
      </c>
      <c r="AG158">
        <f>IFERROR(INDEX(TableWRCalcPts[BYE],MATCH(TableWRRanks32[[#This Row],[Player]],TableWRCalcPts[PLAYER],0)),"")</f>
        <v>13</v>
      </c>
      <c r="AH158" s="86">
        <f>VLOOKUP(TableWRRanks32[[#This Row],[Player]],WR!B:O,4,FALSE)</f>
        <v>0</v>
      </c>
      <c r="AI158" s="86">
        <f>VLOOKUP(TableWRRanks32[[#This Row],[Player]],WR!B:O,5,FALSE)</f>
        <v>0</v>
      </c>
      <c r="AJ158" s="86">
        <f>VLOOKUP(TableWRRanks32[[#This Row],[Player]],WR!B:O,6,FALSE)</f>
        <v>9.7931987999999972</v>
      </c>
      <c r="AK158" s="86">
        <f>VLOOKUP(TableWRRanks32[[#This Row],[Player]],WR!B:O,7,FALSE)</f>
        <v>5.6267198516291623</v>
      </c>
      <c r="AL158" s="86">
        <f>VLOOKUP(TableWRRanks32[[#This Row],[Player]],WR!B:O,8,FALSE)</f>
        <v>76.016985195509989</v>
      </c>
      <c r="AM158" s="86">
        <f>VLOOKUP(TableWRRanks32[[#This Row],[Player]],WR!B:O,9,FALSE)</f>
        <v>0.33760319109774972</v>
      </c>
      <c r="AN158" s="58">
        <f>IFERROR(INDEX(TableWRCalcPts[Custom],MATCH(TableWRRanks32[[#This Row],[RK]],TableWRCalcPts[RK],0)),"")</f>
        <v>12.440677591952079</v>
      </c>
      <c r="AO158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59" spans="16:41" x14ac:dyDescent="0.2">
      <c r="P159">
        <v>158</v>
      </c>
      <c r="Q159" t="str">
        <f>IFERROR(INDEX(TableRBCalcPts[PLAYER],MATCH(TableRBRanks31[[#This Row],[RK]],TableRBCalcPts[RK],0)),"")</f>
        <v/>
      </c>
      <c r="R159" t="str">
        <f>IFERROR(INDEX(TableRBCalcPts[TM],MATCH(TableRBRanks31[[#This Row],[Player]],TableRBCalcPts[PLAYER],0)),"")</f>
        <v/>
      </c>
      <c r="S159" t="str">
        <f>IFERROR(INDEX(TableRBCalcPts[BYE],MATCH(TableRBRanks31[[#This Row],[Player]],TableRBCalcPts[PLAYER],0)),"")</f>
        <v/>
      </c>
      <c r="T159" s="86" t="e">
        <f>VLOOKUP(TableRBRanks31[[#This Row],[Player]],RB!B:O,4,FALSE)</f>
        <v>#N/A</v>
      </c>
      <c r="U159" s="86" t="e">
        <f>VLOOKUP(TableRBRanks31[[#This Row],[Player]],RB!B:O,5,FALSE)</f>
        <v>#N/A</v>
      </c>
      <c r="V159" s="86" t="e">
        <f>VLOOKUP(TableRBRanks31[[#This Row],[Player]],RB!B:O,6,FALSE)</f>
        <v>#N/A</v>
      </c>
      <c r="W159" s="86" t="e">
        <f>VLOOKUP(TableRBRanks31[[#This Row],[Player]],RB!B:O,7,FALSE)</f>
        <v>#N/A</v>
      </c>
      <c r="X159" s="86" t="e">
        <f>VLOOKUP(TableRBRanks31[[#This Row],[Player]],RB!B:O,8,FALSE)</f>
        <v>#N/A</v>
      </c>
      <c r="Y159" s="86" t="e">
        <f>VLOOKUP(TableRBRanks31[[#This Row],[Player]],RB!B:O,9,FALSE)</f>
        <v>#N/A</v>
      </c>
      <c r="Z159" s="86" t="e">
        <f>VLOOKUP(TableRBRanks31[[#This Row],[Player]],RB!B:O,10,FALSE)</f>
        <v>#N/A</v>
      </c>
      <c r="AA159" s="58" t="str">
        <f>IFERROR(INDEX(TableRBCalcPts[Custom],MATCH(TableRBRanks31[[#This Row],[RK]],TableRBCalcPts[RK],0)),"")</f>
        <v/>
      </c>
      <c r="AB159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59">
        <v>158</v>
      </c>
      <c r="AE159" t="str">
        <f>IFERROR(INDEX(TableWRCalcPts[PLAYER],MATCH(TableWRRanks32[[#This Row],[RK]],TableWRCalcPts[RK],0)),"")</f>
        <v>Ronnie Bell</v>
      </c>
      <c r="AF159" t="str">
        <f>IFERROR(INDEX(TableWRCalcPts[TM],MATCH(TableWRRanks32[[#This Row],[Player]],TableWRCalcPts[PLAYER],0)),"")</f>
        <v>SF</v>
      </c>
      <c r="AG159">
        <f>IFERROR(INDEX(TableWRCalcPts[BYE],MATCH(TableWRRanks32[[#This Row],[Player]],TableWRCalcPts[PLAYER],0)),"")</f>
        <v>9</v>
      </c>
      <c r="AH159" s="86">
        <f>VLOOKUP(TableWRRanks32[[#This Row],[Player]],WR!B:O,4,FALSE)</f>
        <v>0</v>
      </c>
      <c r="AI159" s="86">
        <f>VLOOKUP(TableWRRanks32[[#This Row],[Player]],WR!B:O,5,FALSE)</f>
        <v>0</v>
      </c>
      <c r="AJ159" s="86">
        <f>VLOOKUP(TableWRRanks32[[#This Row],[Player]],WR!B:O,6,FALSE)</f>
        <v>10.3007604</v>
      </c>
      <c r="AK159" s="86">
        <f>VLOOKUP(TableWRRanks32[[#This Row],[Player]],WR!B:O,7,FALSE)</f>
        <v>5.7169220220000003</v>
      </c>
      <c r="AL159" s="86">
        <f>VLOOKUP(TableWRRanks32[[#This Row],[Player]],WR!B:O,8,FALSE)</f>
        <v>68.85373100012886</v>
      </c>
      <c r="AM159" s="86">
        <f>VLOOKUP(TableWRRanks32[[#This Row],[Player]],WR!B:O,9,FALSE)</f>
        <v>0.29727994514400002</v>
      </c>
      <c r="AN159" s="58">
        <f>IFERROR(INDEX(TableWRCalcPts[Custom],MATCH(TableWRRanks32[[#This Row],[RK]],TableWRCalcPts[RK],0)),"")</f>
        <v>11.527513781876888</v>
      </c>
      <c r="AO159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60" spans="16:41" x14ac:dyDescent="0.2">
      <c r="P160">
        <v>159</v>
      </c>
      <c r="Q160" t="str">
        <f>IFERROR(INDEX(TableRBCalcPts[PLAYER],MATCH(TableRBRanks31[[#This Row],[RK]],TableRBCalcPts[RK],0)),"")</f>
        <v/>
      </c>
      <c r="R160" t="str">
        <f>IFERROR(INDEX(TableRBCalcPts[TM],MATCH(TableRBRanks31[[#This Row],[Player]],TableRBCalcPts[PLAYER],0)),"")</f>
        <v/>
      </c>
      <c r="S160" t="str">
        <f>IFERROR(INDEX(TableRBCalcPts[BYE],MATCH(TableRBRanks31[[#This Row],[Player]],TableRBCalcPts[PLAYER],0)),"")</f>
        <v/>
      </c>
      <c r="T160" s="86" t="e">
        <f>VLOOKUP(TableRBRanks31[[#This Row],[Player]],RB!B:O,4,FALSE)</f>
        <v>#N/A</v>
      </c>
      <c r="U160" s="86" t="e">
        <f>VLOOKUP(TableRBRanks31[[#This Row],[Player]],RB!B:O,5,FALSE)</f>
        <v>#N/A</v>
      </c>
      <c r="V160" s="86" t="e">
        <f>VLOOKUP(TableRBRanks31[[#This Row],[Player]],RB!B:O,6,FALSE)</f>
        <v>#N/A</v>
      </c>
      <c r="W160" s="86" t="e">
        <f>VLOOKUP(TableRBRanks31[[#This Row],[Player]],RB!B:O,7,FALSE)</f>
        <v>#N/A</v>
      </c>
      <c r="X160" s="86" t="e">
        <f>VLOOKUP(TableRBRanks31[[#This Row],[Player]],RB!B:O,8,FALSE)</f>
        <v>#N/A</v>
      </c>
      <c r="Y160" s="86" t="e">
        <f>VLOOKUP(TableRBRanks31[[#This Row],[Player]],RB!B:O,9,FALSE)</f>
        <v>#N/A</v>
      </c>
      <c r="Z160" s="86" t="e">
        <f>VLOOKUP(TableRBRanks31[[#This Row],[Player]],RB!B:O,10,FALSE)</f>
        <v>#N/A</v>
      </c>
      <c r="AA160" s="58" t="str">
        <f>IFERROR(INDEX(TableRBCalcPts[Custom],MATCH(TableRBRanks31[[#This Row],[RK]],TableRBCalcPts[RK],0)),"")</f>
        <v/>
      </c>
      <c r="AB160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60">
        <v>159</v>
      </c>
      <c r="AE160" t="str">
        <f>IFERROR(INDEX(TableWRCalcPts[PLAYER],MATCH(TableWRRanks32[[#This Row],[RK]],TableWRCalcPts[RK],0)),"")</f>
        <v>Gunner Olszewski</v>
      </c>
      <c r="AF160" t="str">
        <f>IFERROR(INDEX(TableWRCalcPts[TM],MATCH(TableWRRanks32[[#This Row],[Player]],TableWRCalcPts[PLAYER],0)),"")</f>
        <v>PIT</v>
      </c>
      <c r="AG160">
        <f>IFERROR(INDEX(TableWRCalcPts[BYE],MATCH(TableWRRanks32[[#This Row],[Player]],TableWRCalcPts[PLAYER],0)),"")</f>
        <v>6</v>
      </c>
      <c r="AH160" s="86">
        <f>VLOOKUP(TableWRRanks32[[#This Row],[Player]],WR!B:O,4,FALSE)</f>
        <v>0</v>
      </c>
      <c r="AI160" s="86">
        <f>VLOOKUP(TableWRRanks32[[#This Row],[Player]],WR!B:O,5,FALSE)</f>
        <v>0</v>
      </c>
      <c r="AJ160" s="86">
        <f>VLOOKUP(TableWRRanks32[[#This Row],[Player]],WR!B:O,6,FALSE)</f>
        <v>10.388989800000001</v>
      </c>
      <c r="AK160" s="86">
        <f>VLOOKUP(TableWRRanks32[[#This Row],[Player]],WR!B:O,7,FALSE)</f>
        <v>6.2333938800000004</v>
      </c>
      <c r="AL160" s="86">
        <f>VLOOKUP(TableWRRanks32[[#This Row],[Player]],WR!B:O,8,FALSE)</f>
        <v>64.203956964000014</v>
      </c>
      <c r="AM160" s="86">
        <f>VLOOKUP(TableWRRanks32[[#This Row],[Player]],WR!B:O,9,FALSE)</f>
        <v>0.28050272460000003</v>
      </c>
      <c r="AN160" s="58">
        <f>IFERROR(INDEX(TableWRCalcPts[Custom],MATCH(TableWRRanks32[[#This Row],[RK]],TableWRCalcPts[RK],0)),"")</f>
        <v>11.220108984000003</v>
      </c>
      <c r="AO160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61" spans="16:41" x14ac:dyDescent="0.2">
      <c r="P161">
        <v>160</v>
      </c>
      <c r="Q161" t="str">
        <f>IFERROR(INDEX(TableRBCalcPts[PLAYER],MATCH(TableRBRanks31[[#This Row],[RK]],TableRBCalcPts[RK],0)),"")</f>
        <v/>
      </c>
      <c r="R161" t="str">
        <f>IFERROR(INDEX(TableRBCalcPts[TM],MATCH(TableRBRanks31[[#This Row],[Player]],TableRBCalcPts[PLAYER],0)),"")</f>
        <v/>
      </c>
      <c r="S161" t="str">
        <f>IFERROR(INDEX(TableRBCalcPts[BYE],MATCH(TableRBRanks31[[#This Row],[Player]],TableRBCalcPts[PLAYER],0)),"")</f>
        <v/>
      </c>
      <c r="T161" s="86" t="e">
        <f>VLOOKUP(TableRBRanks31[[#This Row],[Player]],RB!B:O,4,FALSE)</f>
        <v>#N/A</v>
      </c>
      <c r="U161" s="86" t="e">
        <f>VLOOKUP(TableRBRanks31[[#This Row],[Player]],RB!B:O,5,FALSE)</f>
        <v>#N/A</v>
      </c>
      <c r="V161" s="86" t="e">
        <f>VLOOKUP(TableRBRanks31[[#This Row],[Player]],RB!B:O,6,FALSE)</f>
        <v>#N/A</v>
      </c>
      <c r="W161" s="86" t="e">
        <f>VLOOKUP(TableRBRanks31[[#This Row],[Player]],RB!B:O,7,FALSE)</f>
        <v>#N/A</v>
      </c>
      <c r="X161" s="86" t="e">
        <f>VLOOKUP(TableRBRanks31[[#This Row],[Player]],RB!B:O,8,FALSE)</f>
        <v>#N/A</v>
      </c>
      <c r="Y161" s="86" t="e">
        <f>VLOOKUP(TableRBRanks31[[#This Row],[Player]],RB!B:O,9,FALSE)</f>
        <v>#N/A</v>
      </c>
      <c r="Z161" s="86" t="e">
        <f>VLOOKUP(TableRBRanks31[[#This Row],[Player]],RB!B:O,10,FALSE)</f>
        <v>#N/A</v>
      </c>
      <c r="AA161" s="58" t="str">
        <f>IFERROR(INDEX(TableRBCalcPts[Custom],MATCH(TableRBRanks31[[#This Row],[RK]],TableRBCalcPts[RK],0)),"")</f>
        <v/>
      </c>
      <c r="AB161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61">
        <v>160</v>
      </c>
      <c r="AE161" t="str">
        <f>IFERROR(INDEX(TableWRCalcPts[PLAYER],MATCH(TableWRRanks32[[#This Row],[RK]],TableWRCalcPts[RK],0)),"")</f>
        <v>Xavier Hutchinson</v>
      </c>
      <c r="AF161" t="str">
        <f>IFERROR(INDEX(TableWRCalcPts[TM],MATCH(TableWRRanks32[[#This Row],[Player]],TableWRCalcPts[PLAYER],0)),"")</f>
        <v>HOU</v>
      </c>
      <c r="AG161">
        <f>IFERROR(INDEX(TableWRCalcPts[BYE],MATCH(TableWRRanks32[[#This Row],[Player]],TableWRCalcPts[PLAYER],0)),"")</f>
        <v>7</v>
      </c>
      <c r="AH161" s="86">
        <f>VLOOKUP(TableWRRanks32[[#This Row],[Player]],WR!B:O,4,FALSE)</f>
        <v>0</v>
      </c>
      <c r="AI161" s="86">
        <f>VLOOKUP(TableWRRanks32[[#This Row],[Player]],WR!B:O,5,FALSE)</f>
        <v>0</v>
      </c>
      <c r="AJ161" s="86">
        <f>VLOOKUP(TableWRRanks32[[#This Row],[Player]],WR!B:O,6,FALSE)</f>
        <v>8.4510887999999991</v>
      </c>
      <c r="AK161" s="86">
        <f>VLOOKUP(TableWRRanks32[[#This Row],[Player]],WR!B:O,7,FALSE)</f>
        <v>4.3482729906967634</v>
      </c>
      <c r="AL161" s="86">
        <f>VLOOKUP(TableWRRanks32[[#This Row],[Player]],WR!B:O,8,FALSE)</f>
        <v>64.702302101567838</v>
      </c>
      <c r="AM161" s="86">
        <f>VLOOKUP(TableWRRanks32[[#This Row],[Player]],WR!B:O,9,FALSE)</f>
        <v>0.17393091962787055</v>
      </c>
      <c r="AN161" s="58">
        <f>IFERROR(INDEX(TableWRCalcPts[Custom],MATCH(TableWRRanks32[[#This Row],[RK]],TableWRCalcPts[RK],0)),"")</f>
        <v>9.68795222327239</v>
      </c>
      <c r="AO161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62" spans="16:41" x14ac:dyDescent="0.2">
      <c r="P162">
        <v>161</v>
      </c>
      <c r="Q162" t="str">
        <f>IFERROR(INDEX(TableRBCalcPts[PLAYER],MATCH(TableRBRanks31[[#This Row],[RK]],TableRBCalcPts[RK],0)),"")</f>
        <v/>
      </c>
      <c r="R162" t="str">
        <f>IFERROR(INDEX(TableRBCalcPts[TM],MATCH(TableRBRanks31[[#This Row],[Player]],TableRBCalcPts[PLAYER],0)),"")</f>
        <v/>
      </c>
      <c r="S162" t="str">
        <f>IFERROR(INDEX(TableRBCalcPts[BYE],MATCH(TableRBRanks31[[#This Row],[Player]],TableRBCalcPts[PLAYER],0)),"")</f>
        <v/>
      </c>
      <c r="T162" s="86" t="e">
        <f>VLOOKUP(TableRBRanks31[[#This Row],[Player]],RB!B:O,4,FALSE)</f>
        <v>#N/A</v>
      </c>
      <c r="U162" s="86" t="e">
        <f>VLOOKUP(TableRBRanks31[[#This Row],[Player]],RB!B:O,5,FALSE)</f>
        <v>#N/A</v>
      </c>
      <c r="V162" s="86" t="e">
        <f>VLOOKUP(TableRBRanks31[[#This Row],[Player]],RB!B:O,6,FALSE)</f>
        <v>#N/A</v>
      </c>
      <c r="W162" s="86" t="e">
        <f>VLOOKUP(TableRBRanks31[[#This Row],[Player]],RB!B:O,7,FALSE)</f>
        <v>#N/A</v>
      </c>
      <c r="X162" s="86" t="e">
        <f>VLOOKUP(TableRBRanks31[[#This Row],[Player]],RB!B:O,8,FALSE)</f>
        <v>#N/A</v>
      </c>
      <c r="Y162" s="86" t="e">
        <f>VLOOKUP(TableRBRanks31[[#This Row],[Player]],RB!B:O,9,FALSE)</f>
        <v>#N/A</v>
      </c>
      <c r="Z162" s="86" t="e">
        <f>VLOOKUP(TableRBRanks31[[#This Row],[Player]],RB!B:O,10,FALSE)</f>
        <v>#N/A</v>
      </c>
      <c r="AA162" s="58" t="str">
        <f>IFERROR(INDEX(TableRBCalcPts[Custom],MATCH(TableRBRanks31[[#This Row],[RK]],TableRBCalcPts[RK],0)),"")</f>
        <v/>
      </c>
      <c r="AB162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62">
        <v>161</v>
      </c>
      <c r="AE162" t="str">
        <f>IFERROR(INDEX(TableWRCalcPts[PLAYER],MATCH(TableWRRanks32[[#This Row],[RK]],TableWRCalcPts[RK],0)),"")</f>
        <v>Tim Jones</v>
      </c>
      <c r="AF162" t="str">
        <f>IFERROR(INDEX(TableWRCalcPts[TM],MATCH(TableWRRanks32[[#This Row],[Player]],TableWRCalcPts[PLAYER],0)),"")</f>
        <v>JAX</v>
      </c>
      <c r="AG162">
        <f>IFERROR(INDEX(TableWRCalcPts[BYE],MATCH(TableWRRanks32[[#This Row],[Player]],TableWRCalcPts[PLAYER],0)),"")</f>
        <v>9</v>
      </c>
      <c r="AH162" s="86">
        <f>VLOOKUP(TableWRRanks32[[#This Row],[Player]],WR!B:O,4,FALSE)</f>
        <v>0</v>
      </c>
      <c r="AI162" s="86">
        <f>VLOOKUP(TableWRRanks32[[#This Row],[Player]],WR!B:O,5,FALSE)</f>
        <v>0</v>
      </c>
      <c r="AJ162" s="86">
        <f>VLOOKUP(TableWRRanks32[[#This Row],[Player]],WR!B:O,6,FALSE)</f>
        <v>6.1809579999999986</v>
      </c>
      <c r="AK162" s="86">
        <f>VLOOKUP(TableWRRanks32[[#This Row],[Player]],WR!B:O,7,FALSE)</f>
        <v>3.7456605479999991</v>
      </c>
      <c r="AL162" s="86">
        <f>VLOOKUP(TableWRRanks32[[#This Row],[Player]],WR!B:O,8,FALSE)</f>
        <v>39.704001808799987</v>
      </c>
      <c r="AM162" s="86">
        <f>VLOOKUP(TableWRRanks32[[#This Row],[Player]],WR!B:O,9,FALSE)</f>
        <v>0.24346793561999996</v>
      </c>
      <c r="AN162" s="58">
        <f>IFERROR(INDEX(TableWRCalcPts[Custom],MATCH(TableWRRanks32[[#This Row],[RK]],TableWRCalcPts[RK],0)),"")</f>
        <v>7.3040380685999988</v>
      </c>
      <c r="AO162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63" spans="16:41" x14ac:dyDescent="0.2">
      <c r="P163">
        <v>162</v>
      </c>
      <c r="Q163" t="str">
        <f>IFERROR(INDEX(TableRBCalcPts[PLAYER],MATCH(TableRBRanks31[[#This Row],[RK]],TableRBCalcPts[RK],0)),"")</f>
        <v/>
      </c>
      <c r="R163" t="str">
        <f>IFERROR(INDEX(TableRBCalcPts[TM],MATCH(TableRBRanks31[[#This Row],[Player]],TableRBCalcPts[PLAYER],0)),"")</f>
        <v/>
      </c>
      <c r="S163" t="str">
        <f>IFERROR(INDEX(TableRBCalcPts[BYE],MATCH(TableRBRanks31[[#This Row],[Player]],TableRBCalcPts[PLAYER],0)),"")</f>
        <v/>
      </c>
      <c r="T163" s="86" t="e">
        <f>VLOOKUP(TableRBRanks31[[#This Row],[Player]],RB!B:O,4,FALSE)</f>
        <v>#N/A</v>
      </c>
      <c r="U163" s="86" t="e">
        <f>VLOOKUP(TableRBRanks31[[#This Row],[Player]],RB!B:O,5,FALSE)</f>
        <v>#N/A</v>
      </c>
      <c r="V163" s="86" t="e">
        <f>VLOOKUP(TableRBRanks31[[#This Row],[Player]],RB!B:O,6,FALSE)</f>
        <v>#N/A</v>
      </c>
      <c r="W163" s="86" t="e">
        <f>VLOOKUP(TableRBRanks31[[#This Row],[Player]],RB!B:O,7,FALSE)</f>
        <v>#N/A</v>
      </c>
      <c r="X163" s="86" t="e">
        <f>VLOOKUP(TableRBRanks31[[#This Row],[Player]],RB!B:O,8,FALSE)</f>
        <v>#N/A</v>
      </c>
      <c r="Y163" s="86" t="e">
        <f>VLOOKUP(TableRBRanks31[[#This Row],[Player]],RB!B:O,9,FALSE)</f>
        <v>#N/A</v>
      </c>
      <c r="Z163" s="86" t="e">
        <f>VLOOKUP(TableRBRanks31[[#This Row],[Player]],RB!B:O,10,FALSE)</f>
        <v>#N/A</v>
      </c>
      <c r="AA163" s="58" t="str">
        <f>IFERROR(INDEX(TableRBCalcPts[Custom],MATCH(TableRBRanks31[[#This Row],[RK]],TableRBCalcPts[RK],0)),"")</f>
        <v/>
      </c>
      <c r="AB163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63">
        <v>162</v>
      </c>
      <c r="AE163" t="str">
        <f>IFERROR(INDEX(TableWRCalcPts[PLAYER],MATCH(TableWRRanks32[[#This Row],[RK]],TableWRCalcPts[RK],0)),"")</f>
        <v>Danny Gray</v>
      </c>
      <c r="AF163" t="str">
        <f>IFERROR(INDEX(TableWRCalcPts[TM],MATCH(TableWRRanks32[[#This Row],[Player]],TableWRCalcPts[PLAYER],0)),"")</f>
        <v>SF</v>
      </c>
      <c r="AG163">
        <f>IFERROR(INDEX(TableWRCalcPts[BYE],MATCH(TableWRRanks32[[#This Row],[Player]],TableWRCalcPts[PLAYER],0)),"")</f>
        <v>9</v>
      </c>
      <c r="AH163" s="86">
        <f>VLOOKUP(TableWRRanks32[[#This Row],[Player]],WR!B:O,4,FALSE)</f>
        <v>0</v>
      </c>
      <c r="AI163" s="86">
        <f>VLOOKUP(TableWRRanks32[[#This Row],[Player]],WR!B:O,5,FALSE)</f>
        <v>0</v>
      </c>
      <c r="AJ163" s="86">
        <f>VLOOKUP(TableWRRanks32[[#This Row],[Player]],WR!B:O,6,FALSE)</f>
        <v>5.1503801999999999</v>
      </c>
      <c r="AK163" s="86">
        <f>VLOOKUP(TableWRRanks32[[#This Row],[Player]],WR!B:O,7,FALSE)</f>
        <v>2.7297015060000001</v>
      </c>
      <c r="AL163" s="86">
        <f>VLOOKUP(TableWRRanks32[[#This Row],[Player]],WR!B:O,8,FALSE)</f>
        <v>39.637275872832781</v>
      </c>
      <c r="AM163" s="86">
        <f>VLOOKUP(TableWRRanks32[[#This Row],[Player]],WR!B:O,9,FALSE)</f>
        <v>0.13648507530000001</v>
      </c>
      <c r="AN163" s="58">
        <f>IFERROR(INDEX(TableWRCalcPts[Custom],MATCH(TableWRRanks32[[#This Row],[RK]],TableWRCalcPts[RK],0)),"")</f>
        <v>6.1474887920832781</v>
      </c>
      <c r="AO163" s="133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0</v>
      </c>
    </row>
    <row r="164" spans="16:41" x14ac:dyDescent="0.2">
      <c r="P164">
        <v>163</v>
      </c>
      <c r="Q164" t="str">
        <f>IFERROR(INDEX(TableRBCalcPts[PLAYER],MATCH(TableRBRanks31[[#This Row],[RK]],TableRBCalcPts[RK],0)),"")</f>
        <v/>
      </c>
      <c r="R164" t="str">
        <f>IFERROR(INDEX(TableRBCalcPts[TM],MATCH(TableRBRanks31[[#This Row],[Player]],TableRBCalcPts[PLAYER],0)),"")</f>
        <v/>
      </c>
      <c r="S164" t="str">
        <f>IFERROR(INDEX(TableRBCalcPts[BYE],MATCH(TableRBRanks31[[#This Row],[Player]],TableRBCalcPts[PLAYER],0)),"")</f>
        <v/>
      </c>
      <c r="T164" s="86" t="e">
        <f>VLOOKUP(TableRBRanks31[[#This Row],[Player]],RB!B:O,4,FALSE)</f>
        <v>#N/A</v>
      </c>
      <c r="U164" s="86" t="e">
        <f>VLOOKUP(TableRBRanks31[[#This Row],[Player]],RB!B:O,5,FALSE)</f>
        <v>#N/A</v>
      </c>
      <c r="V164" s="86" t="e">
        <f>VLOOKUP(TableRBRanks31[[#This Row],[Player]],RB!B:O,6,FALSE)</f>
        <v>#N/A</v>
      </c>
      <c r="W164" s="86" t="e">
        <f>VLOOKUP(TableRBRanks31[[#This Row],[Player]],RB!B:O,7,FALSE)</f>
        <v>#N/A</v>
      </c>
      <c r="X164" s="86" t="e">
        <f>VLOOKUP(TableRBRanks31[[#This Row],[Player]],RB!B:O,8,FALSE)</f>
        <v>#N/A</v>
      </c>
      <c r="Y164" s="86" t="e">
        <f>VLOOKUP(TableRBRanks31[[#This Row],[Player]],RB!B:O,9,FALSE)</f>
        <v>#N/A</v>
      </c>
      <c r="Z164" s="86" t="e">
        <f>VLOOKUP(TableRBRanks31[[#This Row],[Player]],RB!B:O,10,FALSE)</f>
        <v>#N/A</v>
      </c>
      <c r="AA164" s="58" t="str">
        <f>IFERROR(INDEX(TableRBCalcPts[Custom],MATCH(TableRBRanks31[[#This Row],[RK]],TableRBCalcPts[RK],0)),"")</f>
        <v/>
      </c>
      <c r="AB164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64">
        <v>163</v>
      </c>
      <c r="AE164" t="str">
        <f>IFERROR(INDEX(TableWRCalcPts[PLAYER],MATCH(TableWRRanks32[[#This Row],[RK]],TableWRCalcPts[RK],0)),"")</f>
        <v/>
      </c>
      <c r="AF164" t="str">
        <f>IFERROR(INDEX(TableWRCalcPts[TM],MATCH(TableWRRanks32[[#This Row],[Player]],TableWRCalcPts[PLAYER],0)),"")</f>
        <v/>
      </c>
      <c r="AG164" t="str">
        <f>IFERROR(INDEX(TableWRCalcPts[BYE],MATCH(TableWRRanks32[[#This Row],[Player]],TableWRCalcPts[PLAYER],0)),"")</f>
        <v/>
      </c>
      <c r="AH164" s="86" t="e">
        <f>VLOOKUP(TableWRRanks32[[#This Row],[Player]],WR!B:O,4,FALSE)</f>
        <v>#N/A</v>
      </c>
      <c r="AI164" s="86" t="e">
        <f>VLOOKUP(TableWRRanks32[[#This Row],[Player]],WR!B:O,5,FALSE)</f>
        <v>#N/A</v>
      </c>
      <c r="AJ164" s="86" t="e">
        <f>VLOOKUP(TableWRRanks32[[#This Row],[Player]],WR!B:O,6,FALSE)</f>
        <v>#N/A</v>
      </c>
      <c r="AK164" s="86" t="e">
        <f>VLOOKUP(TableWRRanks32[[#This Row],[Player]],WR!B:O,7,FALSE)</f>
        <v>#N/A</v>
      </c>
      <c r="AL164" s="86" t="e">
        <f>VLOOKUP(TableWRRanks32[[#This Row],[Player]],WR!B:O,8,FALSE)</f>
        <v>#N/A</v>
      </c>
      <c r="AM164" s="86" t="e">
        <f>VLOOKUP(TableWRRanks32[[#This Row],[Player]],WR!B:O,9,FALSE)</f>
        <v>#N/A</v>
      </c>
      <c r="AN164" s="58" t="str">
        <f>IFERROR(INDEX(TableWRCalcPts[Custom],MATCH(TableWRRanks32[[#This Row],[RK]],TableWRCalcPts[RK],0)),"")</f>
        <v/>
      </c>
      <c r="AO164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65" spans="16:41" x14ac:dyDescent="0.2">
      <c r="P165">
        <v>164</v>
      </c>
      <c r="Q165" t="str">
        <f>IFERROR(INDEX(TableRBCalcPts[PLAYER],MATCH(TableRBRanks31[[#This Row],[RK]],TableRBCalcPts[RK],0)),"")</f>
        <v/>
      </c>
      <c r="R165" t="str">
        <f>IFERROR(INDEX(TableRBCalcPts[TM],MATCH(TableRBRanks31[[#This Row],[Player]],TableRBCalcPts[PLAYER],0)),"")</f>
        <v/>
      </c>
      <c r="S165" t="str">
        <f>IFERROR(INDEX(TableRBCalcPts[BYE],MATCH(TableRBRanks31[[#This Row],[Player]],TableRBCalcPts[PLAYER],0)),"")</f>
        <v/>
      </c>
      <c r="T165" s="86" t="e">
        <f>VLOOKUP(TableRBRanks31[[#This Row],[Player]],RB!B:O,4,FALSE)</f>
        <v>#N/A</v>
      </c>
      <c r="U165" s="86" t="e">
        <f>VLOOKUP(TableRBRanks31[[#This Row],[Player]],RB!B:O,5,FALSE)</f>
        <v>#N/A</v>
      </c>
      <c r="V165" s="86" t="e">
        <f>VLOOKUP(TableRBRanks31[[#This Row],[Player]],RB!B:O,6,FALSE)</f>
        <v>#N/A</v>
      </c>
      <c r="W165" s="86" t="e">
        <f>VLOOKUP(TableRBRanks31[[#This Row],[Player]],RB!B:O,7,FALSE)</f>
        <v>#N/A</v>
      </c>
      <c r="X165" s="86" t="e">
        <f>VLOOKUP(TableRBRanks31[[#This Row],[Player]],RB!B:O,8,FALSE)</f>
        <v>#N/A</v>
      </c>
      <c r="Y165" s="86" t="e">
        <f>VLOOKUP(TableRBRanks31[[#This Row],[Player]],RB!B:O,9,FALSE)</f>
        <v>#N/A</v>
      </c>
      <c r="Z165" s="86" t="e">
        <f>VLOOKUP(TableRBRanks31[[#This Row],[Player]],RB!B:O,10,FALSE)</f>
        <v>#N/A</v>
      </c>
      <c r="AA165" s="58" t="str">
        <f>IFERROR(INDEX(TableRBCalcPts[Custom],MATCH(TableRBRanks31[[#This Row],[RK]],TableRBCalcPts[RK],0)),"")</f>
        <v/>
      </c>
      <c r="AB165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65">
        <v>164</v>
      </c>
      <c r="AE165" t="str">
        <f>IFERROR(INDEX(TableWRCalcPts[PLAYER],MATCH(TableWRRanks32[[#This Row],[RK]],TableWRCalcPts[RK],0)),"")</f>
        <v/>
      </c>
      <c r="AF165" t="str">
        <f>IFERROR(INDEX(TableWRCalcPts[TM],MATCH(TableWRRanks32[[#This Row],[Player]],TableWRCalcPts[PLAYER],0)),"")</f>
        <v/>
      </c>
      <c r="AG165" t="str">
        <f>IFERROR(INDEX(TableWRCalcPts[BYE],MATCH(TableWRRanks32[[#This Row],[Player]],TableWRCalcPts[PLAYER],0)),"")</f>
        <v/>
      </c>
      <c r="AH165" s="86" t="e">
        <f>VLOOKUP(TableWRRanks32[[#This Row],[Player]],WR!B:O,4,FALSE)</f>
        <v>#N/A</v>
      </c>
      <c r="AI165" s="86" t="e">
        <f>VLOOKUP(TableWRRanks32[[#This Row],[Player]],WR!B:O,5,FALSE)</f>
        <v>#N/A</v>
      </c>
      <c r="AJ165" s="86" t="e">
        <f>VLOOKUP(TableWRRanks32[[#This Row],[Player]],WR!B:O,6,FALSE)</f>
        <v>#N/A</v>
      </c>
      <c r="AK165" s="86" t="e">
        <f>VLOOKUP(TableWRRanks32[[#This Row],[Player]],WR!B:O,7,FALSE)</f>
        <v>#N/A</v>
      </c>
      <c r="AL165" s="86" t="e">
        <f>VLOOKUP(TableWRRanks32[[#This Row],[Player]],WR!B:O,8,FALSE)</f>
        <v>#N/A</v>
      </c>
      <c r="AM165" s="86" t="e">
        <f>VLOOKUP(TableWRRanks32[[#This Row],[Player]],WR!B:O,9,FALSE)</f>
        <v>#N/A</v>
      </c>
      <c r="AN165" s="58" t="str">
        <f>IFERROR(INDEX(TableWRCalcPts[Custom],MATCH(TableWRRanks32[[#This Row],[RK]],TableWRCalcPts[RK],0)),"")</f>
        <v/>
      </c>
      <c r="AO165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66" spans="16:41" x14ac:dyDescent="0.2">
      <c r="P166">
        <v>165</v>
      </c>
      <c r="Q166" t="str">
        <f>IFERROR(INDEX(TableRBCalcPts[PLAYER],MATCH(TableRBRanks31[[#This Row],[RK]],TableRBCalcPts[RK],0)),"")</f>
        <v/>
      </c>
      <c r="R166" t="str">
        <f>IFERROR(INDEX(TableRBCalcPts[TM],MATCH(TableRBRanks31[[#This Row],[Player]],TableRBCalcPts[PLAYER],0)),"")</f>
        <v/>
      </c>
      <c r="S166" t="str">
        <f>IFERROR(INDEX(TableRBCalcPts[BYE],MATCH(TableRBRanks31[[#This Row],[Player]],TableRBCalcPts[PLAYER],0)),"")</f>
        <v/>
      </c>
      <c r="T166" s="86" t="e">
        <f>VLOOKUP(TableRBRanks31[[#This Row],[Player]],RB!B:O,4,FALSE)</f>
        <v>#N/A</v>
      </c>
      <c r="U166" s="86" t="e">
        <f>VLOOKUP(TableRBRanks31[[#This Row],[Player]],RB!B:O,5,FALSE)</f>
        <v>#N/A</v>
      </c>
      <c r="V166" s="86" t="e">
        <f>VLOOKUP(TableRBRanks31[[#This Row],[Player]],RB!B:O,6,FALSE)</f>
        <v>#N/A</v>
      </c>
      <c r="W166" s="86" t="e">
        <f>VLOOKUP(TableRBRanks31[[#This Row],[Player]],RB!B:O,7,FALSE)</f>
        <v>#N/A</v>
      </c>
      <c r="X166" s="86" t="e">
        <f>VLOOKUP(TableRBRanks31[[#This Row],[Player]],RB!B:O,8,FALSE)</f>
        <v>#N/A</v>
      </c>
      <c r="Y166" s="86" t="e">
        <f>VLOOKUP(TableRBRanks31[[#This Row],[Player]],RB!B:O,9,FALSE)</f>
        <v>#N/A</v>
      </c>
      <c r="Z166" s="86" t="e">
        <f>VLOOKUP(TableRBRanks31[[#This Row],[Player]],RB!B:O,10,FALSE)</f>
        <v>#N/A</v>
      </c>
      <c r="AA166" s="58" t="str">
        <f>IFERROR(INDEX(TableRBCalcPts[Custom],MATCH(TableRBRanks31[[#This Row],[RK]],TableRBCalcPts[RK],0)),"")</f>
        <v/>
      </c>
      <c r="AB166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66">
        <v>165</v>
      </c>
      <c r="AE166" t="str">
        <f>IFERROR(INDEX(TableWRCalcPts[PLAYER],MATCH(TableWRRanks32[[#This Row],[RK]],TableWRCalcPts[RK],0)),"")</f>
        <v/>
      </c>
      <c r="AF166" t="str">
        <f>IFERROR(INDEX(TableWRCalcPts[TM],MATCH(TableWRRanks32[[#This Row],[Player]],TableWRCalcPts[PLAYER],0)),"")</f>
        <v/>
      </c>
      <c r="AG166" t="str">
        <f>IFERROR(INDEX(TableWRCalcPts[BYE],MATCH(TableWRRanks32[[#This Row],[Player]],TableWRCalcPts[PLAYER],0)),"")</f>
        <v/>
      </c>
      <c r="AH166" s="86" t="e">
        <f>VLOOKUP(TableWRRanks32[[#This Row],[Player]],WR!B:O,4,FALSE)</f>
        <v>#N/A</v>
      </c>
      <c r="AI166" s="86" t="e">
        <f>VLOOKUP(TableWRRanks32[[#This Row],[Player]],WR!B:O,5,FALSE)</f>
        <v>#N/A</v>
      </c>
      <c r="AJ166" s="86" t="e">
        <f>VLOOKUP(TableWRRanks32[[#This Row],[Player]],WR!B:O,6,FALSE)</f>
        <v>#N/A</v>
      </c>
      <c r="AK166" s="86" t="e">
        <f>VLOOKUP(TableWRRanks32[[#This Row],[Player]],WR!B:O,7,FALSE)</f>
        <v>#N/A</v>
      </c>
      <c r="AL166" s="86" t="e">
        <f>VLOOKUP(TableWRRanks32[[#This Row],[Player]],WR!B:O,8,FALSE)</f>
        <v>#N/A</v>
      </c>
      <c r="AM166" s="86" t="e">
        <f>VLOOKUP(TableWRRanks32[[#This Row],[Player]],WR!B:O,9,FALSE)</f>
        <v>#N/A</v>
      </c>
      <c r="AN166" s="58" t="str">
        <f>IFERROR(INDEX(TableWRCalcPts[Custom],MATCH(TableWRRanks32[[#This Row],[RK]],TableWRCalcPts[RK],0)),"")</f>
        <v/>
      </c>
      <c r="AO166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67" spans="16:41" x14ac:dyDescent="0.2">
      <c r="P167">
        <v>166</v>
      </c>
      <c r="Q167" t="str">
        <f>IFERROR(INDEX(TableRBCalcPts[PLAYER],MATCH(TableRBRanks31[[#This Row],[RK]],TableRBCalcPts[RK],0)),"")</f>
        <v/>
      </c>
      <c r="R167" t="str">
        <f>IFERROR(INDEX(TableRBCalcPts[TM],MATCH(TableRBRanks31[[#This Row],[Player]],TableRBCalcPts[PLAYER],0)),"")</f>
        <v/>
      </c>
      <c r="S167" t="str">
        <f>IFERROR(INDEX(TableRBCalcPts[BYE],MATCH(TableRBRanks31[[#This Row],[Player]],TableRBCalcPts[PLAYER],0)),"")</f>
        <v/>
      </c>
      <c r="T167" s="86" t="e">
        <f>VLOOKUP(TableRBRanks31[[#This Row],[Player]],RB!B:O,4,FALSE)</f>
        <v>#N/A</v>
      </c>
      <c r="U167" s="86" t="e">
        <f>VLOOKUP(TableRBRanks31[[#This Row],[Player]],RB!B:O,5,FALSE)</f>
        <v>#N/A</v>
      </c>
      <c r="V167" s="86" t="e">
        <f>VLOOKUP(TableRBRanks31[[#This Row],[Player]],RB!B:O,6,FALSE)</f>
        <v>#N/A</v>
      </c>
      <c r="W167" s="86" t="e">
        <f>VLOOKUP(TableRBRanks31[[#This Row],[Player]],RB!B:O,7,FALSE)</f>
        <v>#N/A</v>
      </c>
      <c r="X167" s="86" t="e">
        <f>VLOOKUP(TableRBRanks31[[#This Row],[Player]],RB!B:O,8,FALSE)</f>
        <v>#N/A</v>
      </c>
      <c r="Y167" s="86" t="e">
        <f>VLOOKUP(TableRBRanks31[[#This Row],[Player]],RB!B:O,9,FALSE)</f>
        <v>#N/A</v>
      </c>
      <c r="Z167" s="86" t="e">
        <f>VLOOKUP(TableRBRanks31[[#This Row],[Player]],RB!B:O,10,FALSE)</f>
        <v>#N/A</v>
      </c>
      <c r="AA167" s="58" t="str">
        <f>IFERROR(INDEX(TableRBCalcPts[Custom],MATCH(TableRBRanks31[[#This Row],[RK]],TableRBCalcPts[RK],0)),"")</f>
        <v/>
      </c>
      <c r="AB167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67">
        <v>166</v>
      </c>
      <c r="AE167" t="str">
        <f>IFERROR(INDEX(TableWRCalcPts[PLAYER],MATCH(TableWRRanks32[[#This Row],[RK]],TableWRCalcPts[RK],0)),"")</f>
        <v/>
      </c>
      <c r="AF167" t="str">
        <f>IFERROR(INDEX(TableWRCalcPts[TM],MATCH(TableWRRanks32[[#This Row],[Player]],TableWRCalcPts[PLAYER],0)),"")</f>
        <v/>
      </c>
      <c r="AG167" t="str">
        <f>IFERROR(INDEX(TableWRCalcPts[BYE],MATCH(TableWRRanks32[[#This Row],[Player]],TableWRCalcPts[PLAYER],0)),"")</f>
        <v/>
      </c>
      <c r="AH167" s="86" t="e">
        <f>VLOOKUP(TableWRRanks32[[#This Row],[Player]],WR!B:O,4,FALSE)</f>
        <v>#N/A</v>
      </c>
      <c r="AI167" s="86" t="e">
        <f>VLOOKUP(TableWRRanks32[[#This Row],[Player]],WR!B:O,5,FALSE)</f>
        <v>#N/A</v>
      </c>
      <c r="AJ167" s="86" t="e">
        <f>VLOOKUP(TableWRRanks32[[#This Row],[Player]],WR!B:O,6,FALSE)</f>
        <v>#N/A</v>
      </c>
      <c r="AK167" s="86" t="e">
        <f>VLOOKUP(TableWRRanks32[[#This Row],[Player]],WR!B:O,7,FALSE)</f>
        <v>#N/A</v>
      </c>
      <c r="AL167" s="86" t="e">
        <f>VLOOKUP(TableWRRanks32[[#This Row],[Player]],WR!B:O,8,FALSE)</f>
        <v>#N/A</v>
      </c>
      <c r="AM167" s="86" t="e">
        <f>VLOOKUP(TableWRRanks32[[#This Row],[Player]],WR!B:O,9,FALSE)</f>
        <v>#N/A</v>
      </c>
      <c r="AN167" s="58" t="str">
        <f>IFERROR(INDEX(TableWRCalcPts[Custom],MATCH(TableWRRanks32[[#This Row],[RK]],TableWRCalcPts[RK],0)),"")</f>
        <v/>
      </c>
      <c r="AO167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68" spans="16:41" x14ac:dyDescent="0.2">
      <c r="P168">
        <v>167</v>
      </c>
      <c r="Q168" t="str">
        <f>IFERROR(INDEX(TableRBCalcPts[PLAYER],MATCH(TableRBRanks31[[#This Row],[RK]],TableRBCalcPts[RK],0)),"")</f>
        <v/>
      </c>
      <c r="R168" t="str">
        <f>IFERROR(INDEX(TableRBCalcPts[TM],MATCH(TableRBRanks31[[#This Row],[Player]],TableRBCalcPts[PLAYER],0)),"")</f>
        <v/>
      </c>
      <c r="S168" t="str">
        <f>IFERROR(INDEX(TableRBCalcPts[BYE],MATCH(TableRBRanks31[[#This Row],[Player]],TableRBCalcPts[PLAYER],0)),"")</f>
        <v/>
      </c>
      <c r="T168" s="86" t="e">
        <f>VLOOKUP(TableRBRanks31[[#This Row],[Player]],RB!B:O,4,FALSE)</f>
        <v>#N/A</v>
      </c>
      <c r="U168" s="86" t="e">
        <f>VLOOKUP(TableRBRanks31[[#This Row],[Player]],RB!B:O,5,FALSE)</f>
        <v>#N/A</v>
      </c>
      <c r="V168" s="86" t="e">
        <f>VLOOKUP(TableRBRanks31[[#This Row],[Player]],RB!B:O,6,FALSE)</f>
        <v>#N/A</v>
      </c>
      <c r="W168" s="86" t="e">
        <f>VLOOKUP(TableRBRanks31[[#This Row],[Player]],RB!B:O,7,FALSE)</f>
        <v>#N/A</v>
      </c>
      <c r="X168" s="86" t="e">
        <f>VLOOKUP(TableRBRanks31[[#This Row],[Player]],RB!B:O,8,FALSE)</f>
        <v>#N/A</v>
      </c>
      <c r="Y168" s="86" t="e">
        <f>VLOOKUP(TableRBRanks31[[#This Row],[Player]],RB!B:O,9,FALSE)</f>
        <v>#N/A</v>
      </c>
      <c r="Z168" s="86" t="e">
        <f>VLOOKUP(TableRBRanks31[[#This Row],[Player]],RB!B:O,10,FALSE)</f>
        <v>#N/A</v>
      </c>
      <c r="AA168" s="58" t="str">
        <f>IFERROR(INDEX(TableRBCalcPts[Custom],MATCH(TableRBRanks31[[#This Row],[RK]],TableRBCalcPts[RK],0)),"")</f>
        <v/>
      </c>
      <c r="AB168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68">
        <v>167</v>
      </c>
      <c r="AE168" t="str">
        <f>IFERROR(INDEX(TableWRCalcPts[PLAYER],MATCH(TableWRRanks32[[#This Row],[RK]],TableWRCalcPts[RK],0)),"")</f>
        <v/>
      </c>
      <c r="AF168" t="str">
        <f>IFERROR(INDEX(TableWRCalcPts[TM],MATCH(TableWRRanks32[[#This Row],[Player]],TableWRCalcPts[PLAYER],0)),"")</f>
        <v/>
      </c>
      <c r="AG168" t="str">
        <f>IFERROR(INDEX(TableWRCalcPts[BYE],MATCH(TableWRRanks32[[#This Row],[Player]],TableWRCalcPts[PLAYER],0)),"")</f>
        <v/>
      </c>
      <c r="AH168" s="86" t="e">
        <f>VLOOKUP(TableWRRanks32[[#This Row],[Player]],WR!B:O,4,FALSE)</f>
        <v>#N/A</v>
      </c>
      <c r="AI168" s="86" t="e">
        <f>VLOOKUP(TableWRRanks32[[#This Row],[Player]],WR!B:O,5,FALSE)</f>
        <v>#N/A</v>
      </c>
      <c r="AJ168" s="86" t="e">
        <f>VLOOKUP(TableWRRanks32[[#This Row],[Player]],WR!B:O,6,FALSE)</f>
        <v>#N/A</v>
      </c>
      <c r="AK168" s="86" t="e">
        <f>VLOOKUP(TableWRRanks32[[#This Row],[Player]],WR!B:O,7,FALSE)</f>
        <v>#N/A</v>
      </c>
      <c r="AL168" s="86" t="e">
        <f>VLOOKUP(TableWRRanks32[[#This Row],[Player]],WR!B:O,8,FALSE)</f>
        <v>#N/A</v>
      </c>
      <c r="AM168" s="86" t="e">
        <f>VLOOKUP(TableWRRanks32[[#This Row],[Player]],WR!B:O,9,FALSE)</f>
        <v>#N/A</v>
      </c>
      <c r="AN168" s="58" t="str">
        <f>IFERROR(INDEX(TableWRCalcPts[Custom],MATCH(TableWRRanks32[[#This Row],[RK]],TableWRCalcPts[RK],0)),"")</f>
        <v/>
      </c>
      <c r="AO168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69" spans="16:41" x14ac:dyDescent="0.2">
      <c r="P169">
        <v>168</v>
      </c>
      <c r="Q169" t="str">
        <f>IFERROR(INDEX(TableRBCalcPts[PLAYER],MATCH(TableRBRanks31[[#This Row],[RK]],TableRBCalcPts[RK],0)),"")</f>
        <v/>
      </c>
      <c r="R169" t="str">
        <f>IFERROR(INDEX(TableRBCalcPts[TM],MATCH(TableRBRanks31[[#This Row],[Player]],TableRBCalcPts[PLAYER],0)),"")</f>
        <v/>
      </c>
      <c r="S169" t="str">
        <f>IFERROR(INDEX(TableRBCalcPts[BYE],MATCH(TableRBRanks31[[#This Row],[Player]],TableRBCalcPts[PLAYER],0)),"")</f>
        <v/>
      </c>
      <c r="T169" s="86" t="e">
        <f>VLOOKUP(TableRBRanks31[[#This Row],[Player]],RB!B:O,4,FALSE)</f>
        <v>#N/A</v>
      </c>
      <c r="U169" s="86" t="e">
        <f>VLOOKUP(TableRBRanks31[[#This Row],[Player]],RB!B:O,5,FALSE)</f>
        <v>#N/A</v>
      </c>
      <c r="V169" s="86" t="e">
        <f>VLOOKUP(TableRBRanks31[[#This Row],[Player]],RB!B:O,6,FALSE)</f>
        <v>#N/A</v>
      </c>
      <c r="W169" s="86" t="e">
        <f>VLOOKUP(TableRBRanks31[[#This Row],[Player]],RB!B:O,7,FALSE)</f>
        <v>#N/A</v>
      </c>
      <c r="X169" s="86" t="e">
        <f>VLOOKUP(TableRBRanks31[[#This Row],[Player]],RB!B:O,8,FALSE)</f>
        <v>#N/A</v>
      </c>
      <c r="Y169" s="86" t="e">
        <f>VLOOKUP(TableRBRanks31[[#This Row],[Player]],RB!B:O,9,FALSE)</f>
        <v>#N/A</v>
      </c>
      <c r="Z169" s="86" t="e">
        <f>VLOOKUP(TableRBRanks31[[#This Row],[Player]],RB!B:O,10,FALSE)</f>
        <v>#N/A</v>
      </c>
      <c r="AA169" s="58" t="str">
        <f>IFERROR(INDEX(TableRBCalcPts[Custom],MATCH(TableRBRanks31[[#This Row],[RK]],TableRBCalcPts[RK],0)),"")</f>
        <v/>
      </c>
      <c r="AB169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69">
        <v>168</v>
      </c>
      <c r="AE169" t="str">
        <f>IFERROR(INDEX(TableWRCalcPts[PLAYER],MATCH(TableWRRanks32[[#This Row],[RK]],TableWRCalcPts[RK],0)),"")</f>
        <v/>
      </c>
      <c r="AF169" t="str">
        <f>IFERROR(INDEX(TableWRCalcPts[TM],MATCH(TableWRRanks32[[#This Row],[Player]],TableWRCalcPts[PLAYER],0)),"")</f>
        <v/>
      </c>
      <c r="AG169" t="str">
        <f>IFERROR(INDEX(TableWRCalcPts[BYE],MATCH(TableWRRanks32[[#This Row],[Player]],TableWRCalcPts[PLAYER],0)),"")</f>
        <v/>
      </c>
      <c r="AH169" s="86" t="e">
        <f>VLOOKUP(TableWRRanks32[[#This Row],[Player]],WR!B:O,4,FALSE)</f>
        <v>#N/A</v>
      </c>
      <c r="AI169" s="86" t="e">
        <f>VLOOKUP(TableWRRanks32[[#This Row],[Player]],WR!B:O,5,FALSE)</f>
        <v>#N/A</v>
      </c>
      <c r="AJ169" s="86" t="e">
        <f>VLOOKUP(TableWRRanks32[[#This Row],[Player]],WR!B:O,6,FALSE)</f>
        <v>#N/A</v>
      </c>
      <c r="AK169" s="86" t="e">
        <f>VLOOKUP(TableWRRanks32[[#This Row],[Player]],WR!B:O,7,FALSE)</f>
        <v>#N/A</v>
      </c>
      <c r="AL169" s="86" t="e">
        <f>VLOOKUP(TableWRRanks32[[#This Row],[Player]],WR!B:O,8,FALSE)</f>
        <v>#N/A</v>
      </c>
      <c r="AM169" s="86" t="e">
        <f>VLOOKUP(TableWRRanks32[[#This Row],[Player]],WR!B:O,9,FALSE)</f>
        <v>#N/A</v>
      </c>
      <c r="AN169" s="58" t="str">
        <f>IFERROR(INDEX(TableWRCalcPts[Custom],MATCH(TableWRRanks32[[#This Row],[RK]],TableWRCalcPts[RK],0)),"")</f>
        <v/>
      </c>
      <c r="AO169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70" spans="16:41" x14ac:dyDescent="0.2">
      <c r="P170">
        <v>169</v>
      </c>
      <c r="Q170" t="str">
        <f>IFERROR(INDEX(TableRBCalcPts[PLAYER],MATCH(TableRBRanks31[[#This Row],[RK]],TableRBCalcPts[RK],0)),"")</f>
        <v/>
      </c>
      <c r="R170" t="str">
        <f>IFERROR(INDEX(TableRBCalcPts[TM],MATCH(TableRBRanks31[[#This Row],[Player]],TableRBCalcPts[PLAYER],0)),"")</f>
        <v/>
      </c>
      <c r="S170" t="str">
        <f>IFERROR(INDEX(TableRBCalcPts[BYE],MATCH(TableRBRanks31[[#This Row],[Player]],TableRBCalcPts[PLAYER],0)),"")</f>
        <v/>
      </c>
      <c r="T170" s="86" t="e">
        <f>VLOOKUP(TableRBRanks31[[#This Row],[Player]],RB!B:O,4,FALSE)</f>
        <v>#N/A</v>
      </c>
      <c r="U170" s="86" t="e">
        <f>VLOOKUP(TableRBRanks31[[#This Row],[Player]],RB!B:O,5,FALSE)</f>
        <v>#N/A</v>
      </c>
      <c r="V170" s="86" t="e">
        <f>VLOOKUP(TableRBRanks31[[#This Row],[Player]],RB!B:O,6,FALSE)</f>
        <v>#N/A</v>
      </c>
      <c r="W170" s="86" t="e">
        <f>VLOOKUP(TableRBRanks31[[#This Row],[Player]],RB!B:O,7,FALSE)</f>
        <v>#N/A</v>
      </c>
      <c r="X170" s="86" t="e">
        <f>VLOOKUP(TableRBRanks31[[#This Row],[Player]],RB!B:O,8,FALSE)</f>
        <v>#N/A</v>
      </c>
      <c r="Y170" s="86" t="e">
        <f>VLOOKUP(TableRBRanks31[[#This Row],[Player]],RB!B:O,9,FALSE)</f>
        <v>#N/A</v>
      </c>
      <c r="Z170" s="86" t="e">
        <f>VLOOKUP(TableRBRanks31[[#This Row],[Player]],RB!B:O,10,FALSE)</f>
        <v>#N/A</v>
      </c>
      <c r="AA170" s="58" t="str">
        <f>IFERROR(INDEX(TableRBCalcPts[Custom],MATCH(TableRBRanks31[[#This Row],[RK]],TableRBCalcPts[RK],0)),"")</f>
        <v/>
      </c>
      <c r="AB170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70">
        <v>169</v>
      </c>
      <c r="AE170" t="str">
        <f>IFERROR(INDEX(TableWRCalcPts[PLAYER],MATCH(TableWRRanks32[[#This Row],[RK]],TableWRCalcPts[RK],0)),"")</f>
        <v/>
      </c>
      <c r="AF170" t="str">
        <f>IFERROR(INDEX(TableWRCalcPts[TM],MATCH(TableWRRanks32[[#This Row],[Player]],TableWRCalcPts[PLAYER],0)),"")</f>
        <v/>
      </c>
      <c r="AG170" t="str">
        <f>IFERROR(INDEX(TableWRCalcPts[BYE],MATCH(TableWRRanks32[[#This Row],[Player]],TableWRCalcPts[PLAYER],0)),"")</f>
        <v/>
      </c>
      <c r="AH170" s="86" t="e">
        <f>VLOOKUP(TableWRRanks32[[#This Row],[Player]],WR!B:O,4,FALSE)</f>
        <v>#N/A</v>
      </c>
      <c r="AI170" s="86" t="e">
        <f>VLOOKUP(TableWRRanks32[[#This Row],[Player]],WR!B:O,5,FALSE)</f>
        <v>#N/A</v>
      </c>
      <c r="AJ170" s="86" t="e">
        <f>VLOOKUP(TableWRRanks32[[#This Row],[Player]],WR!B:O,6,FALSE)</f>
        <v>#N/A</v>
      </c>
      <c r="AK170" s="86" t="e">
        <f>VLOOKUP(TableWRRanks32[[#This Row],[Player]],WR!B:O,7,FALSE)</f>
        <v>#N/A</v>
      </c>
      <c r="AL170" s="86" t="e">
        <f>VLOOKUP(TableWRRanks32[[#This Row],[Player]],WR!B:O,8,FALSE)</f>
        <v>#N/A</v>
      </c>
      <c r="AM170" s="86" t="e">
        <f>VLOOKUP(TableWRRanks32[[#This Row],[Player]],WR!B:O,9,FALSE)</f>
        <v>#N/A</v>
      </c>
      <c r="AN170" s="58" t="str">
        <f>IFERROR(INDEX(TableWRCalcPts[Custom],MATCH(TableWRRanks32[[#This Row],[RK]],TableWRCalcPts[RK],0)),"")</f>
        <v/>
      </c>
      <c r="AO170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71" spans="16:41" x14ac:dyDescent="0.2">
      <c r="P171">
        <v>170</v>
      </c>
      <c r="Q171" t="str">
        <f>IFERROR(INDEX(TableRBCalcPts[PLAYER],MATCH(TableRBRanks31[[#This Row],[RK]],TableRBCalcPts[RK],0)),"")</f>
        <v/>
      </c>
      <c r="R171" t="str">
        <f>IFERROR(INDEX(TableRBCalcPts[TM],MATCH(TableRBRanks31[[#This Row],[Player]],TableRBCalcPts[PLAYER],0)),"")</f>
        <v/>
      </c>
      <c r="S171" t="str">
        <f>IFERROR(INDEX(TableRBCalcPts[BYE],MATCH(TableRBRanks31[[#This Row],[Player]],TableRBCalcPts[PLAYER],0)),"")</f>
        <v/>
      </c>
      <c r="T171" s="86" t="e">
        <f>VLOOKUP(TableRBRanks31[[#This Row],[Player]],RB!B:O,4,FALSE)</f>
        <v>#N/A</v>
      </c>
      <c r="U171" s="86" t="e">
        <f>VLOOKUP(TableRBRanks31[[#This Row],[Player]],RB!B:O,5,FALSE)</f>
        <v>#N/A</v>
      </c>
      <c r="V171" s="86" t="e">
        <f>VLOOKUP(TableRBRanks31[[#This Row],[Player]],RB!B:O,6,FALSE)</f>
        <v>#N/A</v>
      </c>
      <c r="W171" s="86" t="e">
        <f>VLOOKUP(TableRBRanks31[[#This Row],[Player]],RB!B:O,7,FALSE)</f>
        <v>#N/A</v>
      </c>
      <c r="X171" s="86" t="e">
        <f>VLOOKUP(TableRBRanks31[[#This Row],[Player]],RB!B:O,8,FALSE)</f>
        <v>#N/A</v>
      </c>
      <c r="Y171" s="86" t="e">
        <f>VLOOKUP(TableRBRanks31[[#This Row],[Player]],RB!B:O,9,FALSE)</f>
        <v>#N/A</v>
      </c>
      <c r="Z171" s="86" t="e">
        <f>VLOOKUP(TableRBRanks31[[#This Row],[Player]],RB!B:O,10,FALSE)</f>
        <v>#N/A</v>
      </c>
      <c r="AA171" s="58" t="str">
        <f>IFERROR(INDEX(TableRBCalcPts[Custom],MATCH(TableRBRanks31[[#This Row],[RK]],TableRBCalcPts[RK],0)),"")</f>
        <v/>
      </c>
      <c r="AB171" s="133" t="e">
        <f>IF(((VLOOKUP(TableRBRanks31[[#This Row],[Player]],'OVR &amp; VORP Ranks'!$I:$M,5,FALSE))/('OVR &amp; VORP Ranks'!$BM$6))*(Settings!$E$10*TEAMS)&lt;0,0,((VLOOKUP(TableRBRanks31[[#This Row],[Player]],'OVR &amp; VORP Ranks'!$I:$M,5,FALSE))/('OVR &amp; VORP Ranks'!$BM$6))*(Settings!$E$10*TEAMS))</f>
        <v>#VALUE!</v>
      </c>
      <c r="AD171">
        <v>170</v>
      </c>
      <c r="AE171" t="str">
        <f>IFERROR(INDEX(TableWRCalcPts[PLAYER],MATCH(TableWRRanks32[[#This Row],[RK]],TableWRCalcPts[RK],0)),"")</f>
        <v/>
      </c>
      <c r="AF171" t="str">
        <f>IFERROR(INDEX(TableWRCalcPts[TM],MATCH(TableWRRanks32[[#This Row],[Player]],TableWRCalcPts[PLAYER],0)),"")</f>
        <v/>
      </c>
      <c r="AG171" t="str">
        <f>IFERROR(INDEX(TableWRCalcPts[BYE],MATCH(TableWRRanks32[[#This Row],[Player]],TableWRCalcPts[PLAYER],0)),"")</f>
        <v/>
      </c>
      <c r="AH171" s="86" t="e">
        <f>VLOOKUP(TableWRRanks32[[#This Row],[Player]],WR!B:O,4,FALSE)</f>
        <v>#N/A</v>
      </c>
      <c r="AI171" s="86" t="e">
        <f>VLOOKUP(TableWRRanks32[[#This Row],[Player]],WR!B:O,5,FALSE)</f>
        <v>#N/A</v>
      </c>
      <c r="AJ171" s="86" t="e">
        <f>VLOOKUP(TableWRRanks32[[#This Row],[Player]],WR!B:O,6,FALSE)</f>
        <v>#N/A</v>
      </c>
      <c r="AK171" s="86" t="e">
        <f>VLOOKUP(TableWRRanks32[[#This Row],[Player]],WR!B:O,7,FALSE)</f>
        <v>#N/A</v>
      </c>
      <c r="AL171" s="86" t="e">
        <f>VLOOKUP(TableWRRanks32[[#This Row],[Player]],WR!B:O,8,FALSE)</f>
        <v>#N/A</v>
      </c>
      <c r="AM171" s="86" t="e">
        <f>VLOOKUP(TableWRRanks32[[#This Row],[Player]],WR!B:O,9,FALSE)</f>
        <v>#N/A</v>
      </c>
      <c r="AN171" s="58" t="str">
        <f>IFERROR(INDEX(TableWRCalcPts[Custom],MATCH(TableWRRanks32[[#This Row],[RK]],TableWRCalcPts[RK],0)),"")</f>
        <v/>
      </c>
      <c r="AO171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72" spans="16:41" x14ac:dyDescent="0.2">
      <c r="AD172">
        <v>171</v>
      </c>
      <c r="AE172" t="str">
        <f>IFERROR(INDEX(TableWRCalcPts[PLAYER],MATCH(TableWRRanks32[[#This Row],[RK]],TableWRCalcPts[RK],0)),"")</f>
        <v/>
      </c>
      <c r="AF172" t="str">
        <f>IFERROR(INDEX(TableWRCalcPts[TM],MATCH(TableWRRanks32[[#This Row],[Player]],TableWRCalcPts[PLAYER],0)),"")</f>
        <v/>
      </c>
      <c r="AG172" t="str">
        <f>IFERROR(INDEX(TableWRCalcPts[BYE],MATCH(TableWRRanks32[[#This Row],[Player]],TableWRCalcPts[PLAYER],0)),"")</f>
        <v/>
      </c>
      <c r="AH172" s="86" t="e">
        <f>VLOOKUP(TableWRRanks32[[#This Row],[Player]],WR!B:O,4,FALSE)</f>
        <v>#N/A</v>
      </c>
      <c r="AI172" s="86" t="e">
        <f>VLOOKUP(TableWRRanks32[[#This Row],[Player]],WR!B:O,5,FALSE)</f>
        <v>#N/A</v>
      </c>
      <c r="AJ172" s="86" t="e">
        <f>VLOOKUP(TableWRRanks32[[#This Row],[Player]],WR!B:O,6,FALSE)</f>
        <v>#N/A</v>
      </c>
      <c r="AK172" s="86" t="e">
        <f>VLOOKUP(TableWRRanks32[[#This Row],[Player]],WR!B:O,7,FALSE)</f>
        <v>#N/A</v>
      </c>
      <c r="AL172" s="86" t="e">
        <f>VLOOKUP(TableWRRanks32[[#This Row],[Player]],WR!B:O,8,FALSE)</f>
        <v>#N/A</v>
      </c>
      <c r="AM172" s="86" t="e">
        <f>VLOOKUP(TableWRRanks32[[#This Row],[Player]],WR!B:O,9,FALSE)</f>
        <v>#N/A</v>
      </c>
      <c r="AN172" s="58" t="str">
        <f>IFERROR(INDEX(TableWRCalcPts[Custom],MATCH(TableWRRanks32[[#This Row],[RK]],TableWRCalcPts[RK],0)),"")</f>
        <v/>
      </c>
      <c r="AO172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73" spans="16:41" x14ac:dyDescent="0.2">
      <c r="AD173">
        <v>172</v>
      </c>
      <c r="AE173" t="str">
        <f>IFERROR(INDEX(TableWRCalcPts[PLAYER],MATCH(TableWRRanks32[[#This Row],[RK]],TableWRCalcPts[RK],0)),"")</f>
        <v/>
      </c>
      <c r="AF173" t="str">
        <f>IFERROR(INDEX(TableWRCalcPts[TM],MATCH(TableWRRanks32[[#This Row],[Player]],TableWRCalcPts[PLAYER],0)),"")</f>
        <v/>
      </c>
      <c r="AG173" t="str">
        <f>IFERROR(INDEX(TableWRCalcPts[BYE],MATCH(TableWRRanks32[[#This Row],[Player]],TableWRCalcPts[PLAYER],0)),"")</f>
        <v/>
      </c>
      <c r="AH173" s="86" t="e">
        <f>VLOOKUP(TableWRRanks32[[#This Row],[Player]],WR!B:O,4,FALSE)</f>
        <v>#N/A</v>
      </c>
      <c r="AI173" s="86" t="e">
        <f>VLOOKUP(TableWRRanks32[[#This Row],[Player]],WR!B:O,5,FALSE)</f>
        <v>#N/A</v>
      </c>
      <c r="AJ173" s="86" t="e">
        <f>VLOOKUP(TableWRRanks32[[#This Row],[Player]],WR!B:O,6,FALSE)</f>
        <v>#N/A</v>
      </c>
      <c r="AK173" s="86" t="e">
        <f>VLOOKUP(TableWRRanks32[[#This Row],[Player]],WR!B:O,7,FALSE)</f>
        <v>#N/A</v>
      </c>
      <c r="AL173" s="86" t="e">
        <f>VLOOKUP(TableWRRanks32[[#This Row],[Player]],WR!B:O,8,FALSE)</f>
        <v>#N/A</v>
      </c>
      <c r="AM173" s="86" t="e">
        <f>VLOOKUP(TableWRRanks32[[#This Row],[Player]],WR!B:O,9,FALSE)</f>
        <v>#N/A</v>
      </c>
      <c r="AN173" s="58" t="str">
        <f>IFERROR(INDEX(TableWRCalcPts[Custom],MATCH(TableWRRanks32[[#This Row],[RK]],TableWRCalcPts[RK],0)),"")</f>
        <v/>
      </c>
      <c r="AO173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74" spans="16:41" x14ac:dyDescent="0.2">
      <c r="AD174">
        <v>173</v>
      </c>
      <c r="AE174" t="str">
        <f>IFERROR(INDEX(TableWRCalcPts[PLAYER],MATCH(TableWRRanks32[[#This Row],[RK]],TableWRCalcPts[RK],0)),"")</f>
        <v/>
      </c>
      <c r="AF174" t="str">
        <f>IFERROR(INDEX(TableWRCalcPts[TM],MATCH(TableWRRanks32[[#This Row],[Player]],TableWRCalcPts[PLAYER],0)),"")</f>
        <v/>
      </c>
      <c r="AG174" t="str">
        <f>IFERROR(INDEX(TableWRCalcPts[BYE],MATCH(TableWRRanks32[[#This Row],[Player]],TableWRCalcPts[PLAYER],0)),"")</f>
        <v/>
      </c>
      <c r="AH174" s="86" t="e">
        <f>VLOOKUP(TableWRRanks32[[#This Row],[Player]],WR!B:O,4,FALSE)</f>
        <v>#N/A</v>
      </c>
      <c r="AI174" s="86" t="e">
        <f>VLOOKUP(TableWRRanks32[[#This Row],[Player]],WR!B:O,5,FALSE)</f>
        <v>#N/A</v>
      </c>
      <c r="AJ174" s="86" t="e">
        <f>VLOOKUP(TableWRRanks32[[#This Row],[Player]],WR!B:O,6,FALSE)</f>
        <v>#N/A</v>
      </c>
      <c r="AK174" s="86" t="e">
        <f>VLOOKUP(TableWRRanks32[[#This Row],[Player]],WR!B:O,7,FALSE)</f>
        <v>#N/A</v>
      </c>
      <c r="AL174" s="86" t="e">
        <f>VLOOKUP(TableWRRanks32[[#This Row],[Player]],WR!B:O,8,FALSE)</f>
        <v>#N/A</v>
      </c>
      <c r="AM174" s="86" t="e">
        <f>VLOOKUP(TableWRRanks32[[#This Row],[Player]],WR!B:O,9,FALSE)</f>
        <v>#N/A</v>
      </c>
      <c r="AN174" s="58" t="str">
        <f>IFERROR(INDEX(TableWRCalcPts[Custom],MATCH(TableWRRanks32[[#This Row],[RK]],TableWRCalcPts[RK],0)),"")</f>
        <v/>
      </c>
      <c r="AO174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75" spans="16:41" x14ac:dyDescent="0.2">
      <c r="AD175">
        <v>174</v>
      </c>
      <c r="AE175" t="str">
        <f>IFERROR(INDEX(TableWRCalcPts[PLAYER],MATCH(TableWRRanks32[[#This Row],[RK]],TableWRCalcPts[RK],0)),"")</f>
        <v/>
      </c>
      <c r="AF175" t="str">
        <f>IFERROR(INDEX(TableWRCalcPts[TM],MATCH(TableWRRanks32[[#This Row],[Player]],TableWRCalcPts[PLAYER],0)),"")</f>
        <v/>
      </c>
      <c r="AG175" t="str">
        <f>IFERROR(INDEX(TableWRCalcPts[BYE],MATCH(TableWRRanks32[[#This Row],[Player]],TableWRCalcPts[PLAYER],0)),"")</f>
        <v/>
      </c>
      <c r="AH175" s="86" t="e">
        <f>VLOOKUP(TableWRRanks32[[#This Row],[Player]],WR!B:O,4,FALSE)</f>
        <v>#N/A</v>
      </c>
      <c r="AI175" s="86" t="e">
        <f>VLOOKUP(TableWRRanks32[[#This Row],[Player]],WR!B:O,5,FALSE)</f>
        <v>#N/A</v>
      </c>
      <c r="AJ175" s="86" t="e">
        <f>VLOOKUP(TableWRRanks32[[#This Row],[Player]],WR!B:O,6,FALSE)</f>
        <v>#N/A</v>
      </c>
      <c r="AK175" s="86" t="e">
        <f>VLOOKUP(TableWRRanks32[[#This Row],[Player]],WR!B:O,7,FALSE)</f>
        <v>#N/A</v>
      </c>
      <c r="AL175" s="86" t="e">
        <f>VLOOKUP(TableWRRanks32[[#This Row],[Player]],WR!B:O,8,FALSE)</f>
        <v>#N/A</v>
      </c>
      <c r="AM175" s="86" t="e">
        <f>VLOOKUP(TableWRRanks32[[#This Row],[Player]],WR!B:O,9,FALSE)</f>
        <v>#N/A</v>
      </c>
      <c r="AN175" s="58" t="str">
        <f>IFERROR(INDEX(TableWRCalcPts[Custom],MATCH(TableWRRanks32[[#This Row],[RK]],TableWRCalcPts[RK],0)),"")</f>
        <v/>
      </c>
      <c r="AO175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76" spans="16:41" x14ac:dyDescent="0.2">
      <c r="AD176">
        <v>175</v>
      </c>
      <c r="AE176" t="str">
        <f>IFERROR(INDEX(TableWRCalcPts[PLAYER],MATCH(TableWRRanks32[[#This Row],[RK]],TableWRCalcPts[RK],0)),"")</f>
        <v/>
      </c>
      <c r="AF176" t="str">
        <f>IFERROR(INDEX(TableWRCalcPts[TM],MATCH(TableWRRanks32[[#This Row],[Player]],TableWRCalcPts[PLAYER],0)),"")</f>
        <v/>
      </c>
      <c r="AG176" t="str">
        <f>IFERROR(INDEX(TableWRCalcPts[BYE],MATCH(TableWRRanks32[[#This Row],[Player]],TableWRCalcPts[PLAYER],0)),"")</f>
        <v/>
      </c>
      <c r="AH176" s="86" t="e">
        <f>VLOOKUP(TableWRRanks32[[#This Row],[Player]],WR!B:O,4,FALSE)</f>
        <v>#N/A</v>
      </c>
      <c r="AI176" s="86" t="e">
        <f>VLOOKUP(TableWRRanks32[[#This Row],[Player]],WR!B:O,5,FALSE)</f>
        <v>#N/A</v>
      </c>
      <c r="AJ176" s="86" t="e">
        <f>VLOOKUP(TableWRRanks32[[#This Row],[Player]],WR!B:O,6,FALSE)</f>
        <v>#N/A</v>
      </c>
      <c r="AK176" s="86" t="e">
        <f>VLOOKUP(TableWRRanks32[[#This Row],[Player]],WR!B:O,7,FALSE)</f>
        <v>#N/A</v>
      </c>
      <c r="AL176" s="86" t="e">
        <f>VLOOKUP(TableWRRanks32[[#This Row],[Player]],WR!B:O,8,FALSE)</f>
        <v>#N/A</v>
      </c>
      <c r="AM176" s="86" t="e">
        <f>VLOOKUP(TableWRRanks32[[#This Row],[Player]],WR!B:O,9,FALSE)</f>
        <v>#N/A</v>
      </c>
      <c r="AN176" s="58" t="str">
        <f>IFERROR(INDEX(TableWRCalcPts[Custom],MATCH(TableWRRanks32[[#This Row],[RK]],TableWRCalcPts[RK],0)),"")</f>
        <v/>
      </c>
      <c r="AO176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77" spans="30:41" x14ac:dyDescent="0.2">
      <c r="AD177">
        <v>176</v>
      </c>
      <c r="AE177" t="str">
        <f>IFERROR(INDEX(TableWRCalcPts[PLAYER],MATCH(TableWRRanks32[[#This Row],[RK]],TableWRCalcPts[RK],0)),"")</f>
        <v/>
      </c>
      <c r="AF177" t="str">
        <f>IFERROR(INDEX(TableWRCalcPts[TM],MATCH(TableWRRanks32[[#This Row],[Player]],TableWRCalcPts[PLAYER],0)),"")</f>
        <v/>
      </c>
      <c r="AG177" t="str">
        <f>IFERROR(INDEX(TableWRCalcPts[BYE],MATCH(TableWRRanks32[[#This Row],[Player]],TableWRCalcPts[PLAYER],0)),"")</f>
        <v/>
      </c>
      <c r="AH177" s="86" t="e">
        <f>VLOOKUP(TableWRRanks32[[#This Row],[Player]],WR!B:O,4,FALSE)</f>
        <v>#N/A</v>
      </c>
      <c r="AI177" s="86" t="e">
        <f>VLOOKUP(TableWRRanks32[[#This Row],[Player]],WR!B:O,5,FALSE)</f>
        <v>#N/A</v>
      </c>
      <c r="AJ177" s="86" t="e">
        <f>VLOOKUP(TableWRRanks32[[#This Row],[Player]],WR!B:O,6,FALSE)</f>
        <v>#N/A</v>
      </c>
      <c r="AK177" s="86" t="e">
        <f>VLOOKUP(TableWRRanks32[[#This Row],[Player]],WR!B:O,7,FALSE)</f>
        <v>#N/A</v>
      </c>
      <c r="AL177" s="86" t="e">
        <f>VLOOKUP(TableWRRanks32[[#This Row],[Player]],WR!B:O,8,FALSE)</f>
        <v>#N/A</v>
      </c>
      <c r="AM177" s="86" t="e">
        <f>VLOOKUP(TableWRRanks32[[#This Row],[Player]],WR!B:O,9,FALSE)</f>
        <v>#N/A</v>
      </c>
      <c r="AN177" s="58" t="str">
        <f>IFERROR(INDEX(TableWRCalcPts[Custom],MATCH(TableWRRanks32[[#This Row],[RK]],TableWRCalcPts[RK],0)),"")</f>
        <v/>
      </c>
      <c r="AO177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78" spans="30:41" x14ac:dyDescent="0.2">
      <c r="AD178">
        <v>177</v>
      </c>
      <c r="AE178" t="str">
        <f>IFERROR(INDEX(TableWRCalcPts[PLAYER],MATCH(TableWRRanks32[[#This Row],[RK]],TableWRCalcPts[RK],0)),"")</f>
        <v/>
      </c>
      <c r="AF178" t="str">
        <f>IFERROR(INDEX(TableWRCalcPts[TM],MATCH(TableWRRanks32[[#This Row],[Player]],TableWRCalcPts[PLAYER],0)),"")</f>
        <v/>
      </c>
      <c r="AG178" t="str">
        <f>IFERROR(INDEX(TableWRCalcPts[BYE],MATCH(TableWRRanks32[[#This Row],[Player]],TableWRCalcPts[PLAYER],0)),"")</f>
        <v/>
      </c>
      <c r="AH178" s="86" t="e">
        <f>VLOOKUP(TableWRRanks32[[#This Row],[Player]],WR!B:O,4,FALSE)</f>
        <v>#N/A</v>
      </c>
      <c r="AI178" s="86" t="e">
        <f>VLOOKUP(TableWRRanks32[[#This Row],[Player]],WR!B:O,5,FALSE)</f>
        <v>#N/A</v>
      </c>
      <c r="AJ178" s="86" t="e">
        <f>VLOOKUP(TableWRRanks32[[#This Row],[Player]],WR!B:O,6,FALSE)</f>
        <v>#N/A</v>
      </c>
      <c r="AK178" s="86" t="e">
        <f>VLOOKUP(TableWRRanks32[[#This Row],[Player]],WR!B:O,7,FALSE)</f>
        <v>#N/A</v>
      </c>
      <c r="AL178" s="86" t="e">
        <f>VLOOKUP(TableWRRanks32[[#This Row],[Player]],WR!B:O,8,FALSE)</f>
        <v>#N/A</v>
      </c>
      <c r="AM178" s="86" t="e">
        <f>VLOOKUP(TableWRRanks32[[#This Row],[Player]],WR!B:O,9,FALSE)</f>
        <v>#N/A</v>
      </c>
      <c r="AN178" s="58" t="str">
        <f>IFERROR(INDEX(TableWRCalcPts[Custom],MATCH(TableWRRanks32[[#This Row],[RK]],TableWRCalcPts[RK],0)),"")</f>
        <v/>
      </c>
      <c r="AO178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79" spans="30:41" x14ac:dyDescent="0.2">
      <c r="AD179">
        <v>178</v>
      </c>
      <c r="AE179" t="str">
        <f>IFERROR(INDEX(TableWRCalcPts[PLAYER],MATCH(TableWRRanks32[[#This Row],[RK]],TableWRCalcPts[RK],0)),"")</f>
        <v/>
      </c>
      <c r="AF179" t="str">
        <f>IFERROR(INDEX(TableWRCalcPts[TM],MATCH(TableWRRanks32[[#This Row],[Player]],TableWRCalcPts[PLAYER],0)),"")</f>
        <v/>
      </c>
      <c r="AG179" t="str">
        <f>IFERROR(INDEX(TableWRCalcPts[BYE],MATCH(TableWRRanks32[[#This Row],[Player]],TableWRCalcPts[PLAYER],0)),"")</f>
        <v/>
      </c>
      <c r="AH179" s="86" t="e">
        <f>VLOOKUP(TableWRRanks32[[#This Row],[Player]],WR!B:O,4,FALSE)</f>
        <v>#N/A</v>
      </c>
      <c r="AI179" s="86" t="e">
        <f>VLOOKUP(TableWRRanks32[[#This Row],[Player]],WR!B:O,5,FALSE)</f>
        <v>#N/A</v>
      </c>
      <c r="AJ179" s="86" t="e">
        <f>VLOOKUP(TableWRRanks32[[#This Row],[Player]],WR!B:O,6,FALSE)</f>
        <v>#N/A</v>
      </c>
      <c r="AK179" s="86" t="e">
        <f>VLOOKUP(TableWRRanks32[[#This Row],[Player]],WR!B:O,7,FALSE)</f>
        <v>#N/A</v>
      </c>
      <c r="AL179" s="86" t="e">
        <f>VLOOKUP(TableWRRanks32[[#This Row],[Player]],WR!B:O,8,FALSE)</f>
        <v>#N/A</v>
      </c>
      <c r="AM179" s="86" t="e">
        <f>VLOOKUP(TableWRRanks32[[#This Row],[Player]],WR!B:O,9,FALSE)</f>
        <v>#N/A</v>
      </c>
      <c r="AN179" s="58" t="str">
        <f>IFERROR(INDEX(TableWRCalcPts[Custom],MATCH(TableWRRanks32[[#This Row],[RK]],TableWRCalcPts[RK],0)),"")</f>
        <v/>
      </c>
      <c r="AO179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80" spans="30:41" x14ac:dyDescent="0.2">
      <c r="AD180">
        <v>179</v>
      </c>
      <c r="AE180" t="str">
        <f>IFERROR(INDEX(TableWRCalcPts[PLAYER],MATCH(TableWRRanks32[[#This Row],[RK]],TableWRCalcPts[RK],0)),"")</f>
        <v/>
      </c>
      <c r="AF180" t="str">
        <f>IFERROR(INDEX(TableWRCalcPts[TM],MATCH(TableWRRanks32[[#This Row],[Player]],TableWRCalcPts[PLAYER],0)),"")</f>
        <v/>
      </c>
      <c r="AG180" t="str">
        <f>IFERROR(INDEX(TableWRCalcPts[BYE],MATCH(TableWRRanks32[[#This Row],[Player]],TableWRCalcPts[PLAYER],0)),"")</f>
        <v/>
      </c>
      <c r="AH180" s="86" t="e">
        <f>VLOOKUP(TableWRRanks32[[#This Row],[Player]],WR!B:O,4,FALSE)</f>
        <v>#N/A</v>
      </c>
      <c r="AI180" s="86" t="e">
        <f>VLOOKUP(TableWRRanks32[[#This Row],[Player]],WR!B:O,5,FALSE)</f>
        <v>#N/A</v>
      </c>
      <c r="AJ180" s="86" t="e">
        <f>VLOOKUP(TableWRRanks32[[#This Row],[Player]],WR!B:O,6,FALSE)</f>
        <v>#N/A</v>
      </c>
      <c r="AK180" s="86" t="e">
        <f>VLOOKUP(TableWRRanks32[[#This Row],[Player]],WR!B:O,7,FALSE)</f>
        <v>#N/A</v>
      </c>
      <c r="AL180" s="86" t="e">
        <f>VLOOKUP(TableWRRanks32[[#This Row],[Player]],WR!B:O,8,FALSE)</f>
        <v>#N/A</v>
      </c>
      <c r="AM180" s="86" t="e">
        <f>VLOOKUP(TableWRRanks32[[#This Row],[Player]],WR!B:O,9,FALSE)</f>
        <v>#N/A</v>
      </c>
      <c r="AN180" s="58" t="str">
        <f>IFERROR(INDEX(TableWRCalcPts[Custom],MATCH(TableWRRanks32[[#This Row],[RK]],TableWRCalcPts[RK],0)),"")</f>
        <v/>
      </c>
      <c r="AO180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81" spans="30:41" x14ac:dyDescent="0.2">
      <c r="AD181">
        <v>180</v>
      </c>
      <c r="AE181" t="str">
        <f>IFERROR(INDEX(TableWRCalcPts[PLAYER],MATCH(TableWRRanks32[[#This Row],[RK]],TableWRCalcPts[RK],0)),"")</f>
        <v/>
      </c>
      <c r="AF181" t="str">
        <f>IFERROR(INDEX(TableWRCalcPts[TM],MATCH(TableWRRanks32[[#This Row],[Player]],TableWRCalcPts[PLAYER],0)),"")</f>
        <v/>
      </c>
      <c r="AG181" t="str">
        <f>IFERROR(INDEX(TableWRCalcPts[BYE],MATCH(TableWRRanks32[[#This Row],[Player]],TableWRCalcPts[PLAYER],0)),"")</f>
        <v/>
      </c>
      <c r="AH181" s="86" t="e">
        <f>VLOOKUP(TableWRRanks32[[#This Row],[Player]],WR!B:O,4,FALSE)</f>
        <v>#N/A</v>
      </c>
      <c r="AI181" s="86" t="e">
        <f>VLOOKUP(TableWRRanks32[[#This Row],[Player]],WR!B:O,5,FALSE)</f>
        <v>#N/A</v>
      </c>
      <c r="AJ181" s="86" t="e">
        <f>VLOOKUP(TableWRRanks32[[#This Row],[Player]],WR!B:O,6,FALSE)</f>
        <v>#N/A</v>
      </c>
      <c r="AK181" s="86" t="e">
        <f>VLOOKUP(TableWRRanks32[[#This Row],[Player]],WR!B:O,7,FALSE)</f>
        <v>#N/A</v>
      </c>
      <c r="AL181" s="86" t="e">
        <f>VLOOKUP(TableWRRanks32[[#This Row],[Player]],WR!B:O,8,FALSE)</f>
        <v>#N/A</v>
      </c>
      <c r="AM181" s="86" t="e">
        <f>VLOOKUP(TableWRRanks32[[#This Row],[Player]],WR!B:O,9,FALSE)</f>
        <v>#N/A</v>
      </c>
      <c r="AN181" s="58" t="str">
        <f>IFERROR(INDEX(TableWRCalcPts[Custom],MATCH(TableWRRanks32[[#This Row],[RK]],TableWRCalcPts[RK],0)),"")</f>
        <v/>
      </c>
      <c r="AO181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82" spans="30:41" x14ac:dyDescent="0.2">
      <c r="AD182">
        <v>181</v>
      </c>
      <c r="AE182" t="str">
        <f>IFERROR(INDEX(TableWRCalcPts[PLAYER],MATCH(TableWRRanks32[[#This Row],[RK]],TableWRCalcPts[RK],0)),"")</f>
        <v/>
      </c>
      <c r="AF182" t="str">
        <f>IFERROR(INDEX(TableWRCalcPts[TM],MATCH(TableWRRanks32[[#This Row],[Player]],TableWRCalcPts[PLAYER],0)),"")</f>
        <v/>
      </c>
      <c r="AG182" t="str">
        <f>IFERROR(INDEX(TableWRCalcPts[BYE],MATCH(TableWRRanks32[[#This Row],[Player]],TableWRCalcPts[PLAYER],0)),"")</f>
        <v/>
      </c>
      <c r="AH182" s="86" t="e">
        <f>VLOOKUP(TableWRRanks32[[#This Row],[Player]],WR!B:O,4,FALSE)</f>
        <v>#N/A</v>
      </c>
      <c r="AI182" s="86" t="e">
        <f>VLOOKUP(TableWRRanks32[[#This Row],[Player]],WR!B:O,5,FALSE)</f>
        <v>#N/A</v>
      </c>
      <c r="AJ182" s="86" t="e">
        <f>VLOOKUP(TableWRRanks32[[#This Row],[Player]],WR!B:O,6,FALSE)</f>
        <v>#N/A</v>
      </c>
      <c r="AK182" s="86" t="e">
        <f>VLOOKUP(TableWRRanks32[[#This Row],[Player]],WR!B:O,7,FALSE)</f>
        <v>#N/A</v>
      </c>
      <c r="AL182" s="86" t="e">
        <f>VLOOKUP(TableWRRanks32[[#This Row],[Player]],WR!B:O,8,FALSE)</f>
        <v>#N/A</v>
      </c>
      <c r="AM182" s="86" t="e">
        <f>VLOOKUP(TableWRRanks32[[#This Row],[Player]],WR!B:O,9,FALSE)</f>
        <v>#N/A</v>
      </c>
      <c r="AN182" s="58" t="str">
        <f>IFERROR(INDEX(TableWRCalcPts[Custom],MATCH(TableWRRanks32[[#This Row],[RK]],TableWRCalcPts[RK],0)),"")</f>
        <v/>
      </c>
      <c r="AO182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83" spans="30:41" x14ac:dyDescent="0.2">
      <c r="AD183">
        <v>182</v>
      </c>
      <c r="AE183" t="str">
        <f>IFERROR(INDEX(TableWRCalcPts[PLAYER],MATCH(TableWRRanks32[[#This Row],[RK]],TableWRCalcPts[RK],0)),"")</f>
        <v/>
      </c>
      <c r="AF183" t="str">
        <f>IFERROR(INDEX(TableWRCalcPts[TM],MATCH(TableWRRanks32[[#This Row],[Player]],TableWRCalcPts[PLAYER],0)),"")</f>
        <v/>
      </c>
      <c r="AG183" t="str">
        <f>IFERROR(INDEX(TableWRCalcPts[BYE],MATCH(TableWRRanks32[[#This Row],[Player]],TableWRCalcPts[PLAYER],0)),"")</f>
        <v/>
      </c>
      <c r="AH183" s="86" t="e">
        <f>VLOOKUP(TableWRRanks32[[#This Row],[Player]],WR!B:O,4,FALSE)</f>
        <v>#N/A</v>
      </c>
      <c r="AI183" s="86" t="e">
        <f>VLOOKUP(TableWRRanks32[[#This Row],[Player]],WR!B:O,5,FALSE)</f>
        <v>#N/A</v>
      </c>
      <c r="AJ183" s="86" t="e">
        <f>VLOOKUP(TableWRRanks32[[#This Row],[Player]],WR!B:O,6,FALSE)</f>
        <v>#N/A</v>
      </c>
      <c r="AK183" s="86" t="e">
        <f>VLOOKUP(TableWRRanks32[[#This Row],[Player]],WR!B:O,7,FALSE)</f>
        <v>#N/A</v>
      </c>
      <c r="AL183" s="86" t="e">
        <f>VLOOKUP(TableWRRanks32[[#This Row],[Player]],WR!B:O,8,FALSE)</f>
        <v>#N/A</v>
      </c>
      <c r="AM183" s="86" t="e">
        <f>VLOOKUP(TableWRRanks32[[#This Row],[Player]],WR!B:O,9,FALSE)</f>
        <v>#N/A</v>
      </c>
      <c r="AN183" s="58" t="str">
        <f>IFERROR(INDEX(TableWRCalcPts[Custom],MATCH(TableWRRanks32[[#This Row],[RK]],TableWRCalcPts[RK],0)),"")</f>
        <v/>
      </c>
      <c r="AO183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84" spans="30:41" x14ac:dyDescent="0.2">
      <c r="AD184">
        <v>183</v>
      </c>
      <c r="AE184" t="str">
        <f>IFERROR(INDEX(TableWRCalcPts[PLAYER],MATCH(TableWRRanks32[[#This Row],[RK]],TableWRCalcPts[RK],0)),"")</f>
        <v/>
      </c>
      <c r="AF184" t="str">
        <f>IFERROR(INDEX(TableWRCalcPts[TM],MATCH(TableWRRanks32[[#This Row],[Player]],TableWRCalcPts[PLAYER],0)),"")</f>
        <v/>
      </c>
      <c r="AG184" t="str">
        <f>IFERROR(INDEX(TableWRCalcPts[BYE],MATCH(TableWRRanks32[[#This Row],[Player]],TableWRCalcPts[PLAYER],0)),"")</f>
        <v/>
      </c>
      <c r="AH184" s="86" t="e">
        <f>VLOOKUP(TableWRRanks32[[#This Row],[Player]],WR!B:O,4,FALSE)</f>
        <v>#N/A</v>
      </c>
      <c r="AI184" s="86" t="e">
        <f>VLOOKUP(TableWRRanks32[[#This Row],[Player]],WR!B:O,5,FALSE)</f>
        <v>#N/A</v>
      </c>
      <c r="AJ184" s="86" t="e">
        <f>VLOOKUP(TableWRRanks32[[#This Row],[Player]],WR!B:O,6,FALSE)</f>
        <v>#N/A</v>
      </c>
      <c r="AK184" s="86" t="e">
        <f>VLOOKUP(TableWRRanks32[[#This Row],[Player]],WR!B:O,7,FALSE)</f>
        <v>#N/A</v>
      </c>
      <c r="AL184" s="86" t="e">
        <f>VLOOKUP(TableWRRanks32[[#This Row],[Player]],WR!B:O,8,FALSE)</f>
        <v>#N/A</v>
      </c>
      <c r="AM184" s="86" t="e">
        <f>VLOOKUP(TableWRRanks32[[#This Row],[Player]],WR!B:O,9,FALSE)</f>
        <v>#N/A</v>
      </c>
      <c r="AN184" s="58" t="str">
        <f>IFERROR(INDEX(TableWRCalcPts[Custom],MATCH(TableWRRanks32[[#This Row],[RK]],TableWRCalcPts[RK],0)),"")</f>
        <v/>
      </c>
      <c r="AO184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85" spans="30:41" x14ac:dyDescent="0.2">
      <c r="AD185">
        <v>184</v>
      </c>
      <c r="AE185" t="str">
        <f>IFERROR(INDEX(TableWRCalcPts[PLAYER],MATCH(TableWRRanks32[[#This Row],[RK]],TableWRCalcPts[RK],0)),"")</f>
        <v/>
      </c>
      <c r="AF185" t="str">
        <f>IFERROR(INDEX(TableWRCalcPts[TM],MATCH(TableWRRanks32[[#This Row],[Player]],TableWRCalcPts[PLAYER],0)),"")</f>
        <v/>
      </c>
      <c r="AG185" t="str">
        <f>IFERROR(INDEX(TableWRCalcPts[BYE],MATCH(TableWRRanks32[[#This Row],[Player]],TableWRCalcPts[PLAYER],0)),"")</f>
        <v/>
      </c>
      <c r="AH185" s="86" t="e">
        <f>VLOOKUP(TableWRRanks32[[#This Row],[Player]],WR!B:O,4,FALSE)</f>
        <v>#N/A</v>
      </c>
      <c r="AI185" s="86" t="e">
        <f>VLOOKUP(TableWRRanks32[[#This Row],[Player]],WR!B:O,5,FALSE)</f>
        <v>#N/A</v>
      </c>
      <c r="AJ185" s="86" t="e">
        <f>VLOOKUP(TableWRRanks32[[#This Row],[Player]],WR!B:O,6,FALSE)</f>
        <v>#N/A</v>
      </c>
      <c r="AK185" s="86" t="e">
        <f>VLOOKUP(TableWRRanks32[[#This Row],[Player]],WR!B:O,7,FALSE)</f>
        <v>#N/A</v>
      </c>
      <c r="AL185" s="86" t="e">
        <f>VLOOKUP(TableWRRanks32[[#This Row],[Player]],WR!B:O,8,FALSE)</f>
        <v>#N/A</v>
      </c>
      <c r="AM185" s="86" t="e">
        <f>VLOOKUP(TableWRRanks32[[#This Row],[Player]],WR!B:O,9,FALSE)</f>
        <v>#N/A</v>
      </c>
      <c r="AN185" s="58" t="str">
        <f>IFERROR(INDEX(TableWRCalcPts[Custom],MATCH(TableWRRanks32[[#This Row],[RK]],TableWRCalcPts[RK],0)),"")</f>
        <v/>
      </c>
      <c r="AO185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86" spans="30:41" x14ac:dyDescent="0.2">
      <c r="AD186">
        <v>185</v>
      </c>
      <c r="AE186" t="str">
        <f>IFERROR(INDEX(TableWRCalcPts[PLAYER],MATCH(TableWRRanks32[[#This Row],[RK]],TableWRCalcPts[RK],0)),"")</f>
        <v/>
      </c>
      <c r="AF186" t="str">
        <f>IFERROR(INDEX(TableWRCalcPts[TM],MATCH(TableWRRanks32[[#This Row],[Player]],TableWRCalcPts[PLAYER],0)),"")</f>
        <v/>
      </c>
      <c r="AG186" t="str">
        <f>IFERROR(INDEX(TableWRCalcPts[BYE],MATCH(TableWRRanks32[[#This Row],[Player]],TableWRCalcPts[PLAYER],0)),"")</f>
        <v/>
      </c>
      <c r="AH186" s="86" t="e">
        <f>VLOOKUP(TableWRRanks32[[#This Row],[Player]],WR!B:O,4,FALSE)</f>
        <v>#N/A</v>
      </c>
      <c r="AI186" s="86" t="e">
        <f>VLOOKUP(TableWRRanks32[[#This Row],[Player]],WR!B:O,5,FALSE)</f>
        <v>#N/A</v>
      </c>
      <c r="AJ186" s="86" t="e">
        <f>VLOOKUP(TableWRRanks32[[#This Row],[Player]],WR!B:O,6,FALSE)</f>
        <v>#N/A</v>
      </c>
      <c r="AK186" s="86" t="e">
        <f>VLOOKUP(TableWRRanks32[[#This Row],[Player]],WR!B:O,7,FALSE)</f>
        <v>#N/A</v>
      </c>
      <c r="AL186" s="86" t="e">
        <f>VLOOKUP(TableWRRanks32[[#This Row],[Player]],WR!B:O,8,FALSE)</f>
        <v>#N/A</v>
      </c>
      <c r="AM186" s="86" t="e">
        <f>VLOOKUP(TableWRRanks32[[#This Row],[Player]],WR!B:O,9,FALSE)</f>
        <v>#N/A</v>
      </c>
      <c r="AN186" s="58" t="str">
        <f>IFERROR(INDEX(TableWRCalcPts[Custom],MATCH(TableWRRanks32[[#This Row],[RK]],TableWRCalcPts[RK],0)),"")</f>
        <v/>
      </c>
      <c r="AO186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87" spans="30:41" x14ac:dyDescent="0.2">
      <c r="AD187">
        <v>186</v>
      </c>
      <c r="AE187" t="str">
        <f>IFERROR(INDEX(TableWRCalcPts[PLAYER],MATCH(TableWRRanks32[[#This Row],[RK]],TableWRCalcPts[RK],0)),"")</f>
        <v/>
      </c>
      <c r="AF187" t="str">
        <f>IFERROR(INDEX(TableWRCalcPts[TM],MATCH(TableWRRanks32[[#This Row],[Player]],TableWRCalcPts[PLAYER],0)),"")</f>
        <v/>
      </c>
      <c r="AG187" t="str">
        <f>IFERROR(INDEX(TableWRCalcPts[BYE],MATCH(TableWRRanks32[[#This Row],[Player]],TableWRCalcPts[PLAYER],0)),"")</f>
        <v/>
      </c>
      <c r="AH187" s="86" t="e">
        <f>VLOOKUP(TableWRRanks32[[#This Row],[Player]],WR!B:O,4,FALSE)</f>
        <v>#N/A</v>
      </c>
      <c r="AI187" s="86" t="e">
        <f>VLOOKUP(TableWRRanks32[[#This Row],[Player]],WR!B:O,5,FALSE)</f>
        <v>#N/A</v>
      </c>
      <c r="AJ187" s="86" t="e">
        <f>VLOOKUP(TableWRRanks32[[#This Row],[Player]],WR!B:O,6,FALSE)</f>
        <v>#N/A</v>
      </c>
      <c r="AK187" s="86" t="e">
        <f>VLOOKUP(TableWRRanks32[[#This Row],[Player]],WR!B:O,7,FALSE)</f>
        <v>#N/A</v>
      </c>
      <c r="AL187" s="86" t="e">
        <f>VLOOKUP(TableWRRanks32[[#This Row],[Player]],WR!B:O,8,FALSE)</f>
        <v>#N/A</v>
      </c>
      <c r="AM187" s="86" t="e">
        <f>VLOOKUP(TableWRRanks32[[#This Row],[Player]],WR!B:O,9,FALSE)</f>
        <v>#N/A</v>
      </c>
      <c r="AN187" s="58" t="str">
        <f>IFERROR(INDEX(TableWRCalcPts[Custom],MATCH(TableWRRanks32[[#This Row],[RK]],TableWRCalcPts[RK],0)),"")</f>
        <v/>
      </c>
      <c r="AO187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88" spans="30:41" x14ac:dyDescent="0.2">
      <c r="AD188">
        <v>187</v>
      </c>
      <c r="AE188" t="str">
        <f>IFERROR(INDEX(TableWRCalcPts[PLAYER],MATCH(TableWRRanks32[[#This Row],[RK]],TableWRCalcPts[RK],0)),"")</f>
        <v/>
      </c>
      <c r="AF188" t="str">
        <f>IFERROR(INDEX(TableWRCalcPts[TM],MATCH(TableWRRanks32[[#This Row],[Player]],TableWRCalcPts[PLAYER],0)),"")</f>
        <v/>
      </c>
      <c r="AG188" t="str">
        <f>IFERROR(INDEX(TableWRCalcPts[BYE],MATCH(TableWRRanks32[[#This Row],[Player]],TableWRCalcPts[PLAYER],0)),"")</f>
        <v/>
      </c>
      <c r="AH188" s="86" t="e">
        <f>VLOOKUP(TableWRRanks32[[#This Row],[Player]],WR!B:O,4,FALSE)</f>
        <v>#N/A</v>
      </c>
      <c r="AI188" s="86" t="e">
        <f>VLOOKUP(TableWRRanks32[[#This Row],[Player]],WR!B:O,5,FALSE)</f>
        <v>#N/A</v>
      </c>
      <c r="AJ188" s="86" t="e">
        <f>VLOOKUP(TableWRRanks32[[#This Row],[Player]],WR!B:O,6,FALSE)</f>
        <v>#N/A</v>
      </c>
      <c r="AK188" s="86" t="e">
        <f>VLOOKUP(TableWRRanks32[[#This Row],[Player]],WR!B:O,7,FALSE)</f>
        <v>#N/A</v>
      </c>
      <c r="AL188" s="86" t="e">
        <f>VLOOKUP(TableWRRanks32[[#This Row],[Player]],WR!B:O,8,FALSE)</f>
        <v>#N/A</v>
      </c>
      <c r="AM188" s="86" t="e">
        <f>VLOOKUP(TableWRRanks32[[#This Row],[Player]],WR!B:O,9,FALSE)</f>
        <v>#N/A</v>
      </c>
      <c r="AN188" s="58" t="str">
        <f>IFERROR(INDEX(TableWRCalcPts[Custom],MATCH(TableWRRanks32[[#This Row],[RK]],TableWRCalcPts[RK],0)),"")</f>
        <v/>
      </c>
      <c r="AO188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89" spans="30:41" x14ac:dyDescent="0.2">
      <c r="AD189">
        <v>188</v>
      </c>
      <c r="AE189" t="str">
        <f>IFERROR(INDEX(TableWRCalcPts[PLAYER],MATCH(TableWRRanks32[[#This Row],[RK]],TableWRCalcPts[RK],0)),"")</f>
        <v/>
      </c>
      <c r="AF189" t="str">
        <f>IFERROR(INDEX(TableWRCalcPts[TM],MATCH(TableWRRanks32[[#This Row],[Player]],TableWRCalcPts[PLAYER],0)),"")</f>
        <v/>
      </c>
      <c r="AG189" t="str">
        <f>IFERROR(INDEX(TableWRCalcPts[BYE],MATCH(TableWRRanks32[[#This Row],[Player]],TableWRCalcPts[PLAYER],0)),"")</f>
        <v/>
      </c>
      <c r="AH189" s="86" t="e">
        <f>VLOOKUP(TableWRRanks32[[#This Row],[Player]],WR!B:O,4,FALSE)</f>
        <v>#N/A</v>
      </c>
      <c r="AI189" s="86" t="e">
        <f>VLOOKUP(TableWRRanks32[[#This Row],[Player]],WR!B:O,5,FALSE)</f>
        <v>#N/A</v>
      </c>
      <c r="AJ189" s="86" t="e">
        <f>VLOOKUP(TableWRRanks32[[#This Row],[Player]],WR!B:O,6,FALSE)</f>
        <v>#N/A</v>
      </c>
      <c r="AK189" s="86" t="e">
        <f>VLOOKUP(TableWRRanks32[[#This Row],[Player]],WR!B:O,7,FALSE)</f>
        <v>#N/A</v>
      </c>
      <c r="AL189" s="86" t="e">
        <f>VLOOKUP(TableWRRanks32[[#This Row],[Player]],WR!B:O,8,FALSE)</f>
        <v>#N/A</v>
      </c>
      <c r="AM189" s="86" t="e">
        <f>VLOOKUP(TableWRRanks32[[#This Row],[Player]],WR!B:O,9,FALSE)</f>
        <v>#N/A</v>
      </c>
      <c r="AN189" s="58" t="str">
        <f>IFERROR(INDEX(TableWRCalcPts[Custom],MATCH(TableWRRanks32[[#This Row],[RK]],TableWRCalcPts[RK],0)),"")</f>
        <v/>
      </c>
      <c r="AO189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90" spans="30:41" x14ac:dyDescent="0.2">
      <c r="AD190">
        <v>189</v>
      </c>
      <c r="AE190" t="str">
        <f>IFERROR(INDEX(TableWRCalcPts[PLAYER],MATCH(TableWRRanks32[[#This Row],[RK]],TableWRCalcPts[RK],0)),"")</f>
        <v/>
      </c>
      <c r="AF190" t="str">
        <f>IFERROR(INDEX(TableWRCalcPts[TM],MATCH(TableWRRanks32[[#This Row],[Player]],TableWRCalcPts[PLAYER],0)),"")</f>
        <v/>
      </c>
      <c r="AG190" t="str">
        <f>IFERROR(INDEX(TableWRCalcPts[BYE],MATCH(TableWRRanks32[[#This Row],[Player]],TableWRCalcPts[PLAYER],0)),"")</f>
        <v/>
      </c>
      <c r="AH190" s="86" t="e">
        <f>VLOOKUP(TableWRRanks32[[#This Row],[Player]],WR!B:O,4,FALSE)</f>
        <v>#N/A</v>
      </c>
      <c r="AI190" s="86" t="e">
        <f>VLOOKUP(TableWRRanks32[[#This Row],[Player]],WR!B:O,5,FALSE)</f>
        <v>#N/A</v>
      </c>
      <c r="AJ190" s="86" t="e">
        <f>VLOOKUP(TableWRRanks32[[#This Row],[Player]],WR!B:O,6,FALSE)</f>
        <v>#N/A</v>
      </c>
      <c r="AK190" s="86" t="e">
        <f>VLOOKUP(TableWRRanks32[[#This Row],[Player]],WR!B:O,7,FALSE)</f>
        <v>#N/A</v>
      </c>
      <c r="AL190" s="86" t="e">
        <f>VLOOKUP(TableWRRanks32[[#This Row],[Player]],WR!B:O,8,FALSE)</f>
        <v>#N/A</v>
      </c>
      <c r="AM190" s="86" t="e">
        <f>VLOOKUP(TableWRRanks32[[#This Row],[Player]],WR!B:O,9,FALSE)</f>
        <v>#N/A</v>
      </c>
      <c r="AN190" s="58" t="str">
        <f>IFERROR(INDEX(TableWRCalcPts[Custom],MATCH(TableWRRanks32[[#This Row],[RK]],TableWRCalcPts[RK],0)),"")</f>
        <v/>
      </c>
      <c r="AO190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91" spans="30:41" x14ac:dyDescent="0.2">
      <c r="AD191">
        <v>190</v>
      </c>
      <c r="AE191" t="str">
        <f>IFERROR(INDEX(TableWRCalcPts[PLAYER],MATCH(TableWRRanks32[[#This Row],[RK]],TableWRCalcPts[RK],0)),"")</f>
        <v/>
      </c>
      <c r="AF191" t="str">
        <f>IFERROR(INDEX(TableWRCalcPts[TM],MATCH(TableWRRanks32[[#This Row],[Player]],TableWRCalcPts[PLAYER],0)),"")</f>
        <v/>
      </c>
      <c r="AG191" t="str">
        <f>IFERROR(INDEX(TableWRCalcPts[BYE],MATCH(TableWRRanks32[[#This Row],[Player]],TableWRCalcPts[PLAYER],0)),"")</f>
        <v/>
      </c>
      <c r="AH191" s="86" t="e">
        <f>VLOOKUP(TableWRRanks32[[#This Row],[Player]],WR!B:O,4,FALSE)</f>
        <v>#N/A</v>
      </c>
      <c r="AI191" s="86" t="e">
        <f>VLOOKUP(TableWRRanks32[[#This Row],[Player]],WR!B:O,5,FALSE)</f>
        <v>#N/A</v>
      </c>
      <c r="AJ191" s="86" t="e">
        <f>VLOOKUP(TableWRRanks32[[#This Row],[Player]],WR!B:O,6,FALSE)</f>
        <v>#N/A</v>
      </c>
      <c r="AK191" s="86" t="e">
        <f>VLOOKUP(TableWRRanks32[[#This Row],[Player]],WR!B:O,7,FALSE)</f>
        <v>#N/A</v>
      </c>
      <c r="AL191" s="86" t="e">
        <f>VLOOKUP(TableWRRanks32[[#This Row],[Player]],WR!B:O,8,FALSE)</f>
        <v>#N/A</v>
      </c>
      <c r="AM191" s="86" t="e">
        <f>VLOOKUP(TableWRRanks32[[#This Row],[Player]],WR!B:O,9,FALSE)</f>
        <v>#N/A</v>
      </c>
      <c r="AN191" s="58" t="str">
        <f>IFERROR(INDEX(TableWRCalcPts[Custom],MATCH(TableWRRanks32[[#This Row],[RK]],TableWRCalcPts[RK],0)),"")</f>
        <v/>
      </c>
      <c r="AO191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92" spans="30:41" x14ac:dyDescent="0.2">
      <c r="AD192">
        <v>191</v>
      </c>
      <c r="AE192" t="str">
        <f>IFERROR(INDEX(TableWRCalcPts[PLAYER],MATCH(TableWRRanks32[[#This Row],[RK]],TableWRCalcPts[RK],0)),"")</f>
        <v/>
      </c>
      <c r="AF192" t="str">
        <f>IFERROR(INDEX(TableWRCalcPts[TM],MATCH(TableWRRanks32[[#This Row],[Player]],TableWRCalcPts[PLAYER],0)),"")</f>
        <v/>
      </c>
      <c r="AG192" t="str">
        <f>IFERROR(INDEX(TableWRCalcPts[BYE],MATCH(TableWRRanks32[[#This Row],[Player]],TableWRCalcPts[PLAYER],0)),"")</f>
        <v/>
      </c>
      <c r="AH192" s="86" t="e">
        <f>VLOOKUP(TableWRRanks32[[#This Row],[Player]],WR!B:O,4,FALSE)</f>
        <v>#N/A</v>
      </c>
      <c r="AI192" s="86" t="e">
        <f>VLOOKUP(TableWRRanks32[[#This Row],[Player]],WR!B:O,5,FALSE)</f>
        <v>#N/A</v>
      </c>
      <c r="AJ192" s="86" t="e">
        <f>VLOOKUP(TableWRRanks32[[#This Row],[Player]],WR!B:O,6,FALSE)</f>
        <v>#N/A</v>
      </c>
      <c r="AK192" s="86" t="e">
        <f>VLOOKUP(TableWRRanks32[[#This Row],[Player]],WR!B:O,7,FALSE)</f>
        <v>#N/A</v>
      </c>
      <c r="AL192" s="86" t="e">
        <f>VLOOKUP(TableWRRanks32[[#This Row],[Player]],WR!B:O,8,FALSE)</f>
        <v>#N/A</v>
      </c>
      <c r="AM192" s="86" t="e">
        <f>VLOOKUP(TableWRRanks32[[#This Row],[Player]],WR!B:O,9,FALSE)</f>
        <v>#N/A</v>
      </c>
      <c r="AN192" s="58" t="str">
        <f>IFERROR(INDEX(TableWRCalcPts[Custom],MATCH(TableWRRanks32[[#This Row],[RK]],TableWRCalcPts[RK],0)),"")</f>
        <v/>
      </c>
      <c r="AO192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93" spans="30:41" x14ac:dyDescent="0.2">
      <c r="AD193">
        <v>192</v>
      </c>
      <c r="AE193" t="str">
        <f>IFERROR(INDEX(TableWRCalcPts[PLAYER],MATCH(TableWRRanks32[[#This Row],[RK]],TableWRCalcPts[RK],0)),"")</f>
        <v/>
      </c>
      <c r="AF193" t="str">
        <f>IFERROR(INDEX(TableWRCalcPts[TM],MATCH(TableWRRanks32[[#This Row],[Player]],TableWRCalcPts[PLAYER],0)),"")</f>
        <v/>
      </c>
      <c r="AG193" t="str">
        <f>IFERROR(INDEX(TableWRCalcPts[BYE],MATCH(TableWRRanks32[[#This Row],[Player]],TableWRCalcPts[PLAYER],0)),"")</f>
        <v/>
      </c>
      <c r="AH193" s="86" t="e">
        <f>VLOOKUP(TableWRRanks32[[#This Row],[Player]],WR!B:O,4,FALSE)</f>
        <v>#N/A</v>
      </c>
      <c r="AI193" s="86" t="e">
        <f>VLOOKUP(TableWRRanks32[[#This Row],[Player]],WR!B:O,5,FALSE)</f>
        <v>#N/A</v>
      </c>
      <c r="AJ193" s="86" t="e">
        <f>VLOOKUP(TableWRRanks32[[#This Row],[Player]],WR!B:O,6,FALSE)</f>
        <v>#N/A</v>
      </c>
      <c r="AK193" s="86" t="e">
        <f>VLOOKUP(TableWRRanks32[[#This Row],[Player]],WR!B:O,7,FALSE)</f>
        <v>#N/A</v>
      </c>
      <c r="AL193" s="86" t="e">
        <f>VLOOKUP(TableWRRanks32[[#This Row],[Player]],WR!B:O,8,FALSE)</f>
        <v>#N/A</v>
      </c>
      <c r="AM193" s="86" t="e">
        <f>VLOOKUP(TableWRRanks32[[#This Row],[Player]],WR!B:O,9,FALSE)</f>
        <v>#N/A</v>
      </c>
      <c r="AN193" s="58" t="str">
        <f>IFERROR(INDEX(TableWRCalcPts[Custom],MATCH(TableWRRanks32[[#This Row],[RK]],TableWRCalcPts[RK],0)),"")</f>
        <v/>
      </c>
      <c r="AO193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94" spans="30:41" x14ac:dyDescent="0.2">
      <c r="AD194">
        <v>193</v>
      </c>
      <c r="AE194" t="str">
        <f>IFERROR(INDEX(TableWRCalcPts[PLAYER],MATCH(TableWRRanks32[[#This Row],[RK]],TableWRCalcPts[RK],0)),"")</f>
        <v/>
      </c>
      <c r="AF194" t="str">
        <f>IFERROR(INDEX(TableWRCalcPts[TM],MATCH(TableWRRanks32[[#This Row],[Player]],TableWRCalcPts[PLAYER],0)),"")</f>
        <v/>
      </c>
      <c r="AG194" t="str">
        <f>IFERROR(INDEX(TableWRCalcPts[BYE],MATCH(TableWRRanks32[[#This Row],[Player]],TableWRCalcPts[PLAYER],0)),"")</f>
        <v/>
      </c>
      <c r="AH194" s="86" t="e">
        <f>VLOOKUP(TableWRRanks32[[#This Row],[Player]],WR!B:O,4,FALSE)</f>
        <v>#N/A</v>
      </c>
      <c r="AI194" s="86" t="e">
        <f>VLOOKUP(TableWRRanks32[[#This Row],[Player]],WR!B:O,5,FALSE)</f>
        <v>#N/A</v>
      </c>
      <c r="AJ194" s="86" t="e">
        <f>VLOOKUP(TableWRRanks32[[#This Row],[Player]],WR!B:O,6,FALSE)</f>
        <v>#N/A</v>
      </c>
      <c r="AK194" s="86" t="e">
        <f>VLOOKUP(TableWRRanks32[[#This Row],[Player]],WR!B:O,7,FALSE)</f>
        <v>#N/A</v>
      </c>
      <c r="AL194" s="86" t="e">
        <f>VLOOKUP(TableWRRanks32[[#This Row],[Player]],WR!B:O,8,FALSE)</f>
        <v>#N/A</v>
      </c>
      <c r="AM194" s="86" t="e">
        <f>VLOOKUP(TableWRRanks32[[#This Row],[Player]],WR!B:O,9,FALSE)</f>
        <v>#N/A</v>
      </c>
      <c r="AN194" s="58" t="str">
        <f>IFERROR(INDEX(TableWRCalcPts[Custom],MATCH(TableWRRanks32[[#This Row],[RK]],TableWRCalcPts[RK],0)),"")</f>
        <v/>
      </c>
      <c r="AO194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95" spans="30:41" x14ac:dyDescent="0.2">
      <c r="AD195">
        <v>194</v>
      </c>
      <c r="AE195" t="str">
        <f>IFERROR(INDEX(TableWRCalcPts[PLAYER],MATCH(TableWRRanks32[[#This Row],[RK]],TableWRCalcPts[RK],0)),"")</f>
        <v/>
      </c>
      <c r="AF195" t="str">
        <f>IFERROR(INDEX(TableWRCalcPts[TM],MATCH(TableWRRanks32[[#This Row],[Player]],TableWRCalcPts[PLAYER],0)),"")</f>
        <v/>
      </c>
      <c r="AG195" t="str">
        <f>IFERROR(INDEX(TableWRCalcPts[BYE],MATCH(TableWRRanks32[[#This Row],[Player]],TableWRCalcPts[PLAYER],0)),"")</f>
        <v/>
      </c>
      <c r="AH195" s="86" t="e">
        <f>VLOOKUP(TableWRRanks32[[#This Row],[Player]],WR!B:O,4,FALSE)</f>
        <v>#N/A</v>
      </c>
      <c r="AI195" s="86" t="e">
        <f>VLOOKUP(TableWRRanks32[[#This Row],[Player]],WR!B:O,5,FALSE)</f>
        <v>#N/A</v>
      </c>
      <c r="AJ195" s="86" t="e">
        <f>VLOOKUP(TableWRRanks32[[#This Row],[Player]],WR!B:O,6,FALSE)</f>
        <v>#N/A</v>
      </c>
      <c r="AK195" s="86" t="e">
        <f>VLOOKUP(TableWRRanks32[[#This Row],[Player]],WR!B:O,7,FALSE)</f>
        <v>#N/A</v>
      </c>
      <c r="AL195" s="86" t="e">
        <f>VLOOKUP(TableWRRanks32[[#This Row],[Player]],WR!B:O,8,FALSE)</f>
        <v>#N/A</v>
      </c>
      <c r="AM195" s="86" t="e">
        <f>VLOOKUP(TableWRRanks32[[#This Row],[Player]],WR!B:O,9,FALSE)</f>
        <v>#N/A</v>
      </c>
      <c r="AN195" s="58" t="str">
        <f>IFERROR(INDEX(TableWRCalcPts[Custom],MATCH(TableWRRanks32[[#This Row],[RK]],TableWRCalcPts[RK],0)),"")</f>
        <v/>
      </c>
      <c r="AO195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96" spans="30:41" x14ac:dyDescent="0.2">
      <c r="AD196">
        <v>195</v>
      </c>
      <c r="AE196" t="str">
        <f>IFERROR(INDEX(TableWRCalcPts[PLAYER],MATCH(TableWRRanks32[[#This Row],[RK]],TableWRCalcPts[RK],0)),"")</f>
        <v/>
      </c>
      <c r="AF196" t="str">
        <f>IFERROR(INDEX(TableWRCalcPts[TM],MATCH(TableWRRanks32[[#This Row],[Player]],TableWRCalcPts[PLAYER],0)),"")</f>
        <v/>
      </c>
      <c r="AG196" t="str">
        <f>IFERROR(INDEX(TableWRCalcPts[BYE],MATCH(TableWRRanks32[[#This Row],[Player]],TableWRCalcPts[PLAYER],0)),"")</f>
        <v/>
      </c>
      <c r="AH196" s="86" t="e">
        <f>VLOOKUP(TableWRRanks32[[#This Row],[Player]],WR!B:O,4,FALSE)</f>
        <v>#N/A</v>
      </c>
      <c r="AI196" s="86" t="e">
        <f>VLOOKUP(TableWRRanks32[[#This Row],[Player]],WR!B:O,5,FALSE)</f>
        <v>#N/A</v>
      </c>
      <c r="AJ196" s="86" t="e">
        <f>VLOOKUP(TableWRRanks32[[#This Row],[Player]],WR!B:O,6,FALSE)</f>
        <v>#N/A</v>
      </c>
      <c r="AK196" s="86" t="e">
        <f>VLOOKUP(TableWRRanks32[[#This Row],[Player]],WR!B:O,7,FALSE)</f>
        <v>#N/A</v>
      </c>
      <c r="AL196" s="86" t="e">
        <f>VLOOKUP(TableWRRanks32[[#This Row],[Player]],WR!B:O,8,FALSE)</f>
        <v>#N/A</v>
      </c>
      <c r="AM196" s="86" t="e">
        <f>VLOOKUP(TableWRRanks32[[#This Row],[Player]],WR!B:O,9,FALSE)</f>
        <v>#N/A</v>
      </c>
      <c r="AN196" s="58" t="str">
        <f>IFERROR(INDEX(TableWRCalcPts[Custom],MATCH(TableWRRanks32[[#This Row],[RK]],TableWRCalcPts[RK],0)),"")</f>
        <v/>
      </c>
      <c r="AO196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97" spans="30:41" x14ac:dyDescent="0.2">
      <c r="AD197">
        <v>196</v>
      </c>
      <c r="AE197" t="str">
        <f>IFERROR(INDEX(TableWRCalcPts[PLAYER],MATCH(TableWRRanks32[[#This Row],[RK]],TableWRCalcPts[RK],0)),"")</f>
        <v/>
      </c>
      <c r="AF197" t="str">
        <f>IFERROR(INDEX(TableWRCalcPts[TM],MATCH(TableWRRanks32[[#This Row],[Player]],TableWRCalcPts[PLAYER],0)),"")</f>
        <v/>
      </c>
      <c r="AG197" t="str">
        <f>IFERROR(INDEX(TableWRCalcPts[BYE],MATCH(TableWRRanks32[[#This Row],[Player]],TableWRCalcPts[PLAYER],0)),"")</f>
        <v/>
      </c>
      <c r="AH197" s="86" t="e">
        <f>VLOOKUP(TableWRRanks32[[#This Row],[Player]],WR!B:O,4,FALSE)</f>
        <v>#N/A</v>
      </c>
      <c r="AI197" s="86" t="e">
        <f>VLOOKUP(TableWRRanks32[[#This Row],[Player]],WR!B:O,5,FALSE)</f>
        <v>#N/A</v>
      </c>
      <c r="AJ197" s="86" t="e">
        <f>VLOOKUP(TableWRRanks32[[#This Row],[Player]],WR!B:O,6,FALSE)</f>
        <v>#N/A</v>
      </c>
      <c r="AK197" s="86" t="e">
        <f>VLOOKUP(TableWRRanks32[[#This Row],[Player]],WR!B:O,7,FALSE)</f>
        <v>#N/A</v>
      </c>
      <c r="AL197" s="86" t="e">
        <f>VLOOKUP(TableWRRanks32[[#This Row],[Player]],WR!B:O,8,FALSE)</f>
        <v>#N/A</v>
      </c>
      <c r="AM197" s="86" t="e">
        <f>VLOOKUP(TableWRRanks32[[#This Row],[Player]],WR!B:O,9,FALSE)</f>
        <v>#N/A</v>
      </c>
      <c r="AN197" s="58" t="str">
        <f>IFERROR(INDEX(TableWRCalcPts[Custom],MATCH(TableWRRanks32[[#This Row],[RK]],TableWRCalcPts[RK],0)),"")</f>
        <v/>
      </c>
      <c r="AO197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98" spans="30:41" x14ac:dyDescent="0.2">
      <c r="AD198">
        <v>197</v>
      </c>
      <c r="AE198" t="str">
        <f>IFERROR(INDEX(TableWRCalcPts[PLAYER],MATCH(TableWRRanks32[[#This Row],[RK]],TableWRCalcPts[RK],0)),"")</f>
        <v/>
      </c>
      <c r="AF198" t="str">
        <f>IFERROR(INDEX(TableWRCalcPts[TM],MATCH(TableWRRanks32[[#This Row],[Player]],TableWRCalcPts[PLAYER],0)),"")</f>
        <v/>
      </c>
      <c r="AG198" t="str">
        <f>IFERROR(INDEX(TableWRCalcPts[BYE],MATCH(TableWRRanks32[[#This Row],[Player]],TableWRCalcPts[PLAYER],0)),"")</f>
        <v/>
      </c>
      <c r="AH198" s="86" t="e">
        <f>VLOOKUP(TableWRRanks32[[#This Row],[Player]],WR!B:O,4,FALSE)</f>
        <v>#N/A</v>
      </c>
      <c r="AI198" s="86" t="e">
        <f>VLOOKUP(TableWRRanks32[[#This Row],[Player]],WR!B:O,5,FALSE)</f>
        <v>#N/A</v>
      </c>
      <c r="AJ198" s="86" t="e">
        <f>VLOOKUP(TableWRRanks32[[#This Row],[Player]],WR!B:O,6,FALSE)</f>
        <v>#N/A</v>
      </c>
      <c r="AK198" s="86" t="e">
        <f>VLOOKUP(TableWRRanks32[[#This Row],[Player]],WR!B:O,7,FALSE)</f>
        <v>#N/A</v>
      </c>
      <c r="AL198" s="86" t="e">
        <f>VLOOKUP(TableWRRanks32[[#This Row],[Player]],WR!B:O,8,FALSE)</f>
        <v>#N/A</v>
      </c>
      <c r="AM198" s="86" t="e">
        <f>VLOOKUP(TableWRRanks32[[#This Row],[Player]],WR!B:O,9,FALSE)</f>
        <v>#N/A</v>
      </c>
      <c r="AN198" s="58" t="str">
        <f>IFERROR(INDEX(TableWRCalcPts[Custom],MATCH(TableWRRanks32[[#This Row],[RK]],TableWRCalcPts[RK],0)),"")</f>
        <v/>
      </c>
      <c r="AO198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199" spans="30:41" x14ac:dyDescent="0.2">
      <c r="AD199">
        <v>198</v>
      </c>
      <c r="AE199" t="str">
        <f>IFERROR(INDEX(TableWRCalcPts[PLAYER],MATCH(TableWRRanks32[[#This Row],[RK]],TableWRCalcPts[RK],0)),"")</f>
        <v/>
      </c>
      <c r="AF199" t="str">
        <f>IFERROR(INDEX(TableWRCalcPts[TM],MATCH(TableWRRanks32[[#This Row],[Player]],TableWRCalcPts[PLAYER],0)),"")</f>
        <v/>
      </c>
      <c r="AG199" t="str">
        <f>IFERROR(INDEX(TableWRCalcPts[BYE],MATCH(TableWRRanks32[[#This Row],[Player]],TableWRCalcPts[PLAYER],0)),"")</f>
        <v/>
      </c>
      <c r="AH199" s="86" t="e">
        <f>VLOOKUP(TableWRRanks32[[#This Row],[Player]],WR!B:O,4,FALSE)</f>
        <v>#N/A</v>
      </c>
      <c r="AI199" s="86" t="e">
        <f>VLOOKUP(TableWRRanks32[[#This Row],[Player]],WR!B:O,5,FALSE)</f>
        <v>#N/A</v>
      </c>
      <c r="AJ199" s="86" t="e">
        <f>VLOOKUP(TableWRRanks32[[#This Row],[Player]],WR!B:O,6,FALSE)</f>
        <v>#N/A</v>
      </c>
      <c r="AK199" s="86" t="e">
        <f>VLOOKUP(TableWRRanks32[[#This Row],[Player]],WR!B:O,7,FALSE)</f>
        <v>#N/A</v>
      </c>
      <c r="AL199" s="86" t="e">
        <f>VLOOKUP(TableWRRanks32[[#This Row],[Player]],WR!B:O,8,FALSE)</f>
        <v>#N/A</v>
      </c>
      <c r="AM199" s="86" t="e">
        <f>VLOOKUP(TableWRRanks32[[#This Row],[Player]],WR!B:O,9,FALSE)</f>
        <v>#N/A</v>
      </c>
      <c r="AN199" s="58" t="str">
        <f>IFERROR(INDEX(TableWRCalcPts[Custom],MATCH(TableWRRanks32[[#This Row],[RK]],TableWRCalcPts[RK],0)),"")</f>
        <v/>
      </c>
      <c r="AO199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00" spans="30:41" x14ac:dyDescent="0.2">
      <c r="AD200">
        <v>199</v>
      </c>
      <c r="AE200" t="str">
        <f>IFERROR(INDEX(TableWRCalcPts[PLAYER],MATCH(TableWRRanks32[[#This Row],[RK]],TableWRCalcPts[RK],0)),"")</f>
        <v/>
      </c>
      <c r="AF200" t="str">
        <f>IFERROR(INDEX(TableWRCalcPts[TM],MATCH(TableWRRanks32[[#This Row],[Player]],TableWRCalcPts[PLAYER],0)),"")</f>
        <v/>
      </c>
      <c r="AG200" t="str">
        <f>IFERROR(INDEX(TableWRCalcPts[BYE],MATCH(TableWRRanks32[[#This Row],[Player]],TableWRCalcPts[PLAYER],0)),"")</f>
        <v/>
      </c>
      <c r="AH200" s="86" t="e">
        <f>VLOOKUP(TableWRRanks32[[#This Row],[Player]],WR!B:O,4,FALSE)</f>
        <v>#N/A</v>
      </c>
      <c r="AI200" s="86" t="e">
        <f>VLOOKUP(TableWRRanks32[[#This Row],[Player]],WR!B:O,5,FALSE)</f>
        <v>#N/A</v>
      </c>
      <c r="AJ200" s="86" t="e">
        <f>VLOOKUP(TableWRRanks32[[#This Row],[Player]],WR!B:O,6,FALSE)</f>
        <v>#N/A</v>
      </c>
      <c r="AK200" s="86" t="e">
        <f>VLOOKUP(TableWRRanks32[[#This Row],[Player]],WR!B:O,7,FALSE)</f>
        <v>#N/A</v>
      </c>
      <c r="AL200" s="86" t="e">
        <f>VLOOKUP(TableWRRanks32[[#This Row],[Player]],WR!B:O,8,FALSE)</f>
        <v>#N/A</v>
      </c>
      <c r="AM200" s="86" t="e">
        <f>VLOOKUP(TableWRRanks32[[#This Row],[Player]],WR!B:O,9,FALSE)</f>
        <v>#N/A</v>
      </c>
      <c r="AN200" s="58" t="str">
        <f>IFERROR(INDEX(TableWRCalcPts[Custom],MATCH(TableWRRanks32[[#This Row],[RK]],TableWRCalcPts[RK],0)),"")</f>
        <v/>
      </c>
      <c r="AO200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01" spans="30:41" x14ac:dyDescent="0.2">
      <c r="AD201">
        <v>200</v>
      </c>
      <c r="AE201" t="str">
        <f>IFERROR(INDEX(TableWRCalcPts[PLAYER],MATCH(TableWRRanks32[[#This Row],[RK]],TableWRCalcPts[RK],0)),"")</f>
        <v/>
      </c>
      <c r="AF201" t="str">
        <f>IFERROR(INDEX(TableWRCalcPts[TM],MATCH(TableWRRanks32[[#This Row],[Player]],TableWRCalcPts[PLAYER],0)),"")</f>
        <v/>
      </c>
      <c r="AG201" t="str">
        <f>IFERROR(INDEX(TableWRCalcPts[BYE],MATCH(TableWRRanks32[[#This Row],[Player]],TableWRCalcPts[PLAYER],0)),"")</f>
        <v/>
      </c>
      <c r="AH201" s="86" t="e">
        <f>VLOOKUP(TableWRRanks32[[#This Row],[Player]],WR!B:O,4,FALSE)</f>
        <v>#N/A</v>
      </c>
      <c r="AI201" s="86" t="e">
        <f>VLOOKUP(TableWRRanks32[[#This Row],[Player]],WR!B:O,5,FALSE)</f>
        <v>#N/A</v>
      </c>
      <c r="AJ201" s="86" t="e">
        <f>VLOOKUP(TableWRRanks32[[#This Row],[Player]],WR!B:O,6,FALSE)</f>
        <v>#N/A</v>
      </c>
      <c r="AK201" s="86" t="e">
        <f>VLOOKUP(TableWRRanks32[[#This Row],[Player]],WR!B:O,7,FALSE)</f>
        <v>#N/A</v>
      </c>
      <c r="AL201" s="86" t="e">
        <f>VLOOKUP(TableWRRanks32[[#This Row],[Player]],WR!B:O,8,FALSE)</f>
        <v>#N/A</v>
      </c>
      <c r="AM201" s="86" t="e">
        <f>VLOOKUP(TableWRRanks32[[#This Row],[Player]],WR!B:O,9,FALSE)</f>
        <v>#N/A</v>
      </c>
      <c r="AN201" s="58" t="str">
        <f>IFERROR(INDEX(TableWRCalcPts[Custom],MATCH(TableWRRanks32[[#This Row],[RK]],TableWRCalcPts[RK],0)),"")</f>
        <v/>
      </c>
      <c r="AO201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02" spans="30:41" x14ac:dyDescent="0.2">
      <c r="AD202">
        <v>201</v>
      </c>
      <c r="AE202" t="str">
        <f>IFERROR(INDEX(TableWRCalcPts[PLAYER],MATCH(TableWRRanks32[[#This Row],[RK]],TableWRCalcPts[RK],0)),"")</f>
        <v/>
      </c>
      <c r="AF202" t="str">
        <f>IFERROR(INDEX(TableWRCalcPts[TM],MATCH(TableWRRanks32[[#This Row],[Player]],TableWRCalcPts[PLAYER],0)),"")</f>
        <v/>
      </c>
      <c r="AG202" t="str">
        <f>IFERROR(INDEX(TableWRCalcPts[BYE],MATCH(TableWRRanks32[[#This Row],[Player]],TableWRCalcPts[PLAYER],0)),"")</f>
        <v/>
      </c>
      <c r="AH202" s="86" t="e">
        <f>VLOOKUP(TableWRRanks32[[#This Row],[Player]],WR!B:O,4,FALSE)</f>
        <v>#N/A</v>
      </c>
      <c r="AI202" s="86" t="e">
        <f>VLOOKUP(TableWRRanks32[[#This Row],[Player]],WR!B:O,5,FALSE)</f>
        <v>#N/A</v>
      </c>
      <c r="AJ202" s="86" t="e">
        <f>VLOOKUP(TableWRRanks32[[#This Row],[Player]],WR!B:O,6,FALSE)</f>
        <v>#N/A</v>
      </c>
      <c r="AK202" s="86" t="e">
        <f>VLOOKUP(TableWRRanks32[[#This Row],[Player]],WR!B:O,7,FALSE)</f>
        <v>#N/A</v>
      </c>
      <c r="AL202" s="86" t="e">
        <f>VLOOKUP(TableWRRanks32[[#This Row],[Player]],WR!B:O,8,FALSE)</f>
        <v>#N/A</v>
      </c>
      <c r="AM202" s="86" t="e">
        <f>VLOOKUP(TableWRRanks32[[#This Row],[Player]],WR!B:O,9,FALSE)</f>
        <v>#N/A</v>
      </c>
      <c r="AN202" s="58" t="str">
        <f>IFERROR(INDEX(TableWRCalcPts[Custom],MATCH(TableWRRanks32[[#This Row],[RK]],TableWRCalcPts[RK],0)),"")</f>
        <v/>
      </c>
      <c r="AO202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03" spans="30:41" x14ac:dyDescent="0.2">
      <c r="AD203">
        <v>202</v>
      </c>
      <c r="AE203" t="str">
        <f>IFERROR(INDEX(TableWRCalcPts[PLAYER],MATCH(TableWRRanks32[[#This Row],[RK]],TableWRCalcPts[RK],0)),"")</f>
        <v/>
      </c>
      <c r="AF203" t="str">
        <f>IFERROR(INDEX(TableWRCalcPts[TM],MATCH(TableWRRanks32[[#This Row],[Player]],TableWRCalcPts[PLAYER],0)),"")</f>
        <v/>
      </c>
      <c r="AG203" t="str">
        <f>IFERROR(INDEX(TableWRCalcPts[BYE],MATCH(TableWRRanks32[[#This Row],[Player]],TableWRCalcPts[PLAYER],0)),"")</f>
        <v/>
      </c>
      <c r="AH203" s="86" t="e">
        <f>VLOOKUP(TableWRRanks32[[#This Row],[Player]],WR!B:O,4,FALSE)</f>
        <v>#N/A</v>
      </c>
      <c r="AI203" s="86" t="e">
        <f>VLOOKUP(TableWRRanks32[[#This Row],[Player]],WR!B:O,5,FALSE)</f>
        <v>#N/A</v>
      </c>
      <c r="AJ203" s="86" t="e">
        <f>VLOOKUP(TableWRRanks32[[#This Row],[Player]],WR!B:O,6,FALSE)</f>
        <v>#N/A</v>
      </c>
      <c r="AK203" s="86" t="e">
        <f>VLOOKUP(TableWRRanks32[[#This Row],[Player]],WR!B:O,7,FALSE)</f>
        <v>#N/A</v>
      </c>
      <c r="AL203" s="86" t="e">
        <f>VLOOKUP(TableWRRanks32[[#This Row],[Player]],WR!B:O,8,FALSE)</f>
        <v>#N/A</v>
      </c>
      <c r="AM203" s="86" t="e">
        <f>VLOOKUP(TableWRRanks32[[#This Row],[Player]],WR!B:O,9,FALSE)</f>
        <v>#N/A</v>
      </c>
      <c r="AN203" s="58" t="str">
        <f>IFERROR(INDEX(TableWRCalcPts[Custom],MATCH(TableWRRanks32[[#This Row],[RK]],TableWRCalcPts[RK],0)),"")</f>
        <v/>
      </c>
      <c r="AO203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04" spans="30:41" x14ac:dyDescent="0.2">
      <c r="AD204">
        <v>203</v>
      </c>
      <c r="AE204" t="str">
        <f>IFERROR(INDEX(TableWRCalcPts[PLAYER],MATCH(TableWRRanks32[[#This Row],[RK]],TableWRCalcPts[RK],0)),"")</f>
        <v/>
      </c>
      <c r="AF204" t="str">
        <f>IFERROR(INDEX(TableWRCalcPts[TM],MATCH(TableWRRanks32[[#This Row],[Player]],TableWRCalcPts[PLAYER],0)),"")</f>
        <v/>
      </c>
      <c r="AG204" t="str">
        <f>IFERROR(INDEX(TableWRCalcPts[BYE],MATCH(TableWRRanks32[[#This Row],[Player]],TableWRCalcPts[PLAYER],0)),"")</f>
        <v/>
      </c>
      <c r="AH204" s="86" t="e">
        <f>VLOOKUP(TableWRRanks32[[#This Row],[Player]],WR!B:O,4,FALSE)</f>
        <v>#N/A</v>
      </c>
      <c r="AI204" s="86" t="e">
        <f>VLOOKUP(TableWRRanks32[[#This Row],[Player]],WR!B:O,5,FALSE)</f>
        <v>#N/A</v>
      </c>
      <c r="AJ204" s="86" t="e">
        <f>VLOOKUP(TableWRRanks32[[#This Row],[Player]],WR!B:O,6,FALSE)</f>
        <v>#N/A</v>
      </c>
      <c r="AK204" s="86" t="e">
        <f>VLOOKUP(TableWRRanks32[[#This Row],[Player]],WR!B:O,7,FALSE)</f>
        <v>#N/A</v>
      </c>
      <c r="AL204" s="86" t="e">
        <f>VLOOKUP(TableWRRanks32[[#This Row],[Player]],WR!B:O,8,FALSE)</f>
        <v>#N/A</v>
      </c>
      <c r="AM204" s="86" t="e">
        <f>VLOOKUP(TableWRRanks32[[#This Row],[Player]],WR!B:O,9,FALSE)</f>
        <v>#N/A</v>
      </c>
      <c r="AN204" s="58" t="str">
        <f>IFERROR(INDEX(TableWRCalcPts[Custom],MATCH(TableWRRanks32[[#This Row],[RK]],TableWRCalcPts[RK],0)),"")</f>
        <v/>
      </c>
      <c r="AO204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05" spans="30:41" x14ac:dyDescent="0.2">
      <c r="AD205">
        <v>204</v>
      </c>
      <c r="AE205" t="str">
        <f>IFERROR(INDEX(TableWRCalcPts[PLAYER],MATCH(TableWRRanks32[[#This Row],[RK]],TableWRCalcPts[RK],0)),"")</f>
        <v/>
      </c>
      <c r="AF205" t="str">
        <f>IFERROR(INDEX(TableWRCalcPts[TM],MATCH(TableWRRanks32[[#This Row],[Player]],TableWRCalcPts[PLAYER],0)),"")</f>
        <v/>
      </c>
      <c r="AG205" t="str">
        <f>IFERROR(INDEX(TableWRCalcPts[BYE],MATCH(TableWRRanks32[[#This Row],[Player]],TableWRCalcPts[PLAYER],0)),"")</f>
        <v/>
      </c>
      <c r="AH205" s="86" t="e">
        <f>VLOOKUP(TableWRRanks32[[#This Row],[Player]],WR!B:O,4,FALSE)</f>
        <v>#N/A</v>
      </c>
      <c r="AI205" s="86" t="e">
        <f>VLOOKUP(TableWRRanks32[[#This Row],[Player]],WR!B:O,5,FALSE)</f>
        <v>#N/A</v>
      </c>
      <c r="AJ205" s="86" t="e">
        <f>VLOOKUP(TableWRRanks32[[#This Row],[Player]],WR!B:O,6,FALSE)</f>
        <v>#N/A</v>
      </c>
      <c r="AK205" s="86" t="e">
        <f>VLOOKUP(TableWRRanks32[[#This Row],[Player]],WR!B:O,7,FALSE)</f>
        <v>#N/A</v>
      </c>
      <c r="AL205" s="86" t="e">
        <f>VLOOKUP(TableWRRanks32[[#This Row],[Player]],WR!B:O,8,FALSE)</f>
        <v>#N/A</v>
      </c>
      <c r="AM205" s="86" t="e">
        <f>VLOOKUP(TableWRRanks32[[#This Row],[Player]],WR!B:O,9,FALSE)</f>
        <v>#N/A</v>
      </c>
      <c r="AN205" s="58" t="str">
        <f>IFERROR(INDEX(TableWRCalcPts[Custom],MATCH(TableWRRanks32[[#This Row],[RK]],TableWRCalcPts[RK],0)),"")</f>
        <v/>
      </c>
      <c r="AO205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06" spans="30:41" x14ac:dyDescent="0.2">
      <c r="AD206">
        <v>205</v>
      </c>
      <c r="AE206" t="str">
        <f>IFERROR(INDEX(TableWRCalcPts[PLAYER],MATCH(TableWRRanks32[[#This Row],[RK]],TableWRCalcPts[RK],0)),"")</f>
        <v/>
      </c>
      <c r="AF206" t="str">
        <f>IFERROR(INDEX(TableWRCalcPts[TM],MATCH(TableWRRanks32[[#This Row],[Player]],TableWRCalcPts[PLAYER],0)),"")</f>
        <v/>
      </c>
      <c r="AG206" t="str">
        <f>IFERROR(INDEX(TableWRCalcPts[BYE],MATCH(TableWRRanks32[[#This Row],[Player]],TableWRCalcPts[PLAYER],0)),"")</f>
        <v/>
      </c>
      <c r="AH206" s="86" t="e">
        <f>VLOOKUP(TableWRRanks32[[#This Row],[Player]],WR!B:O,4,FALSE)</f>
        <v>#N/A</v>
      </c>
      <c r="AI206" s="86" t="e">
        <f>VLOOKUP(TableWRRanks32[[#This Row],[Player]],WR!B:O,5,FALSE)</f>
        <v>#N/A</v>
      </c>
      <c r="AJ206" s="86" t="e">
        <f>VLOOKUP(TableWRRanks32[[#This Row],[Player]],WR!B:O,6,FALSE)</f>
        <v>#N/A</v>
      </c>
      <c r="AK206" s="86" t="e">
        <f>VLOOKUP(TableWRRanks32[[#This Row],[Player]],WR!B:O,7,FALSE)</f>
        <v>#N/A</v>
      </c>
      <c r="AL206" s="86" t="e">
        <f>VLOOKUP(TableWRRanks32[[#This Row],[Player]],WR!B:O,8,FALSE)</f>
        <v>#N/A</v>
      </c>
      <c r="AM206" s="86" t="e">
        <f>VLOOKUP(TableWRRanks32[[#This Row],[Player]],WR!B:O,9,FALSE)</f>
        <v>#N/A</v>
      </c>
      <c r="AN206" s="58" t="str">
        <f>IFERROR(INDEX(TableWRCalcPts[Custom],MATCH(TableWRRanks32[[#This Row],[RK]],TableWRCalcPts[RK],0)),"")</f>
        <v/>
      </c>
      <c r="AO206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07" spans="30:41" x14ac:dyDescent="0.2">
      <c r="AD207">
        <v>206</v>
      </c>
      <c r="AE207" t="str">
        <f>IFERROR(INDEX(TableWRCalcPts[PLAYER],MATCH(TableWRRanks32[[#This Row],[RK]],TableWRCalcPts[RK],0)),"")</f>
        <v/>
      </c>
      <c r="AF207" t="str">
        <f>IFERROR(INDEX(TableWRCalcPts[TM],MATCH(TableWRRanks32[[#This Row],[Player]],TableWRCalcPts[PLAYER],0)),"")</f>
        <v/>
      </c>
      <c r="AG207" t="str">
        <f>IFERROR(INDEX(TableWRCalcPts[BYE],MATCH(TableWRRanks32[[#This Row],[Player]],TableWRCalcPts[PLAYER],0)),"")</f>
        <v/>
      </c>
      <c r="AH207" s="86" t="e">
        <f>VLOOKUP(TableWRRanks32[[#This Row],[Player]],WR!B:O,4,FALSE)</f>
        <v>#N/A</v>
      </c>
      <c r="AI207" s="86" t="e">
        <f>VLOOKUP(TableWRRanks32[[#This Row],[Player]],WR!B:O,5,FALSE)</f>
        <v>#N/A</v>
      </c>
      <c r="AJ207" s="86" t="e">
        <f>VLOOKUP(TableWRRanks32[[#This Row],[Player]],WR!B:O,6,FALSE)</f>
        <v>#N/A</v>
      </c>
      <c r="AK207" s="86" t="e">
        <f>VLOOKUP(TableWRRanks32[[#This Row],[Player]],WR!B:O,7,FALSE)</f>
        <v>#N/A</v>
      </c>
      <c r="AL207" s="86" t="e">
        <f>VLOOKUP(TableWRRanks32[[#This Row],[Player]],WR!B:O,8,FALSE)</f>
        <v>#N/A</v>
      </c>
      <c r="AM207" s="86" t="e">
        <f>VLOOKUP(TableWRRanks32[[#This Row],[Player]],WR!B:O,9,FALSE)</f>
        <v>#N/A</v>
      </c>
      <c r="AN207" s="58" t="str">
        <f>IFERROR(INDEX(TableWRCalcPts[Custom],MATCH(TableWRRanks32[[#This Row],[RK]],TableWRCalcPts[RK],0)),"")</f>
        <v/>
      </c>
      <c r="AO207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08" spans="30:41" x14ac:dyDescent="0.2">
      <c r="AD208">
        <v>207</v>
      </c>
      <c r="AE208" t="str">
        <f>IFERROR(INDEX(TableWRCalcPts[PLAYER],MATCH(TableWRRanks32[[#This Row],[RK]],TableWRCalcPts[RK],0)),"")</f>
        <v/>
      </c>
      <c r="AF208" t="str">
        <f>IFERROR(INDEX(TableWRCalcPts[TM],MATCH(TableWRRanks32[[#This Row],[Player]],TableWRCalcPts[PLAYER],0)),"")</f>
        <v/>
      </c>
      <c r="AG208" t="str">
        <f>IFERROR(INDEX(TableWRCalcPts[BYE],MATCH(TableWRRanks32[[#This Row],[Player]],TableWRCalcPts[PLAYER],0)),"")</f>
        <v/>
      </c>
      <c r="AH208" s="86" t="e">
        <f>VLOOKUP(TableWRRanks32[[#This Row],[Player]],WR!B:O,4,FALSE)</f>
        <v>#N/A</v>
      </c>
      <c r="AI208" s="86" t="e">
        <f>VLOOKUP(TableWRRanks32[[#This Row],[Player]],WR!B:O,5,FALSE)</f>
        <v>#N/A</v>
      </c>
      <c r="AJ208" s="86" t="e">
        <f>VLOOKUP(TableWRRanks32[[#This Row],[Player]],WR!B:O,6,FALSE)</f>
        <v>#N/A</v>
      </c>
      <c r="AK208" s="86" t="e">
        <f>VLOOKUP(TableWRRanks32[[#This Row],[Player]],WR!B:O,7,FALSE)</f>
        <v>#N/A</v>
      </c>
      <c r="AL208" s="86" t="e">
        <f>VLOOKUP(TableWRRanks32[[#This Row],[Player]],WR!B:O,8,FALSE)</f>
        <v>#N/A</v>
      </c>
      <c r="AM208" s="86" t="e">
        <f>VLOOKUP(TableWRRanks32[[#This Row],[Player]],WR!B:O,9,FALSE)</f>
        <v>#N/A</v>
      </c>
      <c r="AN208" s="58" t="str">
        <f>IFERROR(INDEX(TableWRCalcPts[Custom],MATCH(TableWRRanks32[[#This Row],[RK]],TableWRCalcPts[RK],0)),"")</f>
        <v/>
      </c>
      <c r="AO208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09" spans="30:41" x14ac:dyDescent="0.2">
      <c r="AD209">
        <v>208</v>
      </c>
      <c r="AE209" t="str">
        <f>IFERROR(INDEX(TableWRCalcPts[PLAYER],MATCH(TableWRRanks32[[#This Row],[RK]],TableWRCalcPts[RK],0)),"")</f>
        <v/>
      </c>
      <c r="AF209" t="str">
        <f>IFERROR(INDEX(TableWRCalcPts[TM],MATCH(TableWRRanks32[[#This Row],[Player]],TableWRCalcPts[PLAYER],0)),"")</f>
        <v/>
      </c>
      <c r="AG209" t="str">
        <f>IFERROR(INDEX(TableWRCalcPts[BYE],MATCH(TableWRRanks32[[#This Row],[Player]],TableWRCalcPts[PLAYER],0)),"")</f>
        <v/>
      </c>
      <c r="AH209" s="86" t="e">
        <f>VLOOKUP(TableWRRanks32[[#This Row],[Player]],WR!B:O,4,FALSE)</f>
        <v>#N/A</v>
      </c>
      <c r="AI209" s="86" t="e">
        <f>VLOOKUP(TableWRRanks32[[#This Row],[Player]],WR!B:O,5,FALSE)</f>
        <v>#N/A</v>
      </c>
      <c r="AJ209" s="86" t="e">
        <f>VLOOKUP(TableWRRanks32[[#This Row],[Player]],WR!B:O,6,FALSE)</f>
        <v>#N/A</v>
      </c>
      <c r="AK209" s="86" t="e">
        <f>VLOOKUP(TableWRRanks32[[#This Row],[Player]],WR!B:O,7,FALSE)</f>
        <v>#N/A</v>
      </c>
      <c r="AL209" s="86" t="e">
        <f>VLOOKUP(TableWRRanks32[[#This Row],[Player]],WR!B:O,8,FALSE)</f>
        <v>#N/A</v>
      </c>
      <c r="AM209" s="86" t="e">
        <f>VLOOKUP(TableWRRanks32[[#This Row],[Player]],WR!B:O,9,FALSE)</f>
        <v>#N/A</v>
      </c>
      <c r="AN209" s="58" t="str">
        <f>IFERROR(INDEX(TableWRCalcPts[Custom],MATCH(TableWRRanks32[[#This Row],[RK]],TableWRCalcPts[RK],0)),"")</f>
        <v/>
      </c>
      <c r="AO209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10" spans="30:41" x14ac:dyDescent="0.2">
      <c r="AD210">
        <v>209</v>
      </c>
      <c r="AE210" t="str">
        <f>IFERROR(INDEX(TableWRCalcPts[PLAYER],MATCH(TableWRRanks32[[#This Row],[RK]],TableWRCalcPts[RK],0)),"")</f>
        <v/>
      </c>
      <c r="AF210" t="str">
        <f>IFERROR(INDEX(TableWRCalcPts[TM],MATCH(TableWRRanks32[[#This Row],[Player]],TableWRCalcPts[PLAYER],0)),"")</f>
        <v/>
      </c>
      <c r="AG210" t="str">
        <f>IFERROR(INDEX(TableWRCalcPts[BYE],MATCH(TableWRRanks32[[#This Row],[Player]],TableWRCalcPts[PLAYER],0)),"")</f>
        <v/>
      </c>
      <c r="AH210" s="86" t="e">
        <f>VLOOKUP(TableWRRanks32[[#This Row],[Player]],WR!B:O,4,FALSE)</f>
        <v>#N/A</v>
      </c>
      <c r="AI210" s="86" t="e">
        <f>VLOOKUP(TableWRRanks32[[#This Row],[Player]],WR!B:O,5,FALSE)</f>
        <v>#N/A</v>
      </c>
      <c r="AJ210" s="86" t="e">
        <f>VLOOKUP(TableWRRanks32[[#This Row],[Player]],WR!B:O,6,FALSE)</f>
        <v>#N/A</v>
      </c>
      <c r="AK210" s="86" t="e">
        <f>VLOOKUP(TableWRRanks32[[#This Row],[Player]],WR!B:O,7,FALSE)</f>
        <v>#N/A</v>
      </c>
      <c r="AL210" s="86" t="e">
        <f>VLOOKUP(TableWRRanks32[[#This Row],[Player]],WR!B:O,8,FALSE)</f>
        <v>#N/A</v>
      </c>
      <c r="AM210" s="86" t="e">
        <f>VLOOKUP(TableWRRanks32[[#This Row],[Player]],WR!B:O,9,FALSE)</f>
        <v>#N/A</v>
      </c>
      <c r="AN210" s="58" t="str">
        <f>IFERROR(INDEX(TableWRCalcPts[Custom],MATCH(TableWRRanks32[[#This Row],[RK]],TableWRCalcPts[RK],0)),"")</f>
        <v/>
      </c>
      <c r="AO210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11" spans="30:41" x14ac:dyDescent="0.2">
      <c r="AD211">
        <v>210</v>
      </c>
      <c r="AE211" t="str">
        <f>IFERROR(INDEX(TableWRCalcPts[PLAYER],MATCH(TableWRRanks32[[#This Row],[RK]],TableWRCalcPts[RK],0)),"")</f>
        <v/>
      </c>
      <c r="AF211" t="str">
        <f>IFERROR(INDEX(TableWRCalcPts[TM],MATCH(TableWRRanks32[[#This Row],[Player]],TableWRCalcPts[PLAYER],0)),"")</f>
        <v/>
      </c>
      <c r="AG211" t="str">
        <f>IFERROR(INDEX(TableWRCalcPts[BYE],MATCH(TableWRRanks32[[#This Row],[Player]],TableWRCalcPts[PLAYER],0)),"")</f>
        <v/>
      </c>
      <c r="AH211" s="86" t="e">
        <f>VLOOKUP(TableWRRanks32[[#This Row],[Player]],WR!B:O,4,FALSE)</f>
        <v>#N/A</v>
      </c>
      <c r="AI211" s="86" t="e">
        <f>VLOOKUP(TableWRRanks32[[#This Row],[Player]],WR!B:O,5,FALSE)</f>
        <v>#N/A</v>
      </c>
      <c r="AJ211" s="86" t="e">
        <f>VLOOKUP(TableWRRanks32[[#This Row],[Player]],WR!B:O,6,FALSE)</f>
        <v>#N/A</v>
      </c>
      <c r="AK211" s="86" t="e">
        <f>VLOOKUP(TableWRRanks32[[#This Row],[Player]],WR!B:O,7,FALSE)</f>
        <v>#N/A</v>
      </c>
      <c r="AL211" s="86" t="e">
        <f>VLOOKUP(TableWRRanks32[[#This Row],[Player]],WR!B:O,8,FALSE)</f>
        <v>#N/A</v>
      </c>
      <c r="AM211" s="86" t="e">
        <f>VLOOKUP(TableWRRanks32[[#This Row],[Player]],WR!B:O,9,FALSE)</f>
        <v>#N/A</v>
      </c>
      <c r="AN211" s="58" t="str">
        <f>IFERROR(INDEX(TableWRCalcPts[Custom],MATCH(TableWRRanks32[[#This Row],[RK]],TableWRCalcPts[RK],0)),"")</f>
        <v/>
      </c>
      <c r="AO211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12" spans="30:41" x14ac:dyDescent="0.2">
      <c r="AD212">
        <v>211</v>
      </c>
      <c r="AE212" t="str">
        <f>IFERROR(INDEX(TableWRCalcPts[PLAYER],MATCH(TableWRRanks32[[#This Row],[RK]],TableWRCalcPts[RK],0)),"")</f>
        <v/>
      </c>
      <c r="AF212" t="str">
        <f>IFERROR(INDEX(TableWRCalcPts[TM],MATCH(TableWRRanks32[[#This Row],[Player]],TableWRCalcPts[PLAYER],0)),"")</f>
        <v/>
      </c>
      <c r="AG212" t="str">
        <f>IFERROR(INDEX(TableWRCalcPts[BYE],MATCH(TableWRRanks32[[#This Row],[Player]],TableWRCalcPts[PLAYER],0)),"")</f>
        <v/>
      </c>
      <c r="AH212" s="86" t="e">
        <f>VLOOKUP(TableWRRanks32[[#This Row],[Player]],WR!B:O,4,FALSE)</f>
        <v>#N/A</v>
      </c>
      <c r="AI212" s="86" t="e">
        <f>VLOOKUP(TableWRRanks32[[#This Row],[Player]],WR!B:O,5,FALSE)</f>
        <v>#N/A</v>
      </c>
      <c r="AJ212" s="86" t="e">
        <f>VLOOKUP(TableWRRanks32[[#This Row],[Player]],WR!B:O,6,FALSE)</f>
        <v>#N/A</v>
      </c>
      <c r="AK212" s="86" t="e">
        <f>VLOOKUP(TableWRRanks32[[#This Row],[Player]],WR!B:O,7,FALSE)</f>
        <v>#N/A</v>
      </c>
      <c r="AL212" s="86" t="e">
        <f>VLOOKUP(TableWRRanks32[[#This Row],[Player]],WR!B:O,8,FALSE)</f>
        <v>#N/A</v>
      </c>
      <c r="AM212" s="86" t="e">
        <f>VLOOKUP(TableWRRanks32[[#This Row],[Player]],WR!B:O,9,FALSE)</f>
        <v>#N/A</v>
      </c>
      <c r="AN212" s="58" t="str">
        <f>IFERROR(INDEX(TableWRCalcPts[Custom],MATCH(TableWRRanks32[[#This Row],[RK]],TableWRCalcPts[RK],0)),"")</f>
        <v/>
      </c>
      <c r="AO212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13" spans="30:41" x14ac:dyDescent="0.2">
      <c r="AD213">
        <v>212</v>
      </c>
      <c r="AE213" t="str">
        <f>IFERROR(INDEX(TableWRCalcPts[PLAYER],MATCH(TableWRRanks32[[#This Row],[RK]],TableWRCalcPts[RK],0)),"")</f>
        <v/>
      </c>
      <c r="AF213" t="str">
        <f>IFERROR(INDEX(TableWRCalcPts[TM],MATCH(TableWRRanks32[[#This Row],[Player]],TableWRCalcPts[PLAYER],0)),"")</f>
        <v/>
      </c>
      <c r="AG213" t="str">
        <f>IFERROR(INDEX(TableWRCalcPts[BYE],MATCH(TableWRRanks32[[#This Row],[Player]],TableWRCalcPts[PLAYER],0)),"")</f>
        <v/>
      </c>
      <c r="AH213" s="86" t="e">
        <f>VLOOKUP(TableWRRanks32[[#This Row],[Player]],WR!B:O,4,FALSE)</f>
        <v>#N/A</v>
      </c>
      <c r="AI213" s="86" t="e">
        <f>VLOOKUP(TableWRRanks32[[#This Row],[Player]],WR!B:O,5,FALSE)</f>
        <v>#N/A</v>
      </c>
      <c r="AJ213" s="86" t="e">
        <f>VLOOKUP(TableWRRanks32[[#This Row],[Player]],WR!B:O,6,FALSE)</f>
        <v>#N/A</v>
      </c>
      <c r="AK213" s="86" t="e">
        <f>VLOOKUP(TableWRRanks32[[#This Row],[Player]],WR!B:O,7,FALSE)</f>
        <v>#N/A</v>
      </c>
      <c r="AL213" s="86" t="e">
        <f>VLOOKUP(TableWRRanks32[[#This Row],[Player]],WR!B:O,8,FALSE)</f>
        <v>#N/A</v>
      </c>
      <c r="AM213" s="86" t="e">
        <f>VLOOKUP(TableWRRanks32[[#This Row],[Player]],WR!B:O,9,FALSE)</f>
        <v>#N/A</v>
      </c>
      <c r="AN213" s="58" t="str">
        <f>IFERROR(INDEX(TableWRCalcPts[Custom],MATCH(TableWRRanks32[[#This Row],[RK]],TableWRCalcPts[RK],0)),"")</f>
        <v/>
      </c>
      <c r="AO213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14" spans="30:41" x14ac:dyDescent="0.2">
      <c r="AD214">
        <v>213</v>
      </c>
      <c r="AE214" t="str">
        <f>IFERROR(INDEX(TableWRCalcPts[PLAYER],MATCH(TableWRRanks32[[#This Row],[RK]],TableWRCalcPts[RK],0)),"")</f>
        <v/>
      </c>
      <c r="AF214" t="str">
        <f>IFERROR(INDEX(TableWRCalcPts[TM],MATCH(TableWRRanks32[[#This Row],[Player]],TableWRCalcPts[PLAYER],0)),"")</f>
        <v/>
      </c>
      <c r="AG214" t="str">
        <f>IFERROR(INDEX(TableWRCalcPts[BYE],MATCH(TableWRRanks32[[#This Row],[Player]],TableWRCalcPts[PLAYER],0)),"")</f>
        <v/>
      </c>
      <c r="AH214" s="86" t="e">
        <f>VLOOKUP(TableWRRanks32[[#This Row],[Player]],WR!B:O,4,FALSE)</f>
        <v>#N/A</v>
      </c>
      <c r="AI214" s="86" t="e">
        <f>VLOOKUP(TableWRRanks32[[#This Row],[Player]],WR!B:O,5,FALSE)</f>
        <v>#N/A</v>
      </c>
      <c r="AJ214" s="86" t="e">
        <f>VLOOKUP(TableWRRanks32[[#This Row],[Player]],WR!B:O,6,FALSE)</f>
        <v>#N/A</v>
      </c>
      <c r="AK214" s="86" t="e">
        <f>VLOOKUP(TableWRRanks32[[#This Row],[Player]],WR!B:O,7,FALSE)</f>
        <v>#N/A</v>
      </c>
      <c r="AL214" s="86" t="e">
        <f>VLOOKUP(TableWRRanks32[[#This Row],[Player]],WR!B:O,8,FALSE)</f>
        <v>#N/A</v>
      </c>
      <c r="AM214" s="86" t="e">
        <f>VLOOKUP(TableWRRanks32[[#This Row],[Player]],WR!B:O,9,FALSE)</f>
        <v>#N/A</v>
      </c>
      <c r="AN214" s="58" t="str">
        <f>IFERROR(INDEX(TableWRCalcPts[Custom],MATCH(TableWRRanks32[[#This Row],[RK]],TableWRCalcPts[RK],0)),"")</f>
        <v/>
      </c>
      <c r="AO214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15" spans="30:41" x14ac:dyDescent="0.2">
      <c r="AD215">
        <v>214</v>
      </c>
      <c r="AE215" t="str">
        <f>IFERROR(INDEX(TableWRCalcPts[PLAYER],MATCH(TableWRRanks32[[#This Row],[RK]],TableWRCalcPts[RK],0)),"")</f>
        <v/>
      </c>
      <c r="AF215" t="str">
        <f>IFERROR(INDEX(TableWRCalcPts[TM],MATCH(TableWRRanks32[[#This Row],[Player]],TableWRCalcPts[PLAYER],0)),"")</f>
        <v/>
      </c>
      <c r="AG215" t="str">
        <f>IFERROR(INDEX(TableWRCalcPts[BYE],MATCH(TableWRRanks32[[#This Row],[Player]],TableWRCalcPts[PLAYER],0)),"")</f>
        <v/>
      </c>
      <c r="AH215" s="86" t="e">
        <f>VLOOKUP(TableWRRanks32[[#This Row],[Player]],WR!B:O,4,FALSE)</f>
        <v>#N/A</v>
      </c>
      <c r="AI215" s="86" t="e">
        <f>VLOOKUP(TableWRRanks32[[#This Row],[Player]],WR!B:O,5,FALSE)</f>
        <v>#N/A</v>
      </c>
      <c r="AJ215" s="86" t="e">
        <f>VLOOKUP(TableWRRanks32[[#This Row],[Player]],WR!B:O,6,FALSE)</f>
        <v>#N/A</v>
      </c>
      <c r="AK215" s="86" t="e">
        <f>VLOOKUP(TableWRRanks32[[#This Row],[Player]],WR!B:O,7,FALSE)</f>
        <v>#N/A</v>
      </c>
      <c r="AL215" s="86" t="e">
        <f>VLOOKUP(TableWRRanks32[[#This Row],[Player]],WR!B:O,8,FALSE)</f>
        <v>#N/A</v>
      </c>
      <c r="AM215" s="86" t="e">
        <f>VLOOKUP(TableWRRanks32[[#This Row],[Player]],WR!B:O,9,FALSE)</f>
        <v>#N/A</v>
      </c>
      <c r="AN215" s="58" t="str">
        <f>IFERROR(INDEX(TableWRCalcPts[Custom],MATCH(TableWRRanks32[[#This Row],[RK]],TableWRCalcPts[RK],0)),"")</f>
        <v/>
      </c>
      <c r="AO215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16" spans="30:41" x14ac:dyDescent="0.2">
      <c r="AD216">
        <v>215</v>
      </c>
      <c r="AE216" t="str">
        <f>IFERROR(INDEX(TableWRCalcPts[PLAYER],MATCH(TableWRRanks32[[#This Row],[RK]],TableWRCalcPts[RK],0)),"")</f>
        <v/>
      </c>
      <c r="AF216" t="str">
        <f>IFERROR(INDEX(TableWRCalcPts[TM],MATCH(TableWRRanks32[[#This Row],[Player]],TableWRCalcPts[PLAYER],0)),"")</f>
        <v/>
      </c>
      <c r="AG216" t="str">
        <f>IFERROR(INDEX(TableWRCalcPts[BYE],MATCH(TableWRRanks32[[#This Row],[Player]],TableWRCalcPts[PLAYER],0)),"")</f>
        <v/>
      </c>
      <c r="AH216" s="86" t="e">
        <f>VLOOKUP(TableWRRanks32[[#This Row],[Player]],WR!B:O,4,FALSE)</f>
        <v>#N/A</v>
      </c>
      <c r="AI216" s="86" t="e">
        <f>VLOOKUP(TableWRRanks32[[#This Row],[Player]],WR!B:O,5,FALSE)</f>
        <v>#N/A</v>
      </c>
      <c r="AJ216" s="86" t="e">
        <f>VLOOKUP(TableWRRanks32[[#This Row],[Player]],WR!B:O,6,FALSE)</f>
        <v>#N/A</v>
      </c>
      <c r="AK216" s="86" t="e">
        <f>VLOOKUP(TableWRRanks32[[#This Row],[Player]],WR!B:O,7,FALSE)</f>
        <v>#N/A</v>
      </c>
      <c r="AL216" s="86" t="e">
        <f>VLOOKUP(TableWRRanks32[[#This Row],[Player]],WR!B:O,8,FALSE)</f>
        <v>#N/A</v>
      </c>
      <c r="AM216" s="86" t="e">
        <f>VLOOKUP(TableWRRanks32[[#This Row],[Player]],WR!B:O,9,FALSE)</f>
        <v>#N/A</v>
      </c>
      <c r="AN216" s="58" t="str">
        <f>IFERROR(INDEX(TableWRCalcPts[Custom],MATCH(TableWRRanks32[[#This Row],[RK]],TableWRCalcPts[RK],0)),"")</f>
        <v/>
      </c>
      <c r="AO216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17" spans="30:41" x14ac:dyDescent="0.2">
      <c r="AD217">
        <v>216</v>
      </c>
      <c r="AE217" t="str">
        <f>IFERROR(INDEX(TableWRCalcPts[PLAYER],MATCH(TableWRRanks32[[#This Row],[RK]],TableWRCalcPts[RK],0)),"")</f>
        <v/>
      </c>
      <c r="AF217" t="str">
        <f>IFERROR(INDEX(TableWRCalcPts[TM],MATCH(TableWRRanks32[[#This Row],[Player]],TableWRCalcPts[PLAYER],0)),"")</f>
        <v/>
      </c>
      <c r="AG217" t="str">
        <f>IFERROR(INDEX(TableWRCalcPts[BYE],MATCH(TableWRRanks32[[#This Row],[Player]],TableWRCalcPts[PLAYER],0)),"")</f>
        <v/>
      </c>
      <c r="AH217" s="86" t="e">
        <f>VLOOKUP(TableWRRanks32[[#This Row],[Player]],WR!B:O,4,FALSE)</f>
        <v>#N/A</v>
      </c>
      <c r="AI217" s="86" t="e">
        <f>VLOOKUP(TableWRRanks32[[#This Row],[Player]],WR!B:O,5,FALSE)</f>
        <v>#N/A</v>
      </c>
      <c r="AJ217" s="86" t="e">
        <f>VLOOKUP(TableWRRanks32[[#This Row],[Player]],WR!B:O,6,FALSE)</f>
        <v>#N/A</v>
      </c>
      <c r="AK217" s="86" t="e">
        <f>VLOOKUP(TableWRRanks32[[#This Row],[Player]],WR!B:O,7,FALSE)</f>
        <v>#N/A</v>
      </c>
      <c r="AL217" s="86" t="e">
        <f>VLOOKUP(TableWRRanks32[[#This Row],[Player]],WR!B:O,8,FALSE)</f>
        <v>#N/A</v>
      </c>
      <c r="AM217" s="86" t="e">
        <f>VLOOKUP(TableWRRanks32[[#This Row],[Player]],WR!B:O,9,FALSE)</f>
        <v>#N/A</v>
      </c>
      <c r="AN217" s="58" t="str">
        <f>IFERROR(INDEX(TableWRCalcPts[Custom],MATCH(TableWRRanks32[[#This Row],[RK]],TableWRCalcPts[RK],0)),"")</f>
        <v/>
      </c>
      <c r="AO217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18" spans="30:41" x14ac:dyDescent="0.2">
      <c r="AD218">
        <v>217</v>
      </c>
      <c r="AE218" t="str">
        <f>IFERROR(INDEX(TableWRCalcPts[PLAYER],MATCH(TableWRRanks32[[#This Row],[RK]],TableWRCalcPts[RK],0)),"")</f>
        <v/>
      </c>
      <c r="AF218" t="str">
        <f>IFERROR(INDEX(TableWRCalcPts[TM],MATCH(TableWRRanks32[[#This Row],[Player]],TableWRCalcPts[PLAYER],0)),"")</f>
        <v/>
      </c>
      <c r="AG218" t="str">
        <f>IFERROR(INDEX(TableWRCalcPts[BYE],MATCH(TableWRRanks32[[#This Row],[Player]],TableWRCalcPts[PLAYER],0)),"")</f>
        <v/>
      </c>
      <c r="AH218" s="86" t="e">
        <f>VLOOKUP(TableWRRanks32[[#This Row],[Player]],WR!B:O,4,FALSE)</f>
        <v>#N/A</v>
      </c>
      <c r="AI218" s="86" t="e">
        <f>VLOOKUP(TableWRRanks32[[#This Row],[Player]],WR!B:O,5,FALSE)</f>
        <v>#N/A</v>
      </c>
      <c r="AJ218" s="86" t="e">
        <f>VLOOKUP(TableWRRanks32[[#This Row],[Player]],WR!B:O,6,FALSE)</f>
        <v>#N/A</v>
      </c>
      <c r="AK218" s="86" t="e">
        <f>VLOOKUP(TableWRRanks32[[#This Row],[Player]],WR!B:O,7,FALSE)</f>
        <v>#N/A</v>
      </c>
      <c r="AL218" s="86" t="e">
        <f>VLOOKUP(TableWRRanks32[[#This Row],[Player]],WR!B:O,8,FALSE)</f>
        <v>#N/A</v>
      </c>
      <c r="AM218" s="86" t="e">
        <f>VLOOKUP(TableWRRanks32[[#This Row],[Player]],WR!B:O,9,FALSE)</f>
        <v>#N/A</v>
      </c>
      <c r="AN218" s="58" t="str">
        <f>IFERROR(INDEX(TableWRCalcPts[Custom],MATCH(TableWRRanks32[[#This Row],[RK]],TableWRCalcPts[RK],0)),"")</f>
        <v/>
      </c>
      <c r="AO218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19" spans="30:41" x14ac:dyDescent="0.2">
      <c r="AD219">
        <v>218</v>
      </c>
      <c r="AE219" t="str">
        <f>IFERROR(INDEX(TableWRCalcPts[PLAYER],MATCH(TableWRRanks32[[#This Row],[RK]],TableWRCalcPts[RK],0)),"")</f>
        <v/>
      </c>
      <c r="AF219" t="str">
        <f>IFERROR(INDEX(TableWRCalcPts[TM],MATCH(TableWRRanks32[[#This Row],[Player]],TableWRCalcPts[PLAYER],0)),"")</f>
        <v/>
      </c>
      <c r="AG219" t="str">
        <f>IFERROR(INDEX(TableWRCalcPts[BYE],MATCH(TableWRRanks32[[#This Row],[Player]],TableWRCalcPts[PLAYER],0)),"")</f>
        <v/>
      </c>
      <c r="AH219" s="86" t="e">
        <f>VLOOKUP(TableWRRanks32[[#This Row],[Player]],WR!B:O,4,FALSE)</f>
        <v>#N/A</v>
      </c>
      <c r="AI219" s="86" t="e">
        <f>VLOOKUP(TableWRRanks32[[#This Row],[Player]],WR!B:O,5,FALSE)</f>
        <v>#N/A</v>
      </c>
      <c r="AJ219" s="86" t="e">
        <f>VLOOKUP(TableWRRanks32[[#This Row],[Player]],WR!B:O,6,FALSE)</f>
        <v>#N/A</v>
      </c>
      <c r="AK219" s="86" t="e">
        <f>VLOOKUP(TableWRRanks32[[#This Row],[Player]],WR!B:O,7,FALSE)</f>
        <v>#N/A</v>
      </c>
      <c r="AL219" s="86" t="e">
        <f>VLOOKUP(TableWRRanks32[[#This Row],[Player]],WR!B:O,8,FALSE)</f>
        <v>#N/A</v>
      </c>
      <c r="AM219" s="86" t="e">
        <f>VLOOKUP(TableWRRanks32[[#This Row],[Player]],WR!B:O,9,FALSE)</f>
        <v>#N/A</v>
      </c>
      <c r="AN219" s="58" t="str">
        <f>IFERROR(INDEX(TableWRCalcPts[Custom],MATCH(TableWRRanks32[[#This Row],[RK]],TableWRCalcPts[RK],0)),"")</f>
        <v/>
      </c>
      <c r="AO219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20" spans="30:41" x14ac:dyDescent="0.2">
      <c r="AD220">
        <v>219</v>
      </c>
      <c r="AE220" t="str">
        <f>IFERROR(INDEX(TableWRCalcPts[PLAYER],MATCH(TableWRRanks32[[#This Row],[RK]],TableWRCalcPts[RK],0)),"")</f>
        <v/>
      </c>
      <c r="AF220" t="str">
        <f>IFERROR(INDEX(TableWRCalcPts[TM],MATCH(TableWRRanks32[[#This Row],[Player]],TableWRCalcPts[PLAYER],0)),"")</f>
        <v/>
      </c>
      <c r="AG220" t="str">
        <f>IFERROR(INDEX(TableWRCalcPts[BYE],MATCH(TableWRRanks32[[#This Row],[Player]],TableWRCalcPts[PLAYER],0)),"")</f>
        <v/>
      </c>
      <c r="AH220" s="86" t="e">
        <f>VLOOKUP(TableWRRanks32[[#This Row],[Player]],WR!B:O,4,FALSE)</f>
        <v>#N/A</v>
      </c>
      <c r="AI220" s="86" t="e">
        <f>VLOOKUP(TableWRRanks32[[#This Row],[Player]],WR!B:O,5,FALSE)</f>
        <v>#N/A</v>
      </c>
      <c r="AJ220" s="86" t="e">
        <f>VLOOKUP(TableWRRanks32[[#This Row],[Player]],WR!B:O,6,FALSE)</f>
        <v>#N/A</v>
      </c>
      <c r="AK220" s="86" t="e">
        <f>VLOOKUP(TableWRRanks32[[#This Row],[Player]],WR!B:O,7,FALSE)</f>
        <v>#N/A</v>
      </c>
      <c r="AL220" s="86" t="e">
        <f>VLOOKUP(TableWRRanks32[[#This Row],[Player]],WR!B:O,8,FALSE)</f>
        <v>#N/A</v>
      </c>
      <c r="AM220" s="86" t="e">
        <f>VLOOKUP(TableWRRanks32[[#This Row],[Player]],WR!B:O,9,FALSE)</f>
        <v>#N/A</v>
      </c>
      <c r="AN220" s="58" t="str">
        <f>IFERROR(INDEX(TableWRCalcPts[Custom],MATCH(TableWRRanks32[[#This Row],[RK]],TableWRCalcPts[RK],0)),"")</f>
        <v/>
      </c>
      <c r="AO220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  <row r="221" spans="30:41" x14ac:dyDescent="0.2">
      <c r="AD221">
        <v>220</v>
      </c>
      <c r="AE221" t="str">
        <f>IFERROR(INDEX(TableWRCalcPts[PLAYER],MATCH(TableWRRanks32[[#This Row],[RK]],TableWRCalcPts[RK],0)),"")</f>
        <v/>
      </c>
      <c r="AF221" t="str">
        <f>IFERROR(INDEX(TableWRCalcPts[TM],MATCH(TableWRRanks32[[#This Row],[Player]],TableWRCalcPts[PLAYER],0)),"")</f>
        <v/>
      </c>
      <c r="AG221" t="str">
        <f>IFERROR(INDEX(TableWRCalcPts[BYE],MATCH(TableWRRanks32[[#This Row],[Player]],TableWRCalcPts[PLAYER],0)),"")</f>
        <v/>
      </c>
      <c r="AH221" s="86" t="e">
        <f>VLOOKUP(TableWRRanks32[[#This Row],[Player]],WR!B:O,4,FALSE)</f>
        <v>#N/A</v>
      </c>
      <c r="AI221" s="86" t="e">
        <f>VLOOKUP(TableWRRanks32[[#This Row],[Player]],WR!B:O,5,FALSE)</f>
        <v>#N/A</v>
      </c>
      <c r="AJ221" s="86" t="e">
        <f>VLOOKUP(TableWRRanks32[[#This Row],[Player]],WR!B:O,6,FALSE)</f>
        <v>#N/A</v>
      </c>
      <c r="AK221" s="86" t="e">
        <f>VLOOKUP(TableWRRanks32[[#This Row],[Player]],WR!B:O,7,FALSE)</f>
        <v>#N/A</v>
      </c>
      <c r="AL221" s="86" t="e">
        <f>VLOOKUP(TableWRRanks32[[#This Row],[Player]],WR!B:O,8,FALSE)</f>
        <v>#N/A</v>
      </c>
      <c r="AM221" s="86" t="e">
        <f>VLOOKUP(TableWRRanks32[[#This Row],[Player]],WR!B:O,9,FALSE)</f>
        <v>#N/A</v>
      </c>
      <c r="AN221" s="58" t="str">
        <f>IFERROR(INDEX(TableWRCalcPts[Custom],MATCH(TableWRRanks32[[#This Row],[RK]],TableWRCalcPts[RK],0)),"")</f>
        <v/>
      </c>
      <c r="AO221" s="133" t="e">
        <f>IF(((VLOOKUP(TableWRRanks32[[#This Row],[Player]],'OVR &amp; VORP Ranks'!$P:$T,5,FALSE))/('OVR &amp; VORP Ranks'!$BM$6))*(Settings!$E$10*TEAMS)&lt;0,0,((VLOOKUP(TableWRRanks32[[#This Row],[Player]],'OVR &amp; VORP Ranks'!$P:$T,5,FALSE))/('OVR &amp; VORP Ranks'!$BM$6))*(Settings!$E$10*TEAMS))</f>
        <v>#VALUE!</v>
      </c>
    </row>
  </sheetData>
  <sheetProtection sheet="1" objects="1" scenarios="1" sort="0" autoFilter="0"/>
  <protectedRanges>
    <protectedRange sqref="A1:AZ239" name="QBRanks"/>
  </protectedRanges>
  <phoneticPr fontId="20" type="noConversion"/>
  <pageMargins left="0.7" right="0.7" top="0.75" bottom="0.75" header="0.3" footer="0.3"/>
  <pageSetup orientation="portrait" horizontalDpi="90" verticalDpi="90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08EC-336D-4D08-961A-CD8DE66441FB}">
  <sheetPr>
    <tabColor rgb="FFFFD69F"/>
  </sheetPr>
  <dimension ref="A1:AZ221"/>
  <sheetViews>
    <sheetView showGridLines="0" zoomScale="85" zoomScaleNormal="85" workbookViewId="0"/>
  </sheetViews>
  <sheetFormatPr baseColWidth="10" defaultColWidth="9" defaultRowHeight="14" x14ac:dyDescent="0.2"/>
  <cols>
    <col min="1" max="1" width="3.59765625" bestFit="1" customWidth="1"/>
    <col min="2" max="2" width="19.59765625" bestFit="1" customWidth="1"/>
    <col min="3" max="3" width="5.19921875" bestFit="1" customWidth="1"/>
    <col min="4" max="4" width="4.19921875" bestFit="1" customWidth="1"/>
    <col min="5" max="12" width="6.796875" style="86" customWidth="1"/>
    <col min="13" max="13" width="7.796875" bestFit="1" customWidth="1"/>
    <col min="14" max="14" width="5.796875" bestFit="1" customWidth="1"/>
    <col min="15" max="15" width="5.796875" customWidth="1"/>
    <col min="16" max="16" width="4.19921875" bestFit="1" customWidth="1"/>
    <col min="17" max="17" width="22.19921875" bestFit="1" customWidth="1"/>
    <col min="18" max="18" width="5.19921875" bestFit="1" customWidth="1"/>
    <col min="19" max="19" width="4.19921875" bestFit="1" customWidth="1"/>
    <col min="20" max="26" width="6.796875" style="86" customWidth="1"/>
    <col min="27" max="27" width="7.796875" bestFit="1" customWidth="1"/>
    <col min="28" max="28" width="5.796875" bestFit="1" customWidth="1"/>
    <col min="29" max="29" width="5.796875" customWidth="1"/>
    <col min="30" max="30" width="4.19921875" bestFit="1" customWidth="1"/>
    <col min="31" max="31" width="25.59765625" bestFit="1" customWidth="1"/>
    <col min="32" max="32" width="5.19921875" bestFit="1" customWidth="1"/>
    <col min="33" max="33" width="4.19921875" bestFit="1" customWidth="1"/>
    <col min="34" max="39" width="6.796875" style="86" customWidth="1"/>
    <col min="40" max="40" width="7.796875" bestFit="1" customWidth="1"/>
    <col min="41" max="41" width="5.796875" bestFit="1" customWidth="1"/>
    <col min="42" max="42" width="5.796875" customWidth="1"/>
    <col min="43" max="43" width="4.19921875" bestFit="1" customWidth="1"/>
    <col min="44" max="44" width="21.3984375" bestFit="1" customWidth="1"/>
    <col min="45" max="45" width="5.19921875" bestFit="1" customWidth="1"/>
    <col min="46" max="46" width="4.19921875" customWidth="1"/>
    <col min="47" max="50" width="6.796875" style="86" customWidth="1"/>
    <col min="51" max="51" width="7.796875" bestFit="1" customWidth="1"/>
    <col min="52" max="52" width="5.796875" bestFit="1" customWidth="1"/>
  </cols>
  <sheetData>
    <row r="1" spans="1:52" s="7" customFormat="1" ht="45" x14ac:dyDescent="0.2">
      <c r="A1" s="138" t="s">
        <v>158</v>
      </c>
      <c r="B1" s="138" t="s">
        <v>405</v>
      </c>
      <c r="C1" s="138" t="s">
        <v>106</v>
      </c>
      <c r="D1" s="138" t="s">
        <v>143</v>
      </c>
      <c r="E1" s="139" t="s">
        <v>259</v>
      </c>
      <c r="F1" s="139" t="s">
        <v>1</v>
      </c>
      <c r="G1" s="139" t="s">
        <v>262</v>
      </c>
      <c r="H1" s="139" t="s">
        <v>308</v>
      </c>
      <c r="I1" s="139" t="s">
        <v>2</v>
      </c>
      <c r="J1" s="139" t="s">
        <v>309</v>
      </c>
      <c r="K1" s="139" t="s">
        <v>266</v>
      </c>
      <c r="L1" s="139" t="s">
        <v>310</v>
      </c>
      <c r="M1" s="138" t="s">
        <v>138</v>
      </c>
      <c r="N1" s="138" t="s">
        <v>375</v>
      </c>
      <c r="O1" s="136"/>
      <c r="P1" s="138" t="s">
        <v>158</v>
      </c>
      <c r="Q1" s="138" t="s">
        <v>405</v>
      </c>
      <c r="R1" s="138" t="s">
        <v>106</v>
      </c>
      <c r="S1" s="138" t="s">
        <v>143</v>
      </c>
      <c r="T1" s="139" t="s">
        <v>309</v>
      </c>
      <c r="U1" s="139" t="s">
        <v>266</v>
      </c>
      <c r="V1" s="139" t="s">
        <v>310</v>
      </c>
      <c r="W1" s="139" t="s">
        <v>567</v>
      </c>
      <c r="X1" s="139" t="s">
        <v>4</v>
      </c>
      <c r="Y1" s="139" t="s">
        <v>272</v>
      </c>
      <c r="Z1" s="139" t="s">
        <v>311</v>
      </c>
      <c r="AA1" s="138" t="s">
        <v>138</v>
      </c>
      <c r="AB1" s="138" t="s">
        <v>375</v>
      </c>
      <c r="AC1" s="136"/>
      <c r="AD1" s="138" t="s">
        <v>158</v>
      </c>
      <c r="AE1" s="138" t="s">
        <v>405</v>
      </c>
      <c r="AF1" s="138" t="s">
        <v>106</v>
      </c>
      <c r="AG1" s="138" t="s">
        <v>143</v>
      </c>
      <c r="AH1" s="139" t="s">
        <v>266</v>
      </c>
      <c r="AI1" s="139" t="s">
        <v>310</v>
      </c>
      <c r="AJ1" s="139" t="s">
        <v>567</v>
      </c>
      <c r="AK1" s="139" t="s">
        <v>4</v>
      </c>
      <c r="AL1" s="139" t="s">
        <v>272</v>
      </c>
      <c r="AM1" s="139" t="s">
        <v>311</v>
      </c>
      <c r="AN1" s="138" t="s">
        <v>138</v>
      </c>
      <c r="AO1" s="138" t="s">
        <v>375</v>
      </c>
      <c r="AP1" s="136"/>
      <c r="AQ1" s="138" t="s">
        <v>158</v>
      </c>
      <c r="AR1" s="138" t="s">
        <v>405</v>
      </c>
      <c r="AS1" s="138" t="s">
        <v>106</v>
      </c>
      <c r="AT1" s="138" t="s">
        <v>143</v>
      </c>
      <c r="AU1" s="139" t="s">
        <v>567</v>
      </c>
      <c r="AV1" s="139" t="s">
        <v>4</v>
      </c>
      <c r="AW1" s="139" t="s">
        <v>272</v>
      </c>
      <c r="AX1" s="139" t="s">
        <v>311</v>
      </c>
      <c r="AY1" s="138" t="s">
        <v>138</v>
      </c>
      <c r="AZ1" s="138" t="s">
        <v>375</v>
      </c>
    </row>
    <row r="2" spans="1:52" x14ac:dyDescent="0.2">
      <c r="A2">
        <v>1</v>
      </c>
      <c r="B2" t="str">
        <f>VLOOKUP(TableQBRanks3040[[#This Row],[RK]],Rankings!A:T,3,FALSE)</f>
        <v>Patrick Mahomes</v>
      </c>
      <c r="C2" t="str">
        <f>IFERROR(INDEX(TableQBCalcPts[TM],MATCH(TableQBRanks3040[[#This Row],[Player]],TableQBCalcPts[PLAYER],0)),"")</f>
        <v>KC</v>
      </c>
      <c r="D2">
        <f>IFERROR(INDEX(TableQBCalcPts[BYE],MATCH(TableQBRanks3040[[#This Row],[Player]],TableQBCalcPts[PLAYER],0)),"")</f>
        <v>10</v>
      </c>
      <c r="E2" s="86">
        <f>VLOOKUP(TableQBRanks3040[[#This Row],[Player]],QB!B:O,4,FALSE)</f>
        <v>660.53988000000004</v>
      </c>
      <c r="F2" s="86">
        <f>VLOOKUP(TableQBRanks3040[[#This Row],[Player]],QB!B:O,5,FALSE)</f>
        <v>438.97811428608662</v>
      </c>
      <c r="G2" s="86">
        <f>VLOOKUP(TableQBRanks3040[[#This Row],[Player]],QB!B:O,6,FALSE)</f>
        <v>5188.7213108615442</v>
      </c>
      <c r="H2" s="86">
        <f>VLOOKUP(TableQBRanks3040[[#This Row],[Player]],QB!B:O,7,FALSE)</f>
        <v>42.317490217178751</v>
      </c>
      <c r="I2" s="86">
        <f>VLOOKUP(TableQBRanks3040[[#This Row],[Player]],QB!B:O,8,FALSE)</f>
        <v>11.641744819906185</v>
      </c>
      <c r="J2" s="86">
        <f>VLOOKUP(TableQBRanks3040[[#This Row],[Player]],QB!B:O,9,FALSE)</f>
        <v>58.280913600000005</v>
      </c>
      <c r="K2" s="86">
        <f>VLOOKUP(TableQBRanks3040[[#This Row],[Player]],QB!B:O,10,FALSE)</f>
        <v>326.22201775695424</v>
      </c>
      <c r="L2" s="86">
        <f>VLOOKUP(TableQBRanks3040[[#This Row],[Player]],QB!B:O,11,FALSE)</f>
        <v>2.9723265936000001</v>
      </c>
      <c r="M2" s="58">
        <f>VLOOKUP(TableQBRanks3040[[#This Row],[Player]],QB!B:O,13,FALSE)</f>
        <v>415.63322982056599</v>
      </c>
      <c r="N2" s="133">
        <f>IF(VLOOKUP(TableQBRanks3040[[#This Row],[RK]],'Ranks w Proj'!$A:$N,14,FALSE)&lt;0,0,VLOOKUP(TableQBRanks3040[[#This Row],[RK]],'Ranks w Proj'!$A:$N,14,FALSE))</f>
        <v>29.74088903549006</v>
      </c>
      <c r="P2">
        <v>1</v>
      </c>
      <c r="Q2" t="str">
        <f>VLOOKUP(TableRBRanks3141[[#This Row],[RK]],Rankings!A:T,8,FALSE)</f>
        <v>Christian McCaffrey</v>
      </c>
      <c r="R2" t="str">
        <f>IFERROR(INDEX(TableRBCalcPts[TM],MATCH(TableRBRanks3141[[#This Row],[Player]],TableRBCalcPts[PLAYER],0)),"")</f>
        <v>SF</v>
      </c>
      <c r="S2">
        <f>IFERROR(INDEX(TableRBCalcPts[BYE],MATCH(TableRBRanks3141[[#This Row],[Player]],TableRBCalcPts[PLAYER],0)),"")</f>
        <v>9</v>
      </c>
      <c r="T2" s="86">
        <f>VLOOKUP(TableRBRanks3141[[#This Row],[Player]],RB!B:O,4,FALSE)</f>
        <v>224.68610724000001</v>
      </c>
      <c r="U2" s="86">
        <f>VLOOKUP(TableRBRanks3141[[#This Row],[Player]],RB!B:O,5,FALSE)</f>
        <v>1049.2841208108</v>
      </c>
      <c r="V2" s="86">
        <f>VLOOKUP(TableRBRanks3141[[#This Row],[Player]],RB!B:O,6,FALSE)</f>
        <v>11.458991469240001</v>
      </c>
      <c r="W2" s="86">
        <f>VLOOKUP(TableRBRanks3141[[#This Row],[Player]],RB!B:O,7,FALSE)</f>
        <v>91.676767559999988</v>
      </c>
      <c r="X2" s="86">
        <f>VLOOKUP(TableRBRanks3141[[#This Row],[Player]],RB!B:O,8,FALSE)</f>
        <v>73.807327028610942</v>
      </c>
      <c r="Y2" s="86">
        <f>VLOOKUP(TableRBRanks3141[[#This Row],[Player]],RB!B:O,9,FALSE)</f>
        <v>642.12374514891519</v>
      </c>
      <c r="Z2" s="86">
        <f>VLOOKUP(TableRBRanks3141[[#This Row],[Player]],RB!B:O,10,FALSE)</f>
        <v>4.2808249676594352</v>
      </c>
      <c r="AA2" s="58">
        <f>VLOOKUP(TableRBRanks3141[[#This Row],[Player]],RB!B:O,14,FALSE)</f>
        <v>300.48334873167357</v>
      </c>
      <c r="AB2" s="133">
        <f>IF(VLOOKUP(TableRBRanks3141[[#This Row],[RK]],'Ranks w Proj'!$P:$AB,13,FALSE)&lt;0,0,VLOOKUP(TableRBRanks3141[[#This Row],[RK]],'Ranks w Proj'!$P:$AB,13,FALSE))</f>
        <v>64.863856393764181</v>
      </c>
      <c r="AD2">
        <v>1</v>
      </c>
      <c r="AE2" t="str">
        <f>VLOOKUP(TableWRRanks3242[[#This Row],[RK]],Rankings!A:T,13,FALSE)</f>
        <v>Justin Jefferson</v>
      </c>
      <c r="AF2" t="str">
        <f>IFERROR(INDEX(TableWRCalcPts[TM],MATCH(TableWRRanks3242[[#This Row],[Player]],TableWRCalcPts[PLAYER],0)),"")</f>
        <v>MIN</v>
      </c>
      <c r="AG2">
        <f>IFERROR(INDEX(TableWRCalcPts[BYE],MATCH(TableWRRanks3242[[#This Row],[Player]],TableWRCalcPts[PLAYER],0)),"")</f>
        <v>13</v>
      </c>
      <c r="AH2" s="86">
        <f>VLOOKUP(TableWRRanks3242[[#This Row],[Player]],WR!B:O,4,FALSE)</f>
        <v>18.76137968694097</v>
      </c>
      <c r="AI2" s="86">
        <f>VLOOKUP(TableWRRanks3242[[#This Row],[Player]],WR!B:O,5,FALSE)</f>
        <v>0.31477686240000002</v>
      </c>
      <c r="AJ2" s="86">
        <f>VLOOKUP(TableWRRanks3242[[#This Row],[Player]],WR!B:O,6,FALSE)</f>
        <v>167.13725951999996</v>
      </c>
      <c r="AK2" s="86">
        <f>VLOOKUP(TableWRRanks3242[[#This Row],[Player]],WR!B:O,7,FALSE)</f>
        <v>118.16604248063996</v>
      </c>
      <c r="AL2" s="86">
        <f>VLOOKUP(TableWRRanks3242[[#This Row],[Player]],WR!B:O,8,FALSE)</f>
        <v>1577.5166671165434</v>
      </c>
      <c r="AM2" s="86">
        <f>VLOOKUP(TableWRRanks3242[[#This Row],[Player]],WR!B:O,9,FALSE)</f>
        <v>9.4532833984511964</v>
      </c>
      <c r="AN2" s="58">
        <f>VLOOKUP(TableWRRanks3242[[#This Row],[Player]],WR!B:O,13,FALSE)</f>
        <v>277.31918748577561</v>
      </c>
      <c r="AO2" s="133">
        <f>IF(VLOOKUP(TableWRRanks3242[[#This Row],[RK]],'Ranks w Proj'!AD:AO,12,FALSE)&lt;0,0,VLOOKUP(TableWRRanks3242[[#This Row],[RK]],'Ranks w Proj'!AD:AO,12,FALSE))</f>
        <v>50.352012565327399</v>
      </c>
      <c r="AQ2">
        <v>1</v>
      </c>
      <c r="AR2" t="str">
        <f>VLOOKUP(TableTERanks3343[[#This Row],[RK]],Rankings!A:T,18,FALSE)</f>
        <v>Travis Kelce</v>
      </c>
      <c r="AS2" t="str">
        <f>IFERROR(INDEX(TableTECalcPts[TM],MATCH(TableTERanks3343[[#This Row],[Player]],TableTECalcPts[PLAYER],0)),"")</f>
        <v>KC</v>
      </c>
      <c r="AT2">
        <f>IFERROR(INDEX(TableTECalcPts[BYE],MATCH(TableTERanks3343[[#This Row],[Player]],TableTECalcPts[PLAYER],0)),"")</f>
        <v>10</v>
      </c>
      <c r="AU2" s="86">
        <f>VLOOKUP(TableTERanks3343[[#This Row],[Player]],TE!B:O,4,FALSE)</f>
        <v>132.73515528000001</v>
      </c>
      <c r="AV2" s="86">
        <f>VLOOKUP(TableTERanks3343[[#This Row],[Player]],TE!B:O,5,FALSE)</f>
        <v>96.243603028615581</v>
      </c>
      <c r="AW2" s="86">
        <f>VLOOKUP(TableTERanks3343[[#This Row],[Player]],TE!B:O,6,FALSE)</f>
        <v>1116.4257951319407</v>
      </c>
      <c r="AX2" s="86">
        <f>VLOOKUP(TableTERanks3343[[#This Row],[Player]],TE!B:O,7,FALSE)</f>
        <v>10.798062778820285</v>
      </c>
      <c r="AY2" s="58">
        <f>VLOOKUP(TableTERanks3343[[#This Row],[Player]],TE!B:O,11,FALSE)</f>
        <v>224.5527577004236</v>
      </c>
      <c r="AZ2" s="133">
        <f>IF(VLOOKUP(TableTERanks3343[[#This Row],[RK]],'Ranks w Proj'!AQ:AZ,10,FALSE)&lt;0,0,VLOOKUP(TableTERanks3343[[#This Row],[RK]],'Ranks w Proj'!AQ:AZ,10,FALSE))</f>
        <v>39.698896925430851</v>
      </c>
    </row>
    <row r="3" spans="1:52" x14ac:dyDescent="0.2">
      <c r="A3">
        <v>2</v>
      </c>
      <c r="B3" t="str">
        <f>VLOOKUP(TableQBRanks3040[[#This Row],[RK]],Rankings!A:T,3,FALSE)</f>
        <v>Josh Allen</v>
      </c>
      <c r="C3" t="str">
        <f>IFERROR(INDEX(TableQBCalcPts[TM],MATCH(TableQBRanks3040[[#This Row],[Player]],TableQBCalcPts[PLAYER],0)),"")</f>
        <v>BUF</v>
      </c>
      <c r="D3">
        <f>IFERROR(INDEX(TableQBCalcPts[BYE],MATCH(TableQBRanks3040[[#This Row],[Player]],TableQBCalcPts[PLAYER],0)),"")</f>
        <v>13</v>
      </c>
      <c r="E3" s="86">
        <f>VLOOKUP(TableQBRanks3040[[#This Row],[Player]],QB!B:O,4,FALSE)</f>
        <v>647.95500000000004</v>
      </c>
      <c r="F3" s="86">
        <f>VLOOKUP(TableQBRanks3040[[#This Row],[Player]],QB!B:O,5,FALSE)</f>
        <v>413.06163771301863</v>
      </c>
      <c r="G3" s="86">
        <f>VLOOKUP(TableQBRanks3040[[#This Row],[Player]],QB!B:O,6,FALSE)</f>
        <v>4671.7271225342411</v>
      </c>
      <c r="H3" s="86">
        <f>VLOOKUP(TableQBRanks3040[[#This Row],[Player]],QB!B:O,7,FALSE)</f>
        <v>36.803791920229962</v>
      </c>
      <c r="I3" s="86">
        <f>VLOOKUP(TableQBRanks3040[[#This Row],[Player]],QB!B:O,8,FALSE)</f>
        <v>14.129749309292048</v>
      </c>
      <c r="J3" s="86">
        <f>VLOOKUP(TableQBRanks3040[[#This Row],[Player]],QB!B:O,9,FALSE)</f>
        <v>113.51340000000003</v>
      </c>
      <c r="K3" s="86">
        <f>VLOOKUP(TableQBRanks3040[[#This Row],[Player]],QB!B:O,10,FALSE)</f>
        <v>620.00335416991459</v>
      </c>
      <c r="L3" s="86">
        <f>VLOOKUP(TableQBRanks3040[[#This Row],[Player]],QB!B:O,11,FALSE)</f>
        <v>6.4702638000000023</v>
      </c>
      <c r="M3" s="58">
        <f>VLOOKUP(TableQBRanks3040[[#This Row],[Player]],QB!B:O,13,FALSE)</f>
        <v>420.77642148998893</v>
      </c>
      <c r="N3" s="133">
        <f>IF(VLOOKUP(TableQBRanks3040[[#This Row],[RK]],'Ranks w Proj'!$A:$N,14,FALSE)&lt;0,0,VLOOKUP(TableQBRanks3040[[#This Row],[RK]],'Ranks w Proj'!$A:$N,14,FALSE))</f>
        <v>24.743641536801469</v>
      </c>
      <c r="P3">
        <v>2</v>
      </c>
      <c r="Q3" t="str">
        <f>VLOOKUP(TableRBRanks3141[[#This Row],[RK]],Rankings!A:T,8,FALSE)</f>
        <v>Austin Ekeler</v>
      </c>
      <c r="R3" t="str">
        <f>IFERROR(INDEX(TableRBCalcPts[TM],MATCH(TableRBRanks3141[[#This Row],[Player]],TableRBCalcPts[PLAYER],0)),"")</f>
        <v>LAC</v>
      </c>
      <c r="S3">
        <f>IFERROR(INDEX(TableRBCalcPts[BYE],MATCH(TableRBRanks3141[[#This Row],[Player]],TableRBCalcPts[PLAYER],0)),"")</f>
        <v>5</v>
      </c>
      <c r="T3" s="86">
        <f>VLOOKUP(TableRBRanks3141[[#This Row],[Player]],RB!B:O,4,FALSE)</f>
        <v>214.18020540000001</v>
      </c>
      <c r="U3" s="86">
        <f>VLOOKUP(TableRBRanks3141[[#This Row],[Player]],RB!B:O,5,FALSE)</f>
        <v>965.95272635399999</v>
      </c>
      <c r="V3" s="86">
        <f>VLOOKUP(TableRBRanks3141[[#This Row],[Player]],RB!B:O,6,FALSE)</f>
        <v>10.70901027</v>
      </c>
      <c r="W3" s="86">
        <f>VLOOKUP(TableRBRanks3141[[#This Row],[Player]],RB!B:O,7,FALSE)</f>
        <v>86.498592599999995</v>
      </c>
      <c r="X3" s="86">
        <f>VLOOKUP(TableRBRanks3141[[#This Row],[Player]],RB!B:O,8,FALSE)</f>
        <v>71.847002291877516</v>
      </c>
      <c r="Y3" s="86">
        <f>VLOOKUP(TableRBRanks3141[[#This Row],[Player]],RB!B:O,9,FALSE)</f>
        <v>540.59903372044425</v>
      </c>
      <c r="Z3" s="86">
        <f>VLOOKUP(TableRBRanks3141[[#This Row],[Player]],RB!B:O,10,FALSE)</f>
        <v>3.7567060021896741</v>
      </c>
      <c r="AA3" s="58">
        <f>VLOOKUP(TableRBRanks3141[[#This Row],[Player]],RB!B:O,14,FALSE)</f>
        <v>273.37297478652124</v>
      </c>
      <c r="AB3" s="133">
        <f>IF(VLOOKUP(TableRBRanks3141[[#This Row],[RK]],'Ranks w Proj'!$P:$AB,13,FALSE)&lt;0,0,VLOOKUP(TableRBRanks3141[[#This Row],[RK]],'Ranks w Proj'!$P:$AB,13,FALSE))</f>
        <v>54.985870081781037</v>
      </c>
      <c r="AD3">
        <v>2</v>
      </c>
      <c r="AE3" t="str">
        <f>VLOOKUP(TableWRRanks3242[[#This Row],[RK]],Rankings!A:T,13,FALSE)</f>
        <v>Tyreek Hill</v>
      </c>
      <c r="AF3" t="str">
        <f>IFERROR(INDEX(TableWRCalcPts[TM],MATCH(TableWRRanks3242[[#This Row],[Player]],TableWRCalcPts[PLAYER],0)),"")</f>
        <v>MIA</v>
      </c>
      <c r="AG3">
        <f>IFERROR(INDEX(TableWRCalcPts[BYE],MATCH(TableWRRanks3242[[#This Row],[Player]],TableWRCalcPts[PLAYER],0)),"")</f>
        <v>10</v>
      </c>
      <c r="AH3" s="86">
        <f>VLOOKUP(TableWRRanks3242[[#This Row],[Player]],WR!B:O,4,FALSE)</f>
        <v>64.341061376335063</v>
      </c>
      <c r="AI3" s="86">
        <f>VLOOKUP(TableWRRanks3242[[#This Row],[Player]],WR!B:O,5,FALSE)</f>
        <v>1.0669074780000001</v>
      </c>
      <c r="AJ3" s="86">
        <f>VLOOKUP(TableWRRanks3242[[#This Row],[Player]],WR!B:O,6,FALSE)</f>
        <v>152.35516296000003</v>
      </c>
      <c r="AK3" s="86">
        <f>VLOOKUP(TableWRRanks3242[[#This Row],[Player]],WR!B:O,7,FALSE)</f>
        <v>103.41876448699821</v>
      </c>
      <c r="AL3" s="86">
        <f>VLOOKUP(TableWRRanks3242[[#This Row],[Player]],WR!B:O,8,FALSE)</f>
        <v>1447.8627028179749</v>
      </c>
      <c r="AM3" s="86">
        <f>VLOOKUP(TableWRRanks3242[[#This Row],[Player]],WR!B:O,9,FALSE)</f>
        <v>9.4111075683168366</v>
      </c>
      <c r="AN3" s="58">
        <f>VLOOKUP(TableWRRanks3242[[#This Row],[Player]],WR!B:O,13,FALSE)</f>
        <v>265.79784894083116</v>
      </c>
      <c r="AO3" s="133">
        <f>IF(VLOOKUP(TableWRRanks3242[[#This Row],[RK]],'Ranks w Proj'!AD:AO,12,FALSE)&lt;0,0,VLOOKUP(TableWRRanks3242[[#This Row],[RK]],'Ranks w Proj'!AD:AO,12,FALSE))</f>
        <v>46.406327743995682</v>
      </c>
      <c r="AQ3">
        <v>2</v>
      </c>
      <c r="AR3" t="str">
        <f>VLOOKUP(TableTERanks3343[[#This Row],[RK]],Rankings!A:T,18,FALSE)</f>
        <v>Mark Andrews</v>
      </c>
      <c r="AS3" t="str">
        <f>IFERROR(INDEX(TableTECalcPts[TM],MATCH(TableTERanks3343[[#This Row],[Player]],TableTECalcPts[PLAYER],0)),"")</f>
        <v>BAL</v>
      </c>
      <c r="AT3">
        <f>IFERROR(INDEX(TableTECalcPts[BYE],MATCH(TableTERanks3343[[#This Row],[Player]],TableTECalcPts[PLAYER],0)),"")</f>
        <v>13</v>
      </c>
      <c r="AU3" s="86">
        <f>VLOOKUP(TableTERanks3343[[#This Row],[Player]],TE!B:O,4,FALSE)</f>
        <v>125.10139824000001</v>
      </c>
      <c r="AV3" s="86">
        <f>VLOOKUP(TableTERanks3343[[#This Row],[Player]],TE!B:O,5,FALSE)</f>
        <v>80.850665364446556</v>
      </c>
      <c r="AW3" s="86">
        <f>VLOOKUP(TableTERanks3343[[#This Row],[Player]],TE!B:O,6,FALSE)</f>
        <v>976.47426787722952</v>
      </c>
      <c r="AX3" s="86">
        <f>VLOOKUP(TableTERanks3343[[#This Row],[Player]],TE!B:O,7,FALSE)</f>
        <v>7.3948779296749896</v>
      </c>
      <c r="AY3" s="58">
        <f>VLOOKUP(TableTERanks3343[[#This Row],[Player]],TE!B:O,11,FALSE)</f>
        <v>182.44202704799619</v>
      </c>
      <c r="AZ3" s="133">
        <f>IF(VLOOKUP(TableTERanks3343[[#This Row],[RK]],'Ranks w Proj'!AQ:AZ,10,FALSE)&lt;0,0,VLOOKUP(TableTERanks3343[[#This Row],[RK]],'Ranks w Proj'!AQ:AZ,10,FALSE))</f>
        <v>23.88628901237065</v>
      </c>
    </row>
    <row r="4" spans="1:52" x14ac:dyDescent="0.2">
      <c r="A4">
        <v>3</v>
      </c>
      <c r="B4" t="str">
        <f>VLOOKUP(TableQBRanks3040[[#This Row],[RK]],Rankings!A:T,3,FALSE)</f>
        <v>Jalen Hurts</v>
      </c>
      <c r="C4" t="str">
        <f>IFERROR(INDEX(TableQBCalcPts[TM],MATCH(TableQBRanks3040[[#This Row],[Player]],TableQBCalcPts[PLAYER],0)),"")</f>
        <v>PHI</v>
      </c>
      <c r="D4">
        <f>IFERROR(INDEX(TableQBCalcPts[BYE],MATCH(TableQBRanks3040[[#This Row],[Player]],TableQBCalcPts[PLAYER],0)),"")</f>
        <v>10</v>
      </c>
      <c r="E4" s="86">
        <f>VLOOKUP(TableQBRanks3040[[#This Row],[Player]],QB!B:O,4,FALSE)</f>
        <v>542.50644</v>
      </c>
      <c r="F4" s="86">
        <f>VLOOKUP(TableQBRanks3040[[#This Row],[Player]],QB!B:O,5,FALSE)</f>
        <v>357.51174395999999</v>
      </c>
      <c r="G4" s="86">
        <f>VLOOKUP(TableQBRanks3040[[#This Row],[Player]],QB!B:O,6,FALSE)</f>
        <v>4250.8146356843999</v>
      </c>
      <c r="H4" s="86">
        <f>VLOOKUP(TableQBRanks3040[[#This Row],[Player]],QB!B:O,7,FALSE)</f>
        <v>26.598873750623998</v>
      </c>
      <c r="I4" s="86">
        <f>VLOOKUP(TableQBRanks3040[[#This Row],[Player]],QB!B:O,8,FALSE)</f>
        <v>10.02798044533713</v>
      </c>
      <c r="J4" s="86">
        <f>VLOOKUP(TableQBRanks3040[[#This Row],[Player]],QB!B:O,9,FALSE)</f>
        <v>135.93269340000001</v>
      </c>
      <c r="K4" s="86">
        <f>VLOOKUP(TableQBRanks3040[[#This Row],[Player]],QB!B:O,10,FALSE)</f>
        <v>648.31768224345967</v>
      </c>
      <c r="L4" s="86">
        <f>VLOOKUP(TableQBRanks3040[[#This Row],[Player]],QB!B:O,11,FALSE)</f>
        <v>11.1464808588</v>
      </c>
      <c r="M4" s="58">
        <f>VLOOKUP(TableQBRanks3040[[#This Row],[Player]],QB!B:O,13,FALSE)</f>
        <v>398.11075336168085</v>
      </c>
      <c r="N4" s="133">
        <f>IF(VLOOKUP(TableQBRanks3040[[#This Row],[RK]],'Ranks w Proj'!$A:$N,14,FALSE)&lt;0,0,VLOOKUP(TableQBRanks3040[[#This Row],[RK]],'Ranks w Proj'!$A:$N,14,FALSE))</f>
        <v>21.569272032137302</v>
      </c>
      <c r="P4">
        <v>3</v>
      </c>
      <c r="Q4" t="str">
        <f>VLOOKUP(TableRBRanks3141[[#This Row],[RK]],Rankings!A:T,8,FALSE)</f>
        <v>Saquon Barkley</v>
      </c>
      <c r="R4" t="str">
        <f>IFERROR(INDEX(TableRBCalcPts[TM],MATCH(TableRBRanks3141[[#This Row],[Player]],TableRBCalcPts[PLAYER],0)),"")</f>
        <v>NYG</v>
      </c>
      <c r="S4">
        <f>IFERROR(INDEX(TableRBCalcPts[BYE],MATCH(TableRBRanks3141[[#This Row],[Player]],TableRBCalcPts[PLAYER],0)),"")</f>
        <v>13</v>
      </c>
      <c r="T4" s="86">
        <f>VLOOKUP(TableRBRanks3141[[#This Row],[Player]],RB!B:O,4,FALSE)</f>
        <v>280.40050178000001</v>
      </c>
      <c r="U4" s="86">
        <f>VLOOKUP(TableRBRanks3141[[#This Row],[Player]],RB!B:O,5,FALSE)</f>
        <v>1222.2939505946047</v>
      </c>
      <c r="V4" s="86">
        <f>VLOOKUP(TableRBRanks3141[[#This Row],[Player]],RB!B:O,6,FALSE)</f>
        <v>9.7591637255991657</v>
      </c>
      <c r="W4" s="86">
        <f>VLOOKUP(TableRBRanks3141[[#This Row],[Player]],RB!B:O,7,FALSE)</f>
        <v>76.224031520000011</v>
      </c>
      <c r="X4" s="86">
        <f>VLOOKUP(TableRBRanks3141[[#This Row],[Player]],RB!B:O,8,FALSE)</f>
        <v>55.988812987558781</v>
      </c>
      <c r="Y4" s="86">
        <f>VLOOKUP(TableRBRanks3141[[#This Row],[Player]],RB!B:O,9,FALSE)</f>
        <v>379.09228897605504</v>
      </c>
      <c r="Z4" s="86">
        <f>VLOOKUP(TableRBRanks3141[[#This Row],[Player]],RB!B:O,10,FALSE)</f>
        <v>1.7916420156018811</v>
      </c>
      <c r="AA4" s="58">
        <f>VLOOKUP(TableRBRanks3141[[#This Row],[Player]],RB!B:O,14,FALSE)</f>
        <v>257.43786489805166</v>
      </c>
      <c r="AB4" s="133">
        <f>IF(VLOOKUP(TableRBRanks3141[[#This Row],[RK]],'Ranks w Proj'!$P:$AB,13,FALSE)&lt;0,0,VLOOKUP(TableRBRanks3141[[#This Row],[RK]],'Ranks w Proj'!$P:$AB,13,FALSE))</f>
        <v>52.112042250354513</v>
      </c>
      <c r="AD4">
        <v>3</v>
      </c>
      <c r="AE4" t="str">
        <f>VLOOKUP(TableWRRanks3242[[#This Row],[RK]],Rankings!A:T,13,FALSE)</f>
        <v>Ja'Marr Chase</v>
      </c>
      <c r="AF4" t="str">
        <f>IFERROR(INDEX(TableWRCalcPts[TM],MATCH(TableWRRanks3242[[#This Row],[Player]],TableWRCalcPts[PLAYER],0)),"")</f>
        <v>CIN</v>
      </c>
      <c r="AG4">
        <f>IFERROR(INDEX(TableWRCalcPts[BYE],MATCH(TableWRRanks3242[[#This Row],[Player]],TableWRCalcPts[PLAYER],0)),"")</f>
        <v>7</v>
      </c>
      <c r="AH4" s="86">
        <f>VLOOKUP(TableWRRanks3242[[#This Row],[Player]],WR!B:O,4,FALSE)</f>
        <v>0</v>
      </c>
      <c r="AI4" s="86">
        <f>VLOOKUP(TableWRRanks3242[[#This Row],[Player]],WR!B:O,5,FALSE)</f>
        <v>0</v>
      </c>
      <c r="AJ4" s="86">
        <f>VLOOKUP(TableWRRanks3242[[#This Row],[Player]],WR!B:O,6,FALSE)</f>
        <v>155.08766951999999</v>
      </c>
      <c r="AK4" s="86">
        <f>VLOOKUP(TableWRRanks3242[[#This Row],[Player]],WR!B:O,7,FALSE)</f>
        <v>101.13754359443969</v>
      </c>
      <c r="AL4" s="86">
        <f>VLOOKUP(TableWRRanks3242[[#This Row],[Player]],WR!B:O,8,FALSE)</f>
        <v>1355.2430841654918</v>
      </c>
      <c r="AM4" s="86">
        <f>VLOOKUP(TableWRRanks3242[[#This Row],[Player]],WR!B:O,9,FALSE)</f>
        <v>10.922854708199486</v>
      </c>
      <c r="AN4" s="58">
        <f>VLOOKUP(TableWRRanks3242[[#This Row],[Player]],WR!B:O,13,FALSE)</f>
        <v>251.63020846296595</v>
      </c>
      <c r="AO4" s="133">
        <f>IF(VLOOKUP(TableWRRanks3242[[#This Row],[RK]],'Ranks w Proj'!AD:AO,12,FALSE)&lt;0,0,VLOOKUP(TableWRRanks3242[[#This Row],[RK]],'Ranks w Proj'!AD:AO,12,FALSE))</f>
        <v>43.956750400569597</v>
      </c>
      <c r="AQ4">
        <v>3</v>
      </c>
      <c r="AR4" t="str">
        <f>VLOOKUP(TableTERanks3343[[#This Row],[RK]],Rankings!A:T,18,FALSE)</f>
        <v>T.J. Hockenson</v>
      </c>
      <c r="AS4" t="str">
        <f>IFERROR(INDEX(TableTECalcPts[TM],MATCH(TableTERanks3343[[#This Row],[Player]],TableTECalcPts[PLAYER],0)),"")</f>
        <v>MIN</v>
      </c>
      <c r="AT4">
        <f>IFERROR(INDEX(TableTECalcPts[BYE],MATCH(TableTERanks3343[[#This Row],[Player]],TableTECalcPts[PLAYER],0)),"")</f>
        <v>13</v>
      </c>
      <c r="AU4" s="86">
        <f>VLOOKUP(TableTERanks3343[[#This Row],[Player]],TE!B:O,4,FALSE)</f>
        <v>127.96446431999995</v>
      </c>
      <c r="AV4" s="86">
        <f>VLOOKUP(TableTERanks3343[[#This Row],[Player]],TE!B:O,5,FALSE)</f>
        <v>88.235084478884062</v>
      </c>
      <c r="AW4" s="86">
        <f>VLOOKUP(TableTERanks3343[[#This Row],[Player]],TE!B:O,6,FALSE)</f>
        <v>887.82414826217337</v>
      </c>
      <c r="AX4" s="86">
        <f>VLOOKUP(TableTERanks3343[[#This Row],[Player]],TE!B:O,7,FALSE)</f>
        <v>6.7941015048740727</v>
      </c>
      <c r="AY4" s="58">
        <f>VLOOKUP(TableTERanks3343[[#This Row],[Player]],TE!B:O,11,FALSE)</f>
        <v>173.66456609490382</v>
      </c>
      <c r="AZ4" s="133">
        <f>IF(VLOOKUP(TableTERanks3343[[#This Row],[RK]],'Ranks w Proj'!AQ:AZ,10,FALSE)&lt;0,0,VLOOKUP(TableTERanks3343[[#This Row],[RK]],'Ranks w Proj'!AQ:AZ,10,FALSE))</f>
        <v>23.648705440732751</v>
      </c>
    </row>
    <row r="5" spans="1:52" x14ac:dyDescent="0.2">
      <c r="A5">
        <v>4</v>
      </c>
      <c r="B5" t="str">
        <f>VLOOKUP(TableQBRanks3040[[#This Row],[RK]],Rankings!A:T,3,FALSE)</f>
        <v>Lamar Jackson</v>
      </c>
      <c r="C5" t="str">
        <f>IFERROR(INDEX(TableQBCalcPts[TM],MATCH(TableQBRanks3040[[#This Row],[Player]],TableQBCalcPts[PLAYER],0)),"")</f>
        <v>BAL</v>
      </c>
      <c r="D5">
        <f>IFERROR(INDEX(TableQBCalcPts[BYE],MATCH(TableQBRanks3040[[#This Row],[Player]],TableQBCalcPts[PLAYER],0)),"")</f>
        <v>13</v>
      </c>
      <c r="E5" s="86">
        <f>VLOOKUP(TableQBRanks3040[[#This Row],[Player]],QB!B:O,4,FALSE)</f>
        <v>529.16604000000007</v>
      </c>
      <c r="F5" s="86">
        <f>VLOOKUP(TableQBRanks3040[[#This Row],[Player]],QB!B:O,5,FALSE)</f>
        <v>334.43293728000003</v>
      </c>
      <c r="G5" s="86">
        <f>VLOOKUP(TableQBRanks3040[[#This Row],[Player]],QB!B:O,6,FALSE)</f>
        <v>3800.6263447656765</v>
      </c>
      <c r="H5" s="86">
        <f>VLOOKUP(TableQBRanks3040[[#This Row],[Player]],QB!B:O,7,FALSE)</f>
        <v>25.483789820736003</v>
      </c>
      <c r="I5" s="86">
        <f>VLOOKUP(TableQBRanks3040[[#This Row],[Player]],QB!B:O,8,FALSE)</f>
        <v>11.440068825320637</v>
      </c>
      <c r="J5" s="86">
        <f>VLOOKUP(TableQBRanks3040[[#This Row],[Player]],QB!B:O,9,FALSE)</f>
        <v>145.56041920000001</v>
      </c>
      <c r="K5" s="86">
        <f>VLOOKUP(TableQBRanks3040[[#This Row],[Player]],QB!B:O,10,FALSE)</f>
        <v>802.03790979200005</v>
      </c>
      <c r="L5" s="86">
        <f>VLOOKUP(TableQBRanks3040[[#This Row],[Player]],QB!B:O,11,FALSE)</f>
        <v>6.4800678281624418</v>
      </c>
      <c r="M5" s="58">
        <f>VLOOKUP(TableQBRanks3040[[#This Row],[Player]],QB!B:O,13,FALSE)</f>
        <v>361.60434219642514</v>
      </c>
      <c r="N5" s="133">
        <f>IF(VLOOKUP(TableQBRanks3040[[#This Row],[RK]],'Ranks w Proj'!$A:$N,14,FALSE)&lt;0,0,VLOOKUP(TableQBRanks3040[[#This Row],[RK]],'Ranks w Proj'!$A:$N,14,FALSE))</f>
        <v>16.412885664211021</v>
      </c>
      <c r="P5">
        <v>4</v>
      </c>
      <c r="Q5" t="str">
        <f>VLOOKUP(TableRBRanks3141[[#This Row],[RK]],Rankings!A:T,8,FALSE)</f>
        <v>Nick Chubb</v>
      </c>
      <c r="R5" t="str">
        <f>IFERROR(INDEX(TableRBCalcPts[TM],MATCH(TableRBRanks3141[[#This Row],[Player]],TableRBCalcPts[PLAYER],0)),"")</f>
        <v>CLE</v>
      </c>
      <c r="S5">
        <f>IFERROR(INDEX(TableRBCalcPts[BYE],MATCH(TableRBRanks3141[[#This Row],[Player]],TableRBCalcPts[PLAYER],0)),"")</f>
        <v>5</v>
      </c>
      <c r="T5" s="86">
        <f>VLOOKUP(TableRBRanks3141[[#This Row],[Player]],RB!B:O,4,FALSE)</f>
        <v>292.76578799999993</v>
      </c>
      <c r="U5" s="86">
        <f>VLOOKUP(TableRBRanks3141[[#This Row],[Player]],RB!B:O,5,FALSE)</f>
        <v>1425.7693875599996</v>
      </c>
      <c r="V5" s="86">
        <f>VLOOKUP(TableRBRanks3141[[#This Row],[Player]],RB!B:O,6,FALSE)</f>
        <v>12.296163095999997</v>
      </c>
      <c r="W5" s="86">
        <f>VLOOKUP(TableRBRanks3141[[#This Row],[Player]],RB!B:O,7,FALSE)</f>
        <v>39.127372199999996</v>
      </c>
      <c r="X5" s="86">
        <f>VLOOKUP(TableRBRanks3141[[#This Row],[Player]],RB!B:O,8,FALSE)</f>
        <v>28.482183767202592</v>
      </c>
      <c r="Y5" s="86">
        <f>VLOOKUP(TableRBRanks3141[[#This Row],[Player]],RB!B:O,9,FALSE)</f>
        <v>236.11730343010947</v>
      </c>
      <c r="Z5" s="86">
        <f>VLOOKUP(TableRBRanks3141[[#This Row],[Player]],RB!B:O,10,FALSE)</f>
        <v>1.8798241286353712</v>
      </c>
      <c r="AA5" s="58">
        <f>VLOOKUP(TableRBRanks3141[[#This Row],[Player]],RB!B:O,14,FALSE)</f>
        <v>265.48568433042442</v>
      </c>
      <c r="AB5" s="133">
        <f>IF(VLOOKUP(TableRBRanks3141[[#This Row],[RK]],'Ranks w Proj'!$P:$AB,13,FALSE)&lt;0,0,VLOOKUP(TableRBRanks3141[[#This Row],[RK]],'Ranks w Proj'!$P:$AB,13,FALSE))</f>
        <v>49.362718335178997</v>
      </c>
      <c r="AD5">
        <v>4</v>
      </c>
      <c r="AE5" t="str">
        <f>VLOOKUP(TableWRRanks3242[[#This Row],[RK]],Rankings!A:T,13,FALSE)</f>
        <v>Stefon Diggs</v>
      </c>
      <c r="AF5" t="str">
        <f>IFERROR(INDEX(TableWRCalcPts[TM],MATCH(TableWRRanks3242[[#This Row],[Player]],TableWRCalcPts[PLAYER],0)),"")</f>
        <v>BUF</v>
      </c>
      <c r="AG5">
        <f>IFERROR(INDEX(TableWRCalcPts[BYE],MATCH(TableWRRanks3242[[#This Row],[Player]],TableWRCalcPts[PLAYER],0)),"")</f>
        <v>13</v>
      </c>
      <c r="AH5" s="86">
        <f>VLOOKUP(TableWRRanks3242[[#This Row],[Player]],WR!B:O,4,FALSE)</f>
        <v>0</v>
      </c>
      <c r="AI5" s="86">
        <f>VLOOKUP(TableWRRanks3242[[#This Row],[Player]],WR!B:O,5,FALSE)</f>
        <v>0</v>
      </c>
      <c r="AJ5" s="86">
        <f>VLOOKUP(TableWRRanks3242[[#This Row],[Player]],WR!B:O,6,FALSE)</f>
        <v>147.52430000000001</v>
      </c>
      <c r="AK5" s="86">
        <f>VLOOKUP(TableWRRanks3242[[#This Row],[Player]],WR!B:O,7,FALSE)</f>
        <v>99.755838968248113</v>
      </c>
      <c r="AL5" s="86">
        <f>VLOOKUP(TableWRRanks3242[[#This Row],[Player]],WR!B:O,8,FALSE)</f>
        <v>1264.9040381173861</v>
      </c>
      <c r="AM5" s="86">
        <f>VLOOKUP(TableWRRanks3242[[#This Row],[Player]],WR!B:O,9,FALSE)</f>
        <v>9.0777813461105783</v>
      </c>
      <c r="AN5" s="58">
        <f>VLOOKUP(TableWRRanks3242[[#This Row],[Player]],WR!B:O,13,FALSE)</f>
        <v>230.83501137252614</v>
      </c>
      <c r="AO5" s="133">
        <f>IF(VLOOKUP(TableWRRanks3242[[#This Row],[RK]],'Ranks w Proj'!AD:AO,12,FALSE)&lt;0,0,VLOOKUP(TableWRRanks3242[[#This Row],[RK]],'Ranks w Proj'!AD:AO,12,FALSE))</f>
        <v>42.633781027637966</v>
      </c>
      <c r="AQ5">
        <v>4</v>
      </c>
      <c r="AR5" t="str">
        <f>VLOOKUP(TableTERanks3343[[#This Row],[RK]],Rankings!A:T,18,FALSE)</f>
        <v>Darren Waller</v>
      </c>
      <c r="AS5" t="str">
        <f>IFERROR(INDEX(TableTECalcPts[TM],MATCH(TableTERanks3343[[#This Row],[Player]],TableTECalcPts[PLAYER],0)),"")</f>
        <v>NYG</v>
      </c>
      <c r="AT5">
        <f>IFERROR(INDEX(TableTECalcPts[BYE],MATCH(TableTERanks3343[[#This Row],[Player]],TableTECalcPts[PLAYER],0)),"")</f>
        <v>13</v>
      </c>
      <c r="AU5" s="86">
        <f>VLOOKUP(TableTERanks3343[[#This Row],[Player]],TE!B:O,4,FALSE)</f>
        <v>119.94075547999999</v>
      </c>
      <c r="AV5" s="86">
        <f>VLOOKUP(TableTERanks3343[[#This Row],[Player]],TE!B:O,5,FALSE)</f>
        <v>80.840069193519994</v>
      </c>
      <c r="AW5" s="86">
        <f>VLOOKUP(TableTERanks3343[[#This Row],[Player]],TE!B:O,6,FALSE)</f>
        <v>962.80522409482319</v>
      </c>
      <c r="AX5" s="86">
        <f>VLOOKUP(TableTERanks3343[[#This Row],[Player]],TE!B:O,7,FALSE)</f>
        <v>7.5181264349973596</v>
      </c>
      <c r="AY5" s="58">
        <f>VLOOKUP(TableTERanks3343[[#This Row],[Player]],TE!B:O,11,FALSE)</f>
        <v>181.80931561622648</v>
      </c>
      <c r="AZ5" s="133">
        <f>IF(VLOOKUP(TableTERanks3343[[#This Row],[RK]],'Ranks w Proj'!AQ:AZ,10,FALSE)&lt;0,0,VLOOKUP(TableTERanks3343[[#This Row],[RK]],'Ranks w Proj'!AQ:AZ,10,FALSE))</f>
        <v>20.59034647294941</v>
      </c>
    </row>
    <row r="6" spans="1:52" x14ac:dyDescent="0.2">
      <c r="A6">
        <v>5</v>
      </c>
      <c r="B6" t="str">
        <f>VLOOKUP(TableQBRanks3040[[#This Row],[RK]],Rankings!A:T,3,FALSE)</f>
        <v>Joe Burrow</v>
      </c>
      <c r="C6" t="str">
        <f>IFERROR(INDEX(TableQBCalcPts[TM],MATCH(TableQBRanks3040[[#This Row],[Player]],TableQBCalcPts[PLAYER],0)),"")</f>
        <v>CIN</v>
      </c>
      <c r="D6">
        <f>IFERROR(INDEX(TableQBCalcPts[BYE],MATCH(TableQBRanks3040[[#This Row],[Player]],TableQBCalcPts[PLAYER],0)),"")</f>
        <v>7</v>
      </c>
      <c r="E6" s="86">
        <f>VLOOKUP(TableQBRanks3040[[#This Row],[Player]],QB!B:O,4,FALSE)</f>
        <v>596.58764999999994</v>
      </c>
      <c r="F6" s="86">
        <f>VLOOKUP(TableQBRanks3040[[#This Row],[Player]],QB!B:O,5,FALSE)</f>
        <v>407.69404727119201</v>
      </c>
      <c r="G6" s="86">
        <f>VLOOKUP(TableQBRanks3040[[#This Row],[Player]],QB!B:O,6,FALSE)</f>
        <v>4588.4764989764508</v>
      </c>
      <c r="H6" s="86">
        <f>VLOOKUP(TableQBRanks3040[[#This Row],[Player]],QB!B:O,7,FALSE)</f>
        <v>34.001683542417418</v>
      </c>
      <c r="I6" s="86">
        <f>VLOOKUP(TableQBRanks3040[[#This Row],[Player]],QB!B:O,8,FALSE)</f>
        <v>12.65827113916224</v>
      </c>
      <c r="J6" s="86">
        <f>VLOOKUP(TableQBRanks3040[[#This Row],[Player]],QB!B:O,9,FALSE)</f>
        <v>59.134983600000012</v>
      </c>
      <c r="K6" s="86">
        <f>VLOOKUP(TableQBRanks3040[[#This Row],[Player]],QB!B:O,10,FALSE)</f>
        <v>214.29424620604701</v>
      </c>
      <c r="L6" s="86">
        <f>VLOOKUP(TableQBRanks3040[[#This Row],[Player]],QB!B:O,11,FALSE)</f>
        <v>3.5480990160000005</v>
      </c>
      <c r="M6" s="58">
        <f>VLOOKUP(TableQBRanks3040[[#This Row],[Player]],QB!B:O,13,FALSE)</f>
        <v>349.60554170617019</v>
      </c>
      <c r="N6" s="133">
        <f>IF(VLOOKUP(TableQBRanks3040[[#This Row],[RK]],'Ranks w Proj'!$A:$N,14,FALSE)&lt;0,0,VLOOKUP(TableQBRanks3040[[#This Row],[RK]],'Ranks w Proj'!$A:$N,14,FALSE))</f>
        <v>15.816170139592867</v>
      </c>
      <c r="P6">
        <v>5</v>
      </c>
      <c r="Q6" t="str">
        <f>VLOOKUP(TableRBRanks3141[[#This Row],[RK]],Rankings!A:T,8,FALSE)</f>
        <v>Bijan Robinson</v>
      </c>
      <c r="R6" t="str">
        <f>IFERROR(INDEX(TableRBCalcPts[TM],MATCH(TableRBRanks3141[[#This Row],[Player]],TableRBCalcPts[PLAYER],0)),"")</f>
        <v>ATL</v>
      </c>
      <c r="S6">
        <f>IFERROR(INDEX(TableRBCalcPts[BYE],MATCH(TableRBRanks3141[[#This Row],[Player]],TableRBCalcPts[PLAYER],0)),"")</f>
        <v>11</v>
      </c>
      <c r="T6" s="86">
        <f>VLOOKUP(TableRBRanks3141[[#This Row],[Player]],RB!B:O,4,FALSE)</f>
        <v>303.70152960000001</v>
      </c>
      <c r="U6" s="86">
        <f>VLOOKUP(TableRBRanks3141[[#This Row],[Player]],RB!B:O,5,FALSE)</f>
        <v>1369.693898496</v>
      </c>
      <c r="V6" s="86">
        <f>VLOOKUP(TableRBRanks3141[[#This Row],[Player]],RB!B:O,6,FALSE)</f>
        <v>11.337991951933537</v>
      </c>
      <c r="W6" s="86">
        <f>VLOOKUP(TableRBRanks3141[[#This Row],[Player]],RB!B:O,7,FALSE)</f>
        <v>40.461926399999989</v>
      </c>
      <c r="X6" s="86">
        <f>VLOOKUP(TableRBRanks3141[[#This Row],[Player]],RB!B:O,8,FALSE)</f>
        <v>32.628219304098906</v>
      </c>
      <c r="Y6" s="86">
        <f>VLOOKUP(TableRBRanks3141[[#This Row],[Player]],RB!B:O,9,FALSE)</f>
        <v>249.43472973369643</v>
      </c>
      <c r="Z6" s="86">
        <f>VLOOKUP(TableRBRanks3141[[#This Row],[Player]],RB!B:O,10,FALSE)</f>
        <v>1.3183118910747034</v>
      </c>
      <c r="AA6" s="58">
        <f>VLOOKUP(TableRBRanks3141[[#This Row],[Player]],RB!B:O,14,FALSE)</f>
        <v>254.16479553306854</v>
      </c>
      <c r="AB6" s="133">
        <f>IF(VLOOKUP(TableRBRanks3141[[#This Row],[RK]],'Ranks w Proj'!$P:$AB,13,FALSE)&lt;0,0,VLOOKUP(TableRBRanks3141[[#This Row],[RK]],'Ranks w Proj'!$P:$AB,13,FALSE))</f>
        <v>49.179723782334811</v>
      </c>
      <c r="AD6">
        <v>5</v>
      </c>
      <c r="AE6" t="str">
        <f>VLOOKUP(TableWRRanks3242[[#This Row],[RK]],Rankings!A:T,13,FALSE)</f>
        <v>Amon-Ra St. Brown</v>
      </c>
      <c r="AF6" t="str">
        <f>IFERROR(INDEX(TableWRCalcPts[TM],MATCH(TableWRRanks3242[[#This Row],[Player]],TableWRCalcPts[PLAYER],0)),"")</f>
        <v>DET</v>
      </c>
      <c r="AG6">
        <f>IFERROR(INDEX(TableWRCalcPts[BYE],MATCH(TableWRRanks3242[[#This Row],[Player]],TableWRCalcPts[PLAYER],0)),"")</f>
        <v>9</v>
      </c>
      <c r="AH6" s="86">
        <f>VLOOKUP(TableWRRanks3242[[#This Row],[Player]],WR!B:O,4,FALSE)</f>
        <v>91.988576189862215</v>
      </c>
      <c r="AI6" s="86">
        <f>VLOOKUP(TableWRRanks3242[[#This Row],[Player]],WR!B:O,5,FALSE)</f>
        <v>0.91752920248237113</v>
      </c>
      <c r="AJ6" s="86">
        <f>VLOOKUP(TableWRRanks3242[[#This Row],[Player]],WR!B:O,6,FALSE)</f>
        <v>153.50841323999998</v>
      </c>
      <c r="AK6" s="86">
        <f>VLOOKUP(TableWRRanks3242[[#This Row],[Player]],WR!B:O,7,FALSE)</f>
        <v>109.44093405896524</v>
      </c>
      <c r="AL6" s="86">
        <f>VLOOKUP(TableWRRanks3242[[#This Row],[Player]],WR!B:O,8,FALSE)</f>
        <v>1249.8154669533831</v>
      </c>
      <c r="AM6" s="86">
        <f>VLOOKUP(TableWRRanks3242[[#This Row],[Player]],WR!B:O,9,FALSE)</f>
        <v>6.8947788457148098</v>
      </c>
      <c r="AN6" s="58">
        <f>VLOOKUP(TableWRRanks3242[[#This Row],[Player]],WR!B:O,13,FALSE)</f>
        <v>235.77471963299024</v>
      </c>
      <c r="AO6" s="133">
        <f>IF(VLOOKUP(TableWRRanks3242[[#This Row],[RK]],'Ranks w Proj'!AD:AO,12,FALSE)&lt;0,0,VLOOKUP(TableWRRanks3242[[#This Row],[RK]],'Ranks w Proj'!AD:AO,12,FALSE))</f>
        <v>41.554370328672015</v>
      </c>
      <c r="AQ6">
        <v>5</v>
      </c>
      <c r="AR6" t="str">
        <f>VLOOKUP(TableTERanks3343[[#This Row],[RK]],Rankings!A:T,18,FALSE)</f>
        <v>George Kittle</v>
      </c>
      <c r="AS6" t="str">
        <f>IFERROR(INDEX(TableTECalcPts[TM],MATCH(TableTERanks3343[[#This Row],[Player]],TableTECalcPts[PLAYER],0)),"")</f>
        <v>SF</v>
      </c>
      <c r="AT6">
        <f>IFERROR(INDEX(TableTECalcPts[BYE],MATCH(TableTERanks3343[[#This Row],[Player]],TableTECalcPts[PLAYER],0)),"")</f>
        <v>9</v>
      </c>
      <c r="AU6" s="86">
        <f>VLOOKUP(TableTERanks3343[[#This Row],[Player]],TE!B:O,4,FALSE)</f>
        <v>93.736919639999996</v>
      </c>
      <c r="AV6" s="86">
        <f>VLOOKUP(TableTERanks3343[[#This Row],[Player]],TE!B:O,5,FALSE)</f>
        <v>64.034860232221803</v>
      </c>
      <c r="AW6" s="86">
        <f>VLOOKUP(TableTERanks3343[[#This Row],[Player]],TE!B:O,6,FALSE)</f>
        <v>826.04969699566129</v>
      </c>
      <c r="AX6" s="86">
        <f>VLOOKUP(TableTERanks3343[[#This Row],[Player]],TE!B:O,7,FALSE)</f>
        <v>7.6841832278666162</v>
      </c>
      <c r="AY6" s="58">
        <f>VLOOKUP(TableTERanks3343[[#This Row],[Player]],TE!B:O,11,FALSE)</f>
        <v>160.72749918287673</v>
      </c>
      <c r="AZ6" s="133">
        <f>IF(VLOOKUP(TableTERanks3343[[#This Row],[RK]],'Ranks w Proj'!AQ:AZ,10,FALSE)&lt;0,0,VLOOKUP(TableTERanks3343[[#This Row],[RK]],'Ranks w Proj'!AQ:AZ,10,FALSE))</f>
        <v>15.732469075537956</v>
      </c>
    </row>
    <row r="7" spans="1:52" x14ac:dyDescent="0.2">
      <c r="A7">
        <v>6</v>
      </c>
      <c r="B7" t="str">
        <f>VLOOKUP(TableQBRanks3040[[#This Row],[RK]],Rankings!A:T,3,FALSE)</f>
        <v>Justin Fields</v>
      </c>
      <c r="C7" t="str">
        <f>IFERROR(INDEX(TableQBCalcPts[TM],MATCH(TableQBRanks3040[[#This Row],[Player]],TableQBCalcPts[PLAYER],0)),"")</f>
        <v>CHI</v>
      </c>
      <c r="D7">
        <f>IFERROR(INDEX(TableQBCalcPts[BYE],MATCH(TableQBRanks3040[[#This Row],[Player]],TableQBCalcPts[PLAYER],0)),"")</f>
        <v>13</v>
      </c>
      <c r="E7" s="86">
        <f>VLOOKUP(TableQBRanks3040[[#This Row],[Player]],QB!B:O,4,FALSE)</f>
        <v>454.26263999999992</v>
      </c>
      <c r="F7" s="86">
        <f>VLOOKUP(TableQBRanks3040[[#This Row],[Player]],QB!B:O,5,FALSE)</f>
        <v>283.00562471999996</v>
      </c>
      <c r="G7" s="86">
        <f>VLOOKUP(TableQBRanks3040[[#This Row],[Player]],QB!B:O,6,FALSE)</f>
        <v>3298.3833288393953</v>
      </c>
      <c r="H7" s="86">
        <f>VLOOKUP(TableQBRanks3040[[#This Row],[Player]],QB!B:O,7,FALSE)</f>
        <v>24.055478101199999</v>
      </c>
      <c r="I7" s="86">
        <f>VLOOKUP(TableQBRanks3040[[#This Row],[Player]],QB!B:O,8,FALSE)</f>
        <v>12.452247487679998</v>
      </c>
      <c r="J7" s="86">
        <f>VLOOKUP(TableQBRanks3040[[#This Row],[Player]],QB!B:O,9,FALSE)</f>
        <v>143.11168144000001</v>
      </c>
      <c r="K7" s="86">
        <f>VLOOKUP(TableQBRanks3040[[#This Row],[Player]],QB!B:O,10,FALSE)</f>
        <v>981.74613467840015</v>
      </c>
      <c r="L7" s="86">
        <f>VLOOKUP(TableQBRanks3040[[#This Row],[Player]],QB!B:O,11,FALSE)</f>
        <v>7.1555840720000008</v>
      </c>
      <c r="M7" s="58">
        <f>VLOOKUP(TableQBRanks3040[[#This Row],[Player]],QB!B:O,13,FALSE)</f>
        <v>356.81311597053582</v>
      </c>
      <c r="N7" s="133">
        <f>IF(VLOOKUP(TableQBRanks3040[[#This Row],[RK]],'Ranks w Proj'!$A:$N,14,FALSE)&lt;0,0,VLOOKUP(TableQBRanks3040[[#This Row],[RK]],'Ranks w Proj'!$A:$N,14,FALSE))</f>
        <v>14.607735660791997</v>
      </c>
      <c r="P7">
        <v>6</v>
      </c>
      <c r="Q7" t="str">
        <f>VLOOKUP(TableRBRanks3141[[#This Row],[RK]],Rankings!A:T,8,FALSE)</f>
        <v>Derrick Henry</v>
      </c>
      <c r="R7" t="str">
        <f>IFERROR(INDEX(TableRBCalcPts[TM],MATCH(TableRBRanks3141[[#This Row],[Player]],TableRBCalcPts[PLAYER],0)),"")</f>
        <v>TEN</v>
      </c>
      <c r="S7">
        <f>IFERROR(INDEX(TableRBCalcPts[BYE],MATCH(TableRBRanks3141[[#This Row],[Player]],TableRBCalcPts[PLAYER],0)),"")</f>
        <v>7</v>
      </c>
      <c r="T7" s="86">
        <f>VLOOKUP(TableRBRanks3141[[#This Row],[Player]],RB!B:O,4,FALSE)</f>
        <v>316.8067413</v>
      </c>
      <c r="U7" s="86">
        <f>VLOOKUP(TableRBRanks3141[[#This Row],[Player]],RB!B:O,5,FALSE)</f>
        <v>1387.613526894</v>
      </c>
      <c r="V7" s="86">
        <f>VLOOKUP(TableRBRanks3141[[#This Row],[Player]],RB!B:O,6,FALSE)</f>
        <v>12.989076393300001</v>
      </c>
      <c r="W7" s="86">
        <f>VLOOKUP(TableRBRanks3141[[#This Row],[Player]],RB!B:O,7,FALSE)</f>
        <v>34.662521599999998</v>
      </c>
      <c r="X7" s="86">
        <f>VLOOKUP(TableRBRanks3141[[#This Row],[Player]],RB!B:O,8,FALSE)</f>
        <v>26.655267412287635</v>
      </c>
      <c r="Y7" s="86">
        <f>VLOOKUP(TableRBRanks3141[[#This Row],[Player]],RB!B:O,9,FALSE)</f>
        <v>227.98841805430919</v>
      </c>
      <c r="Z7" s="86">
        <f>VLOOKUP(TableRBRanks3141[[#This Row],[Player]],RB!B:O,10,FALSE)</f>
        <v>0.8529685571932043</v>
      </c>
      <c r="AA7" s="58">
        <f>VLOOKUP(TableRBRanks3141[[#This Row],[Player]],RB!B:O,14,FALSE)</f>
        <v>257.94009790393397</v>
      </c>
      <c r="AB7" s="133">
        <f>IF(VLOOKUP(TableRBRanks3141[[#This Row],[RK]],'Ranks w Proj'!$P:$AB,13,FALSE)&lt;0,0,VLOOKUP(TableRBRanks3141[[#This Row],[RK]],'Ranks w Proj'!$P:$AB,13,FALSE))</f>
        <v>48.213820467562925</v>
      </c>
      <c r="AD7">
        <v>6</v>
      </c>
      <c r="AE7" t="str">
        <f>VLOOKUP(TableWRRanks3242[[#This Row],[RK]],Rankings!A:T,13,FALSE)</f>
        <v>Davante Adams</v>
      </c>
      <c r="AF7" t="str">
        <f>IFERROR(INDEX(TableWRCalcPts[TM],MATCH(TableWRRanks3242[[#This Row],[Player]],TableWRCalcPts[PLAYER],0)),"")</f>
        <v>LV</v>
      </c>
      <c r="AG7">
        <f>IFERROR(INDEX(TableWRCalcPts[BYE],MATCH(TableWRRanks3242[[#This Row],[Player]],TableWRCalcPts[PLAYER],0)),"")</f>
        <v>13</v>
      </c>
      <c r="AH7" s="86">
        <f>VLOOKUP(TableWRRanks3242[[#This Row],[Player]],WR!B:O,4,FALSE)</f>
        <v>0</v>
      </c>
      <c r="AI7" s="86">
        <f>VLOOKUP(TableWRRanks3242[[#This Row],[Player]],WR!B:O,5,FALSE)</f>
        <v>0</v>
      </c>
      <c r="AJ7" s="86">
        <f>VLOOKUP(TableWRRanks3242[[#This Row],[Player]],WR!B:O,6,FALSE)</f>
        <v>155.30123700000001</v>
      </c>
      <c r="AK7" s="86">
        <f>VLOOKUP(TableWRRanks3242[[#This Row],[Player]],WR!B:O,7,FALSE)</f>
        <v>97.431002286752246</v>
      </c>
      <c r="AL7" s="86">
        <f>VLOOKUP(TableWRRanks3242[[#This Row],[Player]],WR!B:O,8,FALSE)</f>
        <v>1446.8503839582709</v>
      </c>
      <c r="AM7" s="86">
        <f>VLOOKUP(TableWRRanks3242[[#This Row],[Player]],WR!B:O,9,FALSE)</f>
        <v>10.230255240108985</v>
      </c>
      <c r="AN7" s="58">
        <f>VLOOKUP(TableWRRanks3242[[#This Row],[Player]],WR!B:O,13,FALSE)</f>
        <v>254.78207097985711</v>
      </c>
      <c r="AO7" s="133">
        <f>IF(VLOOKUP(TableWRRanks3242[[#This Row],[RK]],'Ranks w Proj'!AD:AO,12,FALSE)&lt;0,0,VLOOKUP(TableWRRanks3242[[#This Row],[RK]],'Ranks w Proj'!AD:AO,12,FALSE))</f>
        <v>36.124379588691426</v>
      </c>
      <c r="AQ7">
        <v>6</v>
      </c>
      <c r="AR7" t="str">
        <f>VLOOKUP(TableTERanks3343[[#This Row],[RK]],Rankings!A:T,18,FALSE)</f>
        <v>Kyle Pitts</v>
      </c>
      <c r="AS7" t="str">
        <f>IFERROR(INDEX(TableTECalcPts[TM],MATCH(TableTERanks3343[[#This Row],[Player]],TableTECalcPts[PLAYER],0)),"")</f>
        <v>ATL</v>
      </c>
      <c r="AT7">
        <f>IFERROR(INDEX(TableTECalcPts[BYE],MATCH(TableTERanks3343[[#This Row],[Player]],TableTECalcPts[PLAYER],0)),"")</f>
        <v>11</v>
      </c>
      <c r="AU7" s="86">
        <f>VLOOKUP(TableTERanks3343[[#This Row],[Player]],TE!B:O,4,FALSE)</f>
        <v>98.625945599999966</v>
      </c>
      <c r="AV7" s="86">
        <f>VLOOKUP(TableTERanks3343[[#This Row],[Player]],TE!B:O,5,FALSE)</f>
        <v>58.500637645071741</v>
      </c>
      <c r="AW7" s="86">
        <f>VLOOKUP(TableTERanks3343[[#This Row],[Player]],TE!B:O,6,FALSE)</f>
        <v>801.45873573748281</v>
      </c>
      <c r="AX7" s="86">
        <f>VLOOKUP(TableTERanks3343[[#This Row],[Player]],TE!B:O,7,FALSE)</f>
        <v>4.8555529245409543</v>
      </c>
      <c r="AY7" s="58">
        <f>VLOOKUP(TableTERanks3343[[#This Row],[Player]],TE!B:O,11,FALSE)</f>
        <v>138.52950994352989</v>
      </c>
      <c r="AZ7" s="133">
        <f>IF(VLOOKUP(TableTERanks3343[[#This Row],[RK]],'Ranks w Proj'!AQ:AZ,10,FALSE)&lt;0,0,VLOOKUP(TableTERanks3343[[#This Row],[RK]],'Ranks w Proj'!AQ:AZ,10,FALSE))</f>
        <v>8.1624840038677693</v>
      </c>
    </row>
    <row r="8" spans="1:52" x14ac:dyDescent="0.2">
      <c r="A8">
        <v>7</v>
      </c>
      <c r="B8" t="str">
        <f>VLOOKUP(TableQBRanks3040[[#This Row],[RK]],Rankings!A:T,3,FALSE)</f>
        <v>Trevor Lawrence</v>
      </c>
      <c r="C8" t="str">
        <f>IFERROR(INDEX(TableQBCalcPts[TM],MATCH(TableQBRanks3040[[#This Row],[Player]],TableQBCalcPts[PLAYER],0)),"")</f>
        <v>JAX</v>
      </c>
      <c r="D8">
        <f>IFERROR(INDEX(TableQBCalcPts[BYE],MATCH(TableQBRanks3040[[#This Row],[Player]],TableQBCalcPts[PLAYER],0)),"")</f>
        <v>9</v>
      </c>
      <c r="E8" s="86">
        <f>VLOOKUP(TableQBRanks3040[[#This Row],[Player]],QB!B:O,4,FALSE)</f>
        <v>624.40289999999993</v>
      </c>
      <c r="F8" s="86">
        <f>VLOOKUP(TableQBRanks3040[[#This Row],[Player]],QB!B:O,5,FALSE)</f>
        <v>408.98323722422987</v>
      </c>
      <c r="G8" s="86">
        <f>VLOOKUP(TableQBRanks3040[[#This Row],[Player]],QB!B:O,6,FALSE)</f>
        <v>4480.3963671244492</v>
      </c>
      <c r="H8" s="86">
        <f>VLOOKUP(TableQBRanks3040[[#This Row],[Player]],QB!B:O,7,FALSE)</f>
        <v>29.896674641091202</v>
      </c>
      <c r="I8" s="86">
        <f>VLOOKUP(TableQBRanks3040[[#This Row],[Player]],QB!B:O,8,FALSE)</f>
        <v>12.408233141275876</v>
      </c>
      <c r="J8" s="86">
        <f>VLOOKUP(TableQBRanks3040[[#This Row],[Player]],QB!B:O,9,FALSE)</f>
        <v>70.871493000000001</v>
      </c>
      <c r="K8" s="86">
        <f>VLOOKUP(TableQBRanks3040[[#This Row],[Player]],QB!B:O,10,FALSE)</f>
        <v>336.16586305667852</v>
      </c>
      <c r="L8" s="86">
        <f>VLOOKUP(TableQBRanks3040[[#This Row],[Player]],QB!B:O,11,FALSE)</f>
        <v>3.7631583657528882</v>
      </c>
      <c r="M8" s="58">
        <f>VLOOKUP(TableQBRanks3040[[#This Row],[Player]],QB!B:O,13,FALSE)</f>
        <v>342.58985660825209</v>
      </c>
      <c r="N8" s="133">
        <f>IF(VLOOKUP(TableQBRanks3040[[#This Row],[RK]],'Ranks w Proj'!$A:$N,14,FALSE)&lt;0,0,VLOOKUP(TableQBRanks3040[[#This Row],[RK]],'Ranks w Proj'!$A:$N,14,FALSE))</f>
        <v>13.752552921681017</v>
      </c>
      <c r="P8">
        <v>7</v>
      </c>
      <c r="Q8" t="str">
        <f>VLOOKUP(TableRBRanks3141[[#This Row],[RK]],Rankings!A:T,8,FALSE)</f>
        <v>Tony Pollard</v>
      </c>
      <c r="R8" t="str">
        <f>IFERROR(INDEX(TableRBCalcPts[TM],MATCH(TableRBRanks3141[[#This Row],[Player]],TableRBCalcPts[PLAYER],0)),"")</f>
        <v>DAL</v>
      </c>
      <c r="S8">
        <f>IFERROR(INDEX(TableRBCalcPts[BYE],MATCH(TableRBRanks3141[[#This Row],[Player]],TableRBCalcPts[PLAYER],0)),"")</f>
        <v>7</v>
      </c>
      <c r="T8" s="86">
        <f>VLOOKUP(TableRBRanks3141[[#This Row],[Player]],RB!B:O,4,FALSE)</f>
        <v>259.92911615999998</v>
      </c>
      <c r="U8" s="86">
        <f>VLOOKUP(TableRBRanks3141[[#This Row],[Player]],RB!B:O,5,FALSE)</f>
        <v>1169.6810227199999</v>
      </c>
      <c r="V8" s="86">
        <f>VLOOKUP(TableRBRanks3141[[#This Row],[Player]],RB!B:O,6,FALSE)</f>
        <v>11.176951994879998</v>
      </c>
      <c r="W8" s="86">
        <f>VLOOKUP(TableRBRanks3141[[#This Row],[Player]],RB!B:O,7,FALSE)</f>
        <v>53.697853440000003</v>
      </c>
      <c r="X8" s="86">
        <f>VLOOKUP(TableRBRanks3141[[#This Row],[Player]],RB!B:O,8,FALSE)</f>
        <v>40.876432981688012</v>
      </c>
      <c r="Y8" s="86">
        <f>VLOOKUP(TableRBRanks3141[[#This Row],[Player]],RB!B:O,9,FALSE)</f>
        <v>341.31821539709489</v>
      </c>
      <c r="Z8" s="86">
        <f>VLOOKUP(TableRBRanks3141[[#This Row],[Player]],RB!B:O,10,FALSE)</f>
        <v>2.6978445767914088</v>
      </c>
      <c r="AA8" s="58">
        <f>VLOOKUP(TableRBRanks3141[[#This Row],[Player]],RB!B:O,14,FALSE)</f>
        <v>254.78691973258191</v>
      </c>
      <c r="AB8" s="133">
        <f>IF(VLOOKUP(TableRBRanks3141[[#This Row],[RK]],'Ranks w Proj'!$P:$AB,13,FALSE)&lt;0,0,VLOOKUP(TableRBRanks3141[[#This Row],[RK]],'Ranks w Proj'!$P:$AB,13,FALSE))</f>
        <v>47.98714213625037</v>
      </c>
      <c r="AD8">
        <v>7</v>
      </c>
      <c r="AE8" t="str">
        <f>VLOOKUP(TableWRRanks3242[[#This Row],[RK]],Rankings!A:T,13,FALSE)</f>
        <v>CeeDee Lamb</v>
      </c>
      <c r="AF8" t="str">
        <f>IFERROR(INDEX(TableWRCalcPts[TM],MATCH(TableWRRanks3242[[#This Row],[Player]],TableWRCalcPts[PLAYER],0)),"")</f>
        <v>DAL</v>
      </c>
      <c r="AG8">
        <f>IFERROR(INDEX(TableWRCalcPts[BYE],MATCH(TableWRRanks3242[[#This Row],[Player]],TableWRCalcPts[PLAYER],0)),"")</f>
        <v>7</v>
      </c>
      <c r="AH8" s="86">
        <f>VLOOKUP(TableWRRanks3242[[#This Row],[Player]],WR!B:O,4,FALSE)</f>
        <v>68.484851270411014</v>
      </c>
      <c r="AI8" s="86">
        <f>VLOOKUP(TableWRRanks3242[[#This Row],[Player]],WR!B:O,5,FALSE)</f>
        <v>0.57146128062020396</v>
      </c>
      <c r="AJ8" s="86">
        <f>VLOOKUP(TableWRRanks3242[[#This Row],[Player]],WR!B:O,6,FALSE)</f>
        <v>133.67337984</v>
      </c>
      <c r="AK8" s="86">
        <f>VLOOKUP(TableWRRanks3242[[#This Row],[Player]],WR!B:O,7,FALSE)</f>
        <v>91.865365346597017</v>
      </c>
      <c r="AL8" s="86">
        <f>VLOOKUP(TableWRRanks3242[[#This Row],[Player]],WR!B:O,8,FALSE)</f>
        <v>1182.3072520107035</v>
      </c>
      <c r="AM8" s="86">
        <f>VLOOKUP(TableWRRanks3242[[#This Row],[Player]],WR!B:O,9,FALSE)</f>
        <v>7.1654984970345676</v>
      </c>
      <c r="AN8" s="58">
        <f>VLOOKUP(TableWRRanks3242[[#This Row],[Player]],WR!B:O,13,FALSE)</f>
        <v>217.43365166733861</v>
      </c>
      <c r="AO8" s="133">
        <f>IF(VLOOKUP(TableWRRanks3242[[#This Row],[RK]],'Ranks w Proj'!AD:AO,12,FALSE)&lt;0,0,VLOOKUP(TableWRRanks3242[[#This Row],[RK]],'Ranks w Proj'!AD:AO,12,FALSE))</f>
        <v>34.432689701349943</v>
      </c>
      <c r="AQ8">
        <v>7</v>
      </c>
      <c r="AR8" t="str">
        <f>VLOOKUP(TableTERanks3343[[#This Row],[RK]],Rankings!A:T,18,FALSE)</f>
        <v>Dallas Goedert</v>
      </c>
      <c r="AS8" t="str">
        <f>IFERROR(INDEX(TableTECalcPts[TM],MATCH(TableTERanks3343[[#This Row],[Player]],TableTECalcPts[PLAYER],0)),"")</f>
        <v>PHI</v>
      </c>
      <c r="AT8">
        <f>IFERROR(INDEX(TableTECalcPts[BYE],MATCH(TableTERanks3343[[#This Row],[Player]],TableTECalcPts[PLAYER],0)),"")</f>
        <v>10</v>
      </c>
      <c r="AU8" s="86">
        <f>VLOOKUP(TableTERanks3343[[#This Row],[Player]],TE!B:O,4,FALSE)</f>
        <v>92.226094799999998</v>
      </c>
      <c r="AV8" s="86">
        <f>VLOOKUP(TableTERanks3343[[#This Row],[Player]],TE!B:O,5,FALSE)</f>
        <v>66.556717988062132</v>
      </c>
      <c r="AW8" s="86">
        <f>VLOOKUP(TableTERanks3343[[#This Row],[Player]],TE!B:O,6,FALSE)</f>
        <v>805.33628765555181</v>
      </c>
      <c r="AX8" s="86">
        <f>VLOOKUP(TableTERanks3343[[#This Row],[Player]],TE!B:O,7,FALSE)</f>
        <v>4.4593001052001631</v>
      </c>
      <c r="AY8" s="58">
        <f>VLOOKUP(TableTERanks3343[[#This Row],[Player]],TE!B:O,11,FALSE)</f>
        <v>140.56778839078723</v>
      </c>
      <c r="AZ8" s="133">
        <f>IF(VLOOKUP(TableTERanks3343[[#This Row],[RK]],'Ranks w Proj'!AQ:AZ,10,FALSE)&lt;0,0,VLOOKUP(TableTERanks3343[[#This Row],[RK]],'Ranks w Proj'!AQ:AZ,10,FALSE))</f>
        <v>7.3971090648731259</v>
      </c>
    </row>
    <row r="9" spans="1:52" x14ac:dyDescent="0.2">
      <c r="A9">
        <v>8</v>
      </c>
      <c r="B9" t="str">
        <f>VLOOKUP(TableQBRanks3040[[#This Row],[RK]],Rankings!A:T,3,FALSE)</f>
        <v>Justin Herbert</v>
      </c>
      <c r="C9" t="str">
        <f>IFERROR(INDEX(TableQBCalcPts[TM],MATCH(TableQBRanks3040[[#This Row],[Player]],TableQBCalcPts[PLAYER],0)),"")</f>
        <v>LAC</v>
      </c>
      <c r="D9">
        <f>IFERROR(INDEX(TableQBCalcPts[BYE],MATCH(TableQBRanks3040[[#This Row],[Player]],TableQBCalcPts[PLAYER],0)),"")</f>
        <v>5</v>
      </c>
      <c r="E9" s="86">
        <f>VLOOKUP(TableQBRanks3040[[#This Row],[Player]],QB!B:O,4,FALSE)</f>
        <v>667.03229999999996</v>
      </c>
      <c r="F9" s="86">
        <f>VLOOKUP(TableQBRanks3040[[#This Row],[Player]],QB!B:O,5,FALSE)</f>
        <v>445.5775764</v>
      </c>
      <c r="G9" s="86">
        <f>VLOOKUP(TableQBRanks3040[[#This Row],[Player]],QB!B:O,6,FALSE)</f>
        <v>4785.5031705359997</v>
      </c>
      <c r="H9" s="86">
        <f>VLOOKUP(TableQBRanks3040[[#This Row],[Player]],QB!B:O,7,FALSE)</f>
        <v>32.215258773720002</v>
      </c>
      <c r="I9" s="86">
        <f>VLOOKUP(TableQBRanks3040[[#This Row],[Player]],QB!B:O,8,FALSE)</f>
        <v>12.272600328966291</v>
      </c>
      <c r="J9" s="86">
        <f>VLOOKUP(TableQBRanks3040[[#This Row],[Player]],QB!B:O,9,FALSE)</f>
        <v>59.850756000000011</v>
      </c>
      <c r="K9" s="86">
        <f>VLOOKUP(TableQBRanks3040[[#This Row],[Player]],QB!B:O,10,FALSE)</f>
        <v>226.83436524000004</v>
      </c>
      <c r="L9" s="86">
        <f>VLOOKUP(TableQBRanks3040[[#This Row],[Player]],QB!B:O,11,FALSE)</f>
        <v>1.5955992236678396</v>
      </c>
      <c r="M9" s="58">
        <f>VLOOKUP(TableQBRanks3040[[#This Row],[Player]],QB!B:O,13,FALSE)</f>
        <v>340.26559345336074</v>
      </c>
      <c r="N9" s="133">
        <f>IF(VLOOKUP(TableQBRanks3040[[#This Row],[RK]],'Ranks w Proj'!$A:$N,14,FALSE)&lt;0,0,VLOOKUP(TableQBRanks3040[[#This Row],[RK]],'Ranks w Proj'!$A:$N,14,FALSE))</f>
        <v>9.2204045523835276</v>
      </c>
      <c r="P9">
        <v>8</v>
      </c>
      <c r="Q9" t="str">
        <f>VLOOKUP(TableRBRanks3141[[#This Row],[RK]],Rankings!A:T,8,FALSE)</f>
        <v>Josh Jacobs</v>
      </c>
      <c r="R9" t="str">
        <f>IFERROR(INDEX(TableRBCalcPts[TM],MATCH(TableRBRanks3141[[#This Row],[Player]],TableRBCalcPts[PLAYER],0)),"")</f>
        <v>LV</v>
      </c>
      <c r="S9">
        <f>IFERROR(INDEX(TableRBCalcPts[BYE],MATCH(TableRBRanks3141[[#This Row],[Player]],TableRBCalcPts[PLAYER],0)),"")</f>
        <v>13</v>
      </c>
      <c r="T9" s="86">
        <f>VLOOKUP(TableRBRanks3141[[#This Row],[Player]],RB!B:O,4,FALSE)</f>
        <v>260.556422</v>
      </c>
      <c r="U9" s="86">
        <f>VLOOKUP(TableRBRanks3141[[#This Row],[Player]],RB!B:O,5,FALSE)</f>
        <v>1156.8705136800002</v>
      </c>
      <c r="V9" s="86">
        <f>VLOOKUP(TableRBRanks3141[[#This Row],[Player]],RB!B:O,6,FALSE)</f>
        <v>9.3591640216440837</v>
      </c>
      <c r="W9" s="86">
        <f>VLOOKUP(TableRBRanks3141[[#This Row],[Player]],RB!B:O,7,FALSE)</f>
        <v>49.011417000000002</v>
      </c>
      <c r="X9" s="86">
        <f>VLOOKUP(TableRBRanks3141[[#This Row],[Player]],RB!B:O,8,FALSE)</f>
        <v>38.390217826885419</v>
      </c>
      <c r="Y9" s="86">
        <f>VLOOKUP(TableRBRanks3141[[#This Row],[Player]],RB!B:O,9,FALSE)</f>
        <v>291.76565548432916</v>
      </c>
      <c r="Z9" s="86">
        <f>VLOOKUP(TableRBRanks3141[[#This Row],[Player]],RB!B:O,10,FALSE)</f>
        <v>1.3052674061141043</v>
      </c>
      <c r="AA9" s="58">
        <f>VLOOKUP(TableRBRanks3141[[#This Row],[Player]],RB!B:O,14,FALSE)</f>
        <v>228.04531439642474</v>
      </c>
      <c r="AB9" s="133">
        <f>IF(VLOOKUP(TableRBRanks3141[[#This Row],[RK]],'Ranks w Proj'!$P:$AB,13,FALSE)&lt;0,0,VLOOKUP(TableRBRanks3141[[#This Row],[RK]],'Ranks w Proj'!$P:$AB,13,FALSE))</f>
        <v>38.470199372353001</v>
      </c>
      <c r="AD9">
        <v>8</v>
      </c>
      <c r="AE9" t="str">
        <f>VLOOKUP(TableWRRanks3242[[#This Row],[RK]],Rankings!A:T,13,FALSE)</f>
        <v>Jaylen Waddle</v>
      </c>
      <c r="AF9" t="str">
        <f>IFERROR(INDEX(TableWRCalcPts[TM],MATCH(TableWRRanks3242[[#This Row],[Player]],TableWRCalcPts[PLAYER],0)),"")</f>
        <v>MIA</v>
      </c>
      <c r="AG9">
        <f>IFERROR(INDEX(TableWRCalcPts[BYE],MATCH(TableWRRanks3242[[#This Row],[Player]],TableWRCalcPts[PLAYER],0)),"")</f>
        <v>10</v>
      </c>
      <c r="AH9" s="86">
        <f>VLOOKUP(TableWRRanks3242[[#This Row],[Player]],WR!B:O,4,FALSE)</f>
        <v>23.815669442314594</v>
      </c>
      <c r="AI9" s="86">
        <f>VLOOKUP(TableWRRanks3242[[#This Row],[Player]],WR!B:O,5,FALSE)</f>
        <v>0.37977990960000002</v>
      </c>
      <c r="AJ9" s="86">
        <f>VLOOKUP(TableWRRanks3242[[#This Row],[Player]],WR!B:O,6,FALSE)</f>
        <v>133.68713904000003</v>
      </c>
      <c r="AK9" s="86">
        <f>VLOOKUP(TableWRRanks3242[[#This Row],[Player]],WR!B:O,7,FALSE)</f>
        <v>88.768260322560025</v>
      </c>
      <c r="AL9" s="86">
        <f>VLOOKUP(TableWRRanks3242[[#This Row],[Player]],WR!B:O,8,FALSE)</f>
        <v>1207.2483403868164</v>
      </c>
      <c r="AM9" s="86">
        <f>VLOOKUP(TableWRRanks3242[[#This Row],[Player]],WR!B:O,9,FALSE)</f>
        <v>7.3677656067724824</v>
      </c>
      <c r="AN9" s="58">
        <f>VLOOKUP(TableWRRanks3242[[#This Row],[Player]],WR!B:O,13,FALSE)</f>
        <v>213.97580424242801</v>
      </c>
      <c r="AO9" s="133">
        <f>IF(VLOOKUP(TableWRRanks3242[[#This Row],[RK]],'Ranks w Proj'!AD:AO,12,FALSE)&lt;0,0,VLOOKUP(TableWRRanks3242[[#This Row],[RK]],'Ranks w Proj'!AD:AO,12,FALSE))</f>
        <v>29.84315860062836</v>
      </c>
      <c r="AQ9">
        <v>8</v>
      </c>
      <c r="AR9" t="str">
        <f>VLOOKUP(TableTERanks3343[[#This Row],[RK]],Rankings!A:T,18,FALSE)</f>
        <v>Evan Engram</v>
      </c>
      <c r="AS9" t="str">
        <f>IFERROR(INDEX(TableTECalcPts[TM],MATCH(TableTERanks3343[[#This Row],[Player]],TableTECalcPts[PLAYER],0)),"")</f>
        <v>JAX</v>
      </c>
      <c r="AT9">
        <f>IFERROR(INDEX(TableTECalcPts[BYE],MATCH(TableTERanks3343[[#This Row],[Player]],TableTECalcPts[PLAYER],0)),"")</f>
        <v>9</v>
      </c>
      <c r="AU9" s="86">
        <f>VLOOKUP(TableTERanks3343[[#This Row],[Player]],TE!B:O,4,FALSE)</f>
        <v>96.422944799999982</v>
      </c>
      <c r="AV9" s="86">
        <f>VLOOKUP(TableTERanks3343[[#This Row],[Player]],TE!B:O,5,FALSE)</f>
        <v>66.462875643477659</v>
      </c>
      <c r="AW9" s="86">
        <f>VLOOKUP(TableTERanks3343[[#This Row],[Player]],TE!B:O,6,FALSE)</f>
        <v>709.67573884925434</v>
      </c>
      <c r="AX9" s="86">
        <f>VLOOKUP(TableTERanks3343[[#This Row],[Player]],TE!B:O,7,FALSE)</f>
        <v>4.6524012950434361</v>
      </c>
      <c r="AY9" s="58">
        <f>VLOOKUP(TableTERanks3343[[#This Row],[Player]],TE!B:O,11,FALSE)</f>
        <v>132.11341947692489</v>
      </c>
      <c r="AZ9" s="133">
        <f>IF(VLOOKUP(TableTERanks3343[[#This Row],[RK]],'Ranks w Proj'!AQ:AZ,10,FALSE)&lt;0,0,VLOOKUP(TableTERanks3343[[#This Row],[RK]],'Ranks w Proj'!AQ:AZ,10,FALSE))</f>
        <v>7.3447270315376123</v>
      </c>
    </row>
    <row r="10" spans="1:52" x14ac:dyDescent="0.2">
      <c r="A10">
        <v>9</v>
      </c>
      <c r="B10" t="str">
        <f>VLOOKUP(TableQBRanks3040[[#This Row],[RK]],Rankings!A:T,3,FALSE)</f>
        <v>Tua Tagovailoa</v>
      </c>
      <c r="C10" t="str">
        <f>IFERROR(INDEX(TableQBCalcPts[TM],MATCH(TableQBRanks3040[[#This Row],[Player]],TableQBCalcPts[PLAYER],0)),"")</f>
        <v>MIA</v>
      </c>
      <c r="D10">
        <f>IFERROR(INDEX(TableQBCalcPts[BYE],MATCH(TableQBRanks3040[[#This Row],[Player]],TableQBCalcPts[PLAYER],0)),"")</f>
        <v>10</v>
      </c>
      <c r="E10" s="86">
        <f>VLOOKUP(TableQBRanks3040[[#This Row],[Player]],QB!B:O,4,FALSE)</f>
        <v>596.04948000000002</v>
      </c>
      <c r="F10" s="86">
        <f>VLOOKUP(TableQBRanks3040[[#This Row],[Player]],QB!B:O,5,FALSE)</f>
        <v>395.77685472000002</v>
      </c>
      <c r="G10" s="86">
        <f>VLOOKUP(TableQBRanks3040[[#This Row],[Player]],QB!B:O,6,FALSE)</f>
        <v>4527.6872179968004</v>
      </c>
      <c r="H10" s="86">
        <f>VLOOKUP(TableQBRanks3040[[#This Row],[Player]],QB!B:O,7,FALSE)</f>
        <v>30.751861611744005</v>
      </c>
      <c r="I10" s="86">
        <f>VLOOKUP(TableQBRanks3040[[#This Row],[Player]],QB!B:O,8,FALSE)</f>
        <v>13.338919533595861</v>
      </c>
      <c r="J10" s="86">
        <f>VLOOKUP(TableQBRanks3040[[#This Row],[Player]],QB!B:O,9,FALSE)</f>
        <v>44.242401840000007</v>
      </c>
      <c r="K10" s="86">
        <f>VLOOKUP(TableQBRanks3040[[#This Row],[Player]],QB!B:O,10,FALSE)</f>
        <v>139.01369284484511</v>
      </c>
      <c r="L10" s="86">
        <f>VLOOKUP(TableQBRanks3040[[#This Row],[Player]],QB!B:O,11,FALSE)</f>
        <v>1.5714405338178845</v>
      </c>
      <c r="M10" s="58">
        <f>VLOOKUP(TableQBRanks3040[[#This Row],[Player]],QB!B:O,13,FALSE)</f>
        <v>314.106028120644</v>
      </c>
      <c r="N10" s="133">
        <f>IF(VLOOKUP(TableQBRanks3040[[#This Row],[RK]],'Ranks w Proj'!$A:$N,14,FALSE)&lt;0,0,VLOOKUP(TableQBRanks3040[[#This Row],[RK]],'Ranks w Proj'!$A:$N,14,FALSE))</f>
        <v>7.3595471522134748</v>
      </c>
      <c r="P10">
        <v>9</v>
      </c>
      <c r="Q10" t="str">
        <f>VLOOKUP(TableRBRanks3141[[#This Row],[RK]],Rankings!A:T,8,FALSE)</f>
        <v>Rhamondre Stevenson</v>
      </c>
      <c r="R10" t="str">
        <f>IFERROR(INDEX(TableRBCalcPts[TM],MATCH(TableRBRanks3141[[#This Row],[Player]],TableRBCalcPts[PLAYER],0)),"")</f>
        <v>NE</v>
      </c>
      <c r="S10">
        <f>IFERROR(INDEX(TableRBCalcPts[BYE],MATCH(TableRBRanks3141[[#This Row],[Player]],TableRBCalcPts[PLAYER],0)),"")</f>
        <v>11</v>
      </c>
      <c r="T10" s="86">
        <f>VLOOKUP(TableRBRanks3141[[#This Row],[Player]],RB!B:O,4,FALSE)</f>
        <v>226.28144924000003</v>
      </c>
      <c r="U10" s="86">
        <f>VLOOKUP(TableRBRanks3141[[#This Row],[Player]],RB!B:O,5,FALSE)</f>
        <v>1055.3703652018612</v>
      </c>
      <c r="V10" s="86">
        <f>VLOOKUP(TableRBRanks3141[[#This Row],[Player]],RB!B:O,6,FALSE)</f>
        <v>5.430754781760001</v>
      </c>
      <c r="W10" s="86">
        <f>VLOOKUP(TableRBRanks3141[[#This Row],[Player]],RB!B:O,7,FALSE)</f>
        <v>72.740298119999977</v>
      </c>
      <c r="X10" s="86">
        <f>VLOOKUP(TableRBRanks3141[[#This Row],[Player]],RB!B:O,8,FALSE)</f>
        <v>56.354145229868308</v>
      </c>
      <c r="Y10" s="86">
        <f>VLOOKUP(TableRBRanks3141[[#This Row],[Player]],RB!B:O,9,FALSE)</f>
        <v>405.18630420275315</v>
      </c>
      <c r="Z10" s="86">
        <f>VLOOKUP(TableRBRanks3141[[#This Row],[Player]],RB!B:O,10,FALSE)</f>
        <v>2.1414575187349958</v>
      </c>
      <c r="AA10" s="58">
        <f>VLOOKUP(TableRBRanks3141[[#This Row],[Player]],RB!B:O,14,FALSE)</f>
        <v>219.66601335836557</v>
      </c>
      <c r="AB10" s="133">
        <f>IF(VLOOKUP(TableRBRanks3141[[#This Row],[RK]],'Ranks w Proj'!$P:$AB,13,FALSE)&lt;0,0,VLOOKUP(TableRBRanks3141[[#This Row],[RK]],'Ranks w Proj'!$P:$AB,13,FALSE))</f>
        <v>35.417101649489062</v>
      </c>
      <c r="AD10">
        <v>9</v>
      </c>
      <c r="AE10" t="str">
        <f>VLOOKUP(TableWRRanks3242[[#This Row],[RK]],Rankings!A:T,13,FALSE)</f>
        <v>Garrett Wilson</v>
      </c>
      <c r="AF10" t="str">
        <f>IFERROR(INDEX(TableWRCalcPts[TM],MATCH(TableWRRanks3242[[#This Row],[Player]],TableWRCalcPts[PLAYER],0)),"")</f>
        <v>NYJ</v>
      </c>
      <c r="AG10">
        <f>IFERROR(INDEX(TableWRCalcPts[BYE],MATCH(TableWRRanks3242[[#This Row],[Player]],TableWRCalcPts[PLAYER],0)),"")</f>
        <v>7</v>
      </c>
      <c r="AH10" s="86">
        <f>VLOOKUP(TableWRRanks3242[[#This Row],[Player]],WR!B:O,4,FALSE)</f>
        <v>43.031130913705582</v>
      </c>
      <c r="AI10" s="86">
        <f>VLOOKUP(TableWRRanks3242[[#This Row],[Player]],WR!B:O,5,FALSE)</f>
        <v>0.44957897969543154</v>
      </c>
      <c r="AJ10" s="86">
        <f>VLOOKUP(TableWRRanks3242[[#This Row],[Player]],WR!B:O,6,FALSE)</f>
        <v>130.79266199999998</v>
      </c>
      <c r="AK10" s="86">
        <f>VLOOKUP(TableWRRanks3242[[#This Row],[Player]],WR!B:O,7,FALSE)</f>
        <v>82.288203060966879</v>
      </c>
      <c r="AL10" s="86">
        <f>VLOOKUP(TableWRRanks3242[[#This Row],[Player]],WR!B:O,8,FALSE)</f>
        <v>1111.8057029179306</v>
      </c>
      <c r="AM10" s="86">
        <f>VLOOKUP(TableWRRanks3242[[#This Row],[Player]],WR!B:O,9,FALSE)</f>
        <v>8.0642438999747537</v>
      </c>
      <c r="AN10" s="58">
        <f>VLOOKUP(TableWRRanks3242[[#This Row],[Player]],WR!B:O,13,FALSE)</f>
        <v>207.71072219166814</v>
      </c>
      <c r="AO10" s="133">
        <f>IF(VLOOKUP(TableWRRanks3242[[#This Row],[RK]],'Ranks w Proj'!AD:AO,12,FALSE)&lt;0,0,VLOOKUP(TableWRRanks3242[[#This Row],[RK]],'Ranks w Proj'!AD:AO,12,FALSE))</f>
        <v>28.658957993578451</v>
      </c>
      <c r="AQ10">
        <v>9</v>
      </c>
      <c r="AR10" t="str">
        <f>VLOOKUP(TableTERanks3343[[#This Row],[RK]],Rankings!A:T,18,FALSE)</f>
        <v>Tyler Higbee</v>
      </c>
      <c r="AS10" t="str">
        <f>IFERROR(INDEX(TableTECalcPts[TM],MATCH(TableTERanks3343[[#This Row],[Player]],TableTECalcPts[PLAYER],0)),"")</f>
        <v>LAR</v>
      </c>
      <c r="AT10">
        <f>IFERROR(INDEX(TableTECalcPts[BYE],MATCH(TableTERanks3343[[#This Row],[Player]],TableTECalcPts[PLAYER],0)),"")</f>
        <v>10</v>
      </c>
      <c r="AU10" s="86">
        <f>VLOOKUP(TableTERanks3343[[#This Row],[Player]],TE!B:O,4,FALSE)</f>
        <v>105.02997120000001</v>
      </c>
      <c r="AV10" s="86">
        <f>VLOOKUP(TableTERanks3343[[#This Row],[Player]],TE!B:O,5,FALSE)</f>
        <v>71.630440358400008</v>
      </c>
      <c r="AW10" s="86">
        <f>VLOOKUP(TableTERanks3343[[#This Row],[Player]],TE!B:O,6,FALSE)</f>
        <v>694.81527147648001</v>
      </c>
      <c r="AX10" s="86">
        <f>VLOOKUP(TableTERanks3343[[#This Row],[Player]],TE!B:O,7,FALSE)</f>
        <v>5.5155439075968005</v>
      </c>
      <c r="AY10" s="58">
        <f>VLOOKUP(TableTERanks3343[[#This Row],[Player]],TE!B:O,11,FALSE)</f>
        <v>138.39001077242881</v>
      </c>
      <c r="AZ10" s="133">
        <f>IF(VLOOKUP(TableTERanks3343[[#This Row],[RK]],'Ranks w Proj'!AQ:AZ,10,FALSE)&lt;0,0,VLOOKUP(TableTERanks3343[[#This Row],[RK]],'Ranks w Proj'!AQ:AZ,10,FALSE))</f>
        <v>5.2618316984870264</v>
      </c>
    </row>
    <row r="11" spans="1:52" x14ac:dyDescent="0.2">
      <c r="A11">
        <v>10</v>
      </c>
      <c r="B11" t="str">
        <f>VLOOKUP(TableQBRanks3040[[#This Row],[RK]],Rankings!A:T,3,FALSE)</f>
        <v>Daniel Jones</v>
      </c>
      <c r="C11" t="str">
        <f>IFERROR(INDEX(TableQBCalcPts[TM],MATCH(TableQBRanks3040[[#This Row],[Player]],TableQBCalcPts[PLAYER],0)),"")</f>
        <v>NYG</v>
      </c>
      <c r="D11">
        <f>IFERROR(INDEX(TableQBCalcPts[BYE],MATCH(TableQBRanks3040[[#This Row],[Player]],TableQBCalcPts[PLAYER],0)),"")</f>
        <v>13</v>
      </c>
      <c r="E11" s="86">
        <f>VLOOKUP(TableQBRanks3040[[#This Row],[Player]],QB!B:O,4,FALSE)</f>
        <v>526.15628000000004</v>
      </c>
      <c r="F11" s="86">
        <f>VLOOKUP(TableQBRanks3040[[#This Row],[Player]],QB!B:O,5,FALSE)</f>
        <v>351.47239504000004</v>
      </c>
      <c r="G11" s="86">
        <f>VLOOKUP(TableQBRanks3040[[#This Row],[Player]],QB!B:O,6,FALSE)</f>
        <v>3711.5484916224004</v>
      </c>
      <c r="H11" s="86">
        <f>VLOOKUP(TableQBRanks3040[[#This Row],[Player]],QB!B:O,7,FALSE)</f>
        <v>20.877460265376001</v>
      </c>
      <c r="I11" s="86">
        <f>VLOOKUP(TableQBRanks3040[[#This Row],[Player]],QB!B:O,8,FALSE)</f>
        <v>9.3890380988590607</v>
      </c>
      <c r="J11" s="86">
        <f>VLOOKUP(TableQBRanks3040[[#This Row],[Player]],QB!B:O,9,FALSE)</f>
        <v>101.65132025999999</v>
      </c>
      <c r="K11" s="86">
        <f>VLOOKUP(TableQBRanks3040[[#This Row],[Player]],QB!B:O,10,FALSE)</f>
        <v>576.21100381432632</v>
      </c>
      <c r="L11" s="86">
        <f>VLOOKUP(TableQBRanks3040[[#This Row],[Player]],QB!B:O,11,FALSE)</f>
        <v>5.5908226142999995</v>
      </c>
      <c r="M11" s="58">
        <f>VLOOKUP(TableQBRanks3040[[#This Row],[Player]],QB!B:O,13,FALSE)</f>
        <v>313.74877869477359</v>
      </c>
      <c r="N11" s="133">
        <f>IF(VLOOKUP(TableQBRanks3040[[#This Row],[RK]],'Ranks w Proj'!$A:$N,14,FALSE)&lt;0,0,VLOOKUP(TableQBRanks3040[[#This Row],[RK]],'Ranks w Proj'!$A:$N,14,FALSE))</f>
        <v>5.2274953845680132</v>
      </c>
      <c r="P11">
        <v>10</v>
      </c>
      <c r="Q11" t="str">
        <f>VLOOKUP(TableRBRanks3141[[#This Row],[RK]],Rankings!A:T,8,FALSE)</f>
        <v>Joe Mixon</v>
      </c>
      <c r="R11" t="str">
        <f>IFERROR(INDEX(TableRBCalcPts[TM],MATCH(TableRBRanks3141[[#This Row],[Player]],TableRBCalcPts[PLAYER],0)),"")</f>
        <v>CIN</v>
      </c>
      <c r="S11">
        <f>IFERROR(INDEX(TableRBCalcPts[BYE],MATCH(TableRBRanks3141[[#This Row],[Player]],TableRBCalcPts[PLAYER],0)),"")</f>
        <v>7</v>
      </c>
      <c r="T11" s="86">
        <f>VLOOKUP(TableRBRanks3141[[#This Row],[Player]],RB!B:O,4,FALSE)</f>
        <v>250.90128756000001</v>
      </c>
      <c r="U11" s="86">
        <f>VLOOKUP(TableRBRanks3141[[#This Row],[Player]],RB!B:O,5,FALSE)</f>
        <v>1028.6952789960001</v>
      </c>
      <c r="V11" s="86">
        <f>VLOOKUP(TableRBRanks3141[[#This Row],[Player]],RB!B:O,6,FALSE)</f>
        <v>9.7851502148399998</v>
      </c>
      <c r="W11" s="86">
        <f>VLOOKUP(TableRBRanks3141[[#This Row],[Player]],RB!B:O,7,FALSE)</f>
        <v>49.234180799999997</v>
      </c>
      <c r="X11" s="86">
        <f>VLOOKUP(TableRBRanks3141[[#This Row],[Player]],RB!B:O,8,FALSE)</f>
        <v>39.402501507583622</v>
      </c>
      <c r="Y11" s="86">
        <f>VLOOKUP(TableRBRanks3141[[#This Row],[Player]],RB!B:O,9,FALSE)</f>
        <v>280.58303736916434</v>
      </c>
      <c r="Z11" s="86">
        <f>VLOOKUP(TableRBRanks3141[[#This Row],[Player]],RB!B:O,10,FALSE)</f>
        <v>1.5761000603033448</v>
      </c>
      <c r="AA11" s="58">
        <f>VLOOKUP(TableRBRanks3141[[#This Row],[Player]],RB!B:O,14,FALSE)</f>
        <v>218.79658404116833</v>
      </c>
      <c r="AB11" s="133">
        <f>IF(VLOOKUP(TableRBRanks3141[[#This Row],[RK]],'Ranks w Proj'!$P:$AB,13,FALSE)&lt;0,0,VLOOKUP(TableRBRanks3141[[#This Row],[RK]],'Ranks w Proj'!$P:$AB,13,FALSE))</f>
        <v>35.100314765180997</v>
      </c>
      <c r="AD11">
        <v>10</v>
      </c>
      <c r="AE11" t="str">
        <f>VLOOKUP(TableWRRanks3242[[#This Row],[RK]],Rankings!A:T,13,FALSE)</f>
        <v>A.J. Brown</v>
      </c>
      <c r="AF11" t="str">
        <f>IFERROR(INDEX(TableWRCalcPts[TM],MATCH(TableWRRanks3242[[#This Row],[Player]],TableWRCalcPts[PLAYER],0)),"")</f>
        <v>PHI</v>
      </c>
      <c r="AG11">
        <f>IFERROR(INDEX(TableWRCalcPts[BYE],MATCH(TableWRRanks3242[[#This Row],[Player]],TableWRCalcPts[PLAYER],0)),"")</f>
        <v>10</v>
      </c>
      <c r="AH11" s="86">
        <f>VLOOKUP(TableWRRanks3242[[#This Row],[Player]],WR!B:O,4,FALSE)</f>
        <v>0</v>
      </c>
      <c r="AI11" s="86">
        <f>VLOOKUP(TableWRRanks3242[[#This Row],[Player]],WR!B:O,5,FALSE)</f>
        <v>0</v>
      </c>
      <c r="AJ11" s="86">
        <f>VLOOKUP(TableWRRanks3242[[#This Row],[Player]],WR!B:O,6,FALSE)</f>
        <v>124.77648120000001</v>
      </c>
      <c r="AK11" s="86">
        <f>VLOOKUP(TableWRRanks3242[[#This Row],[Player]],WR!B:O,7,FALSE)</f>
        <v>76.485837068931659</v>
      </c>
      <c r="AL11" s="86">
        <f>VLOOKUP(TableWRRanks3242[[#This Row],[Player]],WR!B:O,8,FALSE)</f>
        <v>1223.7733931029065</v>
      </c>
      <c r="AM11" s="86">
        <f>VLOOKUP(TableWRRanks3242[[#This Row],[Player]],WR!B:O,9,FALSE)</f>
        <v>7.6485837068931666</v>
      </c>
      <c r="AN11" s="58">
        <f>VLOOKUP(TableWRRanks3242[[#This Row],[Player]],WR!B:O,13,FALSE)</f>
        <v>206.51176008611552</v>
      </c>
      <c r="AO11" s="133">
        <f>IF(VLOOKUP(TableWRRanks3242[[#This Row],[RK]],'Ranks w Proj'!AD:AO,12,FALSE)&lt;0,0,VLOOKUP(TableWRRanks3242[[#This Row],[RK]],'Ranks w Proj'!AD:AO,12,FALSE))</f>
        <v>26.513370564162262</v>
      </c>
      <c r="AQ11">
        <v>10</v>
      </c>
      <c r="AR11" t="str">
        <f>VLOOKUP(TableTERanks3343[[#This Row],[RK]],Rankings!A:T,18,FALSE)</f>
        <v>Pat Freiermuth</v>
      </c>
      <c r="AS11" t="str">
        <f>IFERROR(INDEX(TableTECalcPts[TM],MATCH(TableTERanks3343[[#This Row],[Player]],TableTECalcPts[PLAYER],0)),"")</f>
        <v>PIT</v>
      </c>
      <c r="AT11">
        <f>IFERROR(INDEX(TableTECalcPts[BYE],MATCH(TableTERanks3343[[#This Row],[Player]],TableTECalcPts[PLAYER],0)),"")</f>
        <v>6</v>
      </c>
      <c r="AU11" s="86">
        <f>VLOOKUP(TableTERanks3343[[#This Row],[Player]],TE!B:O,4,FALSE)</f>
        <v>90.615077700000001</v>
      </c>
      <c r="AV11" s="86">
        <f>VLOOKUP(TableTERanks3343[[#This Row],[Player]],TE!B:O,5,FALSE)</f>
        <v>61.708867913700004</v>
      </c>
      <c r="AW11" s="86">
        <f>VLOOKUP(TableTERanks3343[[#This Row],[Player]],TE!B:O,6,FALSE)</f>
        <v>660.28488667658996</v>
      </c>
      <c r="AX11" s="86">
        <f>VLOOKUP(TableTERanks3343[[#This Row],[Player]],TE!B:O,7,FALSE)</f>
        <v>4.0727852823042001</v>
      </c>
      <c r="AY11" s="58">
        <f>VLOOKUP(TableTERanks3343[[#This Row],[Player]],TE!B:O,11,FALSE)</f>
        <v>121.31963431833421</v>
      </c>
      <c r="AZ11" s="133">
        <f>IF(VLOOKUP(TableTERanks3343[[#This Row],[RK]],'Ranks w Proj'!AQ:AZ,10,FALSE)&lt;0,0,VLOOKUP(TableTERanks3343[[#This Row],[RK]],'Ranks w Proj'!AQ:AZ,10,FALSE))</f>
        <v>4.9878627442491421</v>
      </c>
    </row>
    <row r="12" spans="1:52" x14ac:dyDescent="0.2">
      <c r="A12">
        <v>11</v>
      </c>
      <c r="B12" t="str">
        <f>VLOOKUP(TableQBRanks3040[[#This Row],[RK]],Rankings!A:T,3,FALSE)</f>
        <v>Anthony Richardson</v>
      </c>
      <c r="C12" t="str">
        <f>IFERROR(INDEX(TableQBCalcPts[TM],MATCH(TableQBRanks3040[[#This Row],[Player]],TableQBCalcPts[PLAYER],0)),"")</f>
        <v>IND</v>
      </c>
      <c r="D12">
        <f>IFERROR(INDEX(TableQBCalcPts[BYE],MATCH(TableQBRanks3040[[#This Row],[Player]],TableQBCalcPts[PLAYER],0)),"")</f>
        <v>11</v>
      </c>
      <c r="E12" s="86">
        <f>VLOOKUP(TableQBRanks3040[[#This Row],[Player]],QB!B:O,4,FALSE)</f>
        <v>518.21550000000002</v>
      </c>
      <c r="F12" s="86">
        <f>VLOOKUP(TableQBRanks3040[[#This Row],[Player]],QB!B:O,5,FALSE)</f>
        <v>312.4839465</v>
      </c>
      <c r="G12" s="86">
        <f>VLOOKUP(TableQBRanks3040[[#This Row],[Player]],QB!B:O,6,FALSE)</f>
        <v>3506.0698797300001</v>
      </c>
      <c r="H12" s="86">
        <f>VLOOKUP(TableQBRanks3040[[#This Row],[Player]],QB!B:O,7,FALSE)</f>
        <v>19.498998261600001</v>
      </c>
      <c r="I12" s="86">
        <f>VLOOKUP(TableQBRanks3040[[#This Row],[Player]],QB!B:O,8,FALSE)</f>
        <v>15.157748978709568</v>
      </c>
      <c r="J12" s="86">
        <f>VLOOKUP(TableQBRanks3040[[#This Row],[Player]],QB!B:O,9,FALSE)</f>
        <v>121.4009104</v>
      </c>
      <c r="K12" s="86">
        <f>VLOOKUP(TableQBRanks3040[[#This Row],[Player]],QB!B:O,10,FALSE)</f>
        <v>718.69338956800004</v>
      </c>
      <c r="L12" s="86">
        <f>VLOOKUP(TableQBRanks3040[[#This Row],[Player]],QB!B:O,11,FALSE)</f>
        <v>7.0412528032000008</v>
      </c>
      <c r="M12" s="58">
        <f>VLOOKUP(TableQBRanks3040[[#This Row],[Player]],QB!B:O,13,FALSE)</f>
        <v>317.19789503289041</v>
      </c>
      <c r="N12" s="133">
        <f>IF(VLOOKUP(TableQBRanks3040[[#This Row],[RK]],'Ranks w Proj'!$A:$N,14,FALSE)&lt;0,0,VLOOKUP(TableQBRanks3040[[#This Row],[RK]],'Ranks w Proj'!$A:$N,14,FALSE))</f>
        <v>4.8372348258666884</v>
      </c>
      <c r="P12">
        <v>11</v>
      </c>
      <c r="Q12" t="str">
        <f>VLOOKUP(TableRBRanks3141[[#This Row],[RK]],Rankings!A:T,8,FALSE)</f>
        <v>Najee Harris</v>
      </c>
      <c r="R12" t="str">
        <f>IFERROR(INDEX(TableRBCalcPts[TM],MATCH(TableRBRanks3141[[#This Row],[Player]],TableRBCalcPts[PLAYER],0)),"")</f>
        <v>PIT</v>
      </c>
      <c r="S12">
        <f>IFERROR(INDEX(TableRBCalcPts[BYE],MATCH(TableRBRanks3141[[#This Row],[Player]],TableRBCalcPts[PLAYER],0)),"")</f>
        <v>6</v>
      </c>
      <c r="T12" s="86">
        <f>VLOOKUP(TableRBRanks3141[[#This Row],[Player]],RB!B:O,4,FALSE)</f>
        <v>274.78846709999993</v>
      </c>
      <c r="U12" s="86">
        <f>VLOOKUP(TableRBRanks3141[[#This Row],[Player]],RB!B:O,5,FALSE)</f>
        <v>1099.1538683999997</v>
      </c>
      <c r="V12" s="86">
        <f>VLOOKUP(TableRBRanks3141[[#This Row],[Player]],RB!B:O,6,FALSE)</f>
        <v>8.5184424800999974</v>
      </c>
      <c r="W12" s="86">
        <f>VLOOKUP(TableRBRanks3141[[#This Row],[Player]],RB!B:O,7,FALSE)</f>
        <v>53.676447300000007</v>
      </c>
      <c r="X12" s="86">
        <f>VLOOKUP(TableRBRanks3141[[#This Row],[Player]],RB!B:O,8,FALSE)</f>
        <v>40.827308698376712</v>
      </c>
      <c r="Y12" s="86">
        <f>VLOOKUP(TableRBRanks3141[[#This Row],[Player]],RB!B:O,9,FALSE)</f>
        <v>257.34172872678101</v>
      </c>
      <c r="Z12" s="86">
        <f>VLOOKUP(TableRBRanks3141[[#This Row],[Player]],RB!B:O,10,FALSE)</f>
        <v>1.5106104218399383</v>
      </c>
      <c r="AA12" s="58">
        <f>VLOOKUP(TableRBRanks3141[[#This Row],[Player]],RB!B:O,14,FALSE)</f>
        <v>216.23753147350604</v>
      </c>
      <c r="AB12" s="133">
        <f>IF(VLOOKUP(TableRBRanks3141[[#This Row],[RK]],'Ranks w Proj'!$P:$AB,13,FALSE)&lt;0,0,VLOOKUP(TableRBRanks3141[[#This Row],[RK]],'Ranks w Proj'!$P:$AB,13,FALSE))</f>
        <v>34.970693900620795</v>
      </c>
      <c r="AD12">
        <v>11</v>
      </c>
      <c r="AE12" t="str">
        <f>VLOOKUP(TableWRRanks3242[[#This Row],[RK]],Rankings!A:T,13,FALSE)</f>
        <v>Cooper Kupp</v>
      </c>
      <c r="AF12" t="str">
        <f>IFERROR(INDEX(TableWRCalcPts[TM],MATCH(TableWRRanks3242[[#This Row],[Player]],TableWRCalcPts[PLAYER],0)),"")</f>
        <v>LAR</v>
      </c>
      <c r="AG12">
        <f>IFERROR(INDEX(TableWRCalcPts[BYE],MATCH(TableWRRanks3242[[#This Row],[Player]],TableWRCalcPts[PLAYER],0)),"")</f>
        <v>10</v>
      </c>
      <c r="AH12" s="86">
        <f>VLOOKUP(TableWRRanks3242[[#This Row],[Player]],WR!B:O,4,FALSE)</f>
        <v>91.973417960264896</v>
      </c>
      <c r="AI12" s="86">
        <f>VLOOKUP(TableWRRanks3242[[#This Row],[Player]],WR!B:O,5,FALSE)</f>
        <v>2.1761588139317252</v>
      </c>
      <c r="AJ12" s="86">
        <f>VLOOKUP(TableWRRanks3242[[#This Row],[Player]],WR!B:O,6,FALSE)</f>
        <v>140.86372607999999</v>
      </c>
      <c r="AK12" s="86">
        <f>VLOOKUP(TableWRRanks3242[[#This Row],[Player]],WR!B:O,7,FALSE)</f>
        <v>104.09829357311999</v>
      </c>
      <c r="AL12" s="86">
        <f>VLOOKUP(TableWRRanks3242[[#This Row],[Player]],WR!B:O,8,FALSE)</f>
        <v>1275.0401129399734</v>
      </c>
      <c r="AM12" s="86">
        <f>VLOOKUP(TableWRRanks3242[[#This Row],[Player]],WR!B:O,9,FALSE)</f>
        <v>9.4729447151539183</v>
      </c>
      <c r="AN12" s="58">
        <f>VLOOKUP(TableWRRanks3242[[#This Row],[Player]],WR!B:O,13,FALSE)</f>
        <v>258.64512105109765</v>
      </c>
      <c r="AO12" s="133">
        <f>IF(VLOOKUP(TableWRRanks3242[[#This Row],[RK]],'Ranks w Proj'!AD:AO,12,FALSE)&lt;0,0,VLOOKUP(TableWRRanks3242[[#This Row],[RK]],'Ranks w Proj'!AD:AO,12,FALSE))</f>
        <v>26.102764924654629</v>
      </c>
      <c r="AQ12">
        <v>11</v>
      </c>
      <c r="AR12" t="str">
        <f>VLOOKUP(TableTERanks3343[[#This Row],[RK]],Rankings!A:T,18,FALSE)</f>
        <v>David Njoku</v>
      </c>
      <c r="AS12" t="str">
        <f>IFERROR(INDEX(TableTECalcPts[TM],MATCH(TableTERanks3343[[#This Row],[Player]],TableTECalcPts[PLAYER],0)),"")</f>
        <v>CLE</v>
      </c>
      <c r="AT12">
        <f>IFERROR(INDEX(TableTECalcPts[BYE],MATCH(TableTERanks3343[[#This Row],[Player]],TableTECalcPts[PLAYER],0)),"")</f>
        <v>5</v>
      </c>
      <c r="AU12" s="86">
        <f>VLOOKUP(TableTERanks3343[[#This Row],[Player]],TE!B:O,4,FALSE)</f>
        <v>88.438580999999999</v>
      </c>
      <c r="AV12" s="86">
        <f>VLOOKUP(TableTERanks3343[[#This Row],[Player]],TE!B:O,5,FALSE)</f>
        <v>62.079510416968382</v>
      </c>
      <c r="AW12" s="86">
        <f>VLOOKUP(TableTERanks3343[[#This Row],[Player]],TE!B:O,6,FALSE)</f>
        <v>682.80338389024371</v>
      </c>
      <c r="AX12" s="86">
        <f>VLOOKUP(TableTERanks3343[[#This Row],[Player]],TE!B:O,7,FALSE)</f>
        <v>5.5871559375271538</v>
      </c>
      <c r="AY12" s="58">
        <f>VLOOKUP(TableTERanks3343[[#This Row],[Player]],TE!B:O,11,FALSE)</f>
        <v>132.8430292226715</v>
      </c>
      <c r="AZ12" s="133">
        <f>IF(VLOOKUP(TableTERanks3343[[#This Row],[RK]],'Ranks w Proj'!AQ:AZ,10,FALSE)&lt;0,0,VLOOKUP(TableTERanks3343[[#This Row],[RK]],'Ranks w Proj'!AQ:AZ,10,FALSE))</f>
        <v>0.93478909849979397</v>
      </c>
    </row>
    <row r="13" spans="1:52" x14ac:dyDescent="0.2">
      <c r="A13">
        <v>12</v>
      </c>
      <c r="B13" t="str">
        <f>VLOOKUP(TableQBRanks3040[[#This Row],[RK]],Rankings!A:T,3,FALSE)</f>
        <v>Geno Smith</v>
      </c>
      <c r="C13" t="str">
        <f>IFERROR(INDEX(TableQBCalcPts[TM],MATCH(TableQBRanks3040[[#This Row],[Player]],TableQBCalcPts[PLAYER],0)),"")</f>
        <v>SEA</v>
      </c>
      <c r="D13">
        <f>IFERROR(INDEX(TableQBCalcPts[BYE],MATCH(TableQBRanks3040[[#This Row],[Player]],TableQBCalcPts[PLAYER],0)),"")</f>
        <v>5</v>
      </c>
      <c r="E13" s="86">
        <f>VLOOKUP(TableQBRanks3040[[#This Row],[Player]],QB!B:O,4,FALSE)</f>
        <v>569.29319999999996</v>
      </c>
      <c r="F13" s="86">
        <f>VLOOKUP(TableQBRanks3040[[#This Row],[Player]],QB!B:O,5,FALSE)</f>
        <v>387.67187174223392</v>
      </c>
      <c r="G13" s="86">
        <f>VLOOKUP(TableQBRanks3040[[#This Row],[Player]],QB!B:O,6,FALSE)</f>
        <v>4186.8562148161263</v>
      </c>
      <c r="H13" s="86">
        <f>VLOOKUP(TableQBRanks3040[[#This Row],[Player]],QB!B:O,7,FALSE)</f>
        <v>30.393474744591138</v>
      </c>
      <c r="I13" s="86">
        <f>VLOOKUP(TableQBRanks3040[[#This Row],[Player]],QB!B:O,8,FALSE)</f>
        <v>11.740403702137638</v>
      </c>
      <c r="J13" s="86">
        <f>VLOOKUP(TableQBRanks3040[[#This Row],[Player]],QB!B:O,9,FALSE)</f>
        <v>48.815101439999999</v>
      </c>
      <c r="K13" s="86">
        <f>VLOOKUP(TableQBRanks3040[[#This Row],[Player]],QB!B:O,10,FALSE)</f>
        <v>244.19655701793263</v>
      </c>
      <c r="L13" s="86">
        <f>VLOOKUP(TableQBRanks3040[[#This Row],[Player]],QB!B:O,11,FALSE)</f>
        <v>1.12274733312</v>
      </c>
      <c r="M13" s="58">
        <f>VLOOKUP(TableQBRanks3040[[#This Row],[Player]],QB!B:O,13,FALSE)</f>
        <v>308.46388356938525</v>
      </c>
      <c r="N13" s="133">
        <f>IF(VLOOKUP(TableQBRanks3040[[#This Row],[RK]],'Ranks w Proj'!$A:$N,14,FALSE)&lt;0,0,VLOOKUP(TableQBRanks3040[[#This Row],[RK]],'Ranks w Proj'!$A:$N,14,FALSE))</f>
        <v>4.7382266370280046</v>
      </c>
      <c r="P13">
        <v>12</v>
      </c>
      <c r="Q13" t="str">
        <f>VLOOKUP(TableRBRanks3141[[#This Row],[RK]],Rankings!A:T,8,FALSE)</f>
        <v>Jahmyr Gibbs</v>
      </c>
      <c r="R13" t="str">
        <f>IFERROR(INDEX(TableRBCalcPts[TM],MATCH(TableRBRanks3141[[#This Row],[Player]],TableRBCalcPts[PLAYER],0)),"")</f>
        <v>DET</v>
      </c>
      <c r="S13">
        <f>IFERROR(INDEX(TableRBCalcPts[BYE],MATCH(TableRBRanks3141[[#This Row],[Player]],TableRBCalcPts[PLAYER],0)),"")</f>
        <v>9</v>
      </c>
      <c r="T13" s="86">
        <f>VLOOKUP(TableRBRanks3141[[#This Row],[Player]],RB!B:O,4,FALSE)</f>
        <v>197.21886912000002</v>
      </c>
      <c r="U13" s="86">
        <f>VLOOKUP(TableRBRanks3141[[#This Row],[Player]],RB!B:O,5,FALSE)</f>
        <v>899.31804318720003</v>
      </c>
      <c r="V13" s="86">
        <f>VLOOKUP(TableRBRanks3141[[#This Row],[Player]],RB!B:O,6,FALSE)</f>
        <v>7.0998792883200004</v>
      </c>
      <c r="W13" s="86">
        <f>VLOOKUP(TableRBRanks3141[[#This Row],[Player]],RB!B:O,7,FALSE)</f>
        <v>74.107509839999977</v>
      </c>
      <c r="X13" s="86">
        <f>VLOOKUP(TableRBRanks3141[[#This Row],[Player]],RB!B:O,8,FALSE)</f>
        <v>54.188982044519221</v>
      </c>
      <c r="Y13" s="86">
        <f>VLOOKUP(TableRBRanks3141[[#This Row],[Player]],RB!B:O,9,FALSE)</f>
        <v>435.33972414884522</v>
      </c>
      <c r="Z13" s="86">
        <f>VLOOKUP(TableRBRanks3141[[#This Row],[Player]],RB!B:O,10,FALSE)</f>
        <v>2.5468821560924035</v>
      </c>
      <c r="AA13" s="58">
        <f>VLOOKUP(TableRBRanks3141[[#This Row],[Player]],RB!B:O,14,FALSE)</f>
        <v>218.44083642233855</v>
      </c>
      <c r="AB13" s="133">
        <f>IF(VLOOKUP(TableRBRanks3141[[#This Row],[RK]],'Ranks w Proj'!$P:$AB,13,FALSE)&lt;0,0,VLOOKUP(TableRBRanks3141[[#This Row],[RK]],'Ranks w Proj'!$P:$AB,13,FALSE))</f>
        <v>34.835904482915282</v>
      </c>
      <c r="AD13">
        <v>12</v>
      </c>
      <c r="AE13" t="str">
        <f>VLOOKUP(TableWRRanks3242[[#This Row],[RK]],Rankings!A:T,13,FALSE)</f>
        <v>Chris Olave</v>
      </c>
      <c r="AF13" t="str">
        <f>IFERROR(INDEX(TableWRCalcPts[TM],MATCH(TableWRRanks3242[[#This Row],[Player]],TableWRCalcPts[PLAYER],0)),"")</f>
        <v>NO</v>
      </c>
      <c r="AG13">
        <f>IFERROR(INDEX(TableWRCalcPts[BYE],MATCH(TableWRRanks3242[[#This Row],[Player]],TableWRCalcPts[PLAYER],0)),"")</f>
        <v>11</v>
      </c>
      <c r="AH13" s="86">
        <f>VLOOKUP(TableWRRanks3242[[#This Row],[Player]],WR!B:O,4,FALSE)</f>
        <v>0</v>
      </c>
      <c r="AI13" s="86">
        <f>VLOOKUP(TableWRRanks3242[[#This Row],[Player]],WR!B:O,5,FALSE)</f>
        <v>0</v>
      </c>
      <c r="AJ13" s="86">
        <f>VLOOKUP(TableWRRanks3242[[#This Row],[Player]],WR!B:O,6,FALSE)</f>
        <v>115.32793271999999</v>
      </c>
      <c r="AK13" s="86">
        <f>VLOOKUP(TableWRRanks3242[[#This Row],[Player]],WR!B:O,7,FALSE)</f>
        <v>79.114961845920007</v>
      </c>
      <c r="AL13" s="86">
        <f>VLOOKUP(TableWRRanks3242[[#This Row],[Player]],WR!B:O,8,FALSE)</f>
        <v>1118.6855605013091</v>
      </c>
      <c r="AM13" s="86">
        <f>VLOOKUP(TableWRRanks3242[[#This Row],[Player]],WR!B:O,9,FALSE)</f>
        <v>6.7247717569032011</v>
      </c>
      <c r="AN13" s="58">
        <f>VLOOKUP(TableWRRanks3242[[#This Row],[Player]],WR!B:O,13,FALSE)</f>
        <v>191.7746675145101</v>
      </c>
      <c r="AO13" s="133">
        <f>IF(VLOOKUP(TableWRRanks3242[[#This Row],[RK]],'Ranks w Proj'!AD:AO,12,FALSE)&lt;0,0,VLOOKUP(TableWRRanks3242[[#This Row],[RK]],'Ranks w Proj'!AD:AO,12,FALSE))</f>
        <v>25.947612801233753</v>
      </c>
      <c r="AQ13">
        <v>12</v>
      </c>
      <c r="AR13" t="str">
        <f>VLOOKUP(TableTERanks3343[[#This Row],[RK]],Rankings!A:T,18,FALSE)</f>
        <v>Chigoziem Okonkwo</v>
      </c>
      <c r="AS13" t="str">
        <f>IFERROR(INDEX(TableTECalcPts[TM],MATCH(TableTERanks3343[[#This Row],[Player]],TableTECalcPts[PLAYER],0)),"")</f>
        <v>TEN</v>
      </c>
      <c r="AT13">
        <f>IFERROR(INDEX(TableTECalcPts[BYE],MATCH(TableTERanks3343[[#This Row],[Player]],TableTECalcPts[PLAYER],0)),"")</f>
        <v>7</v>
      </c>
      <c r="AU13" s="86">
        <f>VLOOKUP(TableTERanks3343[[#This Row],[Player]],TE!B:O,4,FALSE)</f>
        <v>81.240284999999986</v>
      </c>
      <c r="AV13" s="86">
        <f>VLOOKUP(TableTERanks3343[[#This Row],[Player]],TE!B:O,5,FALSE)</f>
        <v>54.338071629249782</v>
      </c>
      <c r="AW13" s="86">
        <f>VLOOKUP(TableTERanks3343[[#This Row],[Player]],TE!B:O,6,FALSE)</f>
        <v>665.56962245785576</v>
      </c>
      <c r="AX13" s="86">
        <f>VLOOKUP(TableTERanks3343[[#This Row],[Player]],TE!B:O,7,FALSE)</f>
        <v>4.184031515452233</v>
      </c>
      <c r="AY13" s="58">
        <f>VLOOKUP(TableTERanks3343[[#This Row],[Player]],TE!B:O,11,FALSE)</f>
        <v>118.83018715312387</v>
      </c>
      <c r="AZ13" s="133">
        <f>IF(VLOOKUP(TableTERanks3343[[#This Row],[RK]],'Ranks w Proj'!AQ:AZ,10,FALSE)&lt;0,0,VLOOKUP(TableTERanks3343[[#This Row],[RK]],'Ranks w Proj'!AQ:AZ,10,FALSE))</f>
        <v>0</v>
      </c>
    </row>
    <row r="14" spans="1:52" x14ac:dyDescent="0.2">
      <c r="A14">
        <v>13</v>
      </c>
      <c r="B14" t="str">
        <f>VLOOKUP(TableQBRanks3040[[#This Row],[RK]],Rankings!A:T,3,FALSE)</f>
        <v>Deshaun Watson</v>
      </c>
      <c r="C14" t="str">
        <f>IFERROR(INDEX(TableQBCalcPts[TM],MATCH(TableQBRanks3040[[#This Row],[Player]],TableQBCalcPts[PLAYER],0)),"")</f>
        <v>CLE</v>
      </c>
      <c r="D14">
        <f>IFERROR(INDEX(TableQBCalcPts[BYE],MATCH(TableQBRanks3040[[#This Row],[Player]],TableQBCalcPts[PLAYER],0)),"")</f>
        <v>5</v>
      </c>
      <c r="E14" s="86">
        <f>VLOOKUP(TableQBRanks3040[[#This Row],[Player]],QB!B:O,4,FALSE)</f>
        <v>535.9914</v>
      </c>
      <c r="F14" s="86">
        <f>VLOOKUP(TableQBRanks3040[[#This Row],[Player]],QB!B:O,5,FALSE)</f>
        <v>350.3998126353959</v>
      </c>
      <c r="G14" s="86">
        <f>VLOOKUP(TableQBRanks3040[[#This Row],[Player]],QB!B:O,6,FALSE)</f>
        <v>4064.6378265705926</v>
      </c>
      <c r="H14" s="86">
        <f>VLOOKUP(TableQBRanks3040[[#This Row],[Player]],QB!B:O,7,FALSE)</f>
        <v>27.681585198196277</v>
      </c>
      <c r="I14" s="86">
        <f>VLOOKUP(TableQBRanks3040[[#This Row],[Player]],QB!B:O,8,FALSE)</f>
        <v>12.868455864832363</v>
      </c>
      <c r="J14" s="86">
        <f>VLOOKUP(TableQBRanks3040[[#This Row],[Player]],QB!B:O,9,FALSE)</f>
        <v>95.906033999999991</v>
      </c>
      <c r="K14" s="86">
        <f>VLOOKUP(TableQBRanks3040[[#This Row],[Player]],QB!B:O,10,FALSE)</f>
        <v>470.89862693999999</v>
      </c>
      <c r="L14" s="86">
        <f>VLOOKUP(TableQBRanks3040[[#This Row],[Player]],QB!B:O,11,FALSE)</f>
        <v>4.699395666</v>
      </c>
      <c r="M14" s="58">
        <f>VLOOKUP(TableQBRanks3040[[#This Row],[Player]],QB!B:O,13,FALSE)</f>
        <v>335.72963468077643</v>
      </c>
      <c r="N14" s="133">
        <f>IF(VLOOKUP(TableQBRanks3040[[#This Row],[RK]],'Ranks w Proj'!$A:$N,14,FALSE)&lt;0,0,VLOOKUP(TableQBRanks3040[[#This Row],[RK]],'Ranks w Proj'!$A:$N,14,FALSE))</f>
        <v>4.4285211326922749</v>
      </c>
      <c r="P14">
        <v>13</v>
      </c>
      <c r="Q14" t="str">
        <f>VLOOKUP(TableRBRanks3141[[#This Row],[RK]],Rankings!A:T,8,FALSE)</f>
        <v>Dameon Pierce</v>
      </c>
      <c r="R14" t="str">
        <f>IFERROR(INDEX(TableRBCalcPts[TM],MATCH(TableRBRanks3141[[#This Row],[Player]],TableRBCalcPts[PLAYER],0)),"")</f>
        <v>HOU</v>
      </c>
      <c r="S14">
        <f>IFERROR(INDEX(TableRBCalcPts[BYE],MATCH(TableRBRanks3141[[#This Row],[Player]],TableRBCalcPts[PLAYER],0)),"")</f>
        <v>7</v>
      </c>
      <c r="T14" s="86">
        <f>VLOOKUP(TableRBRanks3141[[#This Row],[Player]],RB!B:O,4,FALSE)</f>
        <v>272.64793247999995</v>
      </c>
      <c r="U14" s="86">
        <f>VLOOKUP(TableRBRanks3141[[#This Row],[Player]],RB!B:O,5,FALSE)</f>
        <v>1160.5043291467803</v>
      </c>
      <c r="V14" s="86">
        <f>VLOOKUP(TableRBRanks3141[[#This Row],[Player]],RB!B:O,6,FALSE)</f>
        <v>8.179437974399999</v>
      </c>
      <c r="W14" s="86">
        <f>VLOOKUP(TableRBRanks3141[[#This Row],[Player]],RB!B:O,7,FALSE)</f>
        <v>49.016315039999995</v>
      </c>
      <c r="X14" s="86">
        <f>VLOOKUP(TableRBRanks3141[[#This Row],[Player]],RB!B:O,8,FALSE)</f>
        <v>36.690119766097098</v>
      </c>
      <c r="Y14" s="86">
        <f>VLOOKUP(TableRBRanks3141[[#This Row],[Player]],RB!B:O,9,FALSE)</f>
        <v>271.13998507145755</v>
      </c>
      <c r="Z14" s="86">
        <f>VLOOKUP(TableRBRanks3141[[#This Row],[Player]],RB!B:O,10,FALSE)</f>
        <v>1.2474640720473014</v>
      </c>
      <c r="AA14" s="58">
        <f>VLOOKUP(TableRBRanks3141[[#This Row],[Player]],RB!B:O,14,FALSE)</f>
        <v>218.07090358355615</v>
      </c>
      <c r="AB14" s="133">
        <f>IF(VLOOKUP(TableRBRanks3141[[#This Row],[RK]],'Ranks w Proj'!$P:$AB,13,FALSE)&lt;0,0,VLOOKUP(TableRBRanks3141[[#This Row],[RK]],'Ranks w Proj'!$P:$AB,13,FALSE))</f>
        <v>34.167893608388603</v>
      </c>
      <c r="AD14">
        <v>13</v>
      </c>
      <c r="AE14" t="str">
        <f>VLOOKUP(TableWRRanks3242[[#This Row],[RK]],Rankings!A:T,13,FALSE)</f>
        <v>Calvin Ridley</v>
      </c>
      <c r="AF14" t="str">
        <f>IFERROR(INDEX(TableWRCalcPts[TM],MATCH(TableWRRanks3242[[#This Row],[Player]],TableWRCalcPts[PLAYER],0)),"")</f>
        <v>JAX</v>
      </c>
      <c r="AG14">
        <f>IFERROR(INDEX(TableWRCalcPts[BYE],MATCH(TableWRRanks3242[[#This Row],[Player]],TableWRCalcPts[PLAYER],0)),"")</f>
        <v>9</v>
      </c>
      <c r="AH14" s="86">
        <f>VLOOKUP(TableWRRanks3242[[#This Row],[Player]],WR!B:O,4,FALSE)</f>
        <v>0</v>
      </c>
      <c r="AI14" s="86">
        <f>VLOOKUP(TableWRRanks3242[[#This Row],[Player]],WR!B:O,5,FALSE)</f>
        <v>0</v>
      </c>
      <c r="AJ14" s="86">
        <f>VLOOKUP(TableWRRanks3242[[#This Row],[Player]],WR!B:O,6,FALSE)</f>
        <v>142.78012979999997</v>
      </c>
      <c r="AK14" s="86">
        <f>VLOOKUP(TableWRRanks3242[[#This Row],[Player]],WR!B:O,7,FALSE)</f>
        <v>89.808701644199985</v>
      </c>
      <c r="AL14" s="86">
        <f>VLOOKUP(TableWRRanks3242[[#This Row],[Player]],WR!B:O,8,FALSE)</f>
        <v>1151.4668800917343</v>
      </c>
      <c r="AM14" s="86">
        <f>VLOOKUP(TableWRRanks3242[[#This Row],[Player]],WR!B:O,9,FALSE)</f>
        <v>7.6337396397569997</v>
      </c>
      <c r="AN14" s="58">
        <f>VLOOKUP(TableWRRanks3242[[#This Row],[Player]],WR!B:O,13,FALSE)</f>
        <v>205.85347666981542</v>
      </c>
      <c r="AO14" s="133">
        <f>IF(VLOOKUP(TableWRRanks3242[[#This Row],[RK]],'Ranks w Proj'!AD:AO,12,FALSE)&lt;0,0,VLOOKUP(TableWRRanks3242[[#This Row],[RK]],'Ranks w Proj'!AD:AO,12,FALSE))</f>
        <v>25.877324202320381</v>
      </c>
      <c r="AQ14">
        <v>13</v>
      </c>
      <c r="AR14" t="str">
        <f>VLOOKUP(TableTERanks3343[[#This Row],[RK]],Rankings!A:T,18,FALSE)</f>
        <v>Cole Kmet</v>
      </c>
      <c r="AS14" t="str">
        <f>IFERROR(INDEX(TableTECalcPts[TM],MATCH(TableTERanks3343[[#This Row],[Player]],TableTECalcPts[PLAYER],0)),"")</f>
        <v>CHI</v>
      </c>
      <c r="AT14">
        <f>IFERROR(INDEX(TableTECalcPts[BYE],MATCH(TableTERanks3343[[#This Row],[Player]],TableTECalcPts[PLAYER],0)),"")</f>
        <v>13</v>
      </c>
      <c r="AU14" s="86">
        <f>VLOOKUP(TableTERanks3343[[#This Row],[Player]],TE!B:O,4,FALSE)</f>
        <v>81.233399519999978</v>
      </c>
      <c r="AV14" s="86">
        <f>VLOOKUP(TableTERanks3343[[#This Row],[Player]],TE!B:O,5,FALSE)</f>
        <v>54.141437951405258</v>
      </c>
      <c r="AW14" s="86">
        <f>VLOOKUP(TableTERanks3343[[#This Row],[Player]],TE!B:O,6,FALSE)</f>
        <v>582.36968269780061</v>
      </c>
      <c r="AX14" s="86">
        <f>VLOOKUP(TableTERanks3343[[#This Row],[Player]],TE!B:O,7,FALSE)</f>
        <v>4.4937393499666367</v>
      </c>
      <c r="AY14" s="58">
        <f>VLOOKUP(TableTERanks3343[[#This Row],[Player]],TE!B:O,11,FALSE)</f>
        <v>112.27012334528251</v>
      </c>
      <c r="AZ14" s="133">
        <f>IF(VLOOKUP(TableTERanks3343[[#This Row],[RK]],'Ranks w Proj'!AQ:AZ,10,FALSE)&lt;0,0,VLOOKUP(TableTERanks3343[[#This Row],[RK]],'Ranks w Proj'!AQ:AZ,10,FALSE))</f>
        <v>0</v>
      </c>
    </row>
    <row r="15" spans="1:52" x14ac:dyDescent="0.2">
      <c r="A15">
        <v>14</v>
      </c>
      <c r="B15" t="str">
        <f>VLOOKUP(TableQBRanks3040[[#This Row],[RK]],Rankings!A:T,3,FALSE)</f>
        <v>Aaron Rodgers</v>
      </c>
      <c r="C15" t="str">
        <f>IFERROR(INDEX(TableQBCalcPts[TM],MATCH(TableQBRanks3040[[#This Row],[Player]],TableQBCalcPts[PLAYER],0)),"")</f>
        <v>NYJ</v>
      </c>
      <c r="D15">
        <f>IFERROR(INDEX(TableQBCalcPts[BYE],MATCH(TableQBRanks3040[[#This Row],[Player]],TableQBCalcPts[PLAYER],0)),"")</f>
        <v>7</v>
      </c>
      <c r="E15" s="86">
        <f>VLOOKUP(TableQBRanks3040[[#This Row],[Player]],QB!B:O,4,FALSE)</f>
        <v>600.57854999999995</v>
      </c>
      <c r="F15" s="86">
        <f>VLOOKUP(TableQBRanks3040[[#This Row],[Player]],QB!B:O,5,FALSE)</f>
        <v>388.72674360807815</v>
      </c>
      <c r="G15" s="86">
        <f>VLOOKUP(TableQBRanks3040[[#This Row],[Player]],QB!B:O,6,FALSE)</f>
        <v>4352.7314809277532</v>
      </c>
      <c r="H15" s="86">
        <f>VLOOKUP(TableQBRanks3040[[#This Row],[Player]],QB!B:O,7,FALSE)</f>
        <v>31.564611580975942</v>
      </c>
      <c r="I15" s="86">
        <f>VLOOKUP(TableQBRanks3040[[#This Row],[Player]],QB!B:O,8,FALSE)</f>
        <v>12.050529051850422</v>
      </c>
      <c r="J15" s="86">
        <f>VLOOKUP(TableQBRanks3040[[#This Row],[Player]],QB!B:O,9,FALSE)</f>
        <v>30.828272893401014</v>
      </c>
      <c r="K15" s="86">
        <f>VLOOKUP(TableQBRanks3040[[#This Row],[Player]],QB!B:O,10,FALSE)</f>
        <v>97.745588056618487</v>
      </c>
      <c r="L15" s="86">
        <f>VLOOKUP(TableQBRanks3040[[#This Row],[Player]],QB!B:O,11,FALSE)</f>
        <v>1.1988738482545129</v>
      </c>
      <c r="M15" s="58">
        <f>VLOOKUP(TableQBRanks3040[[#This Row],[Player]],QB!B:O,13,FALSE)</f>
        <v>305.28497840435239</v>
      </c>
      <c r="N15" s="133">
        <f>IF(VLOOKUP(TableQBRanks3040[[#This Row],[RK]],'Ranks w Proj'!$A:$N,14,FALSE)&lt;0,0,VLOOKUP(TableQBRanks3040[[#This Row],[RK]],'Ranks w Proj'!$A:$N,14,FALSE))</f>
        <v>2.2788162672342485</v>
      </c>
      <c r="P15">
        <v>14</v>
      </c>
      <c r="Q15" t="str">
        <f>VLOOKUP(TableRBRanks3141[[#This Row],[RK]],Rankings!A:T,8,FALSE)</f>
        <v>Travis Etienne</v>
      </c>
      <c r="R15" t="str">
        <f>IFERROR(INDEX(TableRBCalcPts[TM],MATCH(TableRBRanks3141[[#This Row],[Player]],TableRBCalcPts[PLAYER],0)),"")</f>
        <v>JAX</v>
      </c>
      <c r="S15">
        <f>IFERROR(INDEX(TableRBCalcPts[BYE],MATCH(TableRBRanks3141[[#This Row],[Player]],TableRBCalcPts[PLAYER],0)),"")</f>
        <v>9</v>
      </c>
      <c r="T15" s="86">
        <f>VLOOKUP(TableRBRanks3141[[#This Row],[Player]],RB!B:O,4,FALSE)</f>
        <v>202.7354224</v>
      </c>
      <c r="U15" s="86">
        <f>VLOOKUP(TableRBRanks3141[[#This Row],[Player]],RB!B:O,5,FALSE)</f>
        <v>954.88383950399998</v>
      </c>
      <c r="V15" s="86">
        <f>VLOOKUP(TableRBRanks3141[[#This Row],[Player]],RB!B:O,6,FALSE)</f>
        <v>6.4875335168000001</v>
      </c>
      <c r="W15" s="86">
        <f>VLOOKUP(TableRBRanks3141[[#This Row],[Player]],RB!B:O,7,FALSE)</f>
        <v>45.739089199999995</v>
      </c>
      <c r="X15" s="86">
        <f>VLOOKUP(TableRBRanks3141[[#This Row],[Player]],RB!B:O,8,FALSE)</f>
        <v>35.23341853337844</v>
      </c>
      <c r="Y15" s="86">
        <f>VLOOKUP(TableRBRanks3141[[#This Row],[Player]],RB!B:O,9,FALSE)</f>
        <v>288.56169778836943</v>
      </c>
      <c r="Z15" s="86">
        <f>VLOOKUP(TableRBRanks3141[[#This Row],[Player]],RB!B:O,10,FALSE)</f>
        <v>1.4445701598685161</v>
      </c>
      <c r="AA15" s="58">
        <f>VLOOKUP(TableRBRanks3141[[#This Row],[Player]],RB!B:O,14,FALSE)</f>
        <v>189.55388505593726</v>
      </c>
      <c r="AB15" s="133">
        <f>IF(VLOOKUP(TableRBRanks3141[[#This Row],[RK]],'Ranks w Proj'!$P:$AB,13,FALSE)&lt;0,0,VLOOKUP(TableRBRanks3141[[#This Row],[RK]],'Ranks w Proj'!$P:$AB,13,FALSE))</f>
        <v>30.63136234302879</v>
      </c>
      <c r="AD15">
        <v>14</v>
      </c>
      <c r="AE15" t="str">
        <f>VLOOKUP(TableWRRanks3242[[#This Row],[RK]],Rankings!A:T,13,FALSE)</f>
        <v>DeVonta Smith</v>
      </c>
      <c r="AF15" t="str">
        <f>IFERROR(INDEX(TableWRCalcPts[TM],MATCH(TableWRRanks3242[[#This Row],[Player]],TableWRCalcPts[PLAYER],0)),"")</f>
        <v>PHI</v>
      </c>
      <c r="AG15">
        <f>IFERROR(INDEX(TableWRCalcPts[BYE],MATCH(TableWRRanks3242[[#This Row],[Player]],TableWRCalcPts[PLAYER],0)),"")</f>
        <v>10</v>
      </c>
      <c r="AH15" s="86">
        <f>VLOOKUP(TableWRRanks3242[[#This Row],[Player]],WR!B:O,4,FALSE)</f>
        <v>0</v>
      </c>
      <c r="AI15" s="86">
        <f>VLOOKUP(TableWRRanks3242[[#This Row],[Player]],WR!B:O,5,FALSE)</f>
        <v>0</v>
      </c>
      <c r="AJ15" s="86">
        <f>VLOOKUP(TableWRRanks3242[[#This Row],[Player]],WR!B:O,6,FALSE)</f>
        <v>121.52144256</v>
      </c>
      <c r="AK15" s="86">
        <f>VLOOKUP(TableWRRanks3242[[#This Row],[Player]],WR!B:O,7,FALSE)</f>
        <v>80.672617761767455</v>
      </c>
      <c r="AL15" s="86">
        <f>VLOOKUP(TableWRRanks3242[[#This Row],[Player]],WR!B:O,8,FALSE)</f>
        <v>1056.8112926791537</v>
      </c>
      <c r="AM15" s="86">
        <f>VLOOKUP(TableWRRanks3242[[#This Row],[Player]],WR!B:O,9,FALSE)</f>
        <v>7.1798629807973029</v>
      </c>
      <c r="AN15" s="58">
        <f>VLOOKUP(TableWRRanks3242[[#This Row],[Player]],WR!B:O,13,FALSE)</f>
        <v>189.0966160335829</v>
      </c>
      <c r="AO15" s="133">
        <f>IF(VLOOKUP(TableWRRanks3242[[#This Row],[RK]],'Ranks w Proj'!AD:AO,12,FALSE)&lt;0,0,VLOOKUP(TableWRRanks3242[[#This Row],[RK]],'Ranks w Proj'!AD:AO,12,FALSE))</f>
        <v>22.156593090566293</v>
      </c>
      <c r="AQ15">
        <v>14</v>
      </c>
      <c r="AR15" t="str">
        <f>VLOOKUP(TableTERanks3343[[#This Row],[RK]],Rankings!A:T,18,FALSE)</f>
        <v>Dalton Kincaid</v>
      </c>
      <c r="AS15" t="str">
        <f>IFERROR(INDEX(TableTECalcPts[TM],MATCH(TableTERanks3343[[#This Row],[Player]],TableTECalcPts[PLAYER],0)),"")</f>
        <v>BUF</v>
      </c>
      <c r="AT15">
        <f>IFERROR(INDEX(TableTECalcPts[BYE],MATCH(TableTERanks3343[[#This Row],[Player]],TableTECalcPts[PLAYER],0)),"")</f>
        <v>13</v>
      </c>
      <c r="AU15" s="86">
        <f>VLOOKUP(TableTERanks3343[[#This Row],[Player]],TE!B:O,4,FALSE)</f>
        <v>70.555099999999996</v>
      </c>
      <c r="AV15" s="86">
        <f>VLOOKUP(TableTERanks3343[[#This Row],[Player]],TE!B:O,5,FALSE)</f>
        <v>47.641053856637697</v>
      </c>
      <c r="AW15" s="86">
        <f>VLOOKUP(TableTERanks3343[[#This Row],[Player]],TE!B:O,6,FALSE)</f>
        <v>525.00441350014739</v>
      </c>
      <c r="AX15" s="86">
        <f>VLOOKUP(TableTERanks3343[[#This Row],[Player]],TE!B:O,7,FALSE)</f>
        <v>5.8122085705097986</v>
      </c>
      <c r="AY15" s="58">
        <f>VLOOKUP(TableTERanks3343[[#This Row],[Player]],TE!B:O,11,FALSE)</f>
        <v>111.19421970139238</v>
      </c>
      <c r="AZ15" s="133">
        <f>IF(VLOOKUP(TableTERanks3343[[#This Row],[RK]],'Ranks w Proj'!AQ:AZ,10,FALSE)&lt;0,0,VLOOKUP(TableTERanks3343[[#This Row],[RK]],'Ranks w Proj'!AQ:AZ,10,FALSE))</f>
        <v>0</v>
      </c>
    </row>
    <row r="16" spans="1:52" x14ac:dyDescent="0.2">
      <c r="A16">
        <v>15</v>
      </c>
      <c r="B16" t="str">
        <f>VLOOKUP(TableQBRanks3040[[#This Row],[RK]],Rankings!A:T,3,FALSE)</f>
        <v>Dak Prescott</v>
      </c>
      <c r="C16" t="str">
        <f>IFERROR(INDEX(TableQBCalcPts[TM],MATCH(TableQBRanks3040[[#This Row],[Player]],TableQBCalcPts[PLAYER],0)),"")</f>
        <v>DAL</v>
      </c>
      <c r="D16">
        <f>IFERROR(INDEX(TableQBCalcPts[BYE],MATCH(TableQBRanks3040[[#This Row],[Player]],TableQBCalcPts[PLAYER],0)),"")</f>
        <v>7</v>
      </c>
      <c r="E16" s="86">
        <f>VLOOKUP(TableQBRanks3040[[#This Row],[Player]],QB!B:O,4,FALSE)</f>
        <v>571.25376000000006</v>
      </c>
      <c r="F16" s="86">
        <f>VLOOKUP(TableQBRanks3040[[#This Row],[Player]],QB!B:O,5,FALSE)</f>
        <v>378.92361453139858</v>
      </c>
      <c r="G16" s="86">
        <f>VLOOKUP(TableQBRanks3040[[#This Row],[Player]],QB!B:O,6,FALSE)</f>
        <v>4202.2628851532099</v>
      </c>
      <c r="H16" s="86">
        <f>VLOOKUP(TableQBRanks3040[[#This Row],[Player]],QB!B:O,7,FALSE)</f>
        <v>29.770406194613113</v>
      </c>
      <c r="I16" s="86">
        <f>VLOOKUP(TableQBRanks3040[[#This Row],[Player]],QB!B:O,8,FALSE)</f>
        <v>14.844459046545014</v>
      </c>
      <c r="J16" s="86">
        <f>VLOOKUP(TableQBRanks3040[[#This Row],[Player]],QB!B:O,9,FALSE)</f>
        <v>51.577290239999996</v>
      </c>
      <c r="K16" s="86">
        <f>VLOOKUP(TableQBRanks3040[[#This Row],[Player]],QB!B:O,10,FALSE)</f>
        <v>208.88802547199998</v>
      </c>
      <c r="L16" s="86">
        <f>VLOOKUP(TableQBRanks3040[[#This Row],[Player]],QB!B:O,11,FALSE)</f>
        <v>2.1662461900799999</v>
      </c>
      <c r="M16" s="58">
        <f>VLOOKUP(TableQBRanks3040[[#This Row],[Player]],QB!B:O,13,FALSE)</f>
        <v>306.21396082571579</v>
      </c>
      <c r="N16" s="133">
        <f>IF(VLOOKUP(TableQBRanks3040[[#This Row],[RK]],'Ranks w Proj'!$A:$N,14,FALSE)&lt;0,0,VLOOKUP(TableQBRanks3040[[#This Row],[RK]],'Ranks w Proj'!$A:$N,14,FALSE))</f>
        <v>1.6449408348223691</v>
      </c>
      <c r="P16">
        <v>15</v>
      </c>
      <c r="Q16" t="str">
        <f>VLOOKUP(TableRBRanks3141[[#This Row],[RK]],Rankings!A:T,8,FALSE)</f>
        <v>Rachaad White</v>
      </c>
      <c r="R16" t="str">
        <f>IFERROR(INDEX(TableRBCalcPts[TM],MATCH(TableRBRanks3141[[#This Row],[Player]],TableRBCalcPts[PLAYER],0)),"")</f>
        <v>TB</v>
      </c>
      <c r="S16">
        <f>IFERROR(INDEX(TableRBCalcPts[BYE],MATCH(TableRBRanks3141[[#This Row],[Player]],TableRBCalcPts[PLAYER],0)),"")</f>
        <v>5</v>
      </c>
      <c r="T16" s="86">
        <f>VLOOKUP(TableRBRanks3141[[#This Row],[Player]],RB!B:O,4,FALSE)</f>
        <v>241.43035391999999</v>
      </c>
      <c r="U16" s="86">
        <f>VLOOKUP(TableRBRanks3141[[#This Row],[Player]],RB!B:O,5,FALSE)</f>
        <v>1028.4933076991999</v>
      </c>
      <c r="V16" s="86">
        <f>VLOOKUP(TableRBRanks3141[[#This Row],[Player]],RB!B:O,6,FALSE)</f>
        <v>6.0357588480000004</v>
      </c>
      <c r="W16" s="86">
        <f>VLOOKUP(TableRBRanks3141[[#This Row],[Player]],RB!B:O,7,FALSE)</f>
        <v>62.593054719999991</v>
      </c>
      <c r="X16" s="86">
        <f>VLOOKUP(TableRBRanks3141[[#This Row],[Player]],RB!B:O,8,FALSE)</f>
        <v>47.445535477759996</v>
      </c>
      <c r="Y16" s="86">
        <f>VLOOKUP(TableRBRanks3141[[#This Row],[Player]],RB!B:O,9,FALSE)</f>
        <v>332.11874834431995</v>
      </c>
      <c r="Z16" s="86">
        <f>VLOOKUP(TableRBRanks3141[[#This Row],[Player]],RB!B:O,10,FALSE)</f>
        <v>1.7554848126771199</v>
      </c>
      <c r="AA16" s="58">
        <f>VLOOKUP(TableRBRanks3141[[#This Row],[Player]],RB!B:O,14,FALSE)</f>
        <v>206.53143530729474</v>
      </c>
      <c r="AB16" s="133">
        <f>IF(VLOOKUP(TableRBRanks3141[[#This Row],[RK]],'Ranks w Proj'!$P:$AB,13,FALSE)&lt;0,0,VLOOKUP(TableRBRanks3141[[#This Row],[RK]],'Ranks w Proj'!$P:$AB,13,FALSE))</f>
        <v>29.759512980770317</v>
      </c>
      <c r="AD16">
        <v>15</v>
      </c>
      <c r="AE16" t="str">
        <f>VLOOKUP(TableWRRanks3242[[#This Row],[RK]],Rankings!A:T,13,FALSE)</f>
        <v>Tee Higgins</v>
      </c>
      <c r="AF16" t="str">
        <f>IFERROR(INDEX(TableWRCalcPts[TM],MATCH(TableWRRanks3242[[#This Row],[Player]],TableWRCalcPts[PLAYER],0)),"")</f>
        <v>CIN</v>
      </c>
      <c r="AG16">
        <f>IFERROR(INDEX(TableWRCalcPts[BYE],MATCH(TableWRRanks3242[[#This Row],[Player]],TableWRCalcPts[PLAYER],0)),"")</f>
        <v>7</v>
      </c>
      <c r="AH16" s="86">
        <f>VLOOKUP(TableWRRanks3242[[#This Row],[Player]],WR!B:O,4,FALSE)</f>
        <v>0</v>
      </c>
      <c r="AI16" s="86">
        <f>VLOOKUP(TableWRRanks3242[[#This Row],[Player]],WR!B:O,5,FALSE)</f>
        <v>0</v>
      </c>
      <c r="AJ16" s="86">
        <f>VLOOKUP(TableWRRanks3242[[#This Row],[Player]],WR!B:O,6,FALSE)</f>
        <v>126.1625883</v>
      </c>
      <c r="AK16" s="86">
        <f>VLOOKUP(TableWRRanks3242[[#This Row],[Player]],WR!B:O,7,FALSE)</f>
        <v>83.121709677132088</v>
      </c>
      <c r="AL16" s="86">
        <f>VLOOKUP(TableWRRanks3242[[#This Row],[Player]],WR!B:O,8,FALSE)</f>
        <v>1136.2737712863957</v>
      </c>
      <c r="AM16" s="86">
        <f>VLOOKUP(TableWRRanks3242[[#This Row],[Player]],WR!B:O,9,FALSE)</f>
        <v>8.4784143870674722</v>
      </c>
      <c r="AN16" s="58">
        <f>VLOOKUP(TableWRRanks3242[[#This Row],[Player]],WR!B:O,13,FALSE)</f>
        <v>206.05871828961045</v>
      </c>
      <c r="AO16" s="133">
        <f>IF(VLOOKUP(TableWRRanks3242[[#This Row],[RK]],'Ranks w Proj'!AD:AO,12,FALSE)&lt;0,0,VLOOKUP(TableWRRanks3242[[#This Row],[RK]],'Ranks w Proj'!AD:AO,12,FALSE))</f>
        <v>21.071817129646881</v>
      </c>
      <c r="AQ16">
        <v>15</v>
      </c>
      <c r="AR16" t="str">
        <f>VLOOKUP(TableTERanks3343[[#This Row],[RK]],Rankings!A:T,18,FALSE)</f>
        <v>Dalton Schultz</v>
      </c>
      <c r="AS16" t="str">
        <f>IFERROR(INDEX(TableTECalcPts[TM],MATCH(TableTERanks3343[[#This Row],[Player]],TableTECalcPts[PLAYER],0)),"")</f>
        <v>HOU</v>
      </c>
      <c r="AT16">
        <f>IFERROR(INDEX(TableTECalcPts[BYE],MATCH(TableTERanks3343[[#This Row],[Player]],TableTECalcPts[PLAYER],0)),"")</f>
        <v>7</v>
      </c>
      <c r="AU16" s="86">
        <f>VLOOKUP(TableTERanks3343[[#This Row],[Player]],TE!B:O,4,FALSE)</f>
        <v>77.186611040000017</v>
      </c>
      <c r="AV16" s="86">
        <f>VLOOKUP(TableTERanks3343[[#This Row],[Player]],TE!B:O,5,FALSE)</f>
        <v>51.302760687430293</v>
      </c>
      <c r="AW16" s="86">
        <f>VLOOKUP(TableTERanks3343[[#This Row],[Player]],TE!B:O,6,FALSE)</f>
        <v>541.24412525238961</v>
      </c>
      <c r="AX16" s="86">
        <f>VLOOKUP(TableTERanks3343[[#This Row],[Player]],TE!B:O,7,FALSE)</f>
        <v>4.6685512225561565</v>
      </c>
      <c r="AY16" s="58">
        <f>VLOOKUP(TableTERanks3343[[#This Row],[Player]],TE!B:O,11,FALSE)</f>
        <v>107.78710020429105</v>
      </c>
      <c r="AZ16" s="133">
        <f>IF(VLOOKUP(TableTERanks3343[[#This Row],[RK]],'Ranks w Proj'!AQ:AZ,10,FALSE)&lt;0,0,VLOOKUP(TableTERanks3343[[#This Row],[RK]],'Ranks w Proj'!AQ:AZ,10,FALSE))</f>
        <v>0</v>
      </c>
    </row>
    <row r="17" spans="1:52" x14ac:dyDescent="0.2">
      <c r="A17">
        <v>16</v>
      </c>
      <c r="B17" t="str">
        <f>VLOOKUP(TableQBRanks3040[[#This Row],[RK]],Rankings!A:T,3,FALSE)</f>
        <v>Kirk Cousins</v>
      </c>
      <c r="C17" t="str">
        <f>IFERROR(INDEX(TableQBCalcPts[TM],MATCH(TableQBRanks3040[[#This Row],[Player]],TableQBCalcPts[PLAYER],0)),"")</f>
        <v>MIN</v>
      </c>
      <c r="D17">
        <f>IFERROR(INDEX(TableQBCalcPts[BYE],MATCH(TableQBRanks3040[[#This Row],[Player]],TableQBCalcPts[PLAYER],0)),"")</f>
        <v>13</v>
      </c>
      <c r="E17" s="86">
        <f>VLOOKUP(TableQBRanks3040[[#This Row],[Player]],QB!B:O,4,FALSE)</f>
        <v>646.21787999999992</v>
      </c>
      <c r="F17" s="86">
        <f>VLOOKUP(TableQBRanks3040[[#This Row],[Player]],QB!B:O,5,FALSE)</f>
        <v>425.9364473122526</v>
      </c>
      <c r="G17" s="86">
        <f>VLOOKUP(TableQBRanks3040[[#This Row],[Player]],QB!B:O,6,FALSE)</f>
        <v>4731.9508707950426</v>
      </c>
      <c r="H17" s="86">
        <f>VLOOKUP(TableQBRanks3040[[#This Row],[Player]],QB!B:O,7,FALSE)</f>
        <v>30.241487759169932</v>
      </c>
      <c r="I17" s="86">
        <f>VLOOKUP(TableQBRanks3040[[#This Row],[Player]],QB!B:O,8,FALSE)</f>
        <v>13.443975806147556</v>
      </c>
      <c r="J17" s="86">
        <f>VLOOKUP(TableQBRanks3040[[#This Row],[Player]],QB!B:O,9,FALSE)</f>
        <v>26.231405200000008</v>
      </c>
      <c r="K17" s="86">
        <f>VLOOKUP(TableQBRanks3040[[#This Row],[Player]],QB!B:O,10,FALSE)</f>
        <v>83.650231302493069</v>
      </c>
      <c r="L17" s="86">
        <f>VLOOKUP(TableQBRanks3040[[#This Row],[Player]],QB!B:O,11,FALSE)</f>
        <v>1.4164958808000003</v>
      </c>
      <c r="M17" s="58">
        <f>VLOOKUP(TableQBRanks3040[[#This Row],[Player]],QB!B:O,13,FALSE)</f>
        <v>313.66400847738322</v>
      </c>
      <c r="N17" s="133">
        <f>IF(VLOOKUP(TableQBRanks3040[[#This Row],[RK]],'Ranks w Proj'!$A:$N,14,FALSE)&lt;0,0,VLOOKUP(TableQBRanks3040[[#This Row],[RK]],'Ranks w Proj'!$A:$N,14,FALSE))</f>
        <v>0.56952206366340763</v>
      </c>
      <c r="P17">
        <v>16</v>
      </c>
      <c r="Q17" t="str">
        <f>VLOOKUP(TableRBRanks3141[[#This Row],[RK]],Rankings!A:T,8,FALSE)</f>
        <v>Aaron Jones</v>
      </c>
      <c r="R17" t="str">
        <f>IFERROR(INDEX(TableRBCalcPts[TM],MATCH(TableRBRanks3141[[#This Row],[Player]],TableRBCalcPts[PLAYER],0)),"")</f>
        <v>GB</v>
      </c>
      <c r="S17">
        <f>IFERROR(INDEX(TableRBCalcPts[BYE],MATCH(TableRBRanks3141[[#This Row],[Player]],TableRBCalcPts[PLAYER],0)),"")</f>
        <v>6</v>
      </c>
      <c r="T17" s="86">
        <f>VLOOKUP(TableRBRanks3141[[#This Row],[Player]],RB!B:O,4,FALSE)</f>
        <v>189.36316167999996</v>
      </c>
      <c r="U17" s="86">
        <f>VLOOKUP(TableRBRanks3141[[#This Row],[Player]],RB!B:O,5,FALSE)</f>
        <v>900.76717084429811</v>
      </c>
      <c r="V17" s="86">
        <f>VLOOKUP(TableRBRanks3141[[#This Row],[Player]],RB!B:O,6,FALSE)</f>
        <v>6.4383474971199988</v>
      </c>
      <c r="W17" s="86">
        <f>VLOOKUP(TableRBRanks3141[[#This Row],[Player]],RB!B:O,7,FALSE)</f>
        <v>62.874479360000002</v>
      </c>
      <c r="X17" s="86">
        <f>VLOOKUP(TableRBRanks3141[[#This Row],[Player]],RB!B:O,8,FALSE)</f>
        <v>47.153337694349538</v>
      </c>
      <c r="Y17" s="86">
        <f>VLOOKUP(TableRBRanks3141[[#This Row],[Player]],RB!B:O,9,FALSE)</f>
        <v>351.62871046425124</v>
      </c>
      <c r="Z17" s="86">
        <f>VLOOKUP(TableRBRanks3141[[#This Row],[Player]],RB!B:O,10,FALSE)</f>
        <v>2.7820469239666226</v>
      </c>
      <c r="AA17" s="58">
        <f>VLOOKUP(TableRBRanks3141[[#This Row],[Player]],RB!B:O,14,FALSE)</f>
        <v>204.13862350454943</v>
      </c>
      <c r="AB17" s="133">
        <f>IF(VLOOKUP(TableRBRanks3141[[#This Row],[RK]],'Ranks w Proj'!$P:$AB,13,FALSE)&lt;0,0,VLOOKUP(TableRBRanks3141[[#This Row],[RK]],'Ranks w Proj'!$P:$AB,13,FALSE))</f>
        <v>27.591320264367809</v>
      </c>
      <c r="AD17">
        <v>16</v>
      </c>
      <c r="AE17" t="str">
        <f>VLOOKUP(TableWRRanks3242[[#This Row],[RK]],Rankings!A:T,13,FALSE)</f>
        <v>DK Metcalf</v>
      </c>
      <c r="AF17" t="str">
        <f>IFERROR(INDEX(TableWRCalcPts[TM],MATCH(TableWRRanks3242[[#This Row],[Player]],TableWRCalcPts[PLAYER],0)),"")</f>
        <v>SEA</v>
      </c>
      <c r="AG17">
        <f>IFERROR(INDEX(TableWRCalcPts[BYE],MATCH(TableWRRanks3242[[#This Row],[Player]],TableWRCalcPts[PLAYER],0)),"")</f>
        <v>5</v>
      </c>
      <c r="AH17" s="86">
        <f>VLOOKUP(TableWRRanks3242[[#This Row],[Player]],WR!B:O,4,FALSE)</f>
        <v>0</v>
      </c>
      <c r="AI17" s="86">
        <f>VLOOKUP(TableWRRanks3242[[#This Row],[Player]],WR!B:O,5,FALSE)</f>
        <v>0</v>
      </c>
      <c r="AJ17" s="86">
        <f>VLOOKUP(TableWRRanks3242[[#This Row],[Player]],WR!B:O,6,FALSE)</f>
        <v>128.61232272000001</v>
      </c>
      <c r="AK17" s="86">
        <f>VLOOKUP(TableWRRanks3242[[#This Row],[Player]],WR!B:O,7,FALSE)</f>
        <v>81.258506313851001</v>
      </c>
      <c r="AL17" s="86">
        <f>VLOOKUP(TableWRRanks3242[[#This Row],[Player]],WR!B:O,8,FALSE)</f>
        <v>1009.2306484180294</v>
      </c>
      <c r="AM17" s="86">
        <f>VLOOKUP(TableWRRanks3242[[#This Row],[Player]],WR!B:O,9,FALSE)</f>
        <v>7.800816606129696</v>
      </c>
      <c r="AN17" s="58">
        <f>VLOOKUP(TableWRRanks3242[[#This Row],[Player]],WR!B:O,13,FALSE)</f>
        <v>188.35721763550663</v>
      </c>
      <c r="AO17" s="133">
        <f>IF(VLOOKUP(TableWRRanks3242[[#This Row],[RK]],'Ranks w Proj'!AD:AO,12,FALSE)&lt;0,0,VLOOKUP(TableWRRanks3242[[#This Row],[RK]],'Ranks w Proj'!AD:AO,12,FALSE))</f>
        <v>21.055788634225319</v>
      </c>
      <c r="AQ17">
        <v>16</v>
      </c>
      <c r="AR17" t="str">
        <f>VLOOKUP(TableTERanks3343[[#This Row],[RK]],Rankings!A:T,18,FALSE)</f>
        <v>Zach Ertz</v>
      </c>
      <c r="AS17" t="str">
        <f>IFERROR(INDEX(TableTECalcPts[TM],MATCH(TableTERanks3343[[#This Row],[Player]],TableTECalcPts[PLAYER],0)),"")</f>
        <v>ARI</v>
      </c>
      <c r="AT17">
        <f>IFERROR(INDEX(TableTECalcPts[BYE],MATCH(TableTERanks3343[[#This Row],[Player]],TableTECalcPts[PLAYER],0)),"")</f>
        <v>14</v>
      </c>
      <c r="AU17" s="86">
        <f>VLOOKUP(TableTERanks3343[[#This Row],[Player]],TE!B:O,4,FALSE)</f>
        <v>82.868309999999994</v>
      </c>
      <c r="AV17" s="86">
        <f>VLOOKUP(TableTERanks3343[[#This Row],[Player]],TE!B:O,5,FALSE)</f>
        <v>52.45564023</v>
      </c>
      <c r="AW17" s="86">
        <f>VLOOKUP(TableTERanks3343[[#This Row],[Player]],TE!B:O,6,FALSE)</f>
        <v>521.40906388619999</v>
      </c>
      <c r="AX17" s="86">
        <f>VLOOKUP(TableTERanks3343[[#This Row],[Player]],TE!B:O,7,FALSE)</f>
        <v>3.9866286574799998</v>
      </c>
      <c r="AY17" s="58">
        <f>VLOOKUP(TableTERanks3343[[#This Row],[Player]],TE!B:O,11,FALSE)</f>
        <v>102.28849844849999</v>
      </c>
      <c r="AZ17" s="133">
        <f>IF(VLOOKUP(TableTERanks3343[[#This Row],[RK]],'Ranks w Proj'!AQ:AZ,10,FALSE)&lt;0,0,VLOOKUP(TableTERanks3343[[#This Row],[RK]],'Ranks w Proj'!AQ:AZ,10,FALSE))</f>
        <v>0</v>
      </c>
    </row>
    <row r="18" spans="1:52" x14ac:dyDescent="0.2">
      <c r="A18">
        <v>17</v>
      </c>
      <c r="B18" t="str">
        <f>VLOOKUP(TableQBRanks3040[[#This Row],[RK]],Rankings!A:T,3,FALSE)</f>
        <v>Bryce Young</v>
      </c>
      <c r="C18" t="str">
        <f>IFERROR(INDEX(TableQBCalcPts[TM],MATCH(TableQBRanks3040[[#This Row],[Player]],TableQBCalcPts[PLAYER],0)),"")</f>
        <v>CAR</v>
      </c>
      <c r="D18">
        <f>IFERROR(INDEX(TableQBCalcPts[BYE],MATCH(TableQBRanks3040[[#This Row],[Player]],TableQBCalcPts[PLAYER],0)),"")</f>
        <v>7</v>
      </c>
      <c r="E18" s="86">
        <f>VLOOKUP(TableQBRanks3040[[#This Row],[Player]],QB!B:O,4,FALSE)</f>
        <v>570.43034999999998</v>
      </c>
      <c r="F18" s="86">
        <f>VLOOKUP(TableQBRanks3040[[#This Row],[Player]],QB!B:O,5,FALSE)</f>
        <v>354.81103382308135</v>
      </c>
      <c r="G18" s="86">
        <f>VLOOKUP(TableQBRanks3040[[#This Row],[Player]],QB!B:O,6,FALSE)</f>
        <v>3966.7873581420495</v>
      </c>
      <c r="H18" s="86">
        <f>VLOOKUP(TableQBRanks3040[[#This Row],[Player]],QB!B:O,7,FALSE)</f>
        <v>23.45300933570568</v>
      </c>
      <c r="I18" s="86">
        <f>VLOOKUP(TableQBRanks3040[[#This Row],[Player]],QB!B:O,8,FALSE)</f>
        <v>12.1371497674011</v>
      </c>
      <c r="J18" s="86">
        <f>VLOOKUP(TableQBRanks3040[[#This Row],[Player]],QB!B:O,9,FALSE)</f>
        <v>62.912648400000016</v>
      </c>
      <c r="K18" s="86">
        <f>VLOOKUP(TableQBRanks3040[[#This Row],[Player]],QB!B:O,10,FALSE)</f>
        <v>316.45062145200012</v>
      </c>
      <c r="L18" s="86">
        <f>VLOOKUP(TableQBRanks3040[[#This Row],[Player]],QB!B:O,11,FALSE)</f>
        <v>3.7118462556000007</v>
      </c>
      <c r="M18" s="58">
        <f>VLOOKUP(TableQBRanks3040[[#This Row],[Player]],QB!B:O,13,FALSE)</f>
        <v>294.26252157990365</v>
      </c>
      <c r="N18" s="133">
        <f>IF(VLOOKUP(TableQBRanks3040[[#This Row],[RK]],'Ranks w Proj'!$A:$N,14,FALSE)&lt;0,0,VLOOKUP(TableQBRanks3040[[#This Row],[RK]],'Ranks w Proj'!$A:$N,14,FALSE))</f>
        <v>0</v>
      </c>
      <c r="P18">
        <v>17</v>
      </c>
      <c r="Q18" t="str">
        <f>VLOOKUP(TableRBRanks3141[[#This Row],[RK]],Rankings!A:T,8,FALSE)</f>
        <v>Miles Sanders</v>
      </c>
      <c r="R18" t="str">
        <f>IFERROR(INDEX(TableRBCalcPts[TM],MATCH(TableRBRanks3141[[#This Row],[Player]],TableRBCalcPts[PLAYER],0)),"")</f>
        <v>CAR</v>
      </c>
      <c r="S18">
        <f>IFERROR(INDEX(TableRBCalcPts[BYE],MATCH(TableRBRanks3141[[#This Row],[Player]],TableRBCalcPts[PLAYER],0)),"")</f>
        <v>7</v>
      </c>
      <c r="T18" s="86">
        <f>VLOOKUP(TableRBRanks3141[[#This Row],[Player]],RB!B:O,4,FALSE)</f>
        <v>242.21369634000004</v>
      </c>
      <c r="U18" s="86">
        <f>VLOOKUP(TableRBRanks3141[[#This Row],[Player]],RB!B:O,5,FALSE)</f>
        <v>1073.0066747862002</v>
      </c>
      <c r="V18" s="86">
        <f>VLOOKUP(TableRBRanks3141[[#This Row],[Player]],RB!B:O,6,FALSE)</f>
        <v>7.0241971938600019</v>
      </c>
      <c r="W18" s="86">
        <f>VLOOKUP(TableRBRanks3141[[#This Row],[Player]],RB!B:O,7,FALSE)</f>
        <v>48.252403080000001</v>
      </c>
      <c r="X18" s="86">
        <f>VLOOKUP(TableRBRanks3141[[#This Row],[Player]],RB!B:O,8,FALSE)</f>
        <v>33.779714624507861</v>
      </c>
      <c r="Y18" s="86">
        <f>VLOOKUP(TableRBRanks3141[[#This Row],[Player]],RB!B:O,9,FALSE)</f>
        <v>263.67834617161469</v>
      </c>
      <c r="Z18" s="86">
        <f>VLOOKUP(TableRBRanks3141[[#This Row],[Player]],RB!B:O,10,FALSE)</f>
        <v>0.91205229486171224</v>
      </c>
      <c r="AA18" s="58">
        <f>VLOOKUP(TableRBRanks3141[[#This Row],[Player]],RB!B:O,14,FALSE)</f>
        <v>198.17585634036573</v>
      </c>
      <c r="AB18" s="133">
        <f>IF(VLOOKUP(TableRBRanks3141[[#This Row],[RK]],'Ranks w Proj'!$P:$AB,13,FALSE)&lt;0,0,VLOOKUP(TableRBRanks3141[[#This Row],[RK]],'Ranks w Proj'!$P:$AB,13,FALSE))</f>
        <v>27.586908038156412</v>
      </c>
      <c r="AD18">
        <v>17</v>
      </c>
      <c r="AE18" t="str">
        <f>VLOOKUP(TableWRRanks3242[[#This Row],[RK]],Rankings!A:T,13,FALSE)</f>
        <v>DeAndre Hopkins</v>
      </c>
      <c r="AF18" t="str">
        <f>IFERROR(INDEX(TableWRCalcPts[TM],MATCH(TableWRRanks3242[[#This Row],[Player]],TableWRCalcPts[PLAYER],0)),"")</f>
        <v>TEN</v>
      </c>
      <c r="AG18">
        <f>IFERROR(INDEX(TableWRCalcPts[BYE],MATCH(TableWRRanks3242[[#This Row],[Player]],TableWRCalcPts[PLAYER],0)),"")</f>
        <v>7</v>
      </c>
      <c r="AH18" s="86">
        <f>VLOOKUP(TableWRRanks3242[[#This Row],[Player]],WR!B:O,4,FALSE)</f>
        <v>0</v>
      </c>
      <c r="AI18" s="86">
        <f>VLOOKUP(TableWRRanks3242[[#This Row],[Player]],WR!B:O,5,FALSE)</f>
        <v>0</v>
      </c>
      <c r="AJ18" s="86">
        <f>VLOOKUP(TableWRRanks3242[[#This Row],[Player]],WR!B:O,6,FALSE)</f>
        <v>126.7348446</v>
      </c>
      <c r="AK18" s="86">
        <f>VLOOKUP(TableWRRanks3242[[#This Row],[Player]],WR!B:O,7,FALSE)</f>
        <v>84.072364058386626</v>
      </c>
      <c r="AL18" s="86">
        <f>VLOOKUP(TableWRRanks3242[[#This Row],[Player]],WR!B:O,8,FALSE)</f>
        <v>1053.3639602982939</v>
      </c>
      <c r="AM18" s="86">
        <f>VLOOKUP(TableWRRanks3242[[#This Row],[Player]],WR!B:O,9,FALSE)</f>
        <v>6.9780062168460901</v>
      </c>
      <c r="AN18" s="58">
        <f>VLOOKUP(TableWRRanks3242[[#This Row],[Player]],WR!B:O,13,FALSE)</f>
        <v>189.24061536009924</v>
      </c>
      <c r="AO18" s="133">
        <f>IF(VLOOKUP(TableWRRanks3242[[#This Row],[RK]],'Ranks w Proj'!AD:AO,12,FALSE)&lt;0,0,VLOOKUP(TableWRRanks3242[[#This Row],[RK]],'Ranks w Proj'!AD:AO,12,FALSE))</f>
        <v>20.187957949177946</v>
      </c>
      <c r="AQ18">
        <v>17</v>
      </c>
      <c r="AR18" t="str">
        <f>VLOOKUP(TableTERanks3343[[#This Row],[RK]],Rankings!A:T,18,FALSE)</f>
        <v>Hunter Henry</v>
      </c>
      <c r="AS18" t="str">
        <f>IFERROR(INDEX(TableTECalcPts[TM],MATCH(TableTERanks3343[[#This Row],[Player]],TableTECalcPts[PLAYER],0)),"")</f>
        <v>NE</v>
      </c>
      <c r="AT18">
        <f>IFERROR(INDEX(TableTECalcPts[BYE],MATCH(TableTERanks3343[[#This Row],[Player]],TableTECalcPts[PLAYER],0)),"")</f>
        <v>11</v>
      </c>
      <c r="AU18" s="86">
        <f>VLOOKUP(TableTERanks3343[[#This Row],[Player]],TE!B:O,4,FALSE)</f>
        <v>79.506837479999973</v>
      </c>
      <c r="AV18" s="86">
        <f>VLOOKUP(TableTERanks3343[[#This Row],[Player]],TE!B:O,5,FALSE)</f>
        <v>52.685122952160945</v>
      </c>
      <c r="AW18" s="86">
        <f>VLOOKUP(TableTERanks3343[[#This Row],[Player]],TE!B:O,6,FALSE)</f>
        <v>616.41593854028304</v>
      </c>
      <c r="AX18" s="86">
        <f>VLOOKUP(TableTERanks3343[[#This Row],[Player]],TE!B:O,7,FALSE)</f>
        <v>4.0567544673163924</v>
      </c>
      <c r="AY18" s="58">
        <f>VLOOKUP(TableTERanks3343[[#This Row],[Player]],TE!B:O,11,FALSE)</f>
        <v>112.32468213400713</v>
      </c>
      <c r="AZ18" s="133">
        <f>IF(VLOOKUP(TableTERanks3343[[#This Row],[RK]],'Ranks w Proj'!AQ:AZ,10,FALSE)&lt;0,0,VLOOKUP(TableTERanks3343[[#This Row],[RK]],'Ranks w Proj'!AQ:AZ,10,FALSE))</f>
        <v>0</v>
      </c>
    </row>
    <row r="19" spans="1:52" x14ac:dyDescent="0.2">
      <c r="A19">
        <v>18</v>
      </c>
      <c r="B19" t="str">
        <f>VLOOKUP(TableQBRanks3040[[#This Row],[RK]],Rankings!A:T,3,FALSE)</f>
        <v>Russell Wilson</v>
      </c>
      <c r="C19" t="str">
        <f>IFERROR(INDEX(TableQBCalcPts[TM],MATCH(TableQBRanks3040[[#This Row],[Player]],TableQBCalcPts[PLAYER],0)),"")</f>
        <v>DEN</v>
      </c>
      <c r="D19">
        <f>IFERROR(INDEX(TableQBCalcPts[BYE],MATCH(TableQBRanks3040[[#This Row],[Player]],TableQBCalcPts[PLAYER],0)),"")</f>
        <v>9</v>
      </c>
      <c r="E19" s="86">
        <f>VLOOKUP(TableQBRanks3040[[#This Row],[Player]],QB!B:O,4,FALSE)</f>
        <v>567.2106</v>
      </c>
      <c r="F19" s="86">
        <f>VLOOKUP(TableQBRanks3040[[#This Row],[Player]],QB!B:O,5,FALSE)</f>
        <v>360.6066049805948</v>
      </c>
      <c r="G19" s="86">
        <f>VLOOKUP(TableQBRanks3040[[#This Row],[Player]],QB!B:O,6,FALSE)</f>
        <v>4197.4608819741234</v>
      </c>
      <c r="H19" s="86">
        <f>VLOOKUP(TableQBRanks3040[[#This Row],[Player]],QB!B:O,7,FALSE)</f>
        <v>27.346201667745099</v>
      </c>
      <c r="I19" s="86">
        <f>VLOOKUP(TableQBRanks3040[[#This Row],[Player]],QB!B:O,8,FALSE)</f>
        <v>12.995693147501363</v>
      </c>
      <c r="J19" s="86">
        <f>VLOOKUP(TableQBRanks3040[[#This Row],[Player]],QB!B:O,9,FALSE)</f>
        <v>40.655397999999998</v>
      </c>
      <c r="K19" s="86">
        <f>VLOOKUP(TableQBRanks3040[[#This Row],[Player]],QB!B:O,10,FALSE)</f>
        <v>196.21147612433944</v>
      </c>
      <c r="L19" s="86">
        <f>VLOOKUP(TableQBRanks3040[[#This Row],[Player]],QB!B:O,11,FALSE)</f>
        <v>2.1140806959999998</v>
      </c>
      <c r="M19" s="58">
        <f>VLOOKUP(TableQBRanks3040[[#This Row],[Player]],QB!B:O,13,FALSE)</f>
        <v>296.59318059087798</v>
      </c>
      <c r="N19" s="133">
        <f>IF(VLOOKUP(TableQBRanks3040[[#This Row],[RK]],'Ranks w Proj'!$A:$N,14,FALSE)&lt;0,0,VLOOKUP(TableQBRanks3040[[#This Row],[RK]],'Ranks w Proj'!$A:$N,14,FALSE))</f>
        <v>0</v>
      </c>
      <c r="P19">
        <v>18</v>
      </c>
      <c r="Q19" t="str">
        <f>VLOOKUP(TableRBRanks3141[[#This Row],[RK]],Rankings!A:T,8,FALSE)</f>
        <v>Cam Akers</v>
      </c>
      <c r="R19" t="str">
        <f>IFERROR(INDEX(TableRBCalcPts[TM],MATCH(TableRBRanks3141[[#This Row],[Player]],TableRBCalcPts[PLAYER],0)),"")</f>
        <v>LAR</v>
      </c>
      <c r="S19">
        <f>IFERROR(INDEX(TableRBCalcPts[BYE],MATCH(TableRBRanks3141[[#This Row],[Player]],TableRBCalcPts[PLAYER],0)),"")</f>
        <v>10</v>
      </c>
      <c r="T19" s="86">
        <f>VLOOKUP(TableRBRanks3141[[#This Row],[Player]],RB!B:O,4,FALSE)</f>
        <v>237.72228480000001</v>
      </c>
      <c r="U19" s="86">
        <f>VLOOKUP(TableRBRanks3141[[#This Row],[Player]],RB!B:O,5,FALSE)</f>
        <v>1007.9424875520001</v>
      </c>
      <c r="V19" s="86">
        <f>VLOOKUP(TableRBRanks3141[[#This Row],[Player]],RB!B:O,6,FALSE)</f>
        <v>7.6071131136000005</v>
      </c>
      <c r="W19" s="86">
        <f>VLOOKUP(TableRBRanks3141[[#This Row],[Player]],RB!B:O,7,FALSE)</f>
        <v>45.718928640000001</v>
      </c>
      <c r="X19" s="86">
        <f>VLOOKUP(TableRBRanks3141[[#This Row],[Player]],RB!B:O,8,FALSE)</f>
        <v>33.237661121279999</v>
      </c>
      <c r="Y19" s="86">
        <f>VLOOKUP(TableRBRanks3141[[#This Row],[Player]],RB!B:O,9,FALSE)</f>
        <v>271.5516913608576</v>
      </c>
      <c r="Z19" s="86">
        <f>VLOOKUP(TableRBRanks3141[[#This Row],[Player]],RB!B:O,10,FALSE)</f>
        <v>1.3295064448512</v>
      </c>
      <c r="AA19" s="58">
        <f>VLOOKUP(TableRBRanks3141[[#This Row],[Player]],RB!B:O,14,FALSE)</f>
        <v>198.18796580263299</v>
      </c>
      <c r="AB19" s="133">
        <f>IF(VLOOKUP(TableRBRanks3141[[#This Row],[RK]],'Ranks w Proj'!$P:$AB,13,FALSE)&lt;0,0,VLOOKUP(TableRBRanks3141[[#This Row],[RK]],'Ranks w Proj'!$P:$AB,13,FALSE))</f>
        <v>26.963130746608613</v>
      </c>
      <c r="AD19">
        <v>18</v>
      </c>
      <c r="AE19" t="str">
        <f>VLOOKUP(TableWRRanks3242[[#This Row],[RK]],Rankings!A:T,13,FALSE)</f>
        <v>Keenan Allen</v>
      </c>
      <c r="AF19" t="str">
        <f>IFERROR(INDEX(TableWRCalcPts[TM],MATCH(TableWRRanks3242[[#This Row],[Player]],TableWRCalcPts[PLAYER],0)),"")</f>
        <v>LAC</v>
      </c>
      <c r="AG19">
        <f>IFERROR(INDEX(TableWRCalcPts[BYE],MATCH(TableWRRanks3242[[#This Row],[Player]],TableWRCalcPts[PLAYER],0)),"")</f>
        <v>5</v>
      </c>
      <c r="AH19" s="86">
        <f>VLOOKUP(TableWRRanks3242[[#This Row],[Player]],WR!B:O,4,FALSE)</f>
        <v>0</v>
      </c>
      <c r="AI19" s="86">
        <f>VLOOKUP(TableWRRanks3242[[#This Row],[Player]],WR!B:O,5,FALSE)</f>
        <v>0</v>
      </c>
      <c r="AJ19" s="86">
        <f>VLOOKUP(TableWRRanks3242[[#This Row],[Player]],WR!B:O,6,FALSE)</f>
        <v>139.32216059999999</v>
      </c>
      <c r="AK19" s="86">
        <f>VLOOKUP(TableWRRanks3242[[#This Row],[Player]],WR!B:O,7,FALSE)</f>
        <v>97.804156741199989</v>
      </c>
      <c r="AL19" s="86">
        <f>VLOOKUP(TableWRRanks3242[[#This Row],[Player]],WR!B:O,8,FALSE)</f>
        <v>1007.3828144343599</v>
      </c>
      <c r="AM19" s="86">
        <f>VLOOKUP(TableWRRanks3242[[#This Row],[Player]],WR!B:O,9,FALSE)</f>
        <v>6.4550743449191996</v>
      </c>
      <c r="AN19" s="58">
        <f>VLOOKUP(TableWRRanks3242[[#This Row],[Player]],WR!B:O,13,FALSE)</f>
        <v>188.37080588355121</v>
      </c>
      <c r="AO19" s="133">
        <f>IF(VLOOKUP(TableWRRanks3242[[#This Row],[RK]],'Ranks w Proj'!AD:AO,12,FALSE)&lt;0,0,VLOOKUP(TableWRRanks3242[[#This Row],[RK]],'Ranks w Proj'!AD:AO,12,FALSE))</f>
        <v>20.138642849660553</v>
      </c>
      <c r="AQ19">
        <v>18</v>
      </c>
      <c r="AR19" t="str">
        <f>VLOOKUP(TableTERanks3343[[#This Row],[RK]],Rankings!A:T,18,FALSE)</f>
        <v>Jake Ferguson</v>
      </c>
      <c r="AS19" t="str">
        <f>IFERROR(INDEX(TableTECalcPts[TM],MATCH(TableTERanks3343[[#This Row],[Player]],TableTECalcPts[PLAYER],0)),"")</f>
        <v>DAL</v>
      </c>
      <c r="AT19">
        <f>IFERROR(INDEX(TableTECalcPts[BYE],MATCH(TableTERanks3343[[#This Row],[Player]],TableTECalcPts[PLAYER],0)),"")</f>
        <v>7</v>
      </c>
      <c r="AU19" s="86">
        <f>VLOOKUP(TableTERanks3343[[#This Row],[Player]],TE!B:O,4,FALSE)</f>
        <v>65.694182400000003</v>
      </c>
      <c r="AV19" s="86">
        <f>VLOOKUP(TableTERanks3343[[#This Row],[Player]],TE!B:O,5,FALSE)</f>
        <v>47.068609710189847</v>
      </c>
      <c r="AW19" s="86">
        <f>VLOOKUP(TableTERanks3343[[#This Row],[Player]],TE!B:O,6,FALSE)</f>
        <v>470.68609710189844</v>
      </c>
      <c r="AX19" s="86">
        <f>VLOOKUP(TableTERanks3343[[#This Row],[Player]],TE!B:O,7,FALSE)</f>
        <v>5.0363412389903139</v>
      </c>
      <c r="AY19" s="58">
        <f>VLOOKUP(TableTERanks3343[[#This Row],[Player]],TE!B:O,11,FALSE)</f>
        <v>100.82096199922665</v>
      </c>
      <c r="AZ19" s="133">
        <f>IF(VLOOKUP(TableTERanks3343[[#This Row],[RK]],'Ranks w Proj'!AQ:AZ,10,FALSE)&lt;0,0,VLOOKUP(TableTERanks3343[[#This Row],[RK]],'Ranks w Proj'!AQ:AZ,10,FALSE))</f>
        <v>0</v>
      </c>
    </row>
    <row r="20" spans="1:52" x14ac:dyDescent="0.2">
      <c r="A20">
        <v>19</v>
      </c>
      <c r="B20" t="str">
        <f>VLOOKUP(TableQBRanks3040[[#This Row],[RK]],Rankings!A:T,3,FALSE)</f>
        <v>Matthew Stafford</v>
      </c>
      <c r="C20" t="str">
        <f>IFERROR(INDEX(TableQBCalcPts[TM],MATCH(TableQBRanks3040[[#This Row],[Player]],TableQBCalcPts[PLAYER],0)),"")</f>
        <v>LAR</v>
      </c>
      <c r="D20">
        <f>IFERROR(INDEX(TableQBCalcPts[BYE],MATCH(TableQBRanks3040[[#This Row],[Player]],TableQBCalcPts[PLAYER],0)),"")</f>
        <v>10</v>
      </c>
      <c r="E20" s="86">
        <f>VLOOKUP(TableQBRanks3040[[#This Row],[Player]],QB!B:O,4,FALSE)</f>
        <v>605.21471999999994</v>
      </c>
      <c r="F20" s="86">
        <f>VLOOKUP(TableQBRanks3040[[#This Row],[Player]],QB!B:O,5,FALSE)</f>
        <v>403.22042572745528</v>
      </c>
      <c r="G20" s="86">
        <f>VLOOKUP(TableQBRanks3040[[#This Row],[Player]],QB!B:O,6,FALSE)</f>
        <v>4520.7123721191228</v>
      </c>
      <c r="H20" s="86">
        <f>VLOOKUP(TableQBRanks3040[[#This Row],[Player]],QB!B:O,7,FALSE)</f>
        <v>28.144785715776379</v>
      </c>
      <c r="I20" s="86">
        <f>VLOOKUP(TableQBRanks3040[[#This Row],[Player]],QB!B:O,8,FALSE)</f>
        <v>16.334362899087708</v>
      </c>
      <c r="J20" s="86">
        <f>VLOOKUP(TableQBRanks3040[[#This Row],[Player]],QB!B:O,9,FALSE)</f>
        <v>25.023398400000001</v>
      </c>
      <c r="K20" s="86">
        <f>VLOOKUP(TableQBRanks3040[[#This Row],[Player]],QB!B:O,10,FALSE)</f>
        <v>55.022129781943526</v>
      </c>
      <c r="L20" s="86">
        <f>VLOOKUP(TableQBRanks3040[[#This Row],[Player]],QB!B:O,11,FALSE)</f>
        <v>0.80746585895939871</v>
      </c>
      <c r="M20" s="58">
        <f>VLOOKUP(TableQBRanks3040[[#This Row],[Player]],QB!B:O,13,FALSE)</f>
        <v>287.42028298073348</v>
      </c>
      <c r="N20" s="133">
        <f>IF(VLOOKUP(TableQBRanks3040[[#This Row],[RK]],'Ranks w Proj'!$A:$N,14,FALSE)&lt;0,0,VLOOKUP(TableQBRanks3040[[#This Row],[RK]],'Ranks w Proj'!$A:$N,14,FALSE))</f>
        <v>0</v>
      </c>
      <c r="P20">
        <v>19</v>
      </c>
      <c r="Q20" t="str">
        <f>VLOOKUP(TableRBRanks3141[[#This Row],[RK]],Rankings!A:T,8,FALSE)</f>
        <v>James Conner</v>
      </c>
      <c r="R20" t="str">
        <f>IFERROR(INDEX(TableRBCalcPts[TM],MATCH(TableRBRanks3141[[#This Row],[Player]],TableRBCalcPts[PLAYER],0)),"")</f>
        <v>ARI</v>
      </c>
      <c r="S20">
        <f>IFERROR(INDEX(TableRBCalcPts[BYE],MATCH(TableRBRanks3141[[#This Row],[Player]],TableRBCalcPts[PLAYER],0)),"")</f>
        <v>14</v>
      </c>
      <c r="T20" s="86">
        <f>VLOOKUP(TableRBRanks3141[[#This Row],[Player]],RB!B:O,4,FALSE)</f>
        <v>213.36535500000002</v>
      </c>
      <c r="U20" s="86">
        <f>VLOOKUP(TableRBRanks3141[[#This Row],[Player]],RB!B:O,5,FALSE)</f>
        <v>879.0652626000001</v>
      </c>
      <c r="V20" s="86">
        <f>VLOOKUP(TableRBRanks3141[[#This Row],[Player]],RB!B:O,6,FALSE)</f>
        <v>7.0410567150000007</v>
      </c>
      <c r="W20" s="86">
        <f>VLOOKUP(TableRBRanks3141[[#This Row],[Player]],RB!B:O,7,FALSE)</f>
        <v>49.841085000000007</v>
      </c>
      <c r="X20" s="86">
        <f>VLOOKUP(TableRBRanks3141[[#This Row],[Player]],RB!B:O,8,FALSE)</f>
        <v>38.776364130000005</v>
      </c>
      <c r="Y20" s="86">
        <f>VLOOKUP(TableRBRanks3141[[#This Row],[Player]],RB!B:O,9,FALSE)</f>
        <v>281.90416722510003</v>
      </c>
      <c r="Z20" s="86">
        <f>VLOOKUP(TableRBRanks3141[[#This Row],[Player]],RB!B:O,10,FALSE)</f>
        <v>1.3571727445500004</v>
      </c>
      <c r="AA20" s="58">
        <f>VLOOKUP(TableRBRanks3141[[#This Row],[Player]],RB!B:O,14,FALSE)</f>
        <v>185.87450180481002</v>
      </c>
      <c r="AB20" s="133">
        <f>IF(VLOOKUP(TableRBRanks3141[[#This Row],[RK]],'Ranks w Proj'!$P:$AB,13,FALSE)&lt;0,0,VLOOKUP(TableRBRanks3141[[#This Row],[RK]],'Ranks w Proj'!$P:$AB,13,FALSE))</f>
        <v>26.066659763191122</v>
      </c>
      <c r="AD20">
        <v>19</v>
      </c>
      <c r="AE20" t="str">
        <f>VLOOKUP(TableWRRanks3242[[#This Row],[RK]],Rankings!A:T,13,FALSE)</f>
        <v>Christian Watson</v>
      </c>
      <c r="AF20" t="str">
        <f>IFERROR(INDEX(TableWRCalcPts[TM],MATCH(TableWRRanks3242[[#This Row],[Player]],TableWRCalcPts[PLAYER],0)),"")</f>
        <v>GB</v>
      </c>
      <c r="AG20">
        <f>IFERROR(INDEX(TableWRCalcPts[BYE],MATCH(TableWRRanks3242[[#This Row],[Player]],TableWRCalcPts[PLAYER],0)),"")</f>
        <v>6</v>
      </c>
      <c r="AH20" s="86">
        <f>VLOOKUP(TableWRRanks3242[[#This Row],[Player]],WR!B:O,4,FALSE)</f>
        <v>39.708913834515045</v>
      </c>
      <c r="AI20" s="86">
        <f>VLOOKUP(TableWRRanks3242[[#This Row],[Player]],WR!B:O,5,FALSE)</f>
        <v>0.49317966100344179</v>
      </c>
      <c r="AJ20" s="86">
        <f>VLOOKUP(TableWRRanks3242[[#This Row],[Player]],WR!B:O,6,FALSE)</f>
        <v>119.01240736</v>
      </c>
      <c r="AK20" s="86">
        <f>VLOOKUP(TableWRRanks3242[[#This Row],[Player]],WR!B:O,7,FALSE)</f>
        <v>71.126713359302286</v>
      </c>
      <c r="AL20" s="86">
        <f>VLOOKUP(TableWRRanks3242[[#This Row],[Player]],WR!B:O,8,FALSE)</f>
        <v>1059.7880290536041</v>
      </c>
      <c r="AM20" s="86">
        <f>VLOOKUP(TableWRRanks3242[[#This Row],[Player]],WR!B:O,9,FALSE)</f>
        <v>7.7528117561639496</v>
      </c>
      <c r="AN20" s="58">
        <f>VLOOKUP(TableWRRanks3242[[#This Row],[Player]],WR!B:O,13,FALSE)</f>
        <v>194.98899947146739</v>
      </c>
      <c r="AO20" s="133">
        <f>IF(VLOOKUP(TableWRRanks3242[[#This Row],[RK]],'Ranks w Proj'!AD:AO,12,FALSE)&lt;0,0,VLOOKUP(TableWRRanks3242[[#This Row],[RK]],'Ranks w Proj'!AD:AO,12,FALSE))</f>
        <v>19.89007641087596</v>
      </c>
      <c r="AQ20">
        <v>19</v>
      </c>
      <c r="AR20" t="str">
        <f>VLOOKUP(TableTERanks3343[[#This Row],[RK]],Rankings!A:T,18,FALSE)</f>
        <v>Gerald Everett</v>
      </c>
      <c r="AS20" t="str">
        <f>IFERROR(INDEX(TableTECalcPts[TM],MATCH(TableTERanks3343[[#This Row],[Player]],TableTECalcPts[PLAYER],0)),"")</f>
        <v>LAC</v>
      </c>
      <c r="AT20">
        <f>IFERROR(INDEX(TableTECalcPts[BYE],MATCH(TableTERanks3343[[#This Row],[Player]],TableTECalcPts[PLAYER],0)),"")</f>
        <v>5</v>
      </c>
      <c r="AU20" s="86">
        <f>VLOOKUP(TableTERanks3343[[#This Row],[Player]],TE!B:O,4,FALSE)</f>
        <v>63.388281599999999</v>
      </c>
      <c r="AV20" s="86">
        <f>VLOOKUP(TableTERanks3343[[#This Row],[Player]],TE!B:O,5,FALSE)</f>
        <v>43.144029170386133</v>
      </c>
      <c r="AW20" s="86">
        <f>VLOOKUP(TableTERanks3343[[#This Row],[Player]],TE!B:O,6,FALSE)</f>
        <v>431.83305588632311</v>
      </c>
      <c r="AX20" s="86">
        <f>VLOOKUP(TableTERanks3343[[#This Row],[Player]],TE!B:O,7,FALSE)</f>
        <v>4.0123947128459108</v>
      </c>
      <c r="AY20" s="58">
        <f>VLOOKUP(TableTERanks3343[[#This Row],[Player]],TE!B:O,11,FALSE)</f>
        <v>88.829688450900846</v>
      </c>
      <c r="AZ20" s="133">
        <f>IF(VLOOKUP(TableTERanks3343[[#This Row],[RK]],'Ranks w Proj'!AQ:AZ,10,FALSE)&lt;0,0,VLOOKUP(TableTERanks3343[[#This Row],[RK]],'Ranks w Proj'!AQ:AZ,10,FALSE))</f>
        <v>0</v>
      </c>
    </row>
    <row r="21" spans="1:52" x14ac:dyDescent="0.2">
      <c r="A21">
        <v>20</v>
      </c>
      <c r="B21" t="str">
        <f>VLOOKUP(TableQBRanks3040[[#This Row],[RK]],Rankings!A:T,3,FALSE)</f>
        <v>Jordan Love</v>
      </c>
      <c r="C21" t="str">
        <f>IFERROR(INDEX(TableQBCalcPts[TM],MATCH(TableQBRanks3040[[#This Row],[Player]],TableQBCalcPts[PLAYER],0)),"")</f>
        <v>GB</v>
      </c>
      <c r="D21">
        <f>IFERROR(INDEX(TableQBCalcPts[BYE],MATCH(TableQBRanks3040[[#This Row],[Player]],TableQBCalcPts[PLAYER],0)),"")</f>
        <v>6</v>
      </c>
      <c r="E21" s="86">
        <f>VLOOKUP(TableQBRanks3040[[#This Row],[Player]],QB!B:O,4,FALSE)</f>
        <v>567.10764000000006</v>
      </c>
      <c r="F21" s="86">
        <f>VLOOKUP(TableQBRanks3040[[#This Row],[Player]],QB!B:O,5,FALSE)</f>
        <v>357.27781320000003</v>
      </c>
      <c r="G21" s="86">
        <f>VLOOKUP(TableQBRanks3040[[#This Row],[Player]],QB!B:O,6,FALSE)</f>
        <v>4030.0937328959999</v>
      </c>
      <c r="H21" s="86">
        <f>VLOOKUP(TableQBRanks3040[[#This Row],[Player]],QB!B:O,7,FALSE)</f>
        <v>26.617197083400001</v>
      </c>
      <c r="I21" s="86">
        <f>VLOOKUP(TableQBRanks3040[[#This Row],[Player]],QB!B:O,8,FALSE)</f>
        <v>13.900885172159247</v>
      </c>
      <c r="J21" s="86">
        <f>VLOOKUP(TableQBRanks3040[[#This Row],[Player]],QB!B:O,9,FALSE)</f>
        <v>49.713479199999988</v>
      </c>
      <c r="K21" s="86">
        <f>VLOOKUP(TableQBRanks3040[[#This Row],[Player]],QB!B:O,10,FALSE)</f>
        <v>182.87766554013086</v>
      </c>
      <c r="L21" s="86">
        <f>VLOOKUP(TableQBRanks3040[[#This Row],[Player]],QB!B:O,11,FALSE)</f>
        <v>2.0382526471999998</v>
      </c>
      <c r="M21" s="58">
        <f>VLOOKUP(TableQBRanks3040[[#This Row],[Player]],QB!B:O,13,FALSE)</f>
        <v>284.28893491449384</v>
      </c>
      <c r="N21" s="133">
        <f>IF(VLOOKUP(TableQBRanks3040[[#This Row],[RK]],'Ranks w Proj'!$A:$N,14,FALSE)&lt;0,0,VLOOKUP(TableQBRanks3040[[#This Row],[RK]],'Ranks w Proj'!$A:$N,14,FALSE))</f>
        <v>0</v>
      </c>
      <c r="P21">
        <v>20</v>
      </c>
      <c r="Q21" t="str">
        <f>VLOOKUP(TableRBRanks3141[[#This Row],[RK]],Rankings!A:T,8,FALSE)</f>
        <v>Alvin Kamara</v>
      </c>
      <c r="R21" t="str">
        <f>IFERROR(INDEX(TableRBCalcPts[TM],MATCH(TableRBRanks3141[[#This Row],[Player]],TableRBCalcPts[PLAYER],0)),"")</f>
        <v>NO</v>
      </c>
      <c r="S21">
        <f>IFERROR(INDEX(TableRBCalcPts[BYE],MATCH(TableRBRanks3141[[#This Row],[Player]],TableRBCalcPts[PLAYER],0)),"")</f>
        <v>11</v>
      </c>
      <c r="T21" s="86">
        <f>VLOOKUP(TableRBRanks3141[[#This Row],[Player]],RB!B:O,4,FALSE)</f>
        <v>173.45651119999999</v>
      </c>
      <c r="U21" s="86">
        <f>VLOOKUP(TableRBRanks3141[[#This Row],[Player]],RB!B:O,5,FALSE)</f>
        <v>735.45560748800006</v>
      </c>
      <c r="V21" s="86">
        <f>VLOOKUP(TableRBRanks3141[[#This Row],[Player]],RB!B:O,6,FALSE)</f>
        <v>5.3771518471999995</v>
      </c>
      <c r="W21" s="86">
        <f>VLOOKUP(TableRBRanks3141[[#This Row],[Player]],RB!B:O,7,FALSE)</f>
        <v>63.430362995999992</v>
      </c>
      <c r="X21" s="86">
        <f>VLOOKUP(TableRBRanks3141[[#This Row],[Player]],RB!B:O,8,FALSE)</f>
        <v>47.150199389255086</v>
      </c>
      <c r="Y21" s="86">
        <f>VLOOKUP(TableRBRanks3141[[#This Row],[Player]],RB!B:O,9,FALSE)</f>
        <v>391.8181569247098</v>
      </c>
      <c r="Z21" s="86">
        <f>VLOOKUP(TableRBRanks3141[[#This Row],[Player]],RB!B:O,10,FALSE)</f>
        <v>2.1217589725164787</v>
      </c>
      <c r="AA21" s="58">
        <f>VLOOKUP(TableRBRanks3141[[#This Row],[Player]],RB!B:O,14,FALSE)</f>
        <v>181.29594105419741</v>
      </c>
      <c r="AB21" s="133">
        <f>IF(VLOOKUP(TableRBRanks3141[[#This Row],[RK]],'Ranks w Proj'!$P:$AB,13,FALSE)&lt;0,0,VLOOKUP(TableRBRanks3141[[#This Row],[RK]],'Ranks w Proj'!$P:$AB,13,FALSE))</f>
        <v>25.380649788807162</v>
      </c>
      <c r="AD21">
        <v>20</v>
      </c>
      <c r="AE21" t="str">
        <f>VLOOKUP(TableWRRanks3242[[#This Row],[RK]],Rankings!A:T,13,FALSE)</f>
        <v>Amari Cooper</v>
      </c>
      <c r="AF21" t="str">
        <f>IFERROR(INDEX(TableWRCalcPts[TM],MATCH(TableWRRanks3242[[#This Row],[Player]],TableWRCalcPts[PLAYER],0)),"")</f>
        <v>CLE</v>
      </c>
      <c r="AG21">
        <f>IFERROR(INDEX(TableWRCalcPts[BYE],MATCH(TableWRRanks3242[[#This Row],[Player]],TableWRCalcPts[PLAYER],0)),"")</f>
        <v>5</v>
      </c>
      <c r="AH21" s="86">
        <f>VLOOKUP(TableWRRanks3242[[#This Row],[Player]],WR!B:O,4,FALSE)</f>
        <v>0</v>
      </c>
      <c r="AI21" s="86">
        <f>VLOOKUP(TableWRRanks3242[[#This Row],[Player]],WR!B:O,5,FALSE)</f>
        <v>0</v>
      </c>
      <c r="AJ21" s="86">
        <f>VLOOKUP(TableWRRanks3242[[#This Row],[Player]],WR!B:O,6,FALSE)</f>
        <v>123.27802199999999</v>
      </c>
      <c r="AK21" s="86">
        <f>VLOOKUP(TableWRRanks3242[[#This Row],[Player]],WR!B:O,7,FALSE)</f>
        <v>78.649828128964074</v>
      </c>
      <c r="AL21" s="86">
        <f>VLOOKUP(TableWRRanks3242[[#This Row],[Player]],WR!B:O,8,FALSE)</f>
        <v>1030.3127484894294</v>
      </c>
      <c r="AM21" s="86">
        <f>VLOOKUP(TableWRRanks3242[[#This Row],[Player]],WR!B:O,9,FALSE)</f>
        <v>6.9211848753488381</v>
      </c>
      <c r="AN21" s="58">
        <f>VLOOKUP(TableWRRanks3242[[#This Row],[Player]],WR!B:O,13,FALSE)</f>
        <v>183.883298165518</v>
      </c>
      <c r="AO21" s="133">
        <f>IF(VLOOKUP(TableWRRanks3242[[#This Row],[RK]],'Ranks w Proj'!AD:AO,12,FALSE)&lt;0,0,VLOOKUP(TableWRRanks3242[[#This Row],[RK]],'Ranks w Proj'!AD:AO,12,FALSE))</f>
        <v>19.885422876579675</v>
      </c>
      <c r="AQ21">
        <v>20</v>
      </c>
      <c r="AR21" t="str">
        <f>VLOOKUP(TableTERanks3343[[#This Row],[RK]],Rankings!A:T,18,FALSE)</f>
        <v>Juwan Johnson</v>
      </c>
      <c r="AS21" t="str">
        <f>IFERROR(INDEX(TableTECalcPts[TM],MATCH(TableTERanks3343[[#This Row],[Player]],TableTECalcPts[PLAYER],0)),"")</f>
        <v>NO</v>
      </c>
      <c r="AT21">
        <f>IFERROR(INDEX(TableTECalcPts[BYE],MATCH(TableTERanks3343[[#This Row],[Player]],TableTECalcPts[PLAYER],0)),"")</f>
        <v>11</v>
      </c>
      <c r="AU21" s="86">
        <f>VLOOKUP(TableTERanks3343[[#This Row],[Player]],TE!B:O,4,FALSE)</f>
        <v>68.672541756000001</v>
      </c>
      <c r="AV21" s="86">
        <f>VLOOKUP(TableTERanks3343[[#This Row],[Player]],TE!B:O,5,FALSE)</f>
        <v>43.63790423856031</v>
      </c>
      <c r="AW21" s="86">
        <f>VLOOKUP(TableTERanks3343[[#This Row],[Player]],TE!B:O,6,FALSE)</f>
        <v>495.54532169522929</v>
      </c>
      <c r="AX21" s="86">
        <f>VLOOKUP(TableTERanks3343[[#This Row],[Player]],TE!B:O,7,FALSE)</f>
        <v>4.4510662323331509</v>
      </c>
      <c r="AY21" s="58">
        <f>VLOOKUP(TableTERanks3343[[#This Row],[Player]],TE!B:O,11,FALSE)</f>
        <v>98.079881682801982</v>
      </c>
      <c r="AZ21" s="133">
        <f>IF(VLOOKUP(TableTERanks3343[[#This Row],[RK]],'Ranks w Proj'!AQ:AZ,10,FALSE)&lt;0,0,VLOOKUP(TableTERanks3343[[#This Row],[RK]],'Ranks w Proj'!AQ:AZ,10,FALSE))</f>
        <v>0</v>
      </c>
    </row>
    <row r="22" spans="1:52" x14ac:dyDescent="0.2">
      <c r="A22">
        <v>21</v>
      </c>
      <c r="B22" t="str">
        <f>VLOOKUP(TableQBRanks3040[[#This Row],[RK]],Rankings!A:T,3,FALSE)</f>
        <v>Sam Howell</v>
      </c>
      <c r="C22" t="str">
        <f>IFERROR(INDEX(TableQBCalcPts[TM],MATCH(TableQBRanks3040[[#This Row],[Player]],TableQBCalcPts[PLAYER],0)),"")</f>
        <v>WSH</v>
      </c>
      <c r="D22">
        <f>IFERROR(INDEX(TableQBCalcPts[BYE],MATCH(TableQBRanks3040[[#This Row],[Player]],TableQBCalcPts[PLAYER],0)),"")</f>
        <v>14</v>
      </c>
      <c r="E22" s="86">
        <f>VLOOKUP(TableQBRanks3040[[#This Row],[Player]],QB!B:O,4,FALSE)</f>
        <v>572.01115000000004</v>
      </c>
      <c r="F22" s="86">
        <f>VLOOKUP(TableQBRanks3040[[#This Row],[Player]],QB!B:O,5,FALSE)</f>
        <v>360.93903565000005</v>
      </c>
      <c r="G22" s="86">
        <f>VLOOKUP(TableQBRanks3040[[#This Row],[Player]],QB!B:O,6,FALSE)</f>
        <v>4031.6890282105005</v>
      </c>
      <c r="H22" s="86">
        <f>VLOOKUP(TableQBRanks3040[[#This Row],[Player]],QB!B:O,7,FALSE)</f>
        <v>24.110727581420004</v>
      </c>
      <c r="I22" s="86">
        <f>VLOOKUP(TableQBRanks3040[[#This Row],[Player]],QB!B:O,8,FALSE)</f>
        <v>16.206230066165517</v>
      </c>
      <c r="J22" s="86">
        <f>VLOOKUP(TableQBRanks3040[[#This Row],[Player]],QB!B:O,9,FALSE)</f>
        <v>41.298869919999994</v>
      </c>
      <c r="K22" s="86">
        <f>VLOOKUP(TableQBRanks3040[[#This Row],[Player]],QB!B:O,10,FALSE)</f>
        <v>190.80077903039998</v>
      </c>
      <c r="L22" s="86">
        <f>VLOOKUP(TableQBRanks3040[[#This Row],[Player]],QB!B:O,11,FALSE)</f>
        <v>2.2714378455999995</v>
      </c>
      <c r="M22" s="58">
        <f>VLOOKUP(TableQBRanks3040[[#This Row],[Player]],QB!B:O,13,FALSE)</f>
        <v>274.21294636457452</v>
      </c>
      <c r="N22" s="133">
        <f>IF(VLOOKUP(TableQBRanks3040[[#This Row],[RK]],'Ranks w Proj'!$A:$N,14,FALSE)&lt;0,0,VLOOKUP(TableQBRanks3040[[#This Row],[RK]],'Ranks w Proj'!$A:$N,14,FALSE))</f>
        <v>0</v>
      </c>
      <c r="P22">
        <v>21</v>
      </c>
      <c r="Q22" t="str">
        <f>VLOOKUP(TableRBRanks3141[[#This Row],[RK]],Rankings!A:T,8,FALSE)</f>
        <v>J.K. Dobbins</v>
      </c>
      <c r="R22" t="str">
        <f>IFERROR(INDEX(TableRBCalcPts[TM],MATCH(TableRBRanks3141[[#This Row],[Player]],TableRBCalcPts[PLAYER],0)),"")</f>
        <v>BAL</v>
      </c>
      <c r="S22">
        <f>IFERROR(INDEX(TableRBCalcPts[BYE],MATCH(TableRBRanks3141[[#This Row],[Player]],TableRBCalcPts[PLAYER],0)),"")</f>
        <v>13</v>
      </c>
      <c r="T22" s="86">
        <f>VLOOKUP(TableRBRanks3141[[#This Row],[Player]],RB!B:O,4,FALSE)</f>
        <v>203.26472823999998</v>
      </c>
      <c r="U22" s="86">
        <f>VLOOKUP(TableRBRanks3141[[#This Row],[Player]],RB!B:O,5,FALSE)</f>
        <v>1022.4215830472</v>
      </c>
      <c r="V22" s="86">
        <f>VLOOKUP(TableRBRanks3141[[#This Row],[Player]],RB!B:O,6,FALSE)</f>
        <v>9.5534422272799997</v>
      </c>
      <c r="W22" s="86">
        <f>VLOOKUP(TableRBRanks3141[[#This Row],[Player]],RB!B:O,7,FALSE)</f>
        <v>32.077281599999999</v>
      </c>
      <c r="X22" s="86">
        <f>VLOOKUP(TableRBRanks3141[[#This Row],[Player]],RB!B:O,8,FALSE)</f>
        <v>23.860068804751904</v>
      </c>
      <c r="Y22" s="86">
        <f>VLOOKUP(TableRBRanks3141[[#This Row],[Player]],RB!B:O,9,FALSE)</f>
        <v>167.11783718776312</v>
      </c>
      <c r="Z22" s="86">
        <f>VLOOKUP(TableRBRanks3141[[#This Row],[Player]],RB!B:O,10,FALSE)</f>
        <v>1.3765424310433791</v>
      </c>
      <c r="AA22" s="58">
        <f>VLOOKUP(TableRBRanks3141[[#This Row],[Player]],RB!B:O,14,FALSE)</f>
        <v>196.46388437581254</v>
      </c>
      <c r="AB22" s="133">
        <f>IF(VLOOKUP(TableRBRanks3141[[#This Row],[RK]],'Ranks w Proj'!$P:$AB,13,FALSE)&lt;0,0,VLOOKUP(TableRBRanks3141[[#This Row],[RK]],'Ranks w Proj'!$P:$AB,13,FALSE))</f>
        <v>25.336011979936341</v>
      </c>
      <c r="AD22">
        <v>21</v>
      </c>
      <c r="AE22" t="str">
        <f>VLOOKUP(TableWRRanks3242[[#This Row],[RK]],Rankings!A:T,13,FALSE)</f>
        <v>DJ Moore</v>
      </c>
      <c r="AF22" t="str">
        <f>IFERROR(INDEX(TableWRCalcPts[TM],MATCH(TableWRRanks3242[[#This Row],[Player]],TableWRCalcPts[PLAYER],0)),"")</f>
        <v>CHI</v>
      </c>
      <c r="AG22">
        <f>IFERROR(INDEX(TableWRCalcPts[BYE],MATCH(TableWRRanks3242[[#This Row],[Player]],TableWRCalcPts[PLAYER],0)),"")</f>
        <v>13</v>
      </c>
      <c r="AH22" s="86">
        <f>VLOOKUP(TableWRRanks3242[[#This Row],[Player]],WR!B:O,4,FALSE)</f>
        <v>32.281688763447846</v>
      </c>
      <c r="AI22" s="86">
        <f>VLOOKUP(TableWRRanks3242[[#This Row],[Player]],WR!B:O,5,FALSE)</f>
        <v>0.40743539200000001</v>
      </c>
      <c r="AJ22" s="86">
        <f>VLOOKUP(TableWRRanks3242[[#This Row],[Player]],WR!B:O,6,FALSE)</f>
        <v>110.60592815999999</v>
      </c>
      <c r="AK22" s="86">
        <f>VLOOKUP(TableWRRanks3242[[#This Row],[Player]],WR!B:O,7,FALSE)</f>
        <v>68.133251746559992</v>
      </c>
      <c r="AL22" s="86">
        <f>VLOOKUP(TableWRRanks3242[[#This Row],[Player]],WR!B:O,8,FALSE)</f>
        <v>964.64658978249417</v>
      </c>
      <c r="AM22" s="86">
        <f>VLOOKUP(TableWRRanks3242[[#This Row],[Player]],WR!B:O,9,FALSE)</f>
        <v>7.7671906991078394</v>
      </c>
      <c r="AN22" s="58">
        <f>VLOOKUP(TableWRRanks3242[[#This Row],[Player]],WR!B:O,13,FALSE)</f>
        <v>182.80721027452122</v>
      </c>
      <c r="AO22" s="133">
        <f>IF(VLOOKUP(TableWRRanks3242[[#This Row],[RK]],'Ranks w Proj'!AD:AO,12,FALSE)&lt;0,0,VLOOKUP(TableWRRanks3242[[#This Row],[RK]],'Ranks w Proj'!AD:AO,12,FALSE))</f>
        <v>19.685946918677171</v>
      </c>
      <c r="AQ22">
        <v>21</v>
      </c>
      <c r="AR22" t="str">
        <f>VLOOKUP(TableTERanks3343[[#This Row],[RK]],Rankings!A:T,18,FALSE)</f>
        <v>Greg Dulcich</v>
      </c>
      <c r="AS22" t="str">
        <f>IFERROR(INDEX(TableTECalcPts[TM],MATCH(TableTERanks3343[[#This Row],[Player]],TableTECalcPts[PLAYER],0)),"")</f>
        <v>DEN</v>
      </c>
      <c r="AT22">
        <f>IFERROR(INDEX(TableTECalcPts[BYE],MATCH(TableTERanks3343[[#This Row],[Player]],TableTECalcPts[PLAYER],0)),"")</f>
        <v>9</v>
      </c>
      <c r="AU22" s="86">
        <f>VLOOKUP(TableTERanks3343[[#This Row],[Player]],TE!B:O,4,FALSE)</f>
        <v>56.709601200000002</v>
      </c>
      <c r="AV22" s="86">
        <f>VLOOKUP(TableTERanks3343[[#This Row],[Player]],TE!B:O,5,FALSE)</f>
        <v>38.314034518738929</v>
      </c>
      <c r="AW22" s="86">
        <f>VLOOKUP(TableTERanks3343[[#This Row],[Player]],TE!B:O,6,FALSE)</f>
        <v>453.55572045140366</v>
      </c>
      <c r="AX22" s="86">
        <f>VLOOKUP(TableTERanks3343[[#This Row],[Player]],TE!B:O,7,FALSE)</f>
        <v>3.6781473137989371</v>
      </c>
      <c r="AY22" s="58">
        <f>VLOOKUP(TableTERanks3343[[#This Row],[Player]],TE!B:O,11,FALSE)</f>
        <v>86.581473187303459</v>
      </c>
      <c r="AZ22" s="133">
        <f>IF(VLOOKUP(TableTERanks3343[[#This Row],[RK]],'Ranks w Proj'!AQ:AZ,10,FALSE)&lt;0,0,VLOOKUP(TableTERanks3343[[#This Row],[RK]],'Ranks w Proj'!AQ:AZ,10,FALSE))</f>
        <v>0</v>
      </c>
    </row>
    <row r="23" spans="1:52" x14ac:dyDescent="0.2">
      <c r="A23">
        <v>22</v>
      </c>
      <c r="B23" t="str">
        <f>VLOOKUP(TableQBRanks3040[[#This Row],[RK]],Rankings!A:T,3,FALSE)</f>
        <v>Jared Goff</v>
      </c>
      <c r="C23" t="str">
        <f>IFERROR(INDEX(TableQBCalcPts[TM],MATCH(TableQBRanks3040[[#This Row],[Player]],TableQBCalcPts[PLAYER],0)),"")</f>
        <v>DET</v>
      </c>
      <c r="D23">
        <f>IFERROR(INDEX(TableQBCalcPts[BYE],MATCH(TableQBRanks3040[[#This Row],[Player]],TableQBCalcPts[PLAYER],0)),"")</f>
        <v>9</v>
      </c>
      <c r="E23" s="86">
        <f>VLOOKUP(TableQBRanks3040[[#This Row],[Player]],QB!B:O,4,FALSE)</f>
        <v>588.15483999999992</v>
      </c>
      <c r="F23" s="86">
        <f>VLOOKUP(TableQBRanks3040[[#This Row],[Player]],QB!B:O,5,FALSE)</f>
        <v>387.59403955999994</v>
      </c>
      <c r="G23" s="86">
        <f>VLOOKUP(TableQBRanks3040[[#This Row],[Player]],QB!B:O,6,FALSE)</f>
        <v>4290.6660179291994</v>
      </c>
      <c r="H23" s="86">
        <f>VLOOKUP(TableQBRanks3040[[#This Row],[Player]],QB!B:O,7,FALSE)</f>
        <v>27.209101577111994</v>
      </c>
      <c r="I23" s="86">
        <f>VLOOKUP(TableQBRanks3040[[#This Row],[Player]],QB!B:O,8,FALSE)</f>
        <v>9.7378920453390236</v>
      </c>
      <c r="J23" s="86">
        <f>VLOOKUP(TableQBRanks3040[[#This Row],[Player]],QB!B:O,9,FALSE)</f>
        <v>31.043710880000006</v>
      </c>
      <c r="K23" s="86">
        <f>VLOOKUP(TableQBRanks3040[[#This Row],[Player]],QB!B:O,10,FALSE)</f>
        <v>84.158756935074848</v>
      </c>
      <c r="L23" s="86">
        <f>VLOOKUP(TableQBRanks3040[[#This Row],[Player]],QB!B:O,11,FALSE)</f>
        <v>1.1486173025600002</v>
      </c>
      <c r="M23" s="58">
        <f>VLOOKUP(TableQBRanks3040[[#This Row],[Player]],QB!B:O,13,FALSE)</f>
        <v>286.03273448914445</v>
      </c>
      <c r="N23" s="133">
        <f>IF(VLOOKUP(TableQBRanks3040[[#This Row],[RK]],'Ranks w Proj'!$A:$N,14,FALSE)&lt;0,0,VLOOKUP(TableQBRanks3040[[#This Row],[RK]],'Ranks w Proj'!$A:$N,14,FALSE))</f>
        <v>0</v>
      </c>
      <c r="P23">
        <v>22</v>
      </c>
      <c r="Q23" t="str">
        <f>VLOOKUP(TableRBRanks3141[[#This Row],[RK]],Rankings!A:T,8,FALSE)</f>
        <v>Alexander Mattison</v>
      </c>
      <c r="R23" t="str">
        <f>IFERROR(INDEX(TableRBCalcPts[TM],MATCH(TableRBRanks3141[[#This Row],[Player]],TableRBCalcPts[PLAYER],0)),"")</f>
        <v>MIN</v>
      </c>
      <c r="S23">
        <f>IFERROR(INDEX(TableRBCalcPts[BYE],MATCH(TableRBRanks3141[[#This Row],[Player]],TableRBCalcPts[PLAYER],0)),"")</f>
        <v>13</v>
      </c>
      <c r="T23" s="86">
        <f>VLOOKUP(TableRBRanks3141[[#This Row],[Player]],RB!B:O,4,FALSE)</f>
        <v>227.20432503999999</v>
      </c>
      <c r="U23" s="86">
        <f>VLOOKUP(TableRBRanks3141[[#This Row],[Player]],RB!B:O,5,FALSE)</f>
        <v>938.35386241519996</v>
      </c>
      <c r="V23" s="86">
        <f>VLOOKUP(TableRBRanks3141[[#This Row],[Player]],RB!B:O,6,FALSE)</f>
        <v>9.0881730015999995</v>
      </c>
      <c r="W23" s="86">
        <f>VLOOKUP(TableRBRanks3141[[#This Row],[Player]],RB!B:O,7,FALSE)</f>
        <v>39.172795199999989</v>
      </c>
      <c r="X23" s="86">
        <f>VLOOKUP(TableRBRanks3141[[#This Row],[Player]],RB!B:O,8,FALSE)</f>
        <v>30.281067668428712</v>
      </c>
      <c r="Y23" s="86">
        <f>VLOOKUP(TableRBRanks3141[[#This Row],[Player]],RB!B:O,9,FALSE)</f>
        <v>208.62430165368994</v>
      </c>
      <c r="Z23" s="86">
        <f>VLOOKUP(TableRBRanks3141[[#This Row],[Player]],RB!B:O,10,FALSE)</f>
        <v>1.271804842074006</v>
      </c>
      <c r="AA23" s="58">
        <f>VLOOKUP(TableRBRanks3141[[#This Row],[Player]],RB!B:O,14,FALSE)</f>
        <v>191.99821730314738</v>
      </c>
      <c r="AB23" s="133">
        <f>IF(VLOOKUP(TableRBRanks3141[[#This Row],[RK]],'Ranks w Proj'!$P:$AB,13,FALSE)&lt;0,0,VLOOKUP(TableRBRanks3141[[#This Row],[RK]],'Ranks w Proj'!$P:$AB,13,FALSE))</f>
        <v>24.445390532636164</v>
      </c>
      <c r="AD23">
        <v>22</v>
      </c>
      <c r="AE23" t="str">
        <f>VLOOKUP(TableWRRanks3242[[#This Row],[RK]],Rankings!A:T,13,FALSE)</f>
        <v>Jahan Dotson</v>
      </c>
      <c r="AF23" t="str">
        <f>IFERROR(INDEX(TableWRCalcPts[TM],MATCH(TableWRRanks3242[[#This Row],[Player]],TableWRCalcPts[PLAYER],0)),"")</f>
        <v>WSH</v>
      </c>
      <c r="AG23">
        <f>IFERROR(INDEX(TableWRCalcPts[BYE],MATCH(TableWRRanks3242[[#This Row],[Player]],TableWRCalcPts[PLAYER],0)),"")</f>
        <v>14</v>
      </c>
      <c r="AH23" s="86">
        <f>VLOOKUP(TableWRRanks3242[[#This Row],[Player]],WR!B:O,4,FALSE)</f>
        <v>0</v>
      </c>
      <c r="AI23" s="86">
        <f>VLOOKUP(TableWRRanks3242[[#This Row],[Player]],WR!B:O,5,FALSE)</f>
        <v>0</v>
      </c>
      <c r="AJ23" s="86">
        <f>VLOOKUP(TableWRRanks3242[[#This Row],[Player]],WR!B:O,6,FALSE)</f>
        <v>132.76679850000002</v>
      </c>
      <c r="AK23" s="86">
        <f>VLOOKUP(TableWRRanks3242[[#This Row],[Player]],WR!B:O,7,FALSE)</f>
        <v>79.925612697000005</v>
      </c>
      <c r="AL23" s="86">
        <f>VLOOKUP(TableWRRanks3242[[#This Row],[Player]],WR!B:O,8,FALSE)</f>
        <v>1086.9883326792001</v>
      </c>
      <c r="AM23" s="86">
        <f>VLOOKUP(TableWRRanks3242[[#This Row],[Player]],WR!B:O,9,FALSE)</f>
        <v>7.1933051427299999</v>
      </c>
      <c r="AN23" s="58">
        <f>VLOOKUP(TableWRRanks3242[[#This Row],[Player]],WR!B:O,13,FALSE)</f>
        <v>191.8214704728</v>
      </c>
      <c r="AO23" s="133">
        <f>IF(VLOOKUP(TableWRRanks3242[[#This Row],[RK]],'Ranks w Proj'!AD:AO,12,FALSE)&lt;0,0,VLOOKUP(TableWRRanks3242[[#This Row],[RK]],'Ranks w Proj'!AD:AO,12,FALSE))</f>
        <v>18.89195499547305</v>
      </c>
      <c r="AQ23">
        <v>22</v>
      </c>
      <c r="AR23" t="str">
        <f>VLOOKUP(TableTERanks3343[[#This Row],[RK]],Rankings!A:T,18,FALSE)</f>
        <v>Sam LaPorta</v>
      </c>
      <c r="AS23" t="str">
        <f>IFERROR(INDEX(TableTECalcPts[TM],MATCH(TableTERanks3343[[#This Row],[Player]],TableTECalcPts[PLAYER],0)),"")</f>
        <v>DET</v>
      </c>
      <c r="AT23">
        <f>IFERROR(INDEX(TableTECalcPts[BYE],MATCH(TableTERanks3343[[#This Row],[Player]],TableTECalcPts[PLAYER],0)),"")</f>
        <v>9</v>
      </c>
      <c r="AU23" s="86">
        <f>VLOOKUP(TableTERanks3343[[#This Row],[Player]],TE!B:O,4,FALSE)</f>
        <v>68.814116279999993</v>
      </c>
      <c r="AV23" s="86">
        <f>VLOOKUP(TableTERanks3343[[#This Row],[Player]],TE!B:O,5,FALSE)</f>
        <v>45.839211494643195</v>
      </c>
      <c r="AW23" s="86">
        <f>VLOOKUP(TableTERanks3343[[#This Row],[Player]],TE!B:O,6,FALSE)</f>
        <v>486.37922143101332</v>
      </c>
      <c r="AX23" s="86">
        <f>VLOOKUP(TableTERanks3343[[#This Row],[Player]],TE!B:O,7,FALSE)</f>
        <v>4.6755995724536055</v>
      </c>
      <c r="AY23" s="58">
        <f>VLOOKUP(TableTERanks3343[[#This Row],[Player]],TE!B:O,11,FALSE)</f>
        <v>99.61112532514457</v>
      </c>
      <c r="AZ23" s="133">
        <f>IF(VLOOKUP(TableTERanks3343[[#This Row],[RK]],'Ranks w Proj'!AQ:AZ,10,FALSE)&lt;0,0,VLOOKUP(TableTERanks3343[[#This Row],[RK]],'Ranks w Proj'!AQ:AZ,10,FALSE))</f>
        <v>0</v>
      </c>
    </row>
    <row r="24" spans="1:52" x14ac:dyDescent="0.2">
      <c r="A24">
        <v>23</v>
      </c>
      <c r="B24" t="str">
        <f>VLOOKUP(TableQBRanks3040[[#This Row],[RK]],Rankings!A:T,3,FALSE)</f>
        <v>Brock Purdy</v>
      </c>
      <c r="C24" t="str">
        <f>IFERROR(INDEX(TableQBCalcPts[TM],MATCH(TableQBRanks3040[[#This Row],[Player]],TableQBCalcPts[PLAYER],0)),"")</f>
        <v>SF</v>
      </c>
      <c r="D24">
        <f>IFERROR(INDEX(TableQBCalcPts[BYE],MATCH(TableQBRanks3040[[#This Row],[Player]],TableQBCalcPts[PLAYER],0)),"")</f>
        <v>9</v>
      </c>
      <c r="E24" s="86">
        <f>VLOOKUP(TableQBRanks3040[[#This Row],[Player]],QB!B:O,4,FALSE)</f>
        <v>499.27154999999993</v>
      </c>
      <c r="F24" s="86">
        <f>VLOOKUP(TableQBRanks3040[[#This Row],[Player]],QB!B:O,5,FALSE)</f>
        <v>331.41645488999995</v>
      </c>
      <c r="G24" s="86">
        <f>VLOOKUP(TableQBRanks3040[[#This Row],[Player]],QB!B:O,6,FALSE)</f>
        <v>3831.0891816412814</v>
      </c>
      <c r="H24" s="86">
        <f>VLOOKUP(TableQBRanks3040[[#This Row],[Player]],QB!B:O,7,FALSE)</f>
        <v>25.680823869983815</v>
      </c>
      <c r="I24" s="86">
        <f>VLOOKUP(TableQBRanks3040[[#This Row],[Player]],QB!B:O,8,FALSE)</f>
        <v>11.439424053314205</v>
      </c>
      <c r="J24" s="86">
        <f>VLOOKUP(TableQBRanks3040[[#This Row],[Player]],QB!B:O,9,FALSE)</f>
        <v>41.038558399999999</v>
      </c>
      <c r="K24" s="86">
        <f>VLOOKUP(TableQBRanks3040[[#This Row],[Player]],QB!B:O,10,FALSE)</f>
        <v>109.572950928</v>
      </c>
      <c r="L24" s="86">
        <f>VLOOKUP(TableQBRanks3040[[#This Row],[Player]],QB!B:O,11,FALSE)</f>
        <v>0.9028482847999999</v>
      </c>
      <c r="M24" s="58">
        <f>VLOOKUP(TableQBRanks3040[[#This Row],[Player]],QB!B:O,13,FALSE)</f>
        <v>260.90182349387231</v>
      </c>
      <c r="N24" s="133">
        <f>IF(VLOOKUP(TableQBRanks3040[[#This Row],[RK]],'Ranks w Proj'!$A:$N,14,FALSE)&lt;0,0,VLOOKUP(TableQBRanks3040[[#This Row],[RK]],'Ranks w Proj'!$A:$N,14,FALSE))</f>
        <v>0</v>
      </c>
      <c r="P24">
        <v>23</v>
      </c>
      <c r="Q24" t="str">
        <f>VLOOKUP(TableRBRanks3141[[#This Row],[RK]],Rankings!A:T,8,FALSE)</f>
        <v>Khalil Herbert</v>
      </c>
      <c r="R24" t="str">
        <f>IFERROR(INDEX(TableRBCalcPts[TM],MATCH(TableRBRanks3141[[#This Row],[Player]],TableRBCalcPts[PLAYER],0)),"")</f>
        <v>CHI</v>
      </c>
      <c r="S24">
        <f>IFERROR(INDEX(TableRBCalcPts[BYE],MATCH(TableRBRanks3141[[#This Row],[Player]],TableRBCalcPts[PLAYER],0)),"")</f>
        <v>13</v>
      </c>
      <c r="T24" s="86">
        <f>VLOOKUP(TableRBRanks3141[[#This Row],[Player]],RB!B:O,4,FALSE)</f>
        <v>216.95934623999997</v>
      </c>
      <c r="U24" s="86">
        <f>VLOOKUP(TableRBRanks3141[[#This Row],[Player]],RB!B:O,5,FALSE)</f>
        <v>1008.8609600159999</v>
      </c>
      <c r="V24" s="86">
        <f>VLOOKUP(TableRBRanks3141[[#This Row],[Player]],RB!B:O,6,FALSE)</f>
        <v>8.8953331958399993</v>
      </c>
      <c r="W24" s="86">
        <f>VLOOKUP(TableRBRanks3141[[#This Row],[Player]],RB!B:O,7,FALSE)</f>
        <v>36.715660799999995</v>
      </c>
      <c r="X24" s="86">
        <f>VLOOKUP(TableRBRanks3141[[#This Row],[Player]],RB!B:O,8,FALSE)</f>
        <v>25.299428871841087</v>
      </c>
      <c r="Y24" s="86">
        <f>VLOOKUP(TableRBRanks3141[[#This Row],[Player]],RB!B:O,9,FALSE)</f>
        <v>195.05859660189478</v>
      </c>
      <c r="Z24" s="86">
        <f>VLOOKUP(TableRBRanks3141[[#This Row],[Player]],RB!B:O,10,FALSE)</f>
        <v>1.2649714435920545</v>
      </c>
      <c r="AA24" s="58">
        <f>VLOOKUP(TableRBRanks3141[[#This Row],[Player]],RB!B:O,14,FALSE)</f>
        <v>194.00349793430235</v>
      </c>
      <c r="AB24" s="133">
        <f>IF(VLOOKUP(TableRBRanks3141[[#This Row],[RK]],'Ranks w Proj'!$P:$AB,13,FALSE)&lt;0,0,VLOOKUP(TableRBRanks3141[[#This Row],[RK]],'Ranks w Proj'!$P:$AB,13,FALSE))</f>
        <v>24.201219249168471</v>
      </c>
      <c r="AD24">
        <v>23</v>
      </c>
      <c r="AE24" t="str">
        <f>VLOOKUP(TableWRRanks3242[[#This Row],[RK]],Rankings!A:T,13,FALSE)</f>
        <v>Deebo Samuel</v>
      </c>
      <c r="AF24" t="str">
        <f>IFERROR(INDEX(TableWRCalcPts[TM],MATCH(TableWRRanks3242[[#This Row],[Player]],TableWRCalcPts[PLAYER],0)),"")</f>
        <v>SF</v>
      </c>
      <c r="AG24">
        <f>IFERROR(INDEX(TableWRCalcPts[BYE],MATCH(TableWRRanks3242[[#This Row],[Player]],TableWRCalcPts[PLAYER],0)),"")</f>
        <v>9</v>
      </c>
      <c r="AH24" s="86">
        <f>VLOOKUP(TableWRRanks3242[[#This Row],[Player]],WR!B:O,4,FALSE)</f>
        <v>275.66400954286775</v>
      </c>
      <c r="AI24" s="86">
        <f>VLOOKUP(TableWRRanks3242[[#This Row],[Player]],WR!B:O,5,FALSE)</f>
        <v>3.5395756619999998</v>
      </c>
      <c r="AJ24" s="86">
        <f>VLOOKUP(TableWRRanks3242[[#This Row],[Player]],WR!B:O,6,FALSE)</f>
        <v>101.97752796</v>
      </c>
      <c r="AK24" s="86">
        <f>VLOOKUP(TableWRRanks3242[[#This Row],[Player]],WR!B:O,7,FALSE)</f>
        <v>64.041887558880006</v>
      </c>
      <c r="AL24" s="86">
        <f>VLOOKUP(TableWRRanks3242[[#This Row],[Player]],WR!B:O,8,FALSE)</f>
        <v>800.52359448600009</v>
      </c>
      <c r="AM24" s="86">
        <f>VLOOKUP(TableWRRanks3242[[#This Row],[Player]],WR!B:O,9,FALSE)</f>
        <v>4.4829321291216004</v>
      </c>
      <c r="AN24" s="58">
        <f>VLOOKUP(TableWRRanks3242[[#This Row],[Player]],WR!B:O,13,FALSE)</f>
        <v>187.77475092905638</v>
      </c>
      <c r="AO24" s="133">
        <f>IF(VLOOKUP(TableWRRanks3242[[#This Row],[RK]],'Ranks w Proj'!AD:AO,12,FALSE)&lt;0,0,VLOOKUP(TableWRRanks3242[[#This Row],[RK]],'Ranks w Proj'!AD:AO,12,FALSE))</f>
        <v>18.664931269423366</v>
      </c>
      <c r="AQ24">
        <v>23</v>
      </c>
      <c r="AR24" t="str">
        <f>VLOOKUP(TableTERanks3343[[#This Row],[RK]],Rankings!A:T,18,FALSE)</f>
        <v>Irv Smith</v>
      </c>
      <c r="AS24" t="str">
        <f>IFERROR(INDEX(TableTECalcPts[TM],MATCH(TableTERanks3343[[#This Row],[Player]],TableTECalcPts[PLAYER],0)),"")</f>
        <v>CIN</v>
      </c>
      <c r="AT24">
        <f>IFERROR(INDEX(TableTECalcPts[BYE],MATCH(TableTERanks3343[[#This Row],[Player]],TableTECalcPts[PLAYER],0)),"")</f>
        <v>7</v>
      </c>
      <c r="AU24" s="86">
        <f>VLOOKUP(TableTERanks3343[[#This Row],[Player]],TE!B:O,4,FALSE)</f>
        <v>69.543280379999999</v>
      </c>
      <c r="AV24" s="86">
        <f>VLOOKUP(TableTERanks3343[[#This Row],[Player]],TE!B:O,5,FALSE)</f>
        <v>48.738250068498253</v>
      </c>
      <c r="AW24" s="86">
        <f>VLOOKUP(TableTERanks3343[[#This Row],[Player]],TE!B:O,6,FALSE)</f>
        <v>482.5086756781327</v>
      </c>
      <c r="AX24" s="86">
        <f>VLOOKUP(TableTERanks3343[[#This Row],[Player]],TE!B:O,7,FALSE)</f>
        <v>4.2402277559593475</v>
      </c>
      <c r="AY24" s="58">
        <f>VLOOKUP(TableTERanks3343[[#This Row],[Player]],TE!B:O,11,FALSE)</f>
        <v>98.061359137818485</v>
      </c>
      <c r="AZ24" s="133">
        <f>IF(VLOOKUP(TableTERanks3343[[#This Row],[RK]],'Ranks w Proj'!AQ:AZ,10,FALSE)&lt;0,0,VLOOKUP(TableTERanks3343[[#This Row],[RK]],'Ranks w Proj'!AQ:AZ,10,FALSE))</f>
        <v>0</v>
      </c>
    </row>
    <row r="25" spans="1:52" x14ac:dyDescent="0.2">
      <c r="A25">
        <v>24</v>
      </c>
      <c r="B25" t="str">
        <f>VLOOKUP(TableQBRanks3040[[#This Row],[RK]],Rankings!A:T,3,FALSE)</f>
        <v>Kenny Pickett</v>
      </c>
      <c r="C25" t="str">
        <f>IFERROR(INDEX(TableQBCalcPts[TM],MATCH(TableQBRanks3040[[#This Row],[Player]],TableQBCalcPts[PLAYER],0)),"")</f>
        <v>PIT</v>
      </c>
      <c r="D25">
        <f>IFERROR(INDEX(TableQBCalcPts[BYE],MATCH(TableQBRanks3040[[#This Row],[Player]],TableQBCalcPts[PLAYER],0)),"")</f>
        <v>6</v>
      </c>
      <c r="E25" s="86">
        <f>VLOOKUP(TableQBRanks3040[[#This Row],[Player]],QB!B:O,4,FALSE)</f>
        <v>559.49775</v>
      </c>
      <c r="F25" s="86">
        <f>VLOOKUP(TableQBRanks3040[[#This Row],[Player]],QB!B:O,5,FALSE)</f>
        <v>358.99556788353641</v>
      </c>
      <c r="G25" s="86">
        <f>VLOOKUP(TableQBRanks3040[[#This Row],[Player]],QB!B:O,6,FALSE)</f>
        <v>3760.0993396576532</v>
      </c>
      <c r="H25" s="86">
        <f>VLOOKUP(TableQBRanks3040[[#This Row],[Player]],QB!B:O,7,FALSE)</f>
        <v>20.10375180147804</v>
      </c>
      <c r="I25" s="86">
        <f>VLOOKUP(TableQBRanks3040[[#This Row],[Player]],QB!B:O,8,FALSE)</f>
        <v>11.702218747879131</v>
      </c>
      <c r="J25" s="86">
        <f>VLOOKUP(TableQBRanks3040[[#This Row],[Player]],QB!B:O,9,FALSE)</f>
        <v>60.182873099999995</v>
      </c>
      <c r="K25" s="86">
        <f>VLOOKUP(TableQBRanks3040[[#This Row],[Player]],QB!B:O,10,FALSE)</f>
        <v>247.95343717199998</v>
      </c>
      <c r="L25" s="86">
        <f>VLOOKUP(TableQBRanks3040[[#This Row],[Player]],QB!B:O,11,FALSE)</f>
        <v>3.3100580204999996</v>
      </c>
      <c r="M25" s="58">
        <f>VLOOKUP(TableQBRanks3040[[#This Row],[Player]],QB!B:O,13,FALSE)</f>
        <v>263.77245388453917</v>
      </c>
      <c r="N25" s="133">
        <f>IF(VLOOKUP(TableQBRanks3040[[#This Row],[RK]],'Ranks w Proj'!$A:$N,14,FALSE)&lt;0,0,VLOOKUP(TableQBRanks3040[[#This Row],[RK]],'Ranks w Proj'!$A:$N,14,FALSE))</f>
        <v>0</v>
      </c>
      <c r="P25">
        <v>24</v>
      </c>
      <c r="Q25" t="str">
        <f>VLOOKUP(TableRBRanks3141[[#This Row],[RK]],Rankings!A:T,8,FALSE)</f>
        <v>Javonte Williams</v>
      </c>
      <c r="R25" t="str">
        <f>IFERROR(INDEX(TableRBCalcPts[TM],MATCH(TableRBRanks3141[[#This Row],[Player]],TableRBCalcPts[PLAYER],0)),"")</f>
        <v>DEN</v>
      </c>
      <c r="S25">
        <f>IFERROR(INDEX(TableRBCalcPts[BYE],MATCH(TableRBRanks3141[[#This Row],[Player]],TableRBCalcPts[PLAYER],0)),"")</f>
        <v>9</v>
      </c>
      <c r="T25" s="86">
        <f>VLOOKUP(TableRBRanks3141[[#This Row],[Player]],RB!B:O,4,FALSE)</f>
        <v>210.92977079999997</v>
      </c>
      <c r="U25" s="86">
        <f>VLOOKUP(TableRBRanks3141[[#This Row],[Player]],RB!B:O,5,FALSE)</f>
        <v>906.99801443999979</v>
      </c>
      <c r="V25" s="86">
        <f>VLOOKUP(TableRBRanks3141[[#This Row],[Player]],RB!B:O,6,FALSE)</f>
        <v>8.2262610611999989</v>
      </c>
      <c r="W25" s="86">
        <f>VLOOKUP(TableRBRanks3141[[#This Row],[Player]],RB!B:O,7,FALSE)</f>
        <v>43.234052400000003</v>
      </c>
      <c r="X25" s="86">
        <f>VLOOKUP(TableRBRanks3141[[#This Row],[Player]],RB!B:O,8,FALSE)</f>
        <v>32.857593009495929</v>
      </c>
      <c r="Y25" s="86">
        <f>VLOOKUP(TableRBRanks3141[[#This Row],[Player]],RB!B:O,9,FALSE)</f>
        <v>239.20327710913037</v>
      </c>
      <c r="Z25" s="86">
        <f>VLOOKUP(TableRBRanks3141[[#This Row],[Player]],RB!B:O,10,FALSE)</f>
        <v>1.4128764994083249</v>
      </c>
      <c r="AA25" s="58">
        <f>VLOOKUP(TableRBRanks3141[[#This Row],[Player]],RB!B:O,14,FALSE)</f>
        <v>188.88375102331094</v>
      </c>
      <c r="AB25" s="133">
        <f>IF(VLOOKUP(TableRBRanks3141[[#This Row],[RK]],'Ranks w Proj'!$P:$AB,13,FALSE)&lt;0,0,VLOOKUP(TableRBRanks3141[[#This Row],[RK]],'Ranks w Proj'!$P:$AB,13,FALSE))</f>
        <v>23.143614486595496</v>
      </c>
      <c r="AD25">
        <v>24</v>
      </c>
      <c r="AE25" t="str">
        <f>VLOOKUP(TableWRRanks3242[[#This Row],[RK]],Rankings!A:T,13,FALSE)</f>
        <v>Chris Godwin</v>
      </c>
      <c r="AF25" t="str">
        <f>IFERROR(INDEX(TableWRCalcPts[TM],MATCH(TableWRRanks3242[[#This Row],[Player]],TableWRCalcPts[PLAYER],0)),"")</f>
        <v>TB</v>
      </c>
      <c r="AG25">
        <f>IFERROR(INDEX(TableWRCalcPts[BYE],MATCH(TableWRRanks3242[[#This Row],[Player]],TableWRCalcPts[PLAYER],0)),"")</f>
        <v>5</v>
      </c>
      <c r="AH25" s="86">
        <f>VLOOKUP(TableWRRanks3242[[#This Row],[Player]],WR!B:O,4,FALSE)</f>
        <v>0</v>
      </c>
      <c r="AI25" s="86">
        <f>VLOOKUP(TableWRRanks3242[[#This Row],[Player]],WR!B:O,5,FALSE)</f>
        <v>0</v>
      </c>
      <c r="AJ25" s="86">
        <f>VLOOKUP(TableWRRanks3242[[#This Row],[Player]],WR!B:O,6,FALSE)</f>
        <v>119.59744383999998</v>
      </c>
      <c r="AK25" s="86">
        <f>VLOOKUP(TableWRRanks3242[[#This Row],[Player]],WR!B:O,7,FALSE)</f>
        <v>82.402638805759977</v>
      </c>
      <c r="AL25" s="86">
        <f>VLOOKUP(TableWRRanks3242[[#This Row],[Player]],WR!B:O,8,FALSE)</f>
        <v>909.72513241559011</v>
      </c>
      <c r="AM25" s="86">
        <f>VLOOKUP(TableWRRanks3242[[#This Row],[Player]],WR!B:O,9,FALSE)</f>
        <v>4.9441583283455985</v>
      </c>
      <c r="AN25" s="58">
        <f>VLOOKUP(TableWRRanks3242[[#This Row],[Player]],WR!B:O,13,FALSE)</f>
        <v>161.83878261451261</v>
      </c>
      <c r="AO25" s="133">
        <f>IF(VLOOKUP(TableWRRanks3242[[#This Row],[RK]],'Ranks w Proj'!AD:AO,12,FALSE)&lt;0,0,VLOOKUP(TableWRRanks3242[[#This Row],[RK]],'Ranks w Proj'!AD:AO,12,FALSE))</f>
        <v>18.353250544716328</v>
      </c>
      <c r="AQ25">
        <v>24</v>
      </c>
      <c r="AR25" t="str">
        <f>VLOOKUP(TableTERanks3343[[#This Row],[RK]],Rankings!A:T,18,FALSE)</f>
        <v>Luke Musgrave</v>
      </c>
      <c r="AS25" t="str">
        <f>IFERROR(INDEX(TableTECalcPts[TM],MATCH(TableTERanks3343[[#This Row],[Player]],TableTECalcPts[PLAYER],0)),"")</f>
        <v>GB</v>
      </c>
      <c r="AT25">
        <f>IFERROR(INDEX(TableTECalcPts[BYE],MATCH(TableTERanks3343[[#This Row],[Player]],TableTECalcPts[PLAYER],0)),"")</f>
        <v>6</v>
      </c>
      <c r="AU25" s="86">
        <f>VLOOKUP(TableTERanks3343[[#This Row],[Player]],TE!B:O,4,FALSE)</f>
        <v>70.733789279999996</v>
      </c>
      <c r="AV25" s="86">
        <f>VLOOKUP(TableTERanks3343[[#This Row],[Player]],TE!B:O,5,FALSE)</f>
        <v>46.773212267423354</v>
      </c>
      <c r="AW25" s="86">
        <f>VLOOKUP(TableTERanks3343[[#This Row],[Player]],TE!B:O,6,FALSE)</f>
        <v>502.81203187480105</v>
      </c>
      <c r="AX25" s="86">
        <f>VLOOKUP(TableTERanks3343[[#This Row],[Player]],TE!B:O,7,FALSE)</f>
        <v>4.0224962549984085</v>
      </c>
      <c r="AY25" s="58">
        <f>VLOOKUP(TableTERanks3343[[#This Row],[Player]],TE!B:O,11,FALSE)</f>
        <v>97.802786851182233</v>
      </c>
      <c r="AZ25" s="133">
        <f>IF(VLOOKUP(TableTERanks3343[[#This Row],[RK]],'Ranks w Proj'!AQ:AZ,10,FALSE)&lt;0,0,VLOOKUP(TableTERanks3343[[#This Row],[RK]],'Ranks w Proj'!AQ:AZ,10,FALSE))</f>
        <v>0</v>
      </c>
    </row>
    <row r="26" spans="1:52" x14ac:dyDescent="0.2">
      <c r="A26">
        <v>25</v>
      </c>
      <c r="B26" t="str">
        <f>VLOOKUP(TableQBRanks3040[[#This Row],[RK]],Rankings!A:T,3,FALSE)</f>
        <v>Derek Carr</v>
      </c>
      <c r="C26" t="str">
        <f>IFERROR(INDEX(TableQBCalcPts[TM],MATCH(TableQBRanks3040[[#This Row],[Player]],TableQBCalcPts[PLAYER],0)),"")</f>
        <v>NO</v>
      </c>
      <c r="D26">
        <f>IFERROR(INDEX(TableQBCalcPts[BYE],MATCH(TableQBRanks3040[[#This Row],[Player]],TableQBCalcPts[PLAYER],0)),"")</f>
        <v>11</v>
      </c>
      <c r="E26" s="86">
        <f>VLOOKUP(TableQBRanks3040[[#This Row],[Player]],QB!B:O,4,FALSE)</f>
        <v>518.37239999999997</v>
      </c>
      <c r="F26" s="86">
        <f>VLOOKUP(TableQBRanks3040[[#This Row],[Player]],QB!B:O,5,FALSE)</f>
        <v>345.75439080000001</v>
      </c>
      <c r="G26" s="86">
        <f>VLOOKUP(TableQBRanks3040[[#This Row],[Player]],QB!B:O,6,FALSE)</f>
        <v>3941.6000551200004</v>
      </c>
      <c r="H26" s="86">
        <f>VLOOKUP(TableQBRanks3040[[#This Row],[Player]],QB!B:O,7,FALSE)</f>
        <v>25.5858249192</v>
      </c>
      <c r="I26" s="86">
        <f>VLOOKUP(TableQBRanks3040[[#This Row],[Player]],QB!B:O,8,FALSE)</f>
        <v>12.762952847056509</v>
      </c>
      <c r="J26" s="86">
        <f>VLOOKUP(TableQBRanks3040[[#This Row],[Player]],QB!B:O,9,FALSE)</f>
        <v>27.411521199999999</v>
      </c>
      <c r="K26" s="86">
        <f>VLOOKUP(TableQBRanks3040[[#This Row],[Player]],QB!B:O,10,FALSE)</f>
        <v>94.517947385877136</v>
      </c>
      <c r="L26" s="86">
        <f>VLOOKUP(TableQBRanks3040[[#This Row],[Player]],QB!B:O,11,FALSE)</f>
        <v>0.497336619910278</v>
      </c>
      <c r="M26" s="58">
        <f>VLOOKUP(TableQBRanks3040[[#This Row],[Player]],QB!B:O,13,FALSE)</f>
        <v>259.6801634925929</v>
      </c>
      <c r="N26" s="133">
        <f>IF(VLOOKUP(TableQBRanks3040[[#This Row],[RK]],'Ranks w Proj'!$A:$N,14,FALSE)&lt;0,0,VLOOKUP(TableQBRanks3040[[#This Row],[RK]],'Ranks w Proj'!$A:$N,14,FALSE))</f>
        <v>0</v>
      </c>
      <c r="P26">
        <v>25</v>
      </c>
      <c r="Q26" t="str">
        <f>VLOOKUP(TableRBRanks3141[[#This Row],[RK]],Rankings!A:T,8,FALSE)</f>
        <v>Breece Hall</v>
      </c>
      <c r="R26" t="str">
        <f>IFERROR(INDEX(TableRBCalcPts[TM],MATCH(TableRBRanks3141[[#This Row],[Player]],TableRBCalcPts[PLAYER],0)),"")</f>
        <v>NYJ</v>
      </c>
      <c r="S26">
        <f>IFERROR(INDEX(TableRBCalcPts[BYE],MATCH(TableRBRanks3141[[#This Row],[Player]],TableRBCalcPts[PLAYER],0)),"")</f>
        <v>7</v>
      </c>
      <c r="T26" s="86">
        <f>VLOOKUP(TableRBRanks3141[[#This Row],[Player]],RB!B:O,4,FALSE)</f>
        <v>174.69354639593911</v>
      </c>
      <c r="U26" s="86">
        <f>VLOOKUP(TableRBRanks3141[[#This Row],[Player]],RB!B:O,5,FALSE)</f>
        <v>796.60257156548232</v>
      </c>
      <c r="V26" s="86">
        <f>VLOOKUP(TableRBRanks3141[[#This Row],[Player]],RB!B:O,6,FALSE)</f>
        <v>7.3371289486294433</v>
      </c>
      <c r="W26" s="86">
        <f>VLOOKUP(TableRBRanks3141[[#This Row],[Player]],RB!B:O,7,FALSE)</f>
        <v>51.722552699999994</v>
      </c>
      <c r="X26" s="86">
        <f>VLOOKUP(TableRBRanks3141[[#This Row],[Player]],RB!B:O,8,FALSE)</f>
        <v>37.395405602099991</v>
      </c>
      <c r="Y26" s="86">
        <f>VLOOKUP(TableRBRanks3141[[#This Row],[Player]],RB!B:O,9,FALSE)</f>
        <v>304.88295483841551</v>
      </c>
      <c r="Z26" s="86">
        <f>VLOOKUP(TableRBRanks3141[[#This Row],[Player]],RB!B:O,10,FALSE)</f>
        <v>1.9071656857070995</v>
      </c>
      <c r="AA26" s="58">
        <f>VLOOKUP(TableRBRanks3141[[#This Row],[Player]],RB!B:O,14,FALSE)</f>
        <v>184.31202324745902</v>
      </c>
      <c r="AB26" s="133">
        <f>IF(VLOOKUP(TableRBRanks3141[[#This Row],[RK]],'Ranks w Proj'!$P:$AB,13,FALSE)&lt;0,0,VLOOKUP(TableRBRanks3141[[#This Row],[RK]],'Ranks w Proj'!$P:$AB,13,FALSE))</f>
        <v>23.104763602712399</v>
      </c>
      <c r="AD26">
        <v>25</v>
      </c>
      <c r="AE26" t="str">
        <f>VLOOKUP(TableWRRanks3242[[#This Row],[RK]],Rankings!A:T,13,FALSE)</f>
        <v>Terry McLaurin</v>
      </c>
      <c r="AF26" t="str">
        <f>IFERROR(INDEX(TableWRCalcPts[TM],MATCH(TableWRRanks3242[[#This Row],[Player]],TableWRCalcPts[PLAYER],0)),"")</f>
        <v>WSH</v>
      </c>
      <c r="AG26">
        <f>IFERROR(INDEX(TableWRCalcPts[BYE],MATCH(TableWRRanks3242[[#This Row],[Player]],TableWRCalcPts[PLAYER],0)),"")</f>
        <v>14</v>
      </c>
      <c r="AH26" s="86">
        <f>VLOOKUP(TableWRRanks3242[[#This Row],[Player]],WR!B:O,4,FALSE)</f>
        <v>33.508401275999994</v>
      </c>
      <c r="AI26" s="86">
        <f>VLOOKUP(TableWRRanks3242[[#This Row],[Player]],WR!B:O,5,FALSE)</f>
        <v>0.19085472524455457</v>
      </c>
      <c r="AJ26" s="86">
        <f>VLOOKUP(TableWRRanks3242[[#This Row],[Player]],WR!B:O,6,FALSE)</f>
        <v>127.45612656000002</v>
      </c>
      <c r="AK26" s="86">
        <f>VLOOKUP(TableWRRanks3242[[#This Row],[Player]],WR!B:O,7,FALSE)</f>
        <v>78.610051405787686</v>
      </c>
      <c r="AL26" s="86">
        <f>VLOOKUP(TableWRRanks3242[[#This Row],[Player]],WR!B:O,8,FALSE)</f>
        <v>1086.3909104279858</v>
      </c>
      <c r="AM26" s="86">
        <f>VLOOKUP(TableWRRanks3242[[#This Row],[Player]],WR!B:O,9,FALSE)</f>
        <v>5.5027035984051382</v>
      </c>
      <c r="AN26" s="58">
        <f>VLOOKUP(TableWRRanks3242[[#This Row],[Player]],WR!B:O,13,FALSE)</f>
        <v>185.45630681519057</v>
      </c>
      <c r="AO26" s="133">
        <f>IF(VLOOKUP(TableWRRanks3242[[#This Row],[RK]],'Ranks w Proj'!AD:AO,12,FALSE)&lt;0,0,VLOOKUP(TableWRRanks3242[[#This Row],[RK]],'Ranks w Proj'!AD:AO,12,FALSE))</f>
        <v>17.984725338954718</v>
      </c>
      <c r="AQ26">
        <v>25</v>
      </c>
      <c r="AR26" t="str">
        <f>VLOOKUP(TableTERanks3343[[#This Row],[RK]],Rankings!A:T,18,FALSE)</f>
        <v>Noah Fant</v>
      </c>
      <c r="AS26" t="str">
        <f>IFERROR(INDEX(TableTECalcPts[TM],MATCH(TableTERanks3343[[#This Row],[Player]],TableTECalcPts[PLAYER],0)),"")</f>
        <v>SEA</v>
      </c>
      <c r="AT26">
        <f>IFERROR(INDEX(TableTECalcPts[BYE],MATCH(TableTERanks3343[[#This Row],[Player]],TableTECalcPts[PLAYER],0)),"")</f>
        <v>5</v>
      </c>
      <c r="AU26" s="86">
        <f>VLOOKUP(TableTERanks3343[[#This Row],[Player]],TE!B:O,4,FALSE)</f>
        <v>64.599796799999993</v>
      </c>
      <c r="AV26" s="86">
        <f>VLOOKUP(TableTERanks3343[[#This Row],[Player]],TE!B:O,5,FALSE)</f>
        <v>47.044538013627665</v>
      </c>
      <c r="AW26" s="86">
        <f>VLOOKUP(TableTERanks3343[[#This Row],[Player]],TE!B:O,6,FALSE)</f>
        <v>478.08159677085217</v>
      </c>
      <c r="AX26" s="86">
        <f>VLOOKUP(TableTERanks3343[[#This Row],[Player]],TE!B:O,7,FALSE)</f>
        <v>4.2340084212264895</v>
      </c>
      <c r="AY26" s="58">
        <f>VLOOKUP(TableTERanks3343[[#This Row],[Player]],TE!B:O,11,FALSE)</f>
        <v>96.734479211257991</v>
      </c>
      <c r="AZ26" s="133">
        <f>IF(VLOOKUP(TableTERanks3343[[#This Row],[RK]],'Ranks w Proj'!AQ:AZ,10,FALSE)&lt;0,0,VLOOKUP(TableTERanks3343[[#This Row],[RK]],'Ranks w Proj'!AQ:AZ,10,FALSE))</f>
        <v>0</v>
      </c>
    </row>
    <row r="27" spans="1:52" x14ac:dyDescent="0.2">
      <c r="A27">
        <v>26</v>
      </c>
      <c r="B27" t="str">
        <f>VLOOKUP(TableQBRanks3040[[#This Row],[RK]],Rankings!A:T,3,FALSE)</f>
        <v>C.J. Stroud</v>
      </c>
      <c r="C27" t="str">
        <f>IFERROR(INDEX(TableQBCalcPts[TM],MATCH(TableQBRanks3040[[#This Row],[Player]],TableQBCalcPts[PLAYER],0)),"")</f>
        <v>HOU</v>
      </c>
      <c r="D27">
        <f>IFERROR(INDEX(TableQBCalcPts[BYE],MATCH(TableQBRanks3040[[#This Row],[Player]],TableQBCalcPts[PLAYER],0)),"")</f>
        <v>7</v>
      </c>
      <c r="E27" s="86">
        <f>VLOOKUP(TableQBRanks3040[[#This Row],[Player]],QB!B:O,4,FALSE)</f>
        <v>557.65688</v>
      </c>
      <c r="F27" s="86">
        <f>VLOOKUP(TableQBRanks3040[[#This Row],[Player]],QB!B:O,5,FALSE)</f>
        <v>346.49565326417127</v>
      </c>
      <c r="G27" s="86">
        <f>VLOOKUP(TableQBRanks3040[[#This Row],[Player]],QB!B:O,6,FALSE)</f>
        <v>3825.3120120364506</v>
      </c>
      <c r="H27" s="86">
        <f>VLOOKUP(TableQBRanks3040[[#This Row],[Player]],QB!B:O,7,FALSE)</f>
        <v>23.249858334025895</v>
      </c>
      <c r="I27" s="86">
        <f>VLOOKUP(TableQBRanks3040[[#This Row],[Player]],QB!B:O,8,FALSE)</f>
        <v>14.500165092478301</v>
      </c>
      <c r="J27" s="86">
        <f>VLOOKUP(TableQBRanks3040[[#This Row],[Player]],QB!B:O,9,FALSE)</f>
        <v>40.492267199999993</v>
      </c>
      <c r="K27" s="86">
        <f>VLOOKUP(TableQBRanks3040[[#This Row],[Player]],QB!B:O,10,FALSE)</f>
        <v>153.69788333470098</v>
      </c>
      <c r="L27" s="86">
        <f>VLOOKUP(TableQBRanks3040[[#This Row],[Player]],QB!B:O,11,FALSE)</f>
        <v>1.9031365583999997</v>
      </c>
      <c r="M27" s="58">
        <f>VLOOKUP(TableQBRanks3040[[#This Row],[Player]],QB!B:O,13,FALSE)</f>
        <v>258.30035640895341</v>
      </c>
      <c r="N27" s="133">
        <f>IF(VLOOKUP(TableQBRanks3040[[#This Row],[RK]],'Ranks w Proj'!$A:$N,14,FALSE)&lt;0,0,VLOOKUP(TableQBRanks3040[[#This Row],[RK]],'Ranks w Proj'!$A:$N,14,FALSE))</f>
        <v>0</v>
      </c>
      <c r="P27">
        <v>26</v>
      </c>
      <c r="Q27" t="str">
        <f>VLOOKUP(TableRBRanks3141[[#This Row],[RK]],Rankings!A:T,8,FALSE)</f>
        <v>Isiah Pacheco</v>
      </c>
      <c r="R27" t="str">
        <f>IFERROR(INDEX(TableRBCalcPts[TM],MATCH(TableRBRanks3141[[#This Row],[Player]],TableRBCalcPts[PLAYER],0)),"")</f>
        <v>KC</v>
      </c>
      <c r="S27">
        <f>IFERROR(INDEX(TableRBCalcPts[BYE],MATCH(TableRBRanks3141[[#This Row],[Player]],TableRBCalcPts[PLAYER],0)),"")</f>
        <v>10</v>
      </c>
      <c r="T27" s="86">
        <f>VLOOKUP(TableRBRanks3141[[#This Row],[Player]],RB!B:O,4,FALSE)</f>
        <v>205.64836656</v>
      </c>
      <c r="U27" s="86">
        <f>VLOOKUP(TableRBRanks3141[[#This Row],[Player]],RB!B:O,5,FALSE)</f>
        <v>958.1256582082076</v>
      </c>
      <c r="V27" s="86">
        <f>VLOOKUP(TableRBRanks3141[[#This Row],[Player]],RB!B:O,6,FALSE)</f>
        <v>8.0202862958400001</v>
      </c>
      <c r="W27" s="86">
        <f>VLOOKUP(TableRBRanks3141[[#This Row],[Player]],RB!B:O,7,FALSE)</f>
        <v>18.962165039999999</v>
      </c>
      <c r="X27" s="86">
        <f>VLOOKUP(TableRBRanks3141[[#This Row],[Player]],RB!B:O,8,FALSE)</f>
        <v>14.938583102731767</v>
      </c>
      <c r="Y27" s="86">
        <f>VLOOKUP(TableRBRanks3141[[#This Row],[Player]],RB!B:O,9,FALSE)</f>
        <v>124.79251505220481</v>
      </c>
      <c r="Z27" s="86">
        <f>VLOOKUP(TableRBRanks3141[[#This Row],[Player]],RB!B:O,10,FALSE)</f>
        <v>0.89631498616390604</v>
      </c>
      <c r="AA27" s="58">
        <f>VLOOKUP(TableRBRanks3141[[#This Row],[Player]],RB!B:O,14,FALSE)</f>
        <v>169.26071656943054</v>
      </c>
      <c r="AB27" s="133">
        <f>IF(VLOOKUP(TableRBRanks3141[[#This Row],[RK]],'Ranks w Proj'!$P:$AB,13,FALSE)&lt;0,0,VLOOKUP(TableRBRanks3141[[#This Row],[RK]],'Ranks w Proj'!$P:$AB,13,FALSE))</f>
        <v>22.535456007269211</v>
      </c>
      <c r="AD27">
        <v>26</v>
      </c>
      <c r="AE27" t="str">
        <f>VLOOKUP(TableWRRanks3242[[#This Row],[RK]],Rankings!A:T,13,FALSE)</f>
        <v>Mike Williams</v>
      </c>
      <c r="AF27" t="str">
        <f>IFERROR(INDEX(TableWRCalcPts[TM],MATCH(TableWRRanks3242[[#This Row],[Player]],TableWRCalcPts[PLAYER],0)),"")</f>
        <v>LAC</v>
      </c>
      <c r="AG27">
        <f>IFERROR(INDEX(TableWRCalcPts[BYE],MATCH(TableWRRanks3242[[#This Row],[Player]],TableWRCalcPts[PLAYER],0)),"")</f>
        <v>5</v>
      </c>
      <c r="AH27" s="86">
        <f>VLOOKUP(TableWRRanks3242[[#This Row],[Player]],WR!B:O,4,FALSE)</f>
        <v>0</v>
      </c>
      <c r="AI27" s="86">
        <f>VLOOKUP(TableWRRanks3242[[#This Row],[Player]],WR!B:O,5,FALSE)</f>
        <v>0</v>
      </c>
      <c r="AJ27" s="86">
        <f>VLOOKUP(TableWRRanks3242[[#This Row],[Player]],WR!B:O,6,FALSE)</f>
        <v>118.85302799999999</v>
      </c>
      <c r="AK27" s="86">
        <f>VLOOKUP(TableWRRanks3242[[#This Row],[Player]],WR!B:O,7,FALSE)</f>
        <v>75.828231864000003</v>
      </c>
      <c r="AL27" s="86">
        <f>VLOOKUP(TableWRRanks3242[[#This Row],[Player]],WR!B:O,8,FALSE)</f>
        <v>1059.3203991400801</v>
      </c>
      <c r="AM27" s="86">
        <f>VLOOKUP(TableWRRanks3242[[#This Row],[Player]],WR!B:O,9,FALSE)</f>
        <v>6.8245408677599997</v>
      </c>
      <c r="AN27" s="58">
        <f>VLOOKUP(TableWRRanks3242[[#This Row],[Player]],WR!B:O,13,FALSE)</f>
        <v>184.79340105256802</v>
      </c>
      <c r="AO27" s="133">
        <f>IF(VLOOKUP(TableWRRanks3242[[#This Row],[RK]],'Ranks w Proj'!AD:AO,12,FALSE)&lt;0,0,VLOOKUP(TableWRRanks3242[[#This Row],[RK]],'Ranks w Proj'!AD:AO,12,FALSE))</f>
        <v>17.128033502392011</v>
      </c>
      <c r="AQ27">
        <v>26</v>
      </c>
      <c r="AR27" t="str">
        <f>VLOOKUP(TableTERanks3343[[#This Row],[RK]],Rankings!A:T,18,FALSE)</f>
        <v>Dawson Knox</v>
      </c>
      <c r="AS27" t="str">
        <f>IFERROR(INDEX(TableTECalcPts[TM],MATCH(TableTERanks3343[[#This Row],[Player]],TableTECalcPts[PLAYER],0)),"")</f>
        <v>BUF</v>
      </c>
      <c r="AT27">
        <f>IFERROR(INDEX(TableTECalcPts[BYE],MATCH(TableTERanks3343[[#This Row],[Player]],TableTECalcPts[PLAYER],0)),"")</f>
        <v>13</v>
      </c>
      <c r="AU27" s="86">
        <f>VLOOKUP(TableTERanks3343[[#This Row],[Player]],TE!B:O,4,FALSE)</f>
        <v>68.630870000000002</v>
      </c>
      <c r="AV27" s="86">
        <f>VLOOKUP(TableTERanks3343[[#This Row],[Player]],TE!B:O,5,FALSE)</f>
        <v>45.817149323990378</v>
      </c>
      <c r="AW27" s="86">
        <f>VLOOKUP(TableTERanks3343[[#This Row],[Player]],TE!B:O,6,FALSE)</f>
        <v>485.66178283429798</v>
      </c>
      <c r="AX27" s="86">
        <f>VLOOKUP(TableTERanks3343[[#This Row],[Player]],TE!B:O,7,FALSE)</f>
        <v>5.085703574962932</v>
      </c>
      <c r="AY27" s="58">
        <f>VLOOKUP(TableTERanks3343[[#This Row],[Player]],TE!B:O,11,FALSE)</f>
        <v>101.98897439520259</v>
      </c>
      <c r="AZ27" s="133">
        <f>IF(VLOOKUP(TableTERanks3343[[#This Row],[RK]],'Ranks w Proj'!AQ:AZ,10,FALSE)&lt;0,0,VLOOKUP(TableTERanks3343[[#This Row],[RK]],'Ranks w Proj'!AQ:AZ,10,FALSE))</f>
        <v>0</v>
      </c>
    </row>
    <row r="28" spans="1:52" x14ac:dyDescent="0.2">
      <c r="A28">
        <v>27</v>
      </c>
      <c r="B28" t="str">
        <f>VLOOKUP(TableQBRanks3040[[#This Row],[RK]],Rankings!A:T,3,FALSE)</f>
        <v>Ryan Tannehill</v>
      </c>
      <c r="C28" t="str">
        <f>IFERROR(INDEX(TableQBCalcPts[TM],MATCH(TableQBRanks3040[[#This Row],[Player]],TableQBCalcPts[PLAYER],0)),"")</f>
        <v>TEN</v>
      </c>
      <c r="D28">
        <f>IFERROR(INDEX(TableQBCalcPts[BYE],MATCH(TableQBRanks3040[[#This Row],[Player]],TableQBCalcPts[PLAYER],0)),"")</f>
        <v>7</v>
      </c>
      <c r="E28" s="86">
        <f>VLOOKUP(TableQBRanks3040[[#This Row],[Player]],QB!B:O,4,FALSE)</f>
        <v>486.33640000000008</v>
      </c>
      <c r="F28" s="86">
        <f>VLOOKUP(TableQBRanks3040[[#This Row],[Player]],QB!B:O,5,FALSE)</f>
        <v>316.66163085390934</v>
      </c>
      <c r="G28" s="86">
        <f>VLOOKUP(TableQBRanks3040[[#This Row],[Player]],QB!B:O,6,FALSE)</f>
        <v>3638.4421385114183</v>
      </c>
      <c r="H28" s="86">
        <f>VLOOKUP(TableQBRanks3040[[#This Row],[Player]],QB!B:O,7,FALSE)</f>
        <v>20.899667636358018</v>
      </c>
      <c r="I28" s="86">
        <f>VLOOKUP(TableQBRanks3040[[#This Row],[Player]],QB!B:O,8,FALSE)</f>
        <v>11.769553831489979</v>
      </c>
      <c r="J28" s="86">
        <f>VLOOKUP(TableQBRanks3040[[#This Row],[Player]],QB!B:O,9,FALSE)</f>
        <v>41.424952799999993</v>
      </c>
      <c r="K28" s="86">
        <f>VLOOKUP(TableQBRanks3040[[#This Row],[Player]],QB!B:O,10,FALSE)</f>
        <v>163.21431403199998</v>
      </c>
      <c r="L28" s="86">
        <f>VLOOKUP(TableQBRanks3040[[#This Row],[Player]],QB!B:O,11,FALSE)</f>
        <v>3.1897213655999992</v>
      </c>
      <c r="M28" s="58">
        <f>VLOOKUP(TableQBRanks3040[[#This Row],[Player]],QB!B:O,13,FALSE)</f>
        <v>252.82656185119882</v>
      </c>
      <c r="N28" s="133">
        <f>IF(VLOOKUP(TableQBRanks3040[[#This Row],[RK]],'Ranks w Proj'!$A:$N,14,FALSE)&lt;0,0,VLOOKUP(TableQBRanks3040[[#This Row],[RK]],'Ranks w Proj'!$A:$N,14,FALSE))</f>
        <v>0</v>
      </c>
      <c r="P28">
        <v>27</v>
      </c>
      <c r="Q28" t="str">
        <f>VLOOKUP(TableRBRanks3141[[#This Row],[RK]],Rankings!A:T,8,FALSE)</f>
        <v>Kenneth Walker</v>
      </c>
      <c r="R28" t="str">
        <f>IFERROR(INDEX(TableRBCalcPts[TM],MATCH(TableRBRanks3141[[#This Row],[Player]],TableRBCalcPts[PLAYER],0)),"")</f>
        <v>SEA</v>
      </c>
      <c r="S28">
        <f>IFERROR(INDEX(TableRBCalcPts[BYE],MATCH(TableRBRanks3141[[#This Row],[Player]],TableRBCalcPts[PLAYER],0)),"")</f>
        <v>5</v>
      </c>
      <c r="T28" s="86">
        <f>VLOOKUP(TableRBRanks3141[[#This Row],[Player]],RB!B:O,4,FALSE)</f>
        <v>211.38682320000001</v>
      </c>
      <c r="U28" s="86">
        <f>VLOOKUP(TableRBRanks3141[[#This Row],[Player]],RB!B:O,5,FALSE)</f>
        <v>942.78523147200008</v>
      </c>
      <c r="V28" s="86">
        <f>VLOOKUP(TableRBRanks3141[[#This Row],[Player]],RB!B:O,6,FALSE)</f>
        <v>8.0326992815999994</v>
      </c>
      <c r="W28" s="86">
        <f>VLOOKUP(TableRBRanks3141[[#This Row],[Player]],RB!B:O,7,FALSE)</f>
        <v>24.66537696</v>
      </c>
      <c r="X28" s="86">
        <f>VLOOKUP(TableRBRanks3141[[#This Row],[Player]],RB!B:O,8,FALSE)</f>
        <v>18.47870666302931</v>
      </c>
      <c r="Y28" s="86">
        <f>VLOOKUP(TableRBRanks3141[[#This Row],[Player]],RB!B:O,9,FALSE)</f>
        <v>125.65520530859931</v>
      </c>
      <c r="Z28" s="86">
        <f>VLOOKUP(TableRBRanks3141[[#This Row],[Player]],RB!B:O,10,FALSE)</f>
        <v>0.66523343986905514</v>
      </c>
      <c r="AA28" s="58">
        <f>VLOOKUP(TableRBRanks3141[[#This Row],[Player]],RB!B:O,14,FALSE)</f>
        <v>168.27099333838893</v>
      </c>
      <c r="AB28" s="133">
        <f>IF(VLOOKUP(TableRBRanks3141[[#This Row],[RK]],'Ranks w Proj'!$P:$AB,13,FALSE)&lt;0,0,VLOOKUP(TableRBRanks3141[[#This Row],[RK]],'Ranks w Proj'!$P:$AB,13,FALSE))</f>
        <v>21.830183578403489</v>
      </c>
      <c r="AD28">
        <v>27</v>
      </c>
      <c r="AE28" t="str">
        <f>VLOOKUP(TableWRRanks3242[[#This Row],[RK]],Rankings!A:T,13,FALSE)</f>
        <v>Tyler Lockett</v>
      </c>
      <c r="AF28" t="str">
        <f>IFERROR(INDEX(TableWRCalcPts[TM],MATCH(TableWRRanks3242[[#This Row],[Player]],TableWRCalcPts[PLAYER],0)),"")</f>
        <v>SEA</v>
      </c>
      <c r="AG28">
        <f>IFERROR(INDEX(TableWRCalcPts[BYE],MATCH(TableWRRanks3242[[#This Row],[Player]],TableWRCalcPts[PLAYER],0)),"")</f>
        <v>5</v>
      </c>
      <c r="AH28" s="86">
        <f>VLOOKUP(TableWRRanks3242[[#This Row],[Player]],WR!B:O,4,FALSE)</f>
        <v>0</v>
      </c>
      <c r="AI28" s="86">
        <f>VLOOKUP(TableWRRanks3242[[#This Row],[Player]],WR!B:O,5,FALSE)</f>
        <v>0</v>
      </c>
      <c r="AJ28" s="86">
        <f>VLOOKUP(TableWRRanks3242[[#This Row],[Player]],WR!B:O,6,FALSE)</f>
        <v>118.62871775999999</v>
      </c>
      <c r="AK28" s="86">
        <f>VLOOKUP(TableWRRanks3242[[#This Row],[Player]],WR!B:O,7,FALSE)</f>
        <v>79.499860399075558</v>
      </c>
      <c r="AL28" s="86">
        <f>VLOOKUP(TableWRRanks3242[[#This Row],[Player]],WR!B:O,8,FALSE)</f>
        <v>1009.6482270682595</v>
      </c>
      <c r="AM28" s="86">
        <f>VLOOKUP(TableWRRanks3242[[#This Row],[Player]],WR!B:O,9,FALSE)</f>
        <v>6.5984884131232713</v>
      </c>
      <c r="AN28" s="58">
        <f>VLOOKUP(TableWRRanks3242[[#This Row],[Player]],WR!B:O,13,FALSE)</f>
        <v>180.30568338510338</v>
      </c>
      <c r="AO28" s="133">
        <f>IF(VLOOKUP(TableWRRanks3242[[#This Row],[RK]],'Ranks w Proj'!AD:AO,12,FALSE)&lt;0,0,VLOOKUP(TableWRRanks3242[[#This Row],[RK]],'Ranks w Proj'!AD:AO,12,FALSE))</f>
        <v>15.918256551372785</v>
      </c>
      <c r="AQ28">
        <v>27</v>
      </c>
      <c r="AR28" t="str">
        <f>VLOOKUP(TableTERanks3343[[#This Row],[RK]],Rankings!A:T,18,FALSE)</f>
        <v>Tyler Conklin</v>
      </c>
      <c r="AS28" t="str">
        <f>IFERROR(INDEX(TableTECalcPts[TM],MATCH(TableTERanks3343[[#This Row],[Player]],TableTECalcPts[PLAYER],0)),"")</f>
        <v>NYJ</v>
      </c>
      <c r="AT28">
        <f>IFERROR(INDEX(TableTECalcPts[BYE],MATCH(TableTERanks3343[[#This Row],[Player]],TableTECalcPts[PLAYER],0)),"")</f>
        <v>7</v>
      </c>
      <c r="AU28" s="86">
        <f>VLOOKUP(TableTERanks3343[[#This Row],[Player]],TE!B:O,4,FALSE)</f>
        <v>55.289625299999997</v>
      </c>
      <c r="AV28" s="86">
        <f>VLOOKUP(TableTERanks3343[[#This Row],[Player]],TE!B:O,5,FALSE)</f>
        <v>39.723854619672842</v>
      </c>
      <c r="AW28" s="86">
        <f>VLOOKUP(TableTERanks3343[[#This Row],[Player]],TE!B:O,6,FALSE)</f>
        <v>385.55270357340657</v>
      </c>
      <c r="AX28" s="86">
        <f>VLOOKUP(TableTERanks3343[[#This Row],[Player]],TE!B:O,7,FALSE)</f>
        <v>3.734042334249247</v>
      </c>
      <c r="AY28" s="58">
        <f>VLOOKUP(TableTERanks3343[[#This Row],[Player]],TE!B:O,11,FALSE)</f>
        <v>80.821451672672566</v>
      </c>
      <c r="AZ28" s="133">
        <f>IF(VLOOKUP(TableTERanks3343[[#This Row],[RK]],'Ranks w Proj'!AQ:AZ,10,FALSE)&lt;0,0,VLOOKUP(TableTERanks3343[[#This Row],[RK]],'Ranks w Proj'!AQ:AZ,10,FALSE))</f>
        <v>0</v>
      </c>
    </row>
    <row r="29" spans="1:52" x14ac:dyDescent="0.2">
      <c r="A29">
        <v>28</v>
      </c>
      <c r="B29" t="str">
        <f>VLOOKUP(TableQBRanks3040[[#This Row],[RK]],Rankings!A:T,3,FALSE)</f>
        <v>Jimmy Garoppolo</v>
      </c>
      <c r="C29" t="str">
        <f>IFERROR(INDEX(TableQBCalcPts[TM],MATCH(TableQBRanks3040[[#This Row],[Player]],TableQBCalcPts[PLAYER],0)),"")</f>
        <v>LV</v>
      </c>
      <c r="D29">
        <f>IFERROR(INDEX(TableQBCalcPts[BYE],MATCH(TableQBRanks3040[[#This Row],[Player]],TableQBCalcPts[PLAYER],0)),"")</f>
        <v>13</v>
      </c>
      <c r="E29" s="86">
        <f>VLOOKUP(TableQBRanks3040[[#This Row],[Player]],QB!B:O,4,FALSE)</f>
        <v>542.29499999999996</v>
      </c>
      <c r="F29" s="86">
        <f>VLOOKUP(TableQBRanks3040[[#This Row],[Player]],QB!B:O,5,FALSE)</f>
        <v>363.89972198767197</v>
      </c>
      <c r="G29" s="86">
        <f>VLOOKUP(TableQBRanks3040[[#This Row],[Player]],QB!B:O,6,FALSE)</f>
        <v>4127.4649398998135</v>
      </c>
      <c r="H29" s="86">
        <f>VLOOKUP(TableQBRanks3040[[#This Row],[Player]],QB!B:O,7,FALSE)</f>
        <v>25.109080817149369</v>
      </c>
      <c r="I29" s="86">
        <f>VLOOKUP(TableQBRanks3040[[#This Row],[Player]],QB!B:O,8,FALSE)</f>
        <v>13.894698426490692</v>
      </c>
      <c r="J29" s="86">
        <f>VLOOKUP(TableQBRanks3040[[#This Row],[Player]],QB!B:O,9,FALSE)</f>
        <v>30.579772999999999</v>
      </c>
      <c r="K29" s="86">
        <f>VLOOKUP(TableQBRanks3040[[#This Row],[Player]],QB!B:O,10,FALSE)</f>
        <v>58.522448980284132</v>
      </c>
      <c r="L29" s="86">
        <f>VLOOKUP(TableQBRanks3040[[#This Row],[Player]],QB!B:O,11,FALSE)</f>
        <v>1.652763725478072</v>
      </c>
      <c r="M29" s="58">
        <f>VLOOKUP(TableQBRanks3040[[#This Row],[Player]],QB!B:O,13,FALSE)</f>
        <v>267.40904968899622</v>
      </c>
      <c r="N29" s="133">
        <f>IF(VLOOKUP(TableQBRanks3040[[#This Row],[RK]],'Ranks w Proj'!$A:$N,14,FALSE)&lt;0,0,VLOOKUP(TableQBRanks3040[[#This Row],[RK]],'Ranks w Proj'!$A:$N,14,FALSE))</f>
        <v>0</v>
      </c>
      <c r="P29">
        <v>28</v>
      </c>
      <c r="Q29" t="str">
        <f>VLOOKUP(TableRBRanks3141[[#This Row],[RK]],Rankings!A:T,8,FALSE)</f>
        <v>James Cook</v>
      </c>
      <c r="R29" t="str">
        <f>IFERROR(INDEX(TableRBCalcPts[TM],MATCH(TableRBRanks3141[[#This Row],[Player]],TableRBCalcPts[PLAYER],0)),"")</f>
        <v>BUF</v>
      </c>
      <c r="S29">
        <f>IFERROR(INDEX(TableRBCalcPts[BYE],MATCH(TableRBRanks3141[[#This Row],[Player]],TableRBCalcPts[PLAYER],0)),"")</f>
        <v>13</v>
      </c>
      <c r="T29" s="86">
        <f>VLOOKUP(TableRBRanks3141[[#This Row],[Player]],RB!B:O,4,FALSE)</f>
        <v>175.50918000000004</v>
      </c>
      <c r="U29" s="86">
        <f>VLOOKUP(TableRBRanks3141[[#This Row],[Player]],RB!B:O,5,FALSE)</f>
        <v>856.94493228699912</v>
      </c>
      <c r="V29" s="86">
        <f>VLOOKUP(TableRBRanks3141[[#This Row],[Player]],RB!B:O,6,FALSE)</f>
        <v>5.4407845800000016</v>
      </c>
      <c r="W29" s="86">
        <f>VLOOKUP(TableRBRanks3141[[#This Row],[Player]],RB!B:O,7,FALSE)</f>
        <v>56.44408</v>
      </c>
      <c r="X29" s="86">
        <f>VLOOKUP(TableRBRanks3141[[#This Row],[Player]],RB!B:O,8,FALSE)</f>
        <v>40.31128262375848</v>
      </c>
      <c r="Y29" s="86">
        <f>VLOOKUP(TableRBRanks3141[[#This Row],[Player]],RB!B:O,9,FALSE)</f>
        <v>308.20688303593988</v>
      </c>
      <c r="Z29" s="86">
        <f>VLOOKUP(TableRBRanks3141[[#This Row],[Player]],RB!B:O,10,FALSE)</f>
        <v>2.176809261682958</v>
      </c>
      <c r="AA29" s="58">
        <f>VLOOKUP(TableRBRanks3141[[#This Row],[Player]],RB!B:O,14,FALSE)</f>
        <v>182.3763858942709</v>
      </c>
      <c r="AB29" s="133">
        <f>IF(VLOOKUP(TableRBRanks3141[[#This Row],[RK]],'Ranks w Proj'!$P:$AB,13,FALSE)&lt;0,0,VLOOKUP(TableRBRanks3141[[#This Row],[RK]],'Ranks w Proj'!$P:$AB,13,FALSE))</f>
        <v>21.436510685410912</v>
      </c>
      <c r="AD29">
        <v>28</v>
      </c>
      <c r="AE29" t="str">
        <f>VLOOKUP(TableWRRanks3242[[#This Row],[RK]],Rankings!A:T,13,FALSE)</f>
        <v>George Pickens</v>
      </c>
      <c r="AF29" t="str">
        <f>IFERROR(INDEX(TableWRCalcPts[TM],MATCH(TableWRRanks3242[[#This Row],[Player]],TableWRCalcPts[PLAYER],0)),"")</f>
        <v>PIT</v>
      </c>
      <c r="AG29">
        <f>IFERROR(INDEX(TableWRCalcPts[BYE],MATCH(TableWRRanks3242[[#This Row],[Player]],TableWRCalcPts[PLAYER],0)),"")</f>
        <v>6</v>
      </c>
      <c r="AH29" s="86">
        <f>VLOOKUP(TableWRRanks3242[[#This Row],[Player]],WR!B:O,4,FALSE)</f>
        <v>0</v>
      </c>
      <c r="AI29" s="86">
        <f>VLOOKUP(TableWRRanks3242[[#This Row],[Player]],WR!B:O,5,FALSE)</f>
        <v>0</v>
      </c>
      <c r="AJ29" s="86">
        <f>VLOOKUP(TableWRRanks3242[[#This Row],[Player]],WR!B:O,6,FALSE)</f>
        <v>118.8962166</v>
      </c>
      <c r="AK29" s="86">
        <f>VLOOKUP(TableWRRanks3242[[#This Row],[Player]],WR!B:O,7,FALSE)</f>
        <v>71.813314826400003</v>
      </c>
      <c r="AL29" s="86">
        <f>VLOOKUP(TableWRRanks3242[[#This Row],[Player]],WR!B:O,8,FALSE)</f>
        <v>1019.7490705348799</v>
      </c>
      <c r="AM29" s="86">
        <f>VLOOKUP(TableWRRanks3242[[#This Row],[Player]],WR!B:O,9,FALSE)</f>
        <v>5.2423719823271995</v>
      </c>
      <c r="AN29" s="58">
        <f>VLOOKUP(TableWRRanks3242[[#This Row],[Player]],WR!B:O,13,FALSE)</f>
        <v>169.33579636065119</v>
      </c>
      <c r="AO29" s="133">
        <f>IF(VLOOKUP(TableWRRanks3242[[#This Row],[RK]],'Ranks w Proj'!AD:AO,12,FALSE)&lt;0,0,VLOOKUP(TableWRRanks3242[[#This Row],[RK]],'Ranks w Proj'!AD:AO,12,FALSE))</f>
        <v>15.811039633805724</v>
      </c>
      <c r="AQ29">
        <v>28</v>
      </c>
      <c r="AR29" t="str">
        <f>VLOOKUP(TableTERanks3343[[#This Row],[RK]],Rankings!A:T,18,FALSE)</f>
        <v>Michael Mayer</v>
      </c>
      <c r="AS29" t="str">
        <f>IFERROR(INDEX(TableTECalcPts[TM],MATCH(TableTERanks3343[[#This Row],[Player]],TableTECalcPts[PLAYER],0)),"")</f>
        <v>LV</v>
      </c>
      <c r="AT29">
        <f>IFERROR(INDEX(TableTECalcPts[BYE],MATCH(TableTERanks3343[[#This Row],[Player]],TableTECalcPts[PLAYER],0)),"")</f>
        <v>13</v>
      </c>
      <c r="AU29" s="86">
        <f>VLOOKUP(TableTERanks3343[[#This Row],[Player]],TE!B:O,4,FALSE)</f>
        <v>65.545389</v>
      </c>
      <c r="AV29" s="86">
        <f>VLOOKUP(TableTERanks3343[[#This Row],[Player]],TE!B:O,5,FALSE)</f>
        <v>44.069829796177089</v>
      </c>
      <c r="AW29" s="86">
        <f>VLOOKUP(TableTERanks3343[[#This Row],[Player]],TE!B:O,6,FALSE)</f>
        <v>482.55391213149016</v>
      </c>
      <c r="AX29" s="86">
        <f>VLOOKUP(TableTERanks3343[[#This Row],[Player]],TE!B:O,7,FALSE)</f>
        <v>3.7459355326750527</v>
      </c>
      <c r="AY29" s="58">
        <f>VLOOKUP(TableTERanks3343[[#This Row],[Player]],TE!B:O,11,FALSE)</f>
        <v>92.765919307287874</v>
      </c>
      <c r="AZ29" s="133">
        <f>IF(VLOOKUP(TableTERanks3343[[#This Row],[RK]],'Ranks w Proj'!AQ:AZ,10,FALSE)&lt;0,0,VLOOKUP(TableTERanks3343[[#This Row],[RK]],'Ranks w Proj'!AQ:AZ,10,FALSE))</f>
        <v>0</v>
      </c>
    </row>
    <row r="30" spans="1:52" x14ac:dyDescent="0.2">
      <c r="A30">
        <v>29</v>
      </c>
      <c r="B30" t="str">
        <f>VLOOKUP(TableQBRanks3040[[#This Row],[RK]],Rankings!A:T,3,FALSE)</f>
        <v>Desmond Ridder</v>
      </c>
      <c r="C30" t="str">
        <f>IFERROR(INDEX(TableQBCalcPts[TM],MATCH(TableQBRanks3040[[#This Row],[Player]],TableQBCalcPts[PLAYER],0)),"")</f>
        <v>ATL</v>
      </c>
      <c r="D30">
        <f>IFERROR(INDEX(TableQBCalcPts[BYE],MATCH(TableQBRanks3040[[#This Row],[Player]],TableQBCalcPts[PLAYER],0)),"")</f>
        <v>11</v>
      </c>
      <c r="E30" s="86">
        <f>VLOOKUP(TableQBRanks3040[[#This Row],[Player]],QB!B:O,4,FALSE)</f>
        <v>438.6816</v>
      </c>
      <c r="F30" s="86">
        <f>VLOOKUP(TableQBRanks3040[[#This Row],[Player]],QB!B:O,5,FALSE)</f>
        <v>275.58333306077373</v>
      </c>
      <c r="G30" s="86">
        <f>VLOOKUP(TableQBRanks3040[[#This Row],[Player]],QB!B:O,6,FALSE)</f>
        <v>3047.9516636521575</v>
      </c>
      <c r="H30" s="86">
        <f>VLOOKUP(TableQBRanks3040[[#This Row],[Player]],QB!B:O,7,FALSE)</f>
        <v>17.361749982828744</v>
      </c>
      <c r="I30" s="86">
        <f>VLOOKUP(TableQBRanks3040[[#This Row],[Player]],QB!B:O,8,FALSE)</f>
        <v>9.4269790618349205</v>
      </c>
      <c r="J30" s="86">
        <f>VLOOKUP(TableQBRanks3040[[#This Row],[Player]],QB!B:O,9,FALSE)</f>
        <v>36.154944000000008</v>
      </c>
      <c r="K30" s="86">
        <f>VLOOKUP(TableQBRanks3040[[#This Row],[Player]],QB!B:O,10,FALSE)</f>
        <v>197.47612660554105</v>
      </c>
      <c r="L30" s="86">
        <f>VLOOKUP(TableQBRanks3040[[#This Row],[Player]],QB!B:O,11,FALSE)</f>
        <v>1.6095480538669313</v>
      </c>
      <c r="M30" s="58">
        <f>VLOOKUP(TableQBRanks3040[[#This Row],[Player]],QB!B:O,13,FALSE)</f>
        <v>211.34298839932205</v>
      </c>
      <c r="N30" s="133">
        <f>IF(VLOOKUP(TableQBRanks3040[[#This Row],[RK]],'Ranks w Proj'!$A:$N,14,FALSE)&lt;0,0,VLOOKUP(TableQBRanks3040[[#This Row],[RK]],'Ranks w Proj'!$A:$N,14,FALSE))</f>
        <v>0</v>
      </c>
      <c r="P30">
        <v>29</v>
      </c>
      <c r="Q30" t="str">
        <f>VLOOKUP(TableRBRanks3141[[#This Row],[RK]],Rankings!A:T,8,FALSE)</f>
        <v>David Montgomery</v>
      </c>
      <c r="R30" t="str">
        <f>IFERROR(INDEX(TableRBCalcPts[TM],MATCH(TableRBRanks3141[[#This Row],[Player]],TableRBCalcPts[PLAYER],0)),"")</f>
        <v>DET</v>
      </c>
      <c r="S30">
        <f>IFERROR(INDEX(TableRBCalcPts[BYE],MATCH(TableRBRanks3141[[#This Row],[Player]],TableRBCalcPts[PLAYER],0)),"")</f>
        <v>9</v>
      </c>
      <c r="T30" s="86">
        <f>VLOOKUP(TableRBRanks3141[[#This Row],[Player]],RB!B:O,4,FALSE)</f>
        <v>213.65377488000001</v>
      </c>
      <c r="U30" s="86">
        <f>VLOOKUP(TableRBRanks3141[[#This Row],[Player]],RB!B:O,5,FALSE)</f>
        <v>897.34585449600013</v>
      </c>
      <c r="V30" s="86">
        <f>VLOOKUP(TableRBRanks3141[[#This Row],[Player]],RB!B:O,6,FALSE)</f>
        <v>9.4007660947199998</v>
      </c>
      <c r="W30" s="86">
        <f>VLOOKUP(TableRBRanks3141[[#This Row],[Player]],RB!B:O,7,FALSE)</f>
        <v>42.935303319999989</v>
      </c>
      <c r="X30" s="86">
        <f>VLOOKUP(TableRBRanks3141[[#This Row],[Player]],RB!B:O,8,FALSE)</f>
        <v>31.530908994953407</v>
      </c>
      <c r="Y30" s="86">
        <f>VLOOKUP(TableRBRanks3141[[#This Row],[Player]],RB!B:O,9,FALSE)</f>
        <v>243.51341267988894</v>
      </c>
      <c r="Z30" s="86">
        <f>VLOOKUP(TableRBRanks3141[[#This Row],[Player]],RB!B:O,10,FALSE)</f>
        <v>0.97745817884355557</v>
      </c>
      <c r="AA30" s="58">
        <f>VLOOKUP(TableRBRanks3141[[#This Row],[Player]],RB!B:O,14,FALSE)</f>
        <v>192.12072685644694</v>
      </c>
      <c r="AB30" s="133">
        <f>IF(VLOOKUP(TableRBRanks3141[[#This Row],[RK]],'Ranks w Proj'!$P:$AB,13,FALSE)&lt;0,0,VLOOKUP(TableRBRanks3141[[#This Row],[RK]],'Ranks w Proj'!$P:$AB,13,FALSE))</f>
        <v>18.285625015219654</v>
      </c>
      <c r="AD30">
        <v>29</v>
      </c>
      <c r="AE30" t="str">
        <f>VLOOKUP(TableWRRanks3242[[#This Row],[RK]],Rankings!A:T,13,FALSE)</f>
        <v>Drake London</v>
      </c>
      <c r="AF30" t="str">
        <f>IFERROR(INDEX(TableWRCalcPts[TM],MATCH(TableWRRanks3242[[#This Row],[Player]],TableWRCalcPts[PLAYER],0)),"")</f>
        <v>ATL</v>
      </c>
      <c r="AG30">
        <f>IFERROR(INDEX(TableWRCalcPts[BYE],MATCH(TableWRRanks3242[[#This Row],[Player]],TableWRCalcPts[PLAYER],0)),"")</f>
        <v>11</v>
      </c>
      <c r="AH30" s="86">
        <f>VLOOKUP(TableWRRanks3242[[#This Row],[Player]],WR!B:O,4,FALSE)</f>
        <v>0</v>
      </c>
      <c r="AI30" s="86">
        <f>VLOOKUP(TableWRRanks3242[[#This Row],[Player]],WR!B:O,5,FALSE)</f>
        <v>0</v>
      </c>
      <c r="AJ30" s="86">
        <f>VLOOKUP(TableWRRanks3242[[#This Row],[Player]],WR!B:O,6,FALSE)</f>
        <v>118.85690879999996</v>
      </c>
      <c r="AK30" s="86">
        <f>VLOOKUP(TableWRRanks3242[[#This Row],[Player]],WR!B:O,7,FALSE)</f>
        <v>75.908494904057164</v>
      </c>
      <c r="AL30" s="86">
        <f>VLOOKUP(TableWRRanks3242[[#This Row],[Player]],WR!B:O,8,FALSE)</f>
        <v>933.67448731990316</v>
      </c>
      <c r="AM30" s="86">
        <f>VLOOKUP(TableWRRanks3242[[#This Row],[Player]],WR!B:O,9,FALSE)</f>
        <v>5.5413201279961726</v>
      </c>
      <c r="AN30" s="58">
        <f>VLOOKUP(TableWRRanks3242[[#This Row],[Player]],WR!B:O,13,FALSE)</f>
        <v>164.56961695199593</v>
      </c>
      <c r="AO30" s="133">
        <f>IF(VLOOKUP(TableWRRanks3242[[#This Row],[RK]],'Ranks w Proj'!AD:AO,12,FALSE)&lt;0,0,VLOOKUP(TableWRRanks3242[[#This Row],[RK]],'Ranks w Proj'!AD:AO,12,FALSE))</f>
        <v>14.124674185154744</v>
      </c>
      <c r="AQ30">
        <v>29</v>
      </c>
      <c r="AR30" t="str">
        <f>VLOOKUP(TableTERanks3343[[#This Row],[RK]],Rankings!A:T,18,FALSE)</f>
        <v>Cade Otton</v>
      </c>
      <c r="AS30" t="str">
        <f>IFERROR(INDEX(TableTECalcPts[TM],MATCH(TableTERanks3343[[#This Row],[Player]],TableTECalcPts[PLAYER],0)),"")</f>
        <v>TB</v>
      </c>
      <c r="AT30">
        <f>IFERROR(INDEX(TableTECalcPts[BYE],MATCH(TableTERanks3343[[#This Row],[Player]],TableTECalcPts[PLAYER],0)),"")</f>
        <v>5</v>
      </c>
      <c r="AU30" s="86">
        <f>VLOOKUP(TableTERanks3343[[#This Row],[Player]],TE!B:O,4,FALSE)</f>
        <v>67.622853759999984</v>
      </c>
      <c r="AV30" s="86">
        <f>VLOOKUP(TableTERanks3343[[#This Row],[Player]],TE!B:O,5,FALSE)</f>
        <v>41.723300769919987</v>
      </c>
      <c r="AW30" s="86">
        <f>VLOOKUP(TableTERanks3343[[#This Row],[Player]],TE!B:O,6,FALSE)</f>
        <v>422.28289852482578</v>
      </c>
      <c r="AX30" s="86">
        <f>VLOOKUP(TableTERanks3343[[#This Row],[Player]],TE!B:O,7,FALSE)</f>
        <v>3.1709708585139191</v>
      </c>
      <c r="AY30" s="58">
        <f>VLOOKUP(TableTERanks3343[[#This Row],[Player]],TE!B:O,11,FALSE)</f>
        <v>82.115765388526086</v>
      </c>
      <c r="AZ30" s="133">
        <f>IF(VLOOKUP(TableTERanks3343[[#This Row],[RK]],'Ranks w Proj'!AQ:AZ,10,FALSE)&lt;0,0,VLOOKUP(TableTERanks3343[[#This Row],[RK]],'Ranks w Proj'!AQ:AZ,10,FALSE))</f>
        <v>0</v>
      </c>
    </row>
    <row r="31" spans="1:52" x14ac:dyDescent="0.2">
      <c r="A31">
        <v>30</v>
      </c>
      <c r="B31" t="str">
        <f>VLOOKUP(TableQBRanks3040[[#This Row],[RK]],Rankings!A:T,3,FALSE)</f>
        <v>Mac Jones</v>
      </c>
      <c r="C31" t="str">
        <f>IFERROR(INDEX(TableQBCalcPts[TM],MATCH(TableQBRanks3040[[#This Row],[Player]],TableQBCalcPts[PLAYER],0)),"")</f>
        <v>NE</v>
      </c>
      <c r="D31">
        <f>IFERROR(INDEX(TableQBCalcPts[BYE],MATCH(TableQBRanks3040[[#This Row],[Player]],TableQBCalcPts[PLAYER],0)),"")</f>
        <v>11</v>
      </c>
      <c r="E31" s="86">
        <f>VLOOKUP(TableQBRanks3040[[#This Row],[Player]],QB!B:O,4,FALSE)</f>
        <v>540.86283999999989</v>
      </c>
      <c r="F31" s="86">
        <f>VLOOKUP(TableQBRanks3040[[#This Row],[Player]],QB!B:O,5,FALSE)</f>
        <v>359.13292575999992</v>
      </c>
      <c r="G31" s="86">
        <f>VLOOKUP(TableQBRanks3040[[#This Row],[Player]],QB!B:O,6,FALSE)</f>
        <v>3882.2269274655991</v>
      </c>
      <c r="H31" s="86">
        <f>VLOOKUP(TableQBRanks3040[[#This Row],[Player]],QB!B:O,7,FALSE)</f>
        <v>22.697200908031999</v>
      </c>
      <c r="I31" s="86">
        <f>VLOOKUP(TableQBRanks3040[[#This Row],[Player]],QB!B:O,8,FALSE)</f>
        <v>13.742540428491383</v>
      </c>
      <c r="J31" s="86">
        <f>VLOOKUP(TableQBRanks3040[[#This Row],[Player]],QB!B:O,9,FALSE)</f>
        <v>31.51308384</v>
      </c>
      <c r="K31" s="86">
        <f>VLOOKUP(TableQBRanks3040[[#This Row],[Player]],QB!B:O,10,FALSE)</f>
        <v>97.690559903999997</v>
      </c>
      <c r="L31" s="86">
        <f>VLOOKUP(TableQBRanks3040[[#This Row],[Player]],QB!B:O,11,FALSE)</f>
        <v>1.0399317667200001</v>
      </c>
      <c r="M31" s="58">
        <f>VLOOKUP(TableQBRanks3040[[#This Row],[Player]],QB!B:O,13,FALSE)</f>
        <v>248.34398689298061</v>
      </c>
      <c r="N31" s="133">
        <f>IF(VLOOKUP(TableQBRanks3040[[#This Row],[RK]],'Ranks w Proj'!$A:$N,14,FALSE)&lt;0,0,VLOOKUP(TableQBRanks3040[[#This Row],[RK]],'Ranks w Proj'!$A:$N,14,FALSE))</f>
        <v>0</v>
      </c>
      <c r="P31">
        <v>30</v>
      </c>
      <c r="Q31" t="str">
        <f>VLOOKUP(TableRBRanks3141[[#This Row],[RK]],Rankings!A:T,8,FALSE)</f>
        <v>Antonio Gibson</v>
      </c>
      <c r="R31" t="str">
        <f>IFERROR(INDEX(TableRBCalcPts[TM],MATCH(TableRBRanks3141[[#This Row],[Player]],TableRBCalcPts[PLAYER],0)),"")</f>
        <v>WSH</v>
      </c>
      <c r="S31">
        <f>IFERROR(INDEX(TableRBCalcPts[BYE],MATCH(TableRBRanks3141[[#This Row],[Player]],TableRBCalcPts[PLAYER],0)),"")</f>
        <v>14</v>
      </c>
      <c r="T31" s="86">
        <f>VLOOKUP(TableRBRanks3141[[#This Row],[Player]],RB!B:O,4,FALSE)</f>
        <v>130.46688451999998</v>
      </c>
      <c r="U31" s="86">
        <f>VLOOKUP(TableRBRanks3141[[#This Row],[Player]],RB!B:O,5,FALSE)</f>
        <v>532.3048888415999</v>
      </c>
      <c r="V31" s="86">
        <f>VLOOKUP(TableRBRanks3141[[#This Row],[Player]],RB!B:O,6,FALSE)</f>
        <v>3.7835396510799995</v>
      </c>
      <c r="W31" s="86">
        <f>VLOOKUP(TableRBRanks3141[[#This Row],[Player]],RB!B:O,7,FALSE)</f>
        <v>69.038735220000007</v>
      </c>
      <c r="X31" s="86">
        <f>VLOOKUP(TableRBRanks3141[[#This Row],[Player]],RB!B:O,8,FALSE)</f>
        <v>51.640973944560002</v>
      </c>
      <c r="Y31" s="86">
        <f>VLOOKUP(TableRBRanks3141[[#This Row],[Player]],RB!B:O,9,FALSE)</f>
        <v>382.14320718974403</v>
      </c>
      <c r="Z31" s="86">
        <f>VLOOKUP(TableRBRanks3141[[#This Row],[Player]],RB!B:O,10,FALSE)</f>
        <v>2.4271257753943201</v>
      </c>
      <c r="AA31" s="58">
        <f>VLOOKUP(TableRBRanks3141[[#This Row],[Player]],RB!B:O,14,FALSE)</f>
        <v>154.52928913426035</v>
      </c>
      <c r="AB31" s="133">
        <f>IF(VLOOKUP(TableRBRanks3141[[#This Row],[RK]],'Ranks w Proj'!$P:$AB,13,FALSE)&lt;0,0,VLOOKUP(TableRBRanks3141[[#This Row],[RK]],'Ranks w Proj'!$P:$AB,13,FALSE))</f>
        <v>17.051333890627919</v>
      </c>
      <c r="AD31">
        <v>30</v>
      </c>
      <c r="AE31" t="str">
        <f>VLOOKUP(TableWRRanks3242[[#This Row],[RK]],Rankings!A:T,13,FALSE)</f>
        <v>Brandon Aiyuk</v>
      </c>
      <c r="AF31" t="str">
        <f>IFERROR(INDEX(TableWRCalcPts[TM],MATCH(TableWRRanks3242[[#This Row],[Player]],TableWRCalcPts[PLAYER],0)),"")</f>
        <v>SF</v>
      </c>
      <c r="AG31">
        <f>IFERROR(INDEX(TableWRCalcPts[BYE],MATCH(TableWRRanks3242[[#This Row],[Player]],TableWRCalcPts[PLAYER],0)),"")</f>
        <v>9</v>
      </c>
      <c r="AH31" s="86">
        <f>VLOOKUP(TableWRRanks3242[[#This Row],[Player]],WR!B:O,4,FALSE)</f>
        <v>0</v>
      </c>
      <c r="AI31" s="86">
        <f>VLOOKUP(TableWRRanks3242[[#This Row],[Player]],WR!B:O,5,FALSE)</f>
        <v>0</v>
      </c>
      <c r="AJ31" s="86">
        <f>VLOOKUP(TableWRRanks3242[[#This Row],[Player]],WR!B:O,6,FALSE)</f>
        <v>110.21813628</v>
      </c>
      <c r="AK31" s="86">
        <f>VLOOKUP(TableWRRanks3242[[#This Row],[Player]],WR!B:O,7,FALSE)</f>
        <v>69.988516537799995</v>
      </c>
      <c r="AL31" s="86">
        <f>VLOOKUP(TableWRRanks3242[[#This Row],[Player]],WR!B:O,8,FALSE)</f>
        <v>958.84267656785994</v>
      </c>
      <c r="AM31" s="86">
        <f>VLOOKUP(TableWRRanks3242[[#This Row],[Player]],WR!B:O,9,FALSE)</f>
        <v>5.8090468726374</v>
      </c>
      <c r="AN31" s="58">
        <f>VLOOKUP(TableWRRanks3242[[#This Row],[Player]],WR!B:O,13,FALSE)</f>
        <v>165.73280716151041</v>
      </c>
      <c r="AO31" s="133">
        <f>IF(VLOOKUP(TableWRRanks3242[[#This Row],[RK]],'Ranks w Proj'!AD:AO,12,FALSE)&lt;0,0,VLOOKUP(TableWRRanks3242[[#This Row],[RK]],'Ranks w Proj'!AD:AO,12,FALSE))</f>
        <v>13.969242142955913</v>
      </c>
      <c r="AQ31">
        <v>30</v>
      </c>
      <c r="AR31" t="str">
        <f>VLOOKUP(TableTERanks3343[[#This Row],[RK]],Rankings!A:T,18,FALSE)</f>
        <v>Trey McBride</v>
      </c>
      <c r="AS31" t="str">
        <f>IFERROR(INDEX(TableTECalcPts[TM],MATCH(TableTERanks3343[[#This Row],[Player]],TableTECalcPts[PLAYER],0)),"")</f>
        <v>ARI</v>
      </c>
      <c r="AT31">
        <f>IFERROR(INDEX(TableTECalcPts[BYE],MATCH(TableTERanks3343[[#This Row],[Player]],TableTECalcPts[PLAYER],0)),"")</f>
        <v>14</v>
      </c>
      <c r="AU31" s="86">
        <f>VLOOKUP(TableTERanks3343[[#This Row],[Player]],TE!B:O,4,FALSE)</f>
        <v>74.461380000000005</v>
      </c>
      <c r="AV31" s="86">
        <f>VLOOKUP(TableTERanks3343[[#This Row],[Player]],TE!B:O,5,FALSE)</f>
        <v>47.655283200000007</v>
      </c>
      <c r="AW31" s="86">
        <f>VLOOKUP(TableTERanks3343[[#This Row],[Player]],TE!B:O,6,FALSE)</f>
        <v>484.17767731200007</v>
      </c>
      <c r="AX31" s="86">
        <f>VLOOKUP(TableTERanks3343[[#This Row],[Player]],TE!B:O,7,FALSE)</f>
        <v>3.5264909568000005</v>
      </c>
      <c r="AY31" s="58">
        <f>VLOOKUP(TableTERanks3343[[#This Row],[Player]],TE!B:O,11,FALSE)</f>
        <v>93.404355072000016</v>
      </c>
      <c r="AZ31" s="133">
        <f>IF(VLOOKUP(TableTERanks3343[[#This Row],[RK]],'Ranks w Proj'!AQ:AZ,10,FALSE)&lt;0,0,VLOOKUP(TableTERanks3343[[#This Row],[RK]],'Ranks w Proj'!AQ:AZ,10,FALSE))</f>
        <v>0</v>
      </c>
    </row>
    <row r="32" spans="1:52" x14ac:dyDescent="0.2">
      <c r="A32">
        <v>31</v>
      </c>
      <c r="B32" t="str">
        <f>VLOOKUP(TableQBRanks3040[[#This Row],[RK]],Rankings!A:T,3,FALSE)</f>
        <v>Baker Mayfield</v>
      </c>
      <c r="C32" t="str">
        <f>IFERROR(INDEX(TableQBCalcPts[TM],MATCH(TableQBRanks3040[[#This Row],[Player]],TableQBCalcPts[PLAYER],0)),"")</f>
        <v>TB</v>
      </c>
      <c r="D32">
        <f>IFERROR(INDEX(TableQBCalcPts[BYE],MATCH(TableQBRanks3040[[#This Row],[Player]],TableQBCalcPts[PLAYER],0)),"")</f>
        <v>5</v>
      </c>
      <c r="E32" s="86">
        <f>VLOOKUP(TableQBRanks3040[[#This Row],[Player]],QB!B:O,4,FALSE)</f>
        <v>456.21759999999995</v>
      </c>
      <c r="F32" s="86">
        <f>VLOOKUP(TableQBRanks3040[[#This Row],[Player]],QB!B:O,5,FALSE)</f>
        <v>289.08781871504112</v>
      </c>
      <c r="G32" s="86">
        <f>VLOOKUP(TableQBRanks3040[[#This Row],[Player]],QB!B:O,6,FALSE)</f>
        <v>3078.7852693151881</v>
      </c>
      <c r="H32" s="86">
        <f>VLOOKUP(TableQBRanks3040[[#This Row],[Player]],QB!B:O,7,FALSE)</f>
        <v>17.952353542204055</v>
      </c>
      <c r="I32" s="86">
        <f>VLOOKUP(TableQBRanks3040[[#This Row],[Player]],QB!B:O,8,FALSE)</f>
        <v>11.13476716499976</v>
      </c>
      <c r="J32" s="86">
        <f>VLOOKUP(TableQBRanks3040[[#This Row],[Player]],QB!B:O,9,FALSE)</f>
        <v>27.203420160000004</v>
      </c>
      <c r="K32" s="86">
        <f>VLOOKUP(TableQBRanks3040[[#This Row],[Player]],QB!B:O,10,FALSE)</f>
        <v>82.745715311845856</v>
      </c>
      <c r="L32" s="86">
        <f>VLOOKUP(TableQBRanks3040[[#This Row],[Player]],QB!B:O,11,FALSE)</f>
        <v>0.95211970560000025</v>
      </c>
      <c r="M32" s="58">
        <f>VLOOKUP(TableQBRanks3040[[#This Row],[Player]],QB!B:O,13,FALSE)</f>
        <v>197.81334754120857</v>
      </c>
      <c r="N32" s="133">
        <f>IF(VLOOKUP(TableQBRanks3040[[#This Row],[RK]],'Ranks w Proj'!$A:$N,14,FALSE)&lt;0,0,VLOOKUP(TableQBRanks3040[[#This Row],[RK]],'Ranks w Proj'!$A:$N,14,FALSE))</f>
        <v>0</v>
      </c>
      <c r="P32">
        <v>31</v>
      </c>
      <c r="Q32" t="str">
        <f>VLOOKUP(TableRBRanks3141[[#This Row],[RK]],Rankings!A:T,8,FALSE)</f>
        <v>D'Andre Swift</v>
      </c>
      <c r="R32" t="str">
        <f>IFERROR(INDEX(TableRBCalcPts[TM],MATCH(TableRBRanks3141[[#This Row],[Player]],TableRBCalcPts[PLAYER],0)),"")</f>
        <v>PHI</v>
      </c>
      <c r="S32">
        <f>IFERROR(INDEX(TableRBCalcPts[BYE],MATCH(TableRBRanks3141[[#This Row],[Player]],TableRBCalcPts[PLAYER],0)),"")</f>
        <v>10</v>
      </c>
      <c r="T32" s="86">
        <f>VLOOKUP(TableRBRanks3141[[#This Row],[Player]],RB!B:O,4,FALSE)</f>
        <v>128.75134356000001</v>
      </c>
      <c r="U32" s="86">
        <f>VLOOKUP(TableRBRanks3141[[#This Row],[Player]],RB!B:O,5,FALSE)</f>
        <v>621.86898939480011</v>
      </c>
      <c r="V32" s="86">
        <f>VLOOKUP(TableRBRanks3141[[#This Row],[Player]],RB!B:O,6,FALSE)</f>
        <v>5.0213023988400005</v>
      </c>
      <c r="W32" s="86">
        <f>VLOOKUP(TableRBRanks3141[[#This Row],[Player]],RB!B:O,7,FALSE)</f>
        <v>55.878163319999992</v>
      </c>
      <c r="X32" s="86">
        <f>VLOOKUP(TableRBRanks3141[[#This Row],[Player]],RB!B:O,8,FALSE)</f>
        <v>40.591589221464709</v>
      </c>
      <c r="Y32" s="86">
        <f>VLOOKUP(TableRBRanks3141[[#This Row],[Player]],RB!B:O,9,FALSE)</f>
        <v>325.53067163598297</v>
      </c>
      <c r="Z32" s="86">
        <f>VLOOKUP(TableRBRanks3141[[#This Row],[Player]],RB!B:O,10,FALSE)</f>
        <v>2.2325374071805588</v>
      </c>
      <c r="AA32" s="58">
        <f>VLOOKUP(TableRBRanks3141[[#This Row],[Player]],RB!B:O,14,FALSE)</f>
        <v>158.55879954993404</v>
      </c>
      <c r="AB32" s="133">
        <f>IF(VLOOKUP(TableRBRanks3141[[#This Row],[RK]],'Ranks w Proj'!$P:$AB,13,FALSE)&lt;0,0,VLOOKUP(TableRBRanks3141[[#This Row],[RK]],'Ranks w Proj'!$P:$AB,13,FALSE))</f>
        <v>16.690716491964967</v>
      </c>
      <c r="AD32">
        <v>31</v>
      </c>
      <c r="AE32" t="str">
        <f>VLOOKUP(TableWRRanks3242[[#This Row],[RK]],Rankings!A:T,13,FALSE)</f>
        <v>Marquise Brown</v>
      </c>
      <c r="AF32" t="str">
        <f>IFERROR(INDEX(TableWRCalcPts[TM],MATCH(TableWRRanks3242[[#This Row],[Player]],TableWRCalcPts[PLAYER],0)),"")</f>
        <v>ARI</v>
      </c>
      <c r="AG32">
        <f>IFERROR(INDEX(TableWRCalcPts[BYE],MATCH(TableWRRanks3242[[#This Row],[Player]],TableWRCalcPts[PLAYER],0)),"")</f>
        <v>14</v>
      </c>
      <c r="AH32" s="86">
        <f>VLOOKUP(TableWRRanks3242[[#This Row],[Player]],WR!B:O,4,FALSE)</f>
        <v>0</v>
      </c>
      <c r="AI32" s="86">
        <f>VLOOKUP(TableWRRanks3242[[#This Row],[Player]],WR!B:O,5,FALSE)</f>
        <v>0</v>
      </c>
      <c r="AJ32" s="86">
        <f>VLOOKUP(TableWRRanks3242[[#This Row],[Player]],WR!B:O,6,FALSE)</f>
        <v>138.71434500000001</v>
      </c>
      <c r="AK32" s="86">
        <f>VLOOKUP(TableWRRanks3242[[#This Row],[Player]],WR!B:O,7,FALSE)</f>
        <v>83.644750035000001</v>
      </c>
      <c r="AL32" s="86">
        <f>VLOOKUP(TableWRRanks3242[[#This Row],[Player]],WR!B:O,8,FALSE)</f>
        <v>988.68094541369999</v>
      </c>
      <c r="AM32" s="86">
        <f>VLOOKUP(TableWRRanks3242[[#This Row],[Player]],WR!B:O,9,FALSE)</f>
        <v>4.8513955020299999</v>
      </c>
      <c r="AN32" s="58">
        <f>VLOOKUP(TableWRRanks3242[[#This Row],[Player]],WR!B:O,13,FALSE)</f>
        <v>169.79884257105002</v>
      </c>
      <c r="AO32" s="133">
        <f>IF(VLOOKUP(TableWRRanks3242[[#This Row],[RK]],'Ranks w Proj'!AD:AO,12,FALSE)&lt;0,0,VLOOKUP(TableWRRanks3242[[#This Row],[RK]],'Ranks w Proj'!AD:AO,12,FALSE))</f>
        <v>13.529781254318797</v>
      </c>
      <c r="AQ32">
        <v>31</v>
      </c>
      <c r="AR32" t="str">
        <f>VLOOKUP(TableTERanks3343[[#This Row],[RK]],Rankings!A:T,18,FALSE)</f>
        <v>Hayden Hurst</v>
      </c>
      <c r="AS32" t="str">
        <f>IFERROR(INDEX(TableTECalcPts[TM],MATCH(TableTERanks3343[[#This Row],[Player]],TableTECalcPts[PLAYER],0)),"")</f>
        <v>CAR</v>
      </c>
      <c r="AT32">
        <f>IFERROR(INDEX(TableTECalcPts[BYE],MATCH(TableTERanks3343[[#This Row],[Player]],TableTECalcPts[PLAYER],0)),"")</f>
        <v>7</v>
      </c>
      <c r="AU32" s="86">
        <f>VLOOKUP(TableTERanks3343[[#This Row],[Player]],TE!B:O,4,FALSE)</f>
        <v>62.375057639999994</v>
      </c>
      <c r="AV32" s="86">
        <f>VLOOKUP(TableTERanks3343[[#This Row],[Player]],TE!B:O,5,FALSE)</f>
        <v>43.987078475378276</v>
      </c>
      <c r="AW32" s="86">
        <f>VLOOKUP(TableTERanks3343[[#This Row],[Player]],TE!B:O,6,FALSE)</f>
        <v>400.2824141259423</v>
      </c>
      <c r="AX32" s="86">
        <f>VLOOKUP(TableTERanks3343[[#This Row],[Player]],TE!B:O,7,FALSE)</f>
        <v>3.6949145919317754</v>
      </c>
      <c r="AY32" s="58">
        <f>VLOOKUP(TableTERanks3343[[#This Row],[Player]],TE!B:O,11,FALSE)</f>
        <v>84.191268201874024</v>
      </c>
      <c r="AZ32" s="133">
        <f>IF(VLOOKUP(TableTERanks3343[[#This Row],[RK]],'Ranks w Proj'!AQ:AZ,10,FALSE)&lt;0,0,VLOOKUP(TableTERanks3343[[#This Row],[RK]],'Ranks w Proj'!AQ:AZ,10,FALSE))</f>
        <v>0</v>
      </c>
    </row>
    <row r="33" spans="1:52" x14ac:dyDescent="0.2">
      <c r="A33">
        <v>32</v>
      </c>
      <c r="B33" t="str">
        <f>VLOOKUP(TableQBRanks3040[[#This Row],[RK]],Rankings!A:T,3,FALSE)</f>
        <v>Joshua Dobbs</v>
      </c>
      <c r="C33" t="str">
        <f>IFERROR(INDEX(TableQBCalcPts[TM],MATCH(TableQBRanks3040[[#This Row],[Player]],TableQBCalcPts[PLAYER],0)),"")</f>
        <v>ARI</v>
      </c>
      <c r="D33">
        <f>IFERROR(INDEX(TableQBCalcPts[BYE],MATCH(TableQBRanks3040[[#This Row],[Player]],TableQBCalcPts[PLAYER],0)),"")</f>
        <v>14</v>
      </c>
      <c r="E33" s="86">
        <f>VLOOKUP(TableQBRanks3040[[#This Row],[Player]],QB!B:O,4,FALSE)</f>
        <v>306.375</v>
      </c>
      <c r="F33" s="86">
        <f>VLOOKUP(TableQBRanks3040[[#This Row],[Player]],QB!B:O,5,FALSE)</f>
        <v>189.46229999999997</v>
      </c>
      <c r="G33" s="86">
        <f>VLOOKUP(TableQBRanks3040[[#This Row],[Player]],QB!B:O,6,FALSE)</f>
        <v>1993.1433959999997</v>
      </c>
      <c r="H33" s="86">
        <f>VLOOKUP(TableQBRanks3040[[#This Row],[Player]],QB!B:O,7,FALSE)</f>
        <v>10.799351099999999</v>
      </c>
      <c r="I33" s="86">
        <f>VLOOKUP(TableQBRanks3040[[#This Row],[Player]],QB!B:O,8,FALSE)</f>
        <v>8.7152657999999992</v>
      </c>
      <c r="J33" s="86">
        <f>VLOOKUP(TableQBRanks3040[[#This Row],[Player]],QB!B:O,9,FALSE)</f>
        <v>10.419115</v>
      </c>
      <c r="K33" s="86">
        <f>VLOOKUP(TableQBRanks3040[[#This Row],[Player]],QB!B:O,10,FALSE)</f>
        <v>55.221309499999997</v>
      </c>
      <c r="L33" s="86">
        <f>VLOOKUP(TableQBRanks3040[[#This Row],[Player]],QB!B:O,11,FALSE)</f>
        <v>0.19278088770034277</v>
      </c>
      <c r="M33" s="58">
        <f>VLOOKUP(TableQBRanks3040[[#This Row],[Player]],QB!B:O,13,FALSE)</f>
        <v>120.88669071620204</v>
      </c>
      <c r="N33" s="133">
        <f>IF(VLOOKUP(TableQBRanks3040[[#This Row],[RK]],'Ranks w Proj'!$A:$N,14,FALSE)&lt;0,0,VLOOKUP(TableQBRanks3040[[#This Row],[RK]],'Ranks w Proj'!$A:$N,14,FALSE))</f>
        <v>0</v>
      </c>
      <c r="P33">
        <v>32</v>
      </c>
      <c r="Q33" t="str">
        <f>VLOOKUP(TableRBRanks3141[[#This Row],[RK]],Rankings!A:T,8,FALSE)</f>
        <v>Samaje Perine</v>
      </c>
      <c r="R33" t="str">
        <f>IFERROR(INDEX(TableRBCalcPts[TM],MATCH(TableRBRanks3141[[#This Row],[Player]],TableRBCalcPts[PLAYER],0)),"")</f>
        <v>DEN</v>
      </c>
      <c r="S33">
        <f>IFERROR(INDEX(TableRBCalcPts[BYE],MATCH(TableRBRanks3141[[#This Row],[Player]],TableRBCalcPts[PLAYER],0)),"")</f>
        <v>9</v>
      </c>
      <c r="T33" s="86">
        <f>VLOOKUP(TableRBRanks3141[[#This Row],[Player]],RB!B:O,4,FALSE)</f>
        <v>205.66848399999998</v>
      </c>
      <c r="U33" s="86">
        <f>VLOOKUP(TableRBRanks3141[[#This Row],[Player]],RB!B:O,5,FALSE)</f>
        <v>904.94132960000002</v>
      </c>
      <c r="V33" s="86">
        <f>VLOOKUP(TableRBRanks3141[[#This Row],[Player]],RB!B:O,6,FALSE)</f>
        <v>7.8154023919999993</v>
      </c>
      <c r="W33" s="86">
        <f>VLOOKUP(TableRBRanks3141[[#This Row],[Player]],RB!B:O,7,FALSE)</f>
        <v>42.6725712</v>
      </c>
      <c r="X33" s="86">
        <f>VLOOKUP(TableRBRanks3141[[#This Row],[Player]],RB!B:O,8,FALSE)</f>
        <v>32.288758597727011</v>
      </c>
      <c r="Y33" s="86">
        <f>VLOOKUP(TableRBRanks3141[[#This Row],[Player]],RB!B:O,9,FALSE)</f>
        <v>241.19702672502075</v>
      </c>
      <c r="Z33" s="86">
        <f>VLOOKUP(TableRBRanks3141[[#This Row],[Player]],RB!B:O,10,FALSE)</f>
        <v>1.3884166197022614</v>
      </c>
      <c r="AA33" s="58">
        <f>VLOOKUP(TableRBRanks3141[[#This Row],[Player]],RB!B:O,14,FALSE)</f>
        <v>185.98112900157915</v>
      </c>
      <c r="AB33" s="133">
        <f>IF(VLOOKUP(TableRBRanks3141[[#This Row],[RK]],'Ranks w Proj'!$P:$AB,13,FALSE)&lt;0,0,VLOOKUP(TableRBRanks3141[[#This Row],[RK]],'Ranks w Proj'!$P:$AB,13,FALSE))</f>
        <v>16.651300636251097</v>
      </c>
      <c r="AD33">
        <v>32</v>
      </c>
      <c r="AE33" t="str">
        <f>VLOOKUP(TableWRRanks3242[[#This Row],[RK]],Rankings!A:T,13,FALSE)</f>
        <v>Christian Kirk</v>
      </c>
      <c r="AF33" t="str">
        <f>IFERROR(INDEX(TableWRCalcPts[TM],MATCH(TableWRRanks3242[[#This Row],[Player]],TableWRCalcPts[PLAYER],0)),"")</f>
        <v>JAX</v>
      </c>
      <c r="AG33">
        <f>IFERROR(INDEX(TableWRCalcPts[BYE],MATCH(TableWRRanks3242[[#This Row],[Player]],TableWRCalcPts[PLAYER],0)),"")</f>
        <v>9</v>
      </c>
      <c r="AH33" s="86">
        <f>VLOOKUP(TableWRRanks3242[[#This Row],[Player]],WR!B:O,4,FALSE)</f>
        <v>0</v>
      </c>
      <c r="AI33" s="86">
        <f>VLOOKUP(TableWRRanks3242[[#This Row],[Player]],WR!B:O,5,FALSE)</f>
        <v>0</v>
      </c>
      <c r="AJ33" s="86">
        <f>VLOOKUP(TableWRRanks3242[[#This Row],[Player]],WR!B:O,6,FALSE)</f>
        <v>122.3829684</v>
      </c>
      <c r="AK33" s="86">
        <f>VLOOKUP(TableWRRanks3242[[#This Row],[Player]],WR!B:O,7,FALSE)</f>
        <v>78.325099776000002</v>
      </c>
      <c r="AL33" s="86">
        <f>VLOOKUP(TableWRRanks3242[[#This Row],[Player]],WR!B:O,8,FALSE)</f>
        <v>966.57125326129233</v>
      </c>
      <c r="AM33" s="86">
        <f>VLOOKUP(TableWRRanks3242[[#This Row],[Player]],WR!B:O,9,FALSE)</f>
        <v>5.9527075829760001</v>
      </c>
      <c r="AN33" s="58">
        <f>VLOOKUP(TableWRRanks3242[[#This Row],[Player]],WR!B:O,13,FALSE)</f>
        <v>171.53592071198523</v>
      </c>
      <c r="AO33" s="133">
        <f>IF(VLOOKUP(TableWRRanks3242[[#This Row],[RK]],'Ranks w Proj'!AD:AO,12,FALSE)&lt;0,0,VLOOKUP(TableWRRanks3242[[#This Row],[RK]],'Ranks w Proj'!AD:AO,12,FALSE))</f>
        <v>13.371202943576638</v>
      </c>
      <c r="AQ33">
        <v>32</v>
      </c>
      <c r="AR33" t="str">
        <f>VLOOKUP(TableTERanks3343[[#This Row],[RK]],Rankings!A:T,18,FALSE)</f>
        <v>Mike Gesicki</v>
      </c>
      <c r="AS33" t="str">
        <f>IFERROR(INDEX(TableTECalcPts[TM],MATCH(TableTERanks3343[[#This Row],[Player]],TableTECalcPts[PLAYER],0)),"")</f>
        <v>NE</v>
      </c>
      <c r="AT33">
        <f>IFERROR(INDEX(TableTECalcPts[BYE],MATCH(TableTERanks3343[[#This Row],[Player]],TableTECalcPts[PLAYER],0)),"")</f>
        <v>11</v>
      </c>
      <c r="AU33" s="86">
        <f>VLOOKUP(TableTERanks3343[[#This Row],[Player]],TE!B:O,4,FALSE)</f>
        <v>62.026610799999979</v>
      </c>
      <c r="AV33" s="86">
        <f>VLOOKUP(TableTERanks3343[[#This Row],[Player]],TE!B:O,5,FALSE)</f>
        <v>37.865483265794772</v>
      </c>
      <c r="AW33" s="86">
        <f>VLOOKUP(TableTERanks3343[[#This Row],[Player]],TE!B:O,6,FALSE)</f>
        <v>427.43839369701141</v>
      </c>
      <c r="AX33" s="86">
        <f>VLOOKUP(TableTERanks3343[[#This Row],[Player]],TE!B:O,7,FALSE)</f>
        <v>3.7865483265794775</v>
      </c>
      <c r="AY33" s="58">
        <f>VLOOKUP(TableTERanks3343[[#This Row],[Player]],TE!B:O,11,FALSE)</f>
        <v>84.395870962075392</v>
      </c>
      <c r="AZ33" s="133">
        <f>IF(VLOOKUP(TableTERanks3343[[#This Row],[RK]],'Ranks w Proj'!AQ:AZ,10,FALSE)&lt;0,0,VLOOKUP(TableTERanks3343[[#This Row],[RK]],'Ranks w Proj'!AQ:AZ,10,FALSE))</f>
        <v>0</v>
      </c>
    </row>
    <row r="34" spans="1:52" x14ac:dyDescent="0.2">
      <c r="A34">
        <v>33</v>
      </c>
      <c r="B34" t="str">
        <f>VLOOKUP(TableQBRanks3040[[#This Row],[RK]],Rankings!A:T,3,FALSE)</f>
        <v>Kyler Murray</v>
      </c>
      <c r="C34" t="str">
        <f>IFERROR(INDEX(TableQBCalcPts[TM],MATCH(TableQBRanks3040[[#This Row],[Player]],TableQBCalcPts[PLAYER],0)),"")</f>
        <v>ARI</v>
      </c>
      <c r="D34">
        <f>IFERROR(INDEX(TableQBCalcPts[BYE],MATCH(TableQBRanks3040[[#This Row],[Player]],TableQBCalcPts[PLAYER],0)),"")</f>
        <v>14</v>
      </c>
      <c r="E34" s="86">
        <f>VLOOKUP(TableQBRanks3040[[#This Row],[Player]],QB!B:O,4,FALSE)</f>
        <v>61.275000000000006</v>
      </c>
      <c r="F34" s="86">
        <f>VLOOKUP(TableQBRanks3040[[#This Row],[Player]],QB!B:O,5,FALSE)</f>
        <v>40.679512158260401</v>
      </c>
      <c r="G34" s="86">
        <f>VLOOKUP(TableQBRanks3040[[#This Row],[Player]],QB!B:O,6,FALSE)</f>
        <v>414.04910791167987</v>
      </c>
      <c r="H34" s="86">
        <f>VLOOKUP(TableQBRanks3040[[#This Row],[Player]],QB!B:O,7,FALSE)</f>
        <v>2.5790810708337095</v>
      </c>
      <c r="I34" s="86">
        <f>VLOOKUP(TableQBRanks3040[[#This Row],[Player]],QB!B:O,8,FALSE)</f>
        <v>1.3915388318386108</v>
      </c>
      <c r="J34" s="86">
        <f>VLOOKUP(TableQBRanks3040[[#This Row],[Player]],QB!B:O,9,FALSE)</f>
        <v>49.830550000000002</v>
      </c>
      <c r="K34" s="86">
        <f>VLOOKUP(TableQBRanks3040[[#This Row],[Player]],QB!B:O,10,FALSE)</f>
        <v>272.17146292976537</v>
      </c>
      <c r="L34" s="86">
        <f>VLOOKUP(TableQBRanks3040[[#This Row],[Player]],QB!B:O,11,FALSE)</f>
        <v>2.5413580499999999</v>
      </c>
      <c r="M34" s="58">
        <f>VLOOKUP(TableQBRanks3040[[#This Row],[Player]],QB!B:O,13,FALSE)</f>
        <v>67.952044360939965</v>
      </c>
      <c r="N34" s="133">
        <f>IF(VLOOKUP(TableQBRanks3040[[#This Row],[RK]],'Ranks w Proj'!$A:$N,14,FALSE)&lt;0,0,VLOOKUP(TableQBRanks3040[[#This Row],[RK]],'Ranks w Proj'!$A:$N,14,FALSE))</f>
        <v>0</v>
      </c>
      <c r="P34">
        <v>33</v>
      </c>
      <c r="Q34" t="str">
        <f>VLOOKUP(TableRBRanks3141[[#This Row],[RK]],Rankings!A:T,8,FALSE)</f>
        <v>Brian Robinson</v>
      </c>
      <c r="R34" t="str">
        <f>IFERROR(INDEX(TableRBCalcPts[TM],MATCH(TableRBRanks3141[[#This Row],[Player]],TableRBCalcPts[PLAYER],0)),"")</f>
        <v>WSH</v>
      </c>
      <c r="S34">
        <f>IFERROR(INDEX(TableRBCalcPts[BYE],MATCH(TableRBRanks3141[[#This Row],[Player]],TableRBCalcPts[PLAYER],0)),"")</f>
        <v>14</v>
      </c>
      <c r="T34" s="86">
        <f>VLOOKUP(TableRBRanks3141[[#This Row],[Player]],RB!B:O,4,FALSE)</f>
        <v>231.83683795999997</v>
      </c>
      <c r="U34" s="86">
        <f>VLOOKUP(TableRBRanks3141[[#This Row],[Player]],RB!B:O,5,FALSE)</f>
        <v>952.84940401559993</v>
      </c>
      <c r="V34" s="86">
        <f>VLOOKUP(TableRBRanks3141[[#This Row],[Player]],RB!B:O,6,FALSE)</f>
        <v>7.1869419767599991</v>
      </c>
      <c r="W34" s="86">
        <f>VLOOKUP(TableRBRanks3141[[#This Row],[Player]],RB!B:O,7,FALSE)</f>
        <v>31.273956980000005</v>
      </c>
      <c r="X34" s="86">
        <f>VLOOKUP(TableRBRanks3141[[#This Row],[Player]],RB!B:O,8,FALSE)</f>
        <v>21.612449722127867</v>
      </c>
      <c r="Y34" s="86">
        <f>VLOOKUP(TableRBRanks3141[[#This Row],[Player]],RB!B:O,9,FALSE)</f>
        <v>162.31291583170844</v>
      </c>
      <c r="Z34" s="86">
        <f>VLOOKUP(TableRBRanks3141[[#This Row],[Player]],RB!B:O,10,FALSE)</f>
        <v>1.2006916512293258</v>
      </c>
      <c r="AA34" s="58">
        <f>VLOOKUP(TableRBRanks3141[[#This Row],[Player]],RB!B:O,14,FALSE)</f>
        <v>172.64825861373072</v>
      </c>
      <c r="AB34" s="133">
        <f>IF(VLOOKUP(TableRBRanks3141[[#This Row],[RK]],'Ranks w Proj'!$P:$AB,13,FALSE)&lt;0,0,VLOOKUP(TableRBRanks3141[[#This Row],[RK]],'Ranks w Proj'!$P:$AB,13,FALSE))</f>
        <v>13.727393137002762</v>
      </c>
      <c r="AD34">
        <v>33</v>
      </c>
      <c r="AE34" t="str">
        <f>VLOOKUP(TableWRRanks3242[[#This Row],[RK]],Rankings!A:T,13,FALSE)</f>
        <v>Diontae Johnson</v>
      </c>
      <c r="AF34" t="str">
        <f>IFERROR(INDEX(TableWRCalcPts[TM],MATCH(TableWRRanks3242[[#This Row],[Player]],TableWRCalcPts[PLAYER],0)),"")</f>
        <v>PIT</v>
      </c>
      <c r="AG34">
        <f>IFERROR(INDEX(TableWRCalcPts[BYE],MATCH(TableWRRanks3242[[#This Row],[Player]],TableWRCalcPts[PLAYER],0)),"")</f>
        <v>6</v>
      </c>
      <c r="AH34" s="86">
        <f>VLOOKUP(TableWRRanks3242[[#This Row],[Player]],WR!B:O,4,FALSE)</f>
        <v>0</v>
      </c>
      <c r="AI34" s="86">
        <f>VLOOKUP(TableWRRanks3242[[#This Row],[Player]],WR!B:O,5,FALSE)</f>
        <v>0</v>
      </c>
      <c r="AJ34" s="86">
        <f>VLOOKUP(TableWRRanks3242[[#This Row],[Player]],WR!B:O,6,FALSE)</f>
        <v>127.55370810000001</v>
      </c>
      <c r="AK34" s="86">
        <f>VLOOKUP(TableWRRanks3242[[#This Row],[Player]],WR!B:O,7,FALSE)</f>
        <v>76.659778568100009</v>
      </c>
      <c r="AL34" s="86">
        <f>VLOOKUP(TableWRRanks3242[[#This Row],[Player]],WR!B:O,8,FALSE)</f>
        <v>826.66403039640761</v>
      </c>
      <c r="AM34" s="86">
        <f>VLOOKUP(TableWRRanks3242[[#This Row],[Player]],WR!B:O,9,FALSE)</f>
        <v>3.9863084855412003</v>
      </c>
      <c r="AN34" s="58">
        <f>VLOOKUP(TableWRRanks3242[[#This Row],[Player]],WR!B:O,13,FALSE)</f>
        <v>144.91414323693797</v>
      </c>
      <c r="AO34" s="133">
        <f>IF(VLOOKUP(TableWRRanks3242[[#This Row],[RK]],'Ranks w Proj'!AD:AO,12,FALSE)&lt;0,0,VLOOKUP(TableWRRanks3242[[#This Row],[RK]],'Ranks w Proj'!AD:AO,12,FALSE))</f>
        <v>13.218363350967797</v>
      </c>
      <c r="AQ34">
        <v>33</v>
      </c>
      <c r="AR34" t="str">
        <f>VLOOKUP(TableTERanks3343[[#This Row],[RK]],Rankings!A:T,18,FALSE)</f>
        <v>Taysom Hill</v>
      </c>
      <c r="AS34" t="str">
        <f>IFERROR(INDEX(TableTECalcPts[TM],MATCH(TableTERanks3343[[#This Row],[Player]],TableTECalcPts[PLAYER],0)),"")</f>
        <v>NO</v>
      </c>
      <c r="AT34">
        <f>IFERROR(INDEX(TableTECalcPts[BYE],MATCH(TableTERanks3343[[#This Row],[Player]],TableTECalcPts[PLAYER],0)),"")</f>
        <v>11</v>
      </c>
      <c r="AU34" s="86">
        <f>VLOOKUP(TableTERanks3343[[#This Row],[Player]],TE!B:O,4,FALSE)</f>
        <v>8.3874860160000004</v>
      </c>
      <c r="AV34" s="86">
        <f>VLOOKUP(TableTERanks3343[[#This Row],[Player]],TE!B:O,5,FALSE)</f>
        <v>5.8544652391680003</v>
      </c>
      <c r="AW34" s="86">
        <f>VLOOKUP(TableTERanks3343[[#This Row],[Player]],TE!B:O,6,FALSE)</f>
        <v>66.155457202598413</v>
      </c>
      <c r="AX34" s="86">
        <f>VLOOKUP(TableTERanks3343[[#This Row],[Player]],TE!B:O,7,FALSE)</f>
        <v>0.62057331535180804</v>
      </c>
      <c r="AY34" s="58">
        <f>VLOOKUP(TableTERanks3343[[#This Row],[Player]],TE!B:O,11,FALSE)</f>
        <v>71.977671055054685</v>
      </c>
      <c r="AZ34" s="133">
        <f>IF(VLOOKUP(TableTERanks3343[[#This Row],[RK]],'Ranks w Proj'!AQ:AZ,10,FALSE)&lt;0,0,VLOOKUP(TableTERanks3343[[#This Row],[RK]],'Ranks w Proj'!AQ:AZ,10,FALSE))</f>
        <v>0</v>
      </c>
    </row>
    <row r="35" spans="1:52" x14ac:dyDescent="0.2">
      <c r="A35">
        <v>34</v>
      </c>
      <c r="B35" t="str">
        <f>VLOOKUP(TableQBRanks3040[[#This Row],[RK]],Rankings!A:T,3,FALSE)</f>
        <v>Kyle Trask</v>
      </c>
      <c r="C35" t="str">
        <f>IFERROR(INDEX(TableQBCalcPts[TM],MATCH(TableQBRanks3040[[#This Row],[Player]],TableQBCalcPts[PLAYER],0)),"")</f>
        <v>TB</v>
      </c>
      <c r="D35">
        <f>IFERROR(INDEX(TableQBCalcPts[BYE],MATCH(TableQBRanks3040[[#This Row],[Player]],TableQBCalcPts[PLAYER],0)),"")</f>
        <v>5</v>
      </c>
      <c r="E35" s="86">
        <f>VLOOKUP(TableQBRanks3040[[#This Row],[Player]],QB!B:O,4,FALSE)</f>
        <v>114.05439999999999</v>
      </c>
      <c r="F35" s="86">
        <f>VLOOKUP(TableQBRanks3040[[#This Row],[Player]],QB!B:O,5,FALSE)</f>
        <v>70.749425965644164</v>
      </c>
      <c r="G35" s="86">
        <f>VLOOKUP(TableQBRanks3040[[#This Row],[Player]],QB!B:O,6,FALSE)</f>
        <v>748.76121173459342</v>
      </c>
      <c r="H35" s="86">
        <f>VLOOKUP(TableQBRanks3040[[#This Row],[Player]],QB!B:O,7,FALSE)</f>
        <v>4.3440147542905523</v>
      </c>
      <c r="I35" s="86">
        <f>VLOOKUP(TableQBRanks3040[[#This Row],[Player]],QB!B:O,8,FALSE)</f>
        <v>2.8833490381884426</v>
      </c>
      <c r="J35" s="86">
        <f>VLOOKUP(TableQBRanks3040[[#This Row],[Player]],QB!B:O,9,FALSE)</f>
        <v>5.9507481600000007</v>
      </c>
      <c r="K35" s="86">
        <f>VLOOKUP(TableQBRanks3040[[#This Row],[Player]],QB!B:O,10,FALSE)</f>
        <v>15.483419985821053</v>
      </c>
      <c r="L35" s="86">
        <f>VLOOKUP(TableQBRanks3040[[#This Row],[Player]],QB!B:O,11,FALSE)</f>
        <v>0.19637468928000004</v>
      </c>
      <c r="M35" s="58">
        <f>VLOOKUP(TableQBRanks3040[[#This Row],[Player]],QB!B:O,13,FALSE)</f>
        <v>47.169748582619611</v>
      </c>
      <c r="N35" s="133">
        <f>IF(VLOOKUP(TableQBRanks3040[[#This Row],[RK]],'Ranks w Proj'!$A:$N,14,FALSE)&lt;0,0,VLOOKUP(TableQBRanks3040[[#This Row],[RK]],'Ranks w Proj'!$A:$N,14,FALSE))</f>
        <v>0</v>
      </c>
      <c r="P35">
        <v>34</v>
      </c>
      <c r="Q35" t="str">
        <f>VLOOKUP(TableRBRanks3141[[#This Row],[RK]],Rankings!A:T,8,FALSE)</f>
        <v>Dalvin Cook</v>
      </c>
      <c r="R35" t="str">
        <f>IFERROR(INDEX(TableRBCalcPts[TM],MATCH(TableRBRanks3141[[#This Row],[Player]],TableRBCalcPts[PLAYER],0)),"")</f>
        <v>NYJ</v>
      </c>
      <c r="S35">
        <f>IFERROR(INDEX(TableRBCalcPts[BYE],MATCH(TableRBRanks3141[[#This Row],[Player]],TableRBCalcPts[PLAYER],0)),"")</f>
        <v>7</v>
      </c>
      <c r="T35" s="86">
        <f>VLOOKUP(TableRBRanks3141[[#This Row],[Player]],RB!B:O,4,FALSE)</f>
        <v>180.25976233502541</v>
      </c>
      <c r="U35" s="86">
        <f>VLOOKUP(TableRBRanks3141[[#This Row],[Player]],RB!B:O,5,FALSE)</f>
        <v>787.73516140406105</v>
      </c>
      <c r="V35" s="86">
        <f>VLOOKUP(TableRBRanks3141[[#This Row],[Player]],RB!B:O,6,FALSE)</f>
        <v>6.6696112063959401</v>
      </c>
      <c r="W35" s="86">
        <f>VLOOKUP(TableRBRanks3141[[#This Row],[Player]],RB!B:O,7,FALSE)</f>
        <v>40.426822800000004</v>
      </c>
      <c r="X35" s="86">
        <f>VLOOKUP(TableRBRanks3141[[#This Row],[Player]],RB!B:O,8,FALSE)</f>
        <v>28.339202782800001</v>
      </c>
      <c r="Y35" s="86">
        <f>VLOOKUP(TableRBRanks3141[[#This Row],[Player]],RB!B:O,9,FALSE)</f>
        <v>207.15957234226801</v>
      </c>
      <c r="Z35" s="86">
        <f>VLOOKUP(TableRBRanks3141[[#This Row],[Player]],RB!B:O,10,FALSE)</f>
        <v>1.0768897057464</v>
      </c>
      <c r="AA35" s="58">
        <f>VLOOKUP(TableRBRanks3141[[#This Row],[Player]],RB!B:O,14,FALSE)</f>
        <v>160.13808023888697</v>
      </c>
      <c r="AB35" s="133">
        <f>IF(VLOOKUP(TableRBRanks3141[[#This Row],[RK]],'Ranks w Proj'!$P:$AB,13,FALSE)&lt;0,0,VLOOKUP(TableRBRanks3141[[#This Row],[RK]],'Ranks w Proj'!$P:$AB,13,FALSE))</f>
        <v>13.151963485614797</v>
      </c>
      <c r="AD35">
        <v>34</v>
      </c>
      <c r="AE35" t="str">
        <f>VLOOKUP(TableWRRanks3242[[#This Row],[RK]],Rankings!A:T,13,FALSE)</f>
        <v>Michael Thomas</v>
      </c>
      <c r="AF35" t="str">
        <f>IFERROR(INDEX(TableWRCalcPts[TM],MATCH(TableWRRanks3242[[#This Row],[Player]],TableWRCalcPts[PLAYER],0)),"")</f>
        <v>NO</v>
      </c>
      <c r="AG35">
        <f>IFERROR(INDEX(TableWRCalcPts[BYE],MATCH(TableWRRanks3242[[#This Row],[Player]],TableWRCalcPts[PLAYER],0)),"")</f>
        <v>11</v>
      </c>
      <c r="AH35" s="86">
        <f>VLOOKUP(TableWRRanks3242[[#This Row],[Player]],WR!B:O,4,FALSE)</f>
        <v>0</v>
      </c>
      <c r="AI35" s="86">
        <f>VLOOKUP(TableWRRanks3242[[#This Row],[Player]],WR!B:O,5,FALSE)</f>
        <v>0</v>
      </c>
      <c r="AJ35" s="86">
        <f>VLOOKUP(TableWRRanks3242[[#This Row],[Player]],WR!B:O,6,FALSE)</f>
        <v>105.89201095199999</v>
      </c>
      <c r="AK35" s="86">
        <f>VLOOKUP(TableWRRanks3242[[#This Row],[Player]],WR!B:O,7,FALSE)</f>
        <v>76.030463863535985</v>
      </c>
      <c r="AL35" s="86">
        <f>VLOOKUP(TableWRRanks3242[[#This Row],[Player]],WR!B:O,8,FALSE)</f>
        <v>843.93814888524946</v>
      </c>
      <c r="AM35" s="86">
        <f>VLOOKUP(TableWRRanks3242[[#This Row],[Player]],WR!B:O,9,FALSE)</f>
        <v>6.5386198922640943</v>
      </c>
      <c r="AN35" s="58">
        <f>VLOOKUP(TableWRRanks3242[[#This Row],[Player]],WR!B:O,13,FALSE)</f>
        <v>161.64076617387752</v>
      </c>
      <c r="AO35" s="133">
        <f>IF(VLOOKUP(TableWRRanks3242[[#This Row],[RK]],'Ranks w Proj'!AD:AO,12,FALSE)&lt;0,0,VLOOKUP(TableWRRanks3242[[#This Row],[RK]],'Ranks w Proj'!AD:AO,12,FALSE))</f>
        <v>12.137295985716259</v>
      </c>
      <c r="AQ35">
        <v>34</v>
      </c>
      <c r="AR35" t="str">
        <f>VLOOKUP(TableTERanks3343[[#This Row],[RK]],Rankings!A:T,18,FALSE)</f>
        <v>Austin Hooper</v>
      </c>
      <c r="AS35" t="str">
        <f>IFERROR(INDEX(TableTECalcPts[TM],MATCH(TableTERanks3343[[#This Row],[Player]],TableTECalcPts[PLAYER],0)),"")</f>
        <v>LV</v>
      </c>
      <c r="AT35">
        <f>IFERROR(INDEX(TableTECalcPts[BYE],MATCH(TableTERanks3343[[#This Row],[Player]],TableTECalcPts[PLAYER],0)),"")</f>
        <v>13</v>
      </c>
      <c r="AU35" s="86">
        <f>VLOOKUP(TableTERanks3343[[#This Row],[Player]],TE!B:O,4,FALSE)</f>
        <v>53.144909999999996</v>
      </c>
      <c r="AV35" s="86">
        <f>VLOOKUP(TableTERanks3343[[#This Row],[Player]],TE!B:O,5,FALSE)</f>
        <v>35.388403875992303</v>
      </c>
      <c r="AW35" s="86">
        <f>VLOOKUP(TableTERanks3343[[#This Row],[Player]],TE!B:O,6,FALSE)</f>
        <v>396.046323115132</v>
      </c>
      <c r="AX35" s="86">
        <f>VLOOKUP(TableTERanks3343[[#This Row],[Player]],TE!B:O,7,FALSE)</f>
        <v>2.901849117831369</v>
      </c>
      <c r="AY35" s="58">
        <f>VLOOKUP(TableTERanks3343[[#This Row],[Player]],TE!B:O,11,FALSE)</f>
        <v>74.709928956497578</v>
      </c>
      <c r="AZ35" s="133">
        <f>IF(VLOOKUP(TableTERanks3343[[#This Row],[RK]],'Ranks w Proj'!AQ:AZ,10,FALSE)&lt;0,0,VLOOKUP(TableTERanks3343[[#This Row],[RK]],'Ranks w Proj'!AQ:AZ,10,FALSE))</f>
        <v>0</v>
      </c>
    </row>
    <row r="36" spans="1:52" x14ac:dyDescent="0.2">
      <c r="A36">
        <v>35</v>
      </c>
      <c r="B36" t="str">
        <f>VLOOKUP(TableQBRanks3040[[#This Row],[RK]],Rankings!A:T,3,FALSE)</f>
        <v>Taylor Heinicke</v>
      </c>
      <c r="C36" t="str">
        <f>IFERROR(INDEX(TableQBCalcPts[TM],MATCH(TableQBRanks3040[[#This Row],[Player]],TableQBCalcPts[PLAYER],0)),"")</f>
        <v>ATL</v>
      </c>
      <c r="D36">
        <f>IFERROR(INDEX(TableQBCalcPts[BYE],MATCH(TableQBRanks3040[[#This Row],[Player]],TableQBCalcPts[PLAYER],0)),"")</f>
        <v>11</v>
      </c>
      <c r="E36" s="86">
        <f>VLOOKUP(TableQBRanks3040[[#This Row],[Player]],QB!B:O,4,FALSE)</f>
        <v>77.414400000000015</v>
      </c>
      <c r="F36" s="86">
        <f>VLOOKUP(TableQBRanks3040[[#This Row],[Player]],QB!B:O,5,FALSE)</f>
        <v>48.824723480447872</v>
      </c>
      <c r="G36" s="86">
        <f>VLOOKUP(TableQBRanks3040[[#This Row],[Player]],QB!B:O,6,FALSE)</f>
        <v>543.0886332654585</v>
      </c>
      <c r="H36" s="86">
        <f>VLOOKUP(TableQBRanks3040[[#This Row],[Player]],QB!B:O,7,FALSE)</f>
        <v>3.1736070262291118</v>
      </c>
      <c r="I36" s="86">
        <f>VLOOKUP(TableQBRanks3040[[#This Row],[Player]],QB!B:O,8,FALSE)</f>
        <v>1.9158124982764142</v>
      </c>
      <c r="J36" s="86">
        <f>VLOOKUP(TableQBRanks3040[[#This Row],[Player]],QB!B:O,9,FALSE)</f>
        <v>8.6771865600000009</v>
      </c>
      <c r="K36" s="86">
        <f>VLOOKUP(TableQBRanks3040[[#This Row],[Player]],QB!B:O,10,FALSE)</f>
        <v>25.14662235711349</v>
      </c>
      <c r="L36" s="86">
        <f>VLOOKUP(TableQBRanks3040[[#This Row],[Player]],QB!B:O,11,FALSE)</f>
        <v>0.16055065404098945</v>
      </c>
      <c r="M36" s="58">
        <f>VLOOKUP(TableQBRanks3040[[#This Row],[Player]],QB!B:O,13,FALSE)</f>
        <v>35.980127097215657</v>
      </c>
      <c r="N36" s="133">
        <f>IF(VLOOKUP(TableQBRanks3040[[#This Row],[RK]],'Ranks w Proj'!$A:$N,14,FALSE)&lt;0,0,VLOOKUP(TableQBRanks3040[[#This Row],[RK]],'Ranks w Proj'!$A:$N,14,FALSE))</f>
        <v>0</v>
      </c>
      <c r="P36">
        <v>35</v>
      </c>
      <c r="Q36" t="str">
        <f>VLOOKUP(TableRBRanks3141[[#This Row],[RK]],Rankings!A:T,8,FALSE)</f>
        <v>Raheem Mostert</v>
      </c>
      <c r="R36" t="str">
        <f>IFERROR(INDEX(TableRBCalcPts[TM],MATCH(TableRBRanks3141[[#This Row],[Player]],TableRBCalcPts[PLAYER],0)),"")</f>
        <v>MIA</v>
      </c>
      <c r="S36">
        <f>IFERROR(INDEX(TableRBCalcPts[BYE],MATCH(TableRBRanks3141[[#This Row],[Player]],TableRBCalcPts[PLAYER],0)),"")</f>
        <v>10</v>
      </c>
      <c r="T36" s="86">
        <f>VLOOKUP(TableRBRanks3141[[#This Row],[Player]],RB!B:O,4,FALSE)</f>
        <v>146.82213000000002</v>
      </c>
      <c r="U36" s="86">
        <f>VLOOKUP(TableRBRanks3141[[#This Row],[Player]],RB!B:O,5,FALSE)</f>
        <v>675.381798</v>
      </c>
      <c r="V36" s="86">
        <f>VLOOKUP(TableRBRanks3141[[#This Row],[Player]],RB!B:O,6,FALSE)</f>
        <v>6.019707330000001</v>
      </c>
      <c r="W36" s="86">
        <f>VLOOKUP(TableRBRanks3141[[#This Row],[Player]],RB!B:O,7,FALSE)</f>
        <v>37.938242160000009</v>
      </c>
      <c r="X36" s="86">
        <f>VLOOKUP(TableRBRanks3141[[#This Row],[Player]],RB!B:O,8,FALSE)</f>
        <v>28.196252740937506</v>
      </c>
      <c r="Y36" s="86">
        <f>VLOOKUP(TableRBRanks3141[[#This Row],[Player]],RB!B:O,9,FALSE)</f>
        <v>211.4718955570313</v>
      </c>
      <c r="Z36" s="86">
        <f>VLOOKUP(TableRBRanks3141[[#This Row],[Player]],RB!B:O,10,FALSE)</f>
        <v>1.5507939007515628</v>
      </c>
      <c r="AA36" s="58">
        <f>VLOOKUP(TableRBRanks3141[[#This Row],[Player]],RB!B:O,14,FALSE)</f>
        <v>148.20650311068127</v>
      </c>
      <c r="AB36" s="133">
        <f>IF(VLOOKUP(TableRBRanks3141[[#This Row],[RK]],'Ranks w Proj'!$P:$AB,13,FALSE)&lt;0,0,VLOOKUP(TableRBRanks3141[[#This Row],[RK]],'Ranks w Proj'!$P:$AB,13,FALSE))</f>
        <v>11.683763570315014</v>
      </c>
      <c r="AD36">
        <v>35</v>
      </c>
      <c r="AE36" t="str">
        <f>VLOOKUP(TableWRRanks3242[[#This Row],[RK]],Rankings!A:T,13,FALSE)</f>
        <v>Skyy Moore</v>
      </c>
      <c r="AF36" t="str">
        <f>IFERROR(INDEX(TableWRCalcPts[TM],MATCH(TableWRRanks3242[[#This Row],[Player]],TableWRCalcPts[PLAYER],0)),"")</f>
        <v>KC</v>
      </c>
      <c r="AG36">
        <f>IFERROR(INDEX(TableWRCalcPts[BYE],MATCH(TableWRRanks3242[[#This Row],[Player]],TableWRCalcPts[PLAYER],0)),"")</f>
        <v>10</v>
      </c>
      <c r="AH36" s="86">
        <f>VLOOKUP(TableWRRanks3242[[#This Row],[Player]],WR!B:O,4,FALSE)</f>
        <v>18.371860673135078</v>
      </c>
      <c r="AI36" s="86">
        <f>VLOOKUP(TableWRRanks3242[[#This Row],[Player]],WR!B:O,5,FALSE)</f>
        <v>0.16044962072211075</v>
      </c>
      <c r="AJ36" s="86">
        <f>VLOOKUP(TableWRRanks3242[[#This Row],[Player]],WR!B:O,6,FALSE)</f>
        <v>111.1575192</v>
      </c>
      <c r="AK36" s="86">
        <f>VLOOKUP(TableWRRanks3242[[#This Row],[Player]],WR!B:O,7,FALSE)</f>
        <v>73.697435229600003</v>
      </c>
      <c r="AL36" s="86">
        <f>VLOOKUP(TableWRRanks3242[[#This Row],[Player]],WR!B:O,8,FALSE)</f>
        <v>929.81767578878191</v>
      </c>
      <c r="AM36" s="86">
        <f>VLOOKUP(TableWRRanks3242[[#This Row],[Player]],WR!B:O,9,FALSE)</f>
        <v>6.0431896888272005</v>
      </c>
      <c r="AN36" s="58">
        <f>VLOOKUP(TableWRRanks3242[[#This Row],[Player]],WR!B:O,13,FALSE)</f>
        <v>168.88950711828755</v>
      </c>
      <c r="AO36" s="133">
        <f>IF(VLOOKUP(TableWRRanks3242[[#This Row],[RK]],'Ranks w Proj'!AD:AO,12,FALSE)&lt;0,0,VLOOKUP(TableWRRanks3242[[#This Row],[RK]],'Ranks w Proj'!AD:AO,12,FALSE))</f>
        <v>11.738941060539892</v>
      </c>
      <c r="AQ36">
        <v>35</v>
      </c>
      <c r="AR36" t="str">
        <f>VLOOKUP(TableTERanks3343[[#This Row],[RK]],Rankings!A:T,18,FALSE)</f>
        <v>Logan Thomas</v>
      </c>
      <c r="AS36" t="str">
        <f>IFERROR(INDEX(TableTECalcPts[TM],MATCH(TableTERanks3343[[#This Row],[Player]],TableTECalcPts[PLAYER],0)),"")</f>
        <v>WSH</v>
      </c>
      <c r="AT36">
        <f>IFERROR(INDEX(TableTECalcPts[BYE],MATCH(TableTERanks3343[[#This Row],[Player]],TableTECalcPts[PLAYER],0)),"")</f>
        <v>14</v>
      </c>
      <c r="AU36" s="86">
        <f>VLOOKUP(TableTERanks3343[[#This Row],[Player]],TE!B:O,4,FALSE)</f>
        <v>54.286868720000001</v>
      </c>
      <c r="AV36" s="86">
        <f>VLOOKUP(TableTERanks3343[[#This Row],[Player]],TE!B:O,5,FALSE)</f>
        <v>34.819194581331786</v>
      </c>
      <c r="AW36" s="86">
        <f>VLOOKUP(TableTERanks3343[[#This Row],[Player]],TE!B:O,6,FALSE)</f>
        <v>351.67386527145101</v>
      </c>
      <c r="AX36" s="86">
        <f>VLOOKUP(TableTERanks3343[[#This Row],[Player]],TE!B:O,7,FALSE)</f>
        <v>2.3677052315305618</v>
      </c>
      <c r="AY36" s="58">
        <f>VLOOKUP(TableTERanks3343[[#This Row],[Player]],TE!B:O,11,FALSE)</f>
        <v>66.78321520699437</v>
      </c>
      <c r="AZ36" s="133">
        <f>IF(VLOOKUP(TableTERanks3343[[#This Row],[RK]],'Ranks w Proj'!AQ:AZ,10,FALSE)&lt;0,0,VLOOKUP(TableTERanks3343[[#This Row],[RK]],'Ranks w Proj'!AQ:AZ,10,FALSE))</f>
        <v>0</v>
      </c>
    </row>
    <row r="37" spans="1:52" x14ac:dyDescent="0.2">
      <c r="A37">
        <v>36</v>
      </c>
      <c r="B37" t="str">
        <f>VLOOKUP(TableQBRanks3040[[#This Row],[RK]],Rankings!A:T,3,FALSE)</f>
        <v>Gardner Minshew</v>
      </c>
      <c r="C37" t="str">
        <f>IFERROR(INDEX(TableQBCalcPts[TM],MATCH(TableQBRanks3040[[#This Row],[Player]],TableQBCalcPts[PLAYER],0)),"")</f>
        <v>IND</v>
      </c>
      <c r="D37">
        <f>IFERROR(INDEX(TableQBCalcPts[BYE],MATCH(TableQBRanks3040[[#This Row],[Player]],TableQBCalcPts[PLAYER],0)),"")</f>
        <v>11</v>
      </c>
      <c r="E37" s="86">
        <f>VLOOKUP(TableQBRanks3040[[#This Row],[Player]],QB!B:O,4,FALSE)</f>
        <v>27.274500000000025</v>
      </c>
      <c r="F37" s="86">
        <f>VLOOKUP(TableQBRanks3040[[#This Row],[Player]],QB!B:O,5,FALSE)</f>
        <v>17.380543915852233</v>
      </c>
      <c r="G37" s="86">
        <f>VLOOKUP(TableQBRanks3040[[#This Row],[Player]],QB!B:O,6,FALSE)</f>
        <v>189.44792868278935</v>
      </c>
      <c r="H37" s="86">
        <f>VLOOKUP(TableQBRanks3040[[#This Row],[Player]],QB!B:O,7,FALSE)</f>
        <v>1.0269939572373437</v>
      </c>
      <c r="I37" s="86">
        <f>VLOOKUP(TableQBRanks3040[[#This Row],[Player]],QB!B:O,8,FALSE)</f>
        <v>0.63528105117521527</v>
      </c>
      <c r="J37" s="86">
        <f>VLOOKUP(TableQBRanks3040[[#This Row],[Player]],QB!B:O,9,FALSE)</f>
        <v>3.9161583999999996</v>
      </c>
      <c r="K37" s="86">
        <f>VLOOKUP(TableQBRanks3040[[#This Row],[Player]],QB!B:O,10,FALSE)</f>
        <v>16.750404114751259</v>
      </c>
      <c r="L37" s="86">
        <f>VLOOKUP(TableQBRanks3040[[#This Row],[Player]],QB!B:O,11,FALSE)</f>
        <v>0.10601038092884311</v>
      </c>
      <c r="M37" s="58">
        <f>VLOOKUP(TableQBRanks3040[[#This Row],[Player]],QB!B:O,13,FALSE)</f>
        <v>13.361714622133919</v>
      </c>
      <c r="N37" s="133">
        <f>IF(VLOOKUP(TableQBRanks3040[[#This Row],[RK]],'Ranks w Proj'!$A:$N,14,FALSE)&lt;0,0,VLOOKUP(TableQBRanks3040[[#This Row],[RK]],'Ranks w Proj'!$A:$N,14,FALSE))</f>
        <v>0</v>
      </c>
      <c r="P37">
        <v>36</v>
      </c>
      <c r="Q37" t="str">
        <f>VLOOKUP(TableRBRanks3141[[#This Row],[RK]],Rankings!A:T,8,FALSE)</f>
        <v>Jamaal Williams</v>
      </c>
      <c r="R37" t="str">
        <f>IFERROR(INDEX(TableRBCalcPts[TM],MATCH(TableRBRanks3141[[#This Row],[Player]],TableRBCalcPts[PLAYER],0)),"")</f>
        <v>NO</v>
      </c>
      <c r="S37">
        <f>IFERROR(INDEX(TableRBCalcPts[BYE],MATCH(TableRBRanks3141[[#This Row],[Player]],TableRBCalcPts[PLAYER],0)),"")</f>
        <v>11</v>
      </c>
      <c r="T37" s="86">
        <f>VLOOKUP(TableRBRanks3141[[#This Row],[Player]],RB!B:O,4,FALSE)</f>
        <v>157.27921999999998</v>
      </c>
      <c r="U37" s="86">
        <f>VLOOKUP(TableRBRanks3141[[#This Row],[Player]],RB!B:O,5,FALSE)</f>
        <v>655.85434739999994</v>
      </c>
      <c r="V37" s="86">
        <f>VLOOKUP(TableRBRanks3141[[#This Row],[Player]],RB!B:O,6,FALSE)</f>
        <v>7.0775648999999987</v>
      </c>
      <c r="W37" s="86">
        <f>VLOOKUP(TableRBRanks3141[[#This Row],[Player]],RB!B:O,7,FALSE)</f>
        <v>23.58980442</v>
      </c>
      <c r="X37" s="86">
        <f>VLOOKUP(TableRBRanks3141[[#This Row],[Player]],RB!B:O,8,FALSE)</f>
        <v>17.384137221835349</v>
      </c>
      <c r="Y37" s="86">
        <f>VLOOKUP(TableRBRanks3141[[#This Row],[Player]],RB!B:O,9,FALSE)</f>
        <v>112.42315134765735</v>
      </c>
      <c r="Z37" s="86">
        <f>VLOOKUP(TableRBRanks3141[[#This Row],[Player]],RB!B:O,10,FALSE)</f>
        <v>0.62582893998607247</v>
      </c>
      <c r="AA37" s="58">
        <f>VLOOKUP(TableRBRanks3141[[#This Row],[Player]],RB!B:O,14,FALSE)</f>
        <v>131.74018152559984</v>
      </c>
      <c r="AB37" s="133">
        <f>IF(VLOOKUP(TableRBRanks3141[[#This Row],[RK]],'Ranks w Proj'!$P:$AB,13,FALSE)&lt;0,0,VLOOKUP(TableRBRanks3141[[#This Row],[RK]],'Ranks w Proj'!$P:$AB,13,FALSE))</f>
        <v>11.655091312789889</v>
      </c>
      <c r="AD37">
        <v>36</v>
      </c>
      <c r="AE37" t="str">
        <f>VLOOKUP(TableWRRanks3242[[#This Row],[RK]],Rankings!A:T,13,FALSE)</f>
        <v>Mike Evans</v>
      </c>
      <c r="AF37" t="str">
        <f>IFERROR(INDEX(TableWRCalcPts[TM],MATCH(TableWRRanks3242[[#This Row],[Player]],TableWRCalcPts[PLAYER],0)),"")</f>
        <v>TB</v>
      </c>
      <c r="AG37">
        <f>IFERROR(INDEX(TableWRCalcPts[BYE],MATCH(TableWRRanks3242[[#This Row],[Player]],TableWRCalcPts[PLAYER],0)),"")</f>
        <v>5</v>
      </c>
      <c r="AH37" s="86">
        <f>VLOOKUP(TableWRRanks3242[[#This Row],[Player]],WR!B:O,4,FALSE)</f>
        <v>0</v>
      </c>
      <c r="AI37" s="86">
        <f>VLOOKUP(TableWRRanks3242[[#This Row],[Player]],WR!B:O,5,FALSE)</f>
        <v>0</v>
      </c>
      <c r="AJ37" s="86">
        <f>VLOOKUP(TableWRRanks3242[[#This Row],[Player]],WR!B:O,6,FALSE)</f>
        <v>113.44991167999999</v>
      </c>
      <c r="AK37" s="86">
        <f>VLOOKUP(TableWRRanks3242[[#This Row],[Player]],WR!B:O,7,FALSE)</f>
        <v>66.141298509439991</v>
      </c>
      <c r="AL37" s="86">
        <f>VLOOKUP(TableWRRanks3242[[#This Row],[Player]],WR!B:O,8,FALSE)</f>
        <v>927.30100510234865</v>
      </c>
      <c r="AM37" s="86">
        <f>VLOOKUP(TableWRRanks3242[[#This Row],[Player]],WR!B:O,9,FALSE)</f>
        <v>6.0849994628684794</v>
      </c>
      <c r="AN37" s="58">
        <f>VLOOKUP(TableWRRanks3242[[#This Row],[Player]],WR!B:O,13,FALSE)</f>
        <v>162.31074654216576</v>
      </c>
      <c r="AO37" s="133">
        <f>IF(VLOOKUP(TableWRRanks3242[[#This Row],[RK]],'Ranks w Proj'!AD:AO,12,FALSE)&lt;0,0,VLOOKUP(TableWRRanks3242[[#This Row],[RK]],'Ranks w Proj'!AD:AO,12,FALSE))</f>
        <v>11.189933613201752</v>
      </c>
      <c r="AQ37">
        <v>36</v>
      </c>
      <c r="AR37" t="str">
        <f>VLOOKUP(TableTERanks3343[[#This Row],[RK]],Rankings!A:T,18,FALSE)</f>
        <v>Adam Trautman</v>
      </c>
      <c r="AS37" t="str">
        <f>IFERROR(INDEX(TableTECalcPts[TM],MATCH(TableTERanks3343[[#This Row],[Player]],TableTECalcPts[PLAYER],0)),"")</f>
        <v>DEN</v>
      </c>
      <c r="AT37">
        <f>IFERROR(INDEX(TableTECalcPts[BYE],MATCH(TableTERanks3343[[#This Row],[Player]],TableTECalcPts[PLAYER],0)),"")</f>
        <v>9</v>
      </c>
      <c r="AU37" s="86">
        <f>VLOOKUP(TableTERanks3343[[#This Row],[Player]],TE!B:O,4,FALSE)</f>
        <v>50.533308000000005</v>
      </c>
      <c r="AV37" s="86">
        <f>VLOOKUP(TableTERanks3343[[#This Row],[Player]],TE!B:O,5,FALSE)</f>
        <v>31.981463732836982</v>
      </c>
      <c r="AW37" s="86">
        <f>VLOOKUP(TableTERanks3343[[#This Row],[Player]],TE!B:O,6,FALSE)</f>
        <v>342.52147657868409</v>
      </c>
      <c r="AX37" s="86">
        <f>VLOOKUP(TableTERanks3343[[#This Row],[Player]],TE!B:O,7,FALSE)</f>
        <v>2.6864429535583065</v>
      </c>
      <c r="AY37" s="58">
        <f>VLOOKUP(TableTERanks3343[[#This Row],[Player]],TE!B:O,11,FALSE)</f>
        <v>66.361537245636754</v>
      </c>
      <c r="AZ37" s="133">
        <f>IF(VLOOKUP(TableTERanks3343[[#This Row],[RK]],'Ranks w Proj'!AQ:AZ,10,FALSE)&lt;0,0,VLOOKUP(TableTERanks3343[[#This Row],[RK]],'Ranks w Proj'!AQ:AZ,10,FALSE))</f>
        <v>0</v>
      </c>
    </row>
    <row r="38" spans="1:52" x14ac:dyDescent="0.2">
      <c r="A38">
        <v>37</v>
      </c>
      <c r="B38" t="str">
        <f>VLOOKUP(TableQBRanks3040[[#This Row],[RK]],Rankings!A:T,3,FALSE)</f>
        <v>Tyrod Taylor</v>
      </c>
      <c r="C38" t="str">
        <f>IFERROR(INDEX(TableQBCalcPts[TM],MATCH(TableQBRanks3040[[#This Row],[Player]],TableQBCalcPts[PLAYER],0)),"")</f>
        <v>NYG</v>
      </c>
      <c r="D38">
        <f>IFERROR(INDEX(TableQBCalcPts[BYE],MATCH(TableQBRanks3040[[#This Row],[Player]],TableQBCalcPts[PLAYER],0)),"")</f>
        <v>13</v>
      </c>
      <c r="E38" s="86">
        <f>VLOOKUP(TableQBRanks3040[[#This Row],[Player]],QB!B:O,4,FALSE)</f>
        <v>45.752719999999975</v>
      </c>
      <c r="F38" s="86">
        <f>VLOOKUP(TableQBRanks3040[[#This Row],[Player]],QB!B:O,5,FALSE)</f>
        <v>30.654322399999984</v>
      </c>
      <c r="G38" s="86">
        <f>VLOOKUP(TableQBRanks3040[[#This Row],[Player]],QB!B:O,6,FALSE)</f>
        <v>305.62359432799985</v>
      </c>
      <c r="H38" s="86">
        <f>VLOOKUP(TableQBRanks3040[[#This Row],[Player]],QB!B:O,7,FALSE)</f>
        <v>2.3860886179279635</v>
      </c>
      <c r="I38" s="86">
        <f>VLOOKUP(TableQBRanks3040[[#This Row],[Player]],QB!B:O,8,FALSE)</f>
        <v>1.5044641111490982</v>
      </c>
      <c r="J38" s="86">
        <f>VLOOKUP(TableQBRanks3040[[#This Row],[Player]],QB!B:O,9,FALSE)</f>
        <v>4.9106918000000004</v>
      </c>
      <c r="K38" s="86">
        <f>VLOOKUP(TableQBRanks3040[[#This Row],[Player]],QB!B:O,10,FALSE)</f>
        <v>25.664546223179471</v>
      </c>
      <c r="L38" s="86">
        <f>VLOOKUP(TableQBRanks3040[[#This Row],[Player]],QB!B:O,11,FALSE)</f>
        <v>0.18660628840000001</v>
      </c>
      <c r="M38" s="58">
        <f>VLOOKUP(TableQBRanks3040[[#This Row],[Player]],QB!B:O,13,FALSE)</f>
        <v>23.9509264864007</v>
      </c>
      <c r="N38" s="133">
        <f>IF(VLOOKUP(TableQBRanks3040[[#This Row],[RK]],'Ranks w Proj'!$A:$N,14,FALSE)&lt;0,0,VLOOKUP(TableQBRanks3040[[#This Row],[RK]],'Ranks w Proj'!$A:$N,14,FALSE))</f>
        <v>0</v>
      </c>
      <c r="P38">
        <v>37</v>
      </c>
      <c r="Q38" t="str">
        <f>VLOOKUP(TableRBRanks3141[[#This Row],[RK]],Rankings!A:T,8,FALSE)</f>
        <v>Zach Charbonnet</v>
      </c>
      <c r="R38" t="str">
        <f>IFERROR(INDEX(TableRBCalcPts[TM],MATCH(TableRBRanks3141[[#This Row],[Player]],TableRBCalcPts[PLAYER],0)),"")</f>
        <v>SEA</v>
      </c>
      <c r="S38">
        <f>IFERROR(INDEX(TableRBCalcPts[BYE],MATCH(TableRBRanks3141[[#This Row],[Player]],TableRBCalcPts[PLAYER],0)),"")</f>
        <v>5</v>
      </c>
      <c r="T38" s="86">
        <f>VLOOKUP(TableRBRanks3141[[#This Row],[Player]],RB!B:O,4,FALSE)</f>
        <v>141.21511488000002</v>
      </c>
      <c r="U38" s="86">
        <f>VLOOKUP(TableRBRanks3141[[#This Row],[Player]],RB!B:O,5,FALSE)</f>
        <v>612.87359857920001</v>
      </c>
      <c r="V38" s="86">
        <f>VLOOKUP(TableRBRanks3141[[#This Row],[Player]],RB!B:O,6,FALSE)</f>
        <v>5.5073894803200005</v>
      </c>
      <c r="W38" s="86">
        <f>VLOOKUP(TableRBRanks3141[[#This Row],[Player]],RB!B:O,7,FALSE)</f>
        <v>52.854379199999997</v>
      </c>
      <c r="X38" s="86">
        <f>VLOOKUP(TableRBRanks3141[[#This Row],[Player]],RB!B:O,8,FALSE)</f>
        <v>38.63682563336932</v>
      </c>
      <c r="Y38" s="86">
        <f>VLOOKUP(TableRBRanks3141[[#This Row],[Player]],RB!B:O,9,FALSE)</f>
        <v>312.95828763029147</v>
      </c>
      <c r="Z38" s="86">
        <f>VLOOKUP(TableRBRanks3141[[#This Row],[Player]],RB!B:O,10,FALSE)</f>
        <v>1.5841098509681422</v>
      </c>
      <c r="AA38" s="58">
        <f>VLOOKUP(TableRBRanks3141[[#This Row],[Player]],RB!B:O,14,FALSE)</f>
        <v>154.45059742536267</v>
      </c>
      <c r="AB38" s="133">
        <f>IF(VLOOKUP(TableRBRanks3141[[#This Row],[RK]],'Ranks w Proj'!$P:$AB,13,FALSE)&lt;0,0,VLOOKUP(TableRBRanks3141[[#This Row],[RK]],'Ranks w Proj'!$P:$AB,13,FALSE))</f>
        <v>9.3799814859782362</v>
      </c>
      <c r="AD38">
        <v>37</v>
      </c>
      <c r="AE38" t="str">
        <f>VLOOKUP(TableWRRanks3242[[#This Row],[RK]],Rankings!A:T,13,FALSE)</f>
        <v>Jordan Addison</v>
      </c>
      <c r="AF38" t="str">
        <f>IFERROR(INDEX(TableWRCalcPts[TM],MATCH(TableWRRanks3242[[#This Row],[Player]],TableWRCalcPts[PLAYER],0)),"")</f>
        <v>MIN</v>
      </c>
      <c r="AG38">
        <f>IFERROR(INDEX(TableWRCalcPts[BYE],MATCH(TableWRRanks3242[[#This Row],[Player]],TableWRCalcPts[PLAYER],0)),"")</f>
        <v>13</v>
      </c>
      <c r="AH38" s="86">
        <f>VLOOKUP(TableWRRanks3242[[#This Row],[Player]],WR!B:O,4,FALSE)</f>
        <v>0</v>
      </c>
      <c r="AI38" s="86">
        <f>VLOOKUP(TableWRRanks3242[[#This Row],[Player]],WR!B:O,5,FALSE)</f>
        <v>0</v>
      </c>
      <c r="AJ38" s="86">
        <f>VLOOKUP(TableWRRanks3242[[#This Row],[Player]],WR!B:O,6,FALSE)</f>
        <v>127.31158439999994</v>
      </c>
      <c r="AK38" s="86">
        <f>VLOOKUP(TableWRRanks3242[[#This Row],[Player]],WR!B:O,7,FALSE)</f>
        <v>79.951675003199966</v>
      </c>
      <c r="AL38" s="86">
        <f>VLOOKUP(TableWRRanks3242[[#This Row],[Player]],WR!B:O,8,FALSE)</f>
        <v>969.81381778881564</v>
      </c>
      <c r="AM38" s="86">
        <f>VLOOKUP(TableWRRanks3242[[#This Row],[Player]],WR!B:O,9,FALSE)</f>
        <v>6.635989025265598</v>
      </c>
      <c r="AN38" s="58">
        <f>VLOOKUP(TableWRRanks3242[[#This Row],[Player]],WR!B:O,13,FALSE)</f>
        <v>176.77315343207513</v>
      </c>
      <c r="AO38" s="133">
        <f>IF(VLOOKUP(TableWRRanks3242[[#This Row],[RK]],'Ranks w Proj'!AD:AO,12,FALSE)&lt;0,0,VLOOKUP(TableWRRanks3242[[#This Row],[RK]],'Ranks w Proj'!AD:AO,12,FALSE))</f>
        <v>10.965351199027388</v>
      </c>
      <c r="AQ38">
        <v>37</v>
      </c>
      <c r="AR38" t="str">
        <f>VLOOKUP(TableTERanks3343[[#This Row],[RK]],Rankings!A:T,18,FALSE)</f>
        <v>Isaiah Likely</v>
      </c>
      <c r="AS38" t="str">
        <f>IFERROR(INDEX(TableTECalcPts[TM],MATCH(TableTERanks3343[[#This Row],[Player]],TableTECalcPts[PLAYER],0)),"")</f>
        <v>BAL</v>
      </c>
      <c r="AT38">
        <f>IFERROR(INDEX(TableTECalcPts[BYE],MATCH(TableTERanks3343[[#This Row],[Player]],TableTECalcPts[PLAYER],0)),"")</f>
        <v>13</v>
      </c>
      <c r="AU38" s="86">
        <f>VLOOKUP(TableTERanks3343[[#This Row],[Player]],TE!B:O,4,FALSE)</f>
        <v>39.027359279999999</v>
      </c>
      <c r="AV38" s="86">
        <f>VLOOKUP(TableTERanks3343[[#This Row],[Player]],TE!B:O,5,FALSE)</f>
        <v>25.516553443502907</v>
      </c>
      <c r="AW38" s="86">
        <f>VLOOKUP(TableTERanks3343[[#This Row],[Player]],TE!B:O,6,FALSE)</f>
        <v>273.51470156259649</v>
      </c>
      <c r="AX38" s="86">
        <f>VLOOKUP(TableTERanks3343[[#This Row],[Player]],TE!B:O,7,FALSE)</f>
        <v>2.1689070426977475</v>
      </c>
      <c r="AY38" s="58">
        <f>VLOOKUP(TableTERanks3343[[#This Row],[Player]],TE!B:O,11,FALSE)</f>
        <v>53.123189134197595</v>
      </c>
      <c r="AZ38" s="133">
        <f>IF(VLOOKUP(TableTERanks3343[[#This Row],[RK]],'Ranks w Proj'!AQ:AZ,10,FALSE)&lt;0,0,VLOOKUP(TableTERanks3343[[#This Row],[RK]],'Ranks w Proj'!AQ:AZ,10,FALSE))</f>
        <v>0</v>
      </c>
    </row>
    <row r="39" spans="1:52" x14ac:dyDescent="0.2">
      <c r="A39">
        <v>38</v>
      </c>
      <c r="B39" t="str">
        <f>VLOOKUP(TableQBRanks3040[[#This Row],[RK]],Rankings!A:T,3,FALSE)</f>
        <v>Jacoby Brissett</v>
      </c>
      <c r="C39" t="str">
        <f>IFERROR(INDEX(TableQBCalcPts[TM],MATCH(TableQBRanks3040[[#This Row],[Player]],TableQBCalcPts[PLAYER],0)),"")</f>
        <v>WSH</v>
      </c>
      <c r="D39">
        <f>IFERROR(INDEX(TableQBCalcPts[BYE],MATCH(TableQBRanks3040[[#This Row],[Player]],TableQBCalcPts[PLAYER],0)),"")</f>
        <v>14</v>
      </c>
      <c r="E39" s="86">
        <f>VLOOKUP(TableQBRanks3040[[#This Row],[Player]],QB!B:O,4,FALSE)</f>
        <v>30.105850000000004</v>
      </c>
      <c r="F39" s="86">
        <f>VLOOKUP(TableQBRanks3040[[#This Row],[Player]],QB!B:O,5,FALSE)</f>
        <v>18.488002485000003</v>
      </c>
      <c r="G39" s="86">
        <f>VLOOKUP(TableQBRanks3040[[#This Row],[Player]],QB!B:O,6,FALSE)</f>
        <v>198.56114668890004</v>
      </c>
      <c r="H39" s="86">
        <f>VLOOKUP(TableQBRanks3040[[#This Row],[Player]],QB!B:O,7,FALSE)</f>
        <v>1.0538161416450003</v>
      </c>
      <c r="I39" s="86">
        <f>VLOOKUP(TableQBRanks3040[[#This Row],[Player]],QB!B:O,8,FALSE)</f>
        <v>0.55272380112159292</v>
      </c>
      <c r="J39" s="86">
        <f>VLOOKUP(TableQBRanks3040[[#This Row],[Player]],QB!B:O,9,FALSE)</f>
        <v>4.6930533999999993</v>
      </c>
      <c r="K39" s="86">
        <f>VLOOKUP(TableQBRanks3040[[#This Row],[Player]],QB!B:O,10,FALSE)</f>
        <v>18.790369071985328</v>
      </c>
      <c r="L39" s="86">
        <f>VLOOKUP(TableQBRanks3040[[#This Row],[Player]],QB!B:O,11,FALSE)</f>
        <v>0.12671244179999999</v>
      </c>
      <c r="M39" s="58">
        <f>VLOOKUP(TableQBRanks3040[[#This Row],[Player]],QB!B:O,13,FALSE)</f>
        <v>14.244298191012943</v>
      </c>
      <c r="N39" s="133">
        <f>IF(VLOOKUP(TableQBRanks3040[[#This Row],[RK]],'Ranks w Proj'!$A:$N,14,FALSE)&lt;0,0,VLOOKUP(TableQBRanks3040[[#This Row],[RK]],'Ranks w Proj'!$A:$N,14,FALSE))</f>
        <v>0</v>
      </c>
      <c r="P39">
        <v>38</v>
      </c>
      <c r="Q39" t="str">
        <f>VLOOKUP(TableRBRanks3141[[#This Row],[RK]],Rankings!A:T,8,FALSE)</f>
        <v>AJ Dillon</v>
      </c>
      <c r="R39" t="str">
        <f>IFERROR(INDEX(TableRBCalcPts[TM],MATCH(TableRBRanks3141[[#This Row],[Player]],TableRBCalcPts[PLAYER],0)),"")</f>
        <v>GB</v>
      </c>
      <c r="S39">
        <f>IFERROR(INDEX(TableRBCalcPts[BYE],MATCH(TableRBRanks3141[[#This Row],[Player]],TableRBCalcPts[PLAYER],0)),"")</f>
        <v>6</v>
      </c>
      <c r="T39" s="86">
        <f>VLOOKUP(TableRBRanks3141[[#This Row],[Player]],RB!B:O,4,FALSE)</f>
        <v>187.55539879999995</v>
      </c>
      <c r="U39" s="86">
        <f>VLOOKUP(TableRBRanks3141[[#This Row],[Player]],RB!B:O,5,FALSE)</f>
        <v>804.48449024749721</v>
      </c>
      <c r="V39" s="86">
        <f>VLOOKUP(TableRBRanks3141[[#This Row],[Player]],RB!B:O,6,FALSE)</f>
        <v>7.6897713507999983</v>
      </c>
      <c r="W39" s="86">
        <f>VLOOKUP(TableRBRanks3141[[#This Row],[Player]],RB!B:O,7,FALSE)</f>
        <v>39.296549600000006</v>
      </c>
      <c r="X39" s="86">
        <f>VLOOKUP(TableRBRanks3141[[#This Row],[Player]],RB!B:O,8,FALSE)</f>
        <v>27.391508066345079</v>
      </c>
      <c r="Y39" s="86">
        <f>VLOOKUP(TableRBRanks3141[[#This Row],[Player]],RB!B:O,9,FALSE)</f>
        <v>213.06022464029101</v>
      </c>
      <c r="Z39" s="86">
        <f>VLOOKUP(TableRBRanks3141[[#This Row],[Player]],RB!B:O,10,FALSE)</f>
        <v>1.0956603226538031</v>
      </c>
      <c r="AA39" s="58">
        <f>VLOOKUP(TableRBRanks3141[[#This Row],[Player]],RB!B:O,14,FALSE)</f>
        <v>168.16281556267418</v>
      </c>
      <c r="AB39" s="133">
        <f>IF(VLOOKUP(TableRBRanks3141[[#This Row],[RK]],'Ranks w Proj'!$P:$AB,13,FALSE)&lt;0,0,VLOOKUP(TableRBRanks3141[[#This Row],[RK]],'Ranks w Proj'!$P:$AB,13,FALSE))</f>
        <v>3.9671410027036433</v>
      </c>
      <c r="AD39">
        <v>38</v>
      </c>
      <c r="AE39" t="str">
        <f>VLOOKUP(TableWRRanks3242[[#This Row],[RK]],Rankings!A:T,13,FALSE)</f>
        <v>Gabe Davis</v>
      </c>
      <c r="AF39" t="str">
        <f>IFERROR(INDEX(TableWRCalcPts[TM],MATCH(TableWRRanks3242[[#This Row],[Player]],TableWRCalcPts[PLAYER],0)),"")</f>
        <v>BUF</v>
      </c>
      <c r="AG39">
        <f>IFERROR(INDEX(TableWRCalcPts[BYE],MATCH(TableWRRanks3242[[#This Row],[Player]],TableWRCalcPts[PLAYER],0)),"")</f>
        <v>13</v>
      </c>
      <c r="AH39" s="86">
        <f>VLOOKUP(TableWRRanks3242[[#This Row],[Player]],WR!B:O,4,FALSE)</f>
        <v>0</v>
      </c>
      <c r="AI39" s="86">
        <f>VLOOKUP(TableWRRanks3242[[#This Row],[Player]],WR!B:O,5,FALSE)</f>
        <v>0</v>
      </c>
      <c r="AJ39" s="86">
        <f>VLOOKUP(TableWRRanks3242[[#This Row],[Player]],WR!B:O,6,FALSE)</f>
        <v>121.22649</v>
      </c>
      <c r="AK39" s="86">
        <f>VLOOKUP(TableWRRanks3242[[#This Row],[Player]],WR!B:O,7,FALSE)</f>
        <v>63.429216999988654</v>
      </c>
      <c r="AL39" s="86">
        <f>VLOOKUP(TableWRRanks3242[[#This Row],[Player]],WR!B:O,8,FALSE)</f>
        <v>941.28958027983163</v>
      </c>
      <c r="AM39" s="86">
        <f>VLOOKUP(TableWRRanks3242[[#This Row],[Player]],WR!B:O,9,FALSE)</f>
        <v>8.4360858609984906</v>
      </c>
      <c r="AN39" s="58">
        <f>VLOOKUP(TableWRRanks3242[[#This Row],[Player]],WR!B:O,13,FALSE)</f>
        <v>176.46008169396845</v>
      </c>
      <c r="AO39" s="133">
        <f>IF(VLOOKUP(TableWRRanks3242[[#This Row],[RK]],'Ranks w Proj'!AD:AO,12,FALSE)&lt;0,0,VLOOKUP(TableWRRanks3242[[#This Row],[RK]],'Ranks w Proj'!AD:AO,12,FALSE))</f>
        <v>10.803718859322011</v>
      </c>
      <c r="AQ39">
        <v>38</v>
      </c>
      <c r="AR39" t="str">
        <f>VLOOKUP(TableTERanks3343[[#This Row],[RK]],Rankings!A:T,18,FALSE)</f>
        <v>Cole Turner</v>
      </c>
      <c r="AS39" t="str">
        <f>IFERROR(INDEX(TableTECalcPts[TM],MATCH(TableTERanks3343[[#This Row],[Player]],TableTECalcPts[PLAYER],0)),"")</f>
        <v>WSH</v>
      </c>
      <c r="AT39">
        <f>IFERROR(INDEX(TableTECalcPts[BYE],MATCH(TableTERanks3343[[#This Row],[Player]],TableTECalcPts[PLAYER],0)),"")</f>
        <v>14</v>
      </c>
      <c r="AU39" s="86">
        <f>VLOOKUP(TableTERanks3343[[#This Row],[Player]],TE!B:O,4,FALSE)</f>
        <v>32.454106299999999</v>
      </c>
      <c r="AV39" s="86">
        <f>VLOOKUP(TableTERanks3343[[#This Row],[Player]],TE!B:O,5,FALSE)</f>
        <v>19.6022802052</v>
      </c>
      <c r="AW39" s="86">
        <f>VLOOKUP(TableTERanks3343[[#This Row],[Player]],TE!B:O,6,FALSE)</f>
        <v>199.94325809303999</v>
      </c>
      <c r="AX39" s="86">
        <f>VLOOKUP(TableTERanks3343[[#This Row],[Player]],TE!B:O,7,FALSE)</f>
        <v>1.3917618945691999</v>
      </c>
      <c r="AY39" s="58">
        <f>VLOOKUP(TableTERanks3343[[#This Row],[Player]],TE!B:O,11,FALSE)</f>
        <v>38.146037279319202</v>
      </c>
      <c r="AZ39" s="133">
        <f>IF(VLOOKUP(TableTERanks3343[[#This Row],[RK]],'Ranks w Proj'!AQ:AZ,10,FALSE)&lt;0,0,VLOOKUP(TableTERanks3343[[#This Row],[RK]],'Ranks w Proj'!AQ:AZ,10,FALSE))</f>
        <v>0</v>
      </c>
    </row>
    <row r="40" spans="1:52" x14ac:dyDescent="0.2">
      <c r="A40">
        <v>39</v>
      </c>
      <c r="B40" t="str">
        <f>VLOOKUP(TableQBRanks3040[[#This Row],[RK]],Rankings!A:T,3,FALSE)</f>
        <v>Brian Hoyer</v>
      </c>
      <c r="C40" t="str">
        <f>IFERROR(INDEX(TableQBCalcPts[TM],MATCH(TableQBRanks3040[[#This Row],[Player]],TableQBCalcPts[PLAYER],0)),"")</f>
        <v>LV</v>
      </c>
      <c r="D40">
        <f>IFERROR(INDEX(TableQBCalcPts[BYE],MATCH(TableQBRanks3040[[#This Row],[Player]],TableQBCalcPts[PLAYER],0)),"")</f>
        <v>13</v>
      </c>
      <c r="E40" s="86">
        <f>VLOOKUP(TableQBRanks3040[[#This Row],[Player]],QB!B:O,4,FALSE)</f>
        <v>60.254999999999981</v>
      </c>
      <c r="F40" s="86">
        <f>VLOOKUP(TableQBRanks3040[[#This Row],[Player]],QB!B:O,5,FALSE)</f>
        <v>36.663003368804048</v>
      </c>
      <c r="G40" s="86">
        <f>VLOOKUP(TableQBRanks3040[[#This Row],[Player]],QB!B:O,6,FALSE)</f>
        <v>407.71298044231008</v>
      </c>
      <c r="H40" s="86">
        <f>VLOOKUP(TableQBRanks3040[[#This Row],[Player]],QB!B:O,7,FALSE)</f>
        <v>2.1866946563676231</v>
      </c>
      <c r="I40" s="86">
        <f>VLOOKUP(TableQBRanks3040[[#This Row],[Player]],QB!B:O,8,FALSE)</f>
        <v>1.7163365407472921</v>
      </c>
      <c r="J40" s="86">
        <f>VLOOKUP(TableQBRanks3040[[#This Row],[Player]],QB!B:O,9,FALSE)</f>
        <v>0</v>
      </c>
      <c r="K40" s="86">
        <f>VLOOKUP(TableQBRanks3040[[#This Row],[Player]],QB!B:O,10,FALSE)</f>
        <v>0</v>
      </c>
      <c r="L40" s="86">
        <f>VLOOKUP(TableQBRanks3040[[#This Row],[Player]],QB!B:O,11,FALSE)</f>
        <v>0</v>
      </c>
      <c r="M40" s="58">
        <f>VLOOKUP(TableQBRanks3040[[#This Row],[Player]],QB!B:O,13,FALSE)</f>
        <v>23.338961302415605</v>
      </c>
      <c r="N40" s="133">
        <f>IF(VLOOKUP(TableQBRanks3040[[#This Row],[RK]],'Ranks w Proj'!$A:$N,14,FALSE)&lt;0,0,VLOOKUP(TableQBRanks3040[[#This Row],[RK]],'Ranks w Proj'!$A:$N,14,FALSE))</f>
        <v>0</v>
      </c>
      <c r="P40">
        <v>39</v>
      </c>
      <c r="Q40" t="str">
        <f>VLOOKUP(TableRBRanks3141[[#This Row],[RK]],Rankings!A:T,8,FALSE)</f>
        <v>Ezekiel Elliott</v>
      </c>
      <c r="R40" t="str">
        <f>IFERROR(INDEX(TableRBCalcPts[TM],MATCH(TableRBRanks3141[[#This Row],[Player]],TableRBCalcPts[PLAYER],0)),"")</f>
        <v>NE</v>
      </c>
      <c r="S40">
        <f>IFERROR(INDEX(TableRBCalcPts[BYE],MATCH(TableRBRanks3141[[#This Row],[Player]],TableRBCalcPts[PLAYER],0)),"")</f>
        <v>11</v>
      </c>
      <c r="T40" s="86">
        <f>VLOOKUP(TableRBRanks3141[[#This Row],[Player]],RB!B:O,4,FALSE)</f>
        <v>143.55960416000002</v>
      </c>
      <c r="U40" s="86">
        <f>VLOOKUP(TableRBRanks3141[[#This Row],[Player]],RB!B:O,5,FALSE)</f>
        <v>610.12831768000012</v>
      </c>
      <c r="V40" s="86">
        <f>VLOOKUP(TableRBRanks3141[[#This Row],[Player]],RB!B:O,6,FALSE)</f>
        <v>7.177980208000001</v>
      </c>
      <c r="W40" s="86">
        <f>VLOOKUP(TableRBRanks3141[[#This Row],[Player]],RB!B:O,7,FALSE)</f>
        <v>24.246766039999994</v>
      </c>
      <c r="X40" s="86">
        <f>VLOOKUP(TableRBRanks3141[[#This Row],[Player]],RB!B:O,8,FALSE)</f>
        <v>18.621516318719994</v>
      </c>
      <c r="Y40" s="86">
        <f>VLOOKUP(TableRBRanks3141[[#This Row],[Player]],RB!B:O,9,FALSE)</f>
        <v>124.76415933542397</v>
      </c>
      <c r="Z40" s="86">
        <f>VLOOKUP(TableRBRanks3141[[#This Row],[Player]],RB!B:O,10,FALSE)</f>
        <v>0.55864548956159976</v>
      </c>
      <c r="AA40" s="58">
        <f>VLOOKUP(TableRBRanks3141[[#This Row],[Player]],RB!B:O,14,FALSE)</f>
        <v>129.219760046272</v>
      </c>
      <c r="AB40" s="133">
        <f>IF(VLOOKUP(TableRBRanks3141[[#This Row],[RK]],'Ranks w Proj'!$P:$AB,13,FALSE)&lt;0,0,VLOOKUP(TableRBRanks3141[[#This Row],[RK]],'Ranks w Proj'!$P:$AB,13,FALSE))</f>
        <v>3.3802819039947347</v>
      </c>
      <c r="AD40">
        <v>39</v>
      </c>
      <c r="AE40" t="str">
        <f>VLOOKUP(TableWRRanks3242[[#This Row],[RK]],Rankings!A:T,13,FALSE)</f>
        <v>Courtland Sutton</v>
      </c>
      <c r="AF40" t="str">
        <f>IFERROR(INDEX(TableWRCalcPts[TM],MATCH(TableWRRanks3242[[#This Row],[Player]],TableWRCalcPts[PLAYER],0)),"")</f>
        <v>DEN</v>
      </c>
      <c r="AG40">
        <f>IFERROR(INDEX(TableWRCalcPts[BYE],MATCH(TableWRRanks3242[[#This Row],[Player]],TableWRCalcPts[PLAYER],0)),"")</f>
        <v>9</v>
      </c>
      <c r="AH40" s="86">
        <f>VLOOKUP(TableWRRanks3242[[#This Row],[Player]],WR!B:O,4,FALSE)</f>
        <v>0</v>
      </c>
      <c r="AI40" s="86">
        <f>VLOOKUP(TableWRRanks3242[[#This Row],[Player]],WR!B:O,5,FALSE)</f>
        <v>0</v>
      </c>
      <c r="AJ40" s="86">
        <f>VLOOKUP(TableWRRanks3242[[#This Row],[Player]],WR!B:O,6,FALSE)</f>
        <v>111.17327760000002</v>
      </c>
      <c r="AK40" s="86">
        <f>VLOOKUP(TableWRRanks3242[[#This Row],[Player]],WR!B:O,7,FALSE)</f>
        <v>65.36988722880001</v>
      </c>
      <c r="AL40" s="86">
        <f>VLOOKUP(TableWRRanks3242[[#This Row],[Player]],WR!B:O,8,FALSE)</f>
        <v>866.15100578160013</v>
      </c>
      <c r="AM40" s="86">
        <f>VLOOKUP(TableWRRanks3242[[#This Row],[Player]],WR!B:O,9,FALSE)</f>
        <v>5.6871801889056002</v>
      </c>
      <c r="AN40" s="58">
        <f>VLOOKUP(TableWRRanks3242[[#This Row],[Player]],WR!B:O,13,FALSE)</f>
        <v>153.42312532599362</v>
      </c>
      <c r="AO40" s="133">
        <f>IF(VLOOKUP(TableWRRanks3242[[#This Row],[RK]],'Ranks w Proj'!AD:AO,12,FALSE)&lt;0,0,VLOOKUP(TableWRRanks3242[[#This Row],[RK]],'Ranks w Proj'!AD:AO,12,FALSE))</f>
        <v>10.735904649962558</v>
      </c>
      <c r="AQ40">
        <v>39</v>
      </c>
      <c r="AR40" t="str">
        <f>VLOOKUP(TableTERanks3343[[#This Row],[RK]],Rankings!A:T,18,FALSE)</f>
        <v>Kylen Granson</v>
      </c>
      <c r="AS40" t="str">
        <f>IFERROR(INDEX(TableTECalcPts[TM],MATCH(TableTERanks3343[[#This Row],[Player]],TableTECalcPts[PLAYER],0)),"")</f>
        <v>IND</v>
      </c>
      <c r="AT40">
        <f>IFERROR(INDEX(TableTECalcPts[BYE],MATCH(TableTERanks3343[[#This Row],[Player]],TableTECalcPts[PLAYER],0)),"")</f>
        <v>11</v>
      </c>
      <c r="AU40" s="86">
        <f>VLOOKUP(TableTERanks3343[[#This Row],[Player]],TE!B:O,4,FALSE)</f>
        <v>48.112218000000006</v>
      </c>
      <c r="AV40" s="86">
        <f>VLOOKUP(TableTERanks3343[[#This Row],[Player]],TE!B:O,5,FALSE)</f>
        <v>29.197297667490407</v>
      </c>
      <c r="AW40" s="86">
        <f>VLOOKUP(TableTERanks3343[[#This Row],[Player]],TE!B:O,6,FALSE)</f>
        <v>306.86359848532419</v>
      </c>
      <c r="AX40" s="86">
        <f>VLOOKUP(TableTERanks3343[[#This Row],[Player]],TE!B:O,7,FALSE)</f>
        <v>2.0438108367243286</v>
      </c>
      <c r="AY40" s="58">
        <f>VLOOKUP(TableTERanks3343[[#This Row],[Player]],TE!B:O,11,FALSE)</f>
        <v>57.54787370262359</v>
      </c>
      <c r="AZ40" s="133">
        <f>IF(VLOOKUP(TableTERanks3343[[#This Row],[RK]],'Ranks w Proj'!AQ:AZ,10,FALSE)&lt;0,0,VLOOKUP(TableTERanks3343[[#This Row],[RK]],'Ranks w Proj'!AQ:AZ,10,FALSE))</f>
        <v>0</v>
      </c>
    </row>
    <row r="41" spans="1:52" x14ac:dyDescent="0.2">
      <c r="A41">
        <v>40</v>
      </c>
      <c r="B41" t="str">
        <f>VLOOKUP(TableQBRanks3040[[#This Row],[RK]],Rankings!A:T,3,FALSE)</f>
        <v>Clayton Tune</v>
      </c>
      <c r="C41" t="str">
        <f>IFERROR(INDEX(TableQBCalcPts[TM],MATCH(TableQBRanks3040[[#This Row],[Player]],TableQBCalcPts[PLAYER],0)),"")</f>
        <v>ARI</v>
      </c>
      <c r="D41">
        <f>IFERROR(INDEX(TableQBCalcPts[BYE],MATCH(TableQBRanks3040[[#This Row],[Player]],TableQBCalcPts[PLAYER],0)),"")</f>
        <v>14</v>
      </c>
      <c r="E41" s="86">
        <f>VLOOKUP(TableQBRanks3040[[#This Row],[Player]],QB!B:O,4,FALSE)</f>
        <v>245.10000000000002</v>
      </c>
      <c r="F41" s="86">
        <f>VLOOKUP(TableQBRanks3040[[#This Row],[Player]],QB!B:O,5,FALSE)</f>
        <v>157.55028000000001</v>
      </c>
      <c r="G41" s="86">
        <f>VLOOKUP(TableQBRanks3040[[#This Row],[Player]],QB!B:O,6,FALSE)</f>
        <v>1583.3803140000002</v>
      </c>
      <c r="H41" s="86">
        <f>VLOOKUP(TableQBRanks3040[[#This Row],[Player]],QB!B:O,7,FALSE)</f>
        <v>9.1379162400000009</v>
      </c>
      <c r="I41" s="86">
        <f>VLOOKUP(TableQBRanks3040[[#This Row],[Player]],QB!B:O,8,FALSE)</f>
        <v>5.9869106400000005</v>
      </c>
      <c r="J41" s="86">
        <f>VLOOKUP(TableQBRanks3040[[#This Row],[Player]],QB!B:O,9,FALSE)</f>
        <v>8.1540900000000001</v>
      </c>
      <c r="K41" s="86">
        <f>VLOOKUP(TableQBRanks3040[[#This Row],[Player]],QB!B:O,10,FALSE)</f>
        <v>31.800950999999998</v>
      </c>
      <c r="L41" s="86">
        <f>VLOOKUP(TableQBRanks3040[[#This Row],[Player]],QB!B:O,11,FALSE)</f>
        <v>0.25277678999999997</v>
      </c>
      <c r="M41" s="58">
        <f>VLOOKUP(TableQBRanks3040[[#This Row],[Player]],QB!B:O,13,FALSE)</f>
        <v>98.596722720000017</v>
      </c>
      <c r="N41" s="133">
        <f>IF(VLOOKUP(TableQBRanks3040[[#This Row],[RK]],'Ranks w Proj'!$A:$N,14,FALSE)&lt;0,0,VLOOKUP(TableQBRanks3040[[#This Row],[RK]],'Ranks w Proj'!$A:$N,14,FALSE))</f>
        <v>0</v>
      </c>
      <c r="P41">
        <v>40</v>
      </c>
      <c r="Q41" t="str">
        <f>VLOOKUP(TableRBRanks3141[[#This Row],[RK]],Rankings!A:T,8,FALSE)</f>
        <v>Jerick McKinnon</v>
      </c>
      <c r="R41" t="str">
        <f>IFERROR(INDEX(TableRBCalcPts[TM],MATCH(TableRBRanks3141[[#This Row],[Player]],TableRBCalcPts[PLAYER],0)),"")</f>
        <v>KC</v>
      </c>
      <c r="S41">
        <f>IFERROR(INDEX(TableRBCalcPts[BYE],MATCH(TableRBRanks3141[[#This Row],[Player]],TableRBCalcPts[PLAYER],0)),"")</f>
        <v>10</v>
      </c>
      <c r="T41" s="86">
        <f>VLOOKUP(TableRBRanks3141[[#This Row],[Player]],RB!B:O,4,FALSE)</f>
        <v>77.014064399999995</v>
      </c>
      <c r="U41" s="86">
        <f>VLOOKUP(TableRBRanks3141[[#This Row],[Player]],RB!B:O,5,FALSE)</f>
        <v>312.50759336215913</v>
      </c>
      <c r="V41" s="86">
        <f>VLOOKUP(TableRBRanks3141[[#This Row],[Player]],RB!B:O,6,FALSE)</f>
        <v>3.1575766403999999</v>
      </c>
      <c r="W41" s="86">
        <f>VLOOKUP(TableRBRanks3141[[#This Row],[Player]],RB!B:O,7,FALSE)</f>
        <v>50.34781752</v>
      </c>
      <c r="X41" s="86">
        <f>VLOOKUP(TableRBRanks3141[[#This Row],[Player]],RB!B:O,8,FALSE)</f>
        <v>38.524417361453523</v>
      </c>
      <c r="Y41" s="86">
        <f>VLOOKUP(TableRBRanks3141[[#This Row],[Player]],RB!B:O,9,FALSE)</f>
        <v>346.7197562530817</v>
      </c>
      <c r="Z41" s="86">
        <f>VLOOKUP(TableRBRanks3141[[#This Row],[Player]],RB!B:O,10,FALSE)</f>
        <v>3.9680149882297124</v>
      </c>
      <c r="AA41" s="58">
        <f>VLOOKUP(TableRBRanks3141[[#This Row],[Player]],RB!B:O,14,FALSE)</f>
        <v>127.93849341402913</v>
      </c>
      <c r="AB41" s="133">
        <f>IF(VLOOKUP(TableRBRanks3141[[#This Row],[RK]],'Ranks w Proj'!$P:$AB,13,FALSE)&lt;0,0,VLOOKUP(TableRBRanks3141[[#This Row],[RK]],'Ranks w Proj'!$P:$AB,13,FALSE))</f>
        <v>2.4619364424530468</v>
      </c>
      <c r="AD41">
        <v>40</v>
      </c>
      <c r="AE41" t="str">
        <f>VLOOKUP(TableWRRanks3242[[#This Row],[RK]],Rankings!A:T,13,FALSE)</f>
        <v>Jerry Jeudy</v>
      </c>
      <c r="AF41" t="str">
        <f>IFERROR(INDEX(TableWRCalcPts[TM],MATCH(TableWRRanks3242[[#This Row],[Player]],TableWRCalcPts[PLAYER],0)),"")</f>
        <v>DEN</v>
      </c>
      <c r="AG41">
        <f>IFERROR(INDEX(TableWRCalcPts[BYE],MATCH(TableWRRanks3242[[#This Row],[Player]],TableWRCalcPts[PLAYER],0)),"")</f>
        <v>9</v>
      </c>
      <c r="AH41" s="86">
        <f>VLOOKUP(TableWRRanks3242[[#This Row],[Player]],WR!B:O,4,FALSE)</f>
        <v>0</v>
      </c>
      <c r="AI41" s="86">
        <f>VLOOKUP(TableWRRanks3242[[#This Row],[Player]],WR!B:O,5,FALSE)</f>
        <v>0</v>
      </c>
      <c r="AJ41" s="86">
        <f>VLOOKUP(TableWRRanks3242[[#This Row],[Player]],WR!B:O,6,FALSE)</f>
        <v>112.29624000000001</v>
      </c>
      <c r="AK41" s="86">
        <f>VLOOKUP(TableWRRanks3242[[#This Row],[Player]],WR!B:O,7,FALSE)</f>
        <v>71.373409076756573</v>
      </c>
      <c r="AL41" s="86">
        <f>VLOOKUP(TableWRRanks3242[[#This Row],[Player]],WR!B:O,8,FALSE)</f>
        <v>998.51399298382444</v>
      </c>
      <c r="AM41" s="86">
        <f>VLOOKUP(TableWRRanks3242[[#This Row],[Player]],WR!B:O,9,FALSE)</f>
        <v>5.9239929533707958</v>
      </c>
      <c r="AN41" s="58">
        <f>VLOOKUP(TableWRRanks3242[[#This Row],[Player]],WR!B:O,13,FALSE)</f>
        <v>171.08206155698551</v>
      </c>
      <c r="AO41" s="133">
        <f>IF(VLOOKUP(TableWRRanks3242[[#This Row],[RK]],'Ranks w Proj'!AD:AO,12,FALSE)&lt;0,0,VLOOKUP(TableWRRanks3242[[#This Row],[RK]],'Ranks w Proj'!AD:AO,12,FALSE))</f>
        <v>7.9216291528781726</v>
      </c>
      <c r="AQ41">
        <v>40</v>
      </c>
      <c r="AR41" t="str">
        <f>VLOOKUP(TableTERanks3343[[#This Row],[RK]],Rankings!A:T,18,FALSE)</f>
        <v>Jelani Woods</v>
      </c>
      <c r="AS41" t="str">
        <f>IFERROR(INDEX(TableTECalcPts[TM],MATCH(TableTERanks3343[[#This Row],[Player]],TableTECalcPts[PLAYER],0)),"")</f>
        <v>IND</v>
      </c>
      <c r="AT41">
        <f>IFERROR(INDEX(TableTECalcPts[BYE],MATCH(TableTERanks3343[[#This Row],[Player]],TableTECalcPts[PLAYER],0)),"")</f>
        <v>11</v>
      </c>
      <c r="AU41" s="86">
        <f>VLOOKUP(TableTERanks3343[[#This Row],[Player]],TE!B:O,4,FALSE)</f>
        <v>43.300996200000014</v>
      </c>
      <c r="AV41" s="86">
        <f>VLOOKUP(TableTERanks3343[[#This Row],[Player]],TE!B:O,5,FALSE)</f>
        <v>27.149724617400008</v>
      </c>
      <c r="AW41" s="86">
        <f>VLOOKUP(TableTERanks3343[[#This Row],[Player]],TE!B:O,6,FALSE)</f>
        <v>350.2314475644601</v>
      </c>
      <c r="AX41" s="86">
        <f>VLOOKUP(TableTERanks3343[[#This Row],[Player]],TE!B:O,7,FALSE)</f>
        <v>2.7149724617400008</v>
      </c>
      <c r="AY41" s="58">
        <f>VLOOKUP(TableTERanks3343[[#This Row],[Player]],TE!B:O,11,FALSE)</f>
        <v>64.887841835586016</v>
      </c>
      <c r="AZ41" s="133">
        <f>IF(VLOOKUP(TableTERanks3343[[#This Row],[RK]],'Ranks w Proj'!AQ:AZ,10,FALSE)&lt;0,0,VLOOKUP(TableTERanks3343[[#This Row],[RK]],'Ranks w Proj'!AQ:AZ,10,FALSE))</f>
        <v>0</v>
      </c>
    </row>
    <row r="42" spans="1:52" x14ac:dyDescent="0.2">
      <c r="A42">
        <v>41</v>
      </c>
      <c r="B42" t="str">
        <f>VLOOKUP(TableQBRanks3040[[#This Row],[RK]],Rankings!A:T,3,FALSE)</f>
        <v>Tyler Huntley</v>
      </c>
      <c r="C42" t="str">
        <f>IFERROR(INDEX(TableQBCalcPts[TM],MATCH(TableQBRanks3040[[#This Row],[Player]],TableQBCalcPts[PLAYER],0)),"")</f>
        <v>BAL</v>
      </c>
      <c r="D42">
        <f>IFERROR(INDEX(TableQBCalcPts[BYE],MATCH(TableQBRanks3040[[#This Row],[Player]],TableQBCalcPts[PLAYER],0)),"")</f>
        <v>13</v>
      </c>
      <c r="E42" s="86">
        <f>VLOOKUP(TableQBRanks3040[[#This Row],[Player]],QB!B:O,4,FALSE)</f>
        <v>16.365960000000015</v>
      </c>
      <c r="F42" s="86">
        <f>VLOOKUP(TableQBRanks3040[[#This Row],[Player]],QB!B:O,5,FALSE)</f>
        <v>10.398105236053643</v>
      </c>
      <c r="G42" s="86">
        <f>VLOOKUP(TableQBRanks3040[[#This Row],[Player]],QB!B:O,6,FALSE)</f>
        <v>102.94124183693107</v>
      </c>
      <c r="H42" s="86">
        <f>VLOOKUP(TableQBRanks3040[[#This Row],[Player]],QB!B:O,7,FALSE)</f>
        <v>0.41758955373935536</v>
      </c>
      <c r="I42" s="86">
        <f>VLOOKUP(TableQBRanks3040[[#This Row],[Player]],QB!B:O,8,FALSE)</f>
        <v>0.40800681600587857</v>
      </c>
      <c r="J42" s="86">
        <f>VLOOKUP(TableQBRanks3040[[#This Row],[Player]],QB!B:O,9,FALSE)</f>
        <v>5.1985863999999991</v>
      </c>
      <c r="K42" s="86">
        <f>VLOOKUP(TableQBRanks3040[[#This Row],[Player]],QB!B:O,10,FALSE)</f>
        <v>16.635476479999998</v>
      </c>
      <c r="L42" s="86">
        <f>VLOOKUP(TableQBRanks3040[[#This Row],[Player]],QB!B:O,11,FALSE)</f>
        <v>9.6187449795777188E-2</v>
      </c>
      <c r="M42" s="58">
        <f>VLOOKUP(TableQBRanks3040[[#This Row],[Player]],QB!B:O,13,FALSE)</f>
        <v>7.6206734192034498</v>
      </c>
      <c r="N42" s="133">
        <f>IF(VLOOKUP(TableQBRanks3040[[#This Row],[RK]],'Ranks w Proj'!$A:$N,14,FALSE)&lt;0,0,VLOOKUP(TableQBRanks3040[[#This Row],[RK]],'Ranks w Proj'!$A:$N,14,FALSE))</f>
        <v>0</v>
      </c>
      <c r="P42">
        <v>41</v>
      </c>
      <c r="Q42" t="str">
        <f>VLOOKUP(TableRBRanks3141[[#This Row],[RK]],Rankings!A:T,8,FALSE)</f>
        <v>Rashaad Penny</v>
      </c>
      <c r="R42" t="str">
        <f>IFERROR(INDEX(TableRBCalcPts[TM],MATCH(TableRBRanks3141[[#This Row],[Player]],TableRBCalcPts[PLAYER],0)),"")</f>
        <v>PHI</v>
      </c>
      <c r="S42">
        <f>IFERROR(INDEX(TableRBCalcPts[BYE],MATCH(TableRBRanks3141[[#This Row],[Player]],TableRBCalcPts[PLAYER],0)),"")</f>
        <v>10</v>
      </c>
      <c r="T42" s="86">
        <f>VLOOKUP(TableRBRanks3141[[#This Row],[Player]],RB!B:O,4,FALSE)</f>
        <v>119.51817948000001</v>
      </c>
      <c r="U42" s="86">
        <f>VLOOKUP(TableRBRanks3141[[#This Row],[Player]],RB!B:O,5,FALSE)</f>
        <v>573.68726150400005</v>
      </c>
      <c r="V42" s="86">
        <f>VLOOKUP(TableRBRanks3141[[#This Row],[Player]],RB!B:O,6,FALSE)</f>
        <v>4.5416908202400004</v>
      </c>
      <c r="W42" s="86">
        <f>VLOOKUP(TableRBRanks3141[[#This Row],[Player]],RB!B:O,7,FALSE)</f>
        <v>32.007879959999997</v>
      </c>
      <c r="X42" s="86">
        <f>VLOOKUP(TableRBRanks3141[[#This Row],[Player]],RB!B:O,8,FALSE)</f>
        <v>20.694336091823089</v>
      </c>
      <c r="Y42" s="86">
        <f>VLOOKUP(TableRBRanks3141[[#This Row],[Player]],RB!B:O,9,FALSE)</f>
        <v>151.9318988254019</v>
      </c>
      <c r="Z42" s="86">
        <f>VLOOKUP(TableRBRanks3141[[#This Row],[Player]],RB!B:O,10,FALSE)</f>
        <v>0.99332813240750828</v>
      </c>
      <c r="AA42" s="58">
        <f>VLOOKUP(TableRBRanks3141[[#This Row],[Player]],RB!B:O,14,FALSE)</f>
        <v>116.11919779473679</v>
      </c>
      <c r="AB42" s="133">
        <f>IF(VLOOKUP(TableRBRanks3141[[#This Row],[RK]],'Ranks w Proj'!$P:$AB,13,FALSE)&lt;0,0,VLOOKUP(TableRBRanks3141[[#This Row],[RK]],'Ranks w Proj'!$P:$AB,13,FALSE))</f>
        <v>1.995091747470189</v>
      </c>
      <c r="AD42">
        <v>41</v>
      </c>
      <c r="AE42" t="str">
        <f>VLOOKUP(TableWRRanks3242[[#This Row],[RK]],Rankings!A:T,13,FALSE)</f>
        <v>Allen Lazard</v>
      </c>
      <c r="AF42" t="str">
        <f>IFERROR(INDEX(TableWRCalcPts[TM],MATCH(TableWRRanks3242[[#This Row],[Player]],TableWRCalcPts[PLAYER],0)),"")</f>
        <v>NYJ</v>
      </c>
      <c r="AG42">
        <f>IFERROR(INDEX(TableWRCalcPts[BYE],MATCH(TableWRRanks3242[[#This Row],[Player]],TableWRCalcPts[PLAYER],0)),"")</f>
        <v>7</v>
      </c>
      <c r="AH42" s="86">
        <f>VLOOKUP(TableWRRanks3242[[#This Row],[Player]],WR!B:O,4,FALSE)</f>
        <v>0</v>
      </c>
      <c r="AI42" s="86">
        <f>VLOOKUP(TableWRRanks3242[[#This Row],[Player]],WR!B:O,5,FALSE)</f>
        <v>0</v>
      </c>
      <c r="AJ42" s="86">
        <f>VLOOKUP(TableWRRanks3242[[#This Row],[Player]],WR!B:O,6,FALSE)</f>
        <v>106.41766589999999</v>
      </c>
      <c r="AK42" s="86">
        <f>VLOOKUP(TableWRRanks3242[[#This Row],[Player]],WR!B:O,7,FALSE)</f>
        <v>66.085370523899996</v>
      </c>
      <c r="AL42" s="86">
        <f>VLOOKUP(TableWRRanks3242[[#This Row],[Player]],WR!B:O,8,FALSE)</f>
        <v>871.00518350500192</v>
      </c>
      <c r="AM42" s="86">
        <f>VLOOKUP(TableWRRanks3242[[#This Row],[Player]],WR!B:O,9,FALSE)</f>
        <v>7.1372200165811996</v>
      </c>
      <c r="AN42" s="58">
        <f>VLOOKUP(TableWRRanks3242[[#This Row],[Player]],WR!B:O,13,FALSE)</f>
        <v>162.96652371193738</v>
      </c>
      <c r="AO42" s="133">
        <f>IF(VLOOKUP(TableWRRanks3242[[#This Row],[RK]],'Ranks w Proj'!AD:AO,12,FALSE)&lt;0,0,VLOOKUP(TableWRRanks3242[[#This Row],[RK]],'Ranks w Proj'!AD:AO,12,FALSE))</f>
        <v>7.9123403377124628</v>
      </c>
      <c r="AQ42">
        <v>41</v>
      </c>
      <c r="AR42" t="str">
        <f>VLOOKUP(TableTERanks3343[[#This Row],[RK]],Rankings!A:T,18,FALSE)</f>
        <v>Durham Smythe</v>
      </c>
      <c r="AS42" t="str">
        <f>IFERROR(INDEX(TableTECalcPts[TM],MATCH(TableTERanks3343[[#This Row],[Player]],TableTECalcPts[PLAYER],0)),"")</f>
        <v>MIA</v>
      </c>
      <c r="AT42">
        <f>IFERROR(INDEX(TableTECalcPts[BYE],MATCH(TableTERanks3343[[#This Row],[Player]],TableTECalcPts[PLAYER],0)),"")</f>
        <v>10</v>
      </c>
      <c r="AU42" s="86">
        <f>VLOOKUP(TableTERanks3343[[#This Row],[Player]],TE!B:O,4,FALSE)</f>
        <v>39.142630800000013</v>
      </c>
      <c r="AV42" s="86">
        <f>VLOOKUP(TableTERanks3343[[#This Row],[Player]],TE!B:O,5,FALSE)</f>
        <v>26.089456844396544</v>
      </c>
      <c r="AW42" s="86">
        <f>VLOOKUP(TableTERanks3343[[#This Row],[Player]],TE!B:O,6,FALSE)</f>
        <v>258.28562275952578</v>
      </c>
      <c r="AX42" s="86">
        <f>VLOOKUP(TableTERanks3343[[#This Row],[Player]],TE!B:O,7,FALSE)</f>
        <v>2.6350351412840509</v>
      </c>
      <c r="AY42" s="58">
        <f>VLOOKUP(TableTERanks3343[[#This Row],[Player]],TE!B:O,11,FALSE)</f>
        <v>54.683501545855158</v>
      </c>
      <c r="AZ42" s="133">
        <f>IF(VLOOKUP(TableTERanks3343[[#This Row],[RK]],'Ranks w Proj'!AQ:AZ,10,FALSE)&lt;0,0,VLOOKUP(TableTERanks3343[[#This Row],[RK]],'Ranks w Proj'!AQ:AZ,10,FALSE))</f>
        <v>0</v>
      </c>
    </row>
    <row r="43" spans="1:52" x14ac:dyDescent="0.2">
      <c r="A43">
        <v>42</v>
      </c>
      <c r="B43" t="str">
        <f>VLOOKUP(TableQBRanks3040[[#This Row],[RK]],Rankings!A:T,3,FALSE)</f>
        <v>Malik Willis</v>
      </c>
      <c r="C43" t="str">
        <f>IFERROR(INDEX(TableQBCalcPts[TM],MATCH(TableQBRanks3040[[#This Row],[Player]],TableQBCalcPts[PLAYER],0)),"")</f>
        <v>TEN</v>
      </c>
      <c r="D43">
        <f>IFERROR(INDEX(TableQBCalcPts[BYE],MATCH(TableQBRanks3040[[#This Row],[Player]],TableQBCalcPts[PLAYER],0)),"")</f>
        <v>7</v>
      </c>
      <c r="E43" s="86">
        <f>VLOOKUP(TableQBRanks3040[[#This Row],[Player]],QB!B:O,4,FALSE)</f>
        <v>55.26550000000001</v>
      </c>
      <c r="F43" s="86">
        <f>VLOOKUP(TableQBRanks3040[[#This Row],[Player]],QB!B:O,5,FALSE)</f>
        <v>33.181406200000012</v>
      </c>
      <c r="G43" s="86">
        <f>VLOOKUP(TableQBRanks3040[[#This Row],[Player]],QB!B:O,6,FALSE)</f>
        <v>374.94989006000014</v>
      </c>
      <c r="H43" s="86">
        <f>VLOOKUP(TableQBRanks3040[[#This Row],[Player]],QB!B:O,7,FALSE)</f>
        <v>1.7320694036400008</v>
      </c>
      <c r="I43" s="86">
        <f>VLOOKUP(TableQBRanks3040[[#This Row],[Player]],QB!B:O,8,FALSE)</f>
        <v>2.3201453688328075</v>
      </c>
      <c r="J43" s="86">
        <f>VLOOKUP(TableQBRanks3040[[#This Row],[Player]],QB!B:O,9,FALSE)</f>
        <v>2.3536904999999999</v>
      </c>
      <c r="K43" s="86">
        <f>VLOOKUP(TableQBRanks3040[[#This Row],[Player]],QB!B:O,10,FALSE)</f>
        <v>8.7826011062850391</v>
      </c>
      <c r="L43" s="86">
        <f>VLOOKUP(TableQBRanks3040[[#This Row],[Player]],QB!B:O,11,FALSE)</f>
        <v>9.6501310500000007E-2</v>
      </c>
      <c r="M43" s="58">
        <f>VLOOKUP(TableQBRanks3040[[#This Row],[Player]],QB!B:O,13,FALSE)</f>
        <v>21.063395821755705</v>
      </c>
      <c r="N43" s="133">
        <f>IF(VLOOKUP(TableQBRanks3040[[#This Row],[RK]],'Ranks w Proj'!$A:$N,14,FALSE)&lt;0,0,VLOOKUP(TableQBRanks3040[[#This Row],[RK]],'Ranks w Proj'!$A:$N,14,FALSE))</f>
        <v>0</v>
      </c>
      <c r="P43">
        <v>42</v>
      </c>
      <c r="Q43" t="str">
        <f>VLOOKUP(TableRBRanks3141[[#This Row],[RK]],Rankings!A:T,8,FALSE)</f>
        <v>Jaylen Warren</v>
      </c>
      <c r="R43" t="str">
        <f>IFERROR(INDEX(TableRBCalcPts[TM],MATCH(TableRBRanks3141[[#This Row],[Player]],TableRBCalcPts[PLAYER],0)),"")</f>
        <v>PIT</v>
      </c>
      <c r="S43">
        <f>IFERROR(INDEX(TableRBCalcPts[BYE],MATCH(TableRBRanks3141[[#This Row],[Player]],TableRBCalcPts[PLAYER],0)),"")</f>
        <v>6</v>
      </c>
      <c r="T43" s="86">
        <f>VLOOKUP(TableRBRanks3141[[#This Row],[Player]],RB!B:O,4,FALSE)</f>
        <v>116.63347499999999</v>
      </c>
      <c r="U43" s="86">
        <f>VLOOKUP(TableRBRanks3141[[#This Row],[Player]],RB!B:O,5,FALSE)</f>
        <v>496.85860349999996</v>
      </c>
      <c r="V43" s="86">
        <f>VLOOKUP(TableRBRanks3141[[#This Row],[Player]],RB!B:O,6,FALSE)</f>
        <v>4.4320720499999995</v>
      </c>
      <c r="W43" s="86">
        <f>VLOOKUP(TableRBRanks3141[[#This Row],[Player]],RB!B:O,7,FALSE)</f>
        <v>43.287457500000002</v>
      </c>
      <c r="X43" s="86">
        <f>VLOOKUP(TableRBRanks3141[[#This Row],[Player]],RB!B:O,8,FALSE)</f>
        <v>33.00885793364229</v>
      </c>
      <c r="Y43" s="86">
        <f>VLOOKUP(TableRBRanks3141[[#This Row],[Player]],RB!B:O,9,FALSE)</f>
        <v>241.98048301593931</v>
      </c>
      <c r="Z43" s="86">
        <f>VLOOKUP(TableRBRanks3141[[#This Row],[Player]],RB!B:O,10,FALSE)</f>
        <v>1.4193808911466184</v>
      </c>
      <c r="AA43" s="58">
        <f>VLOOKUP(TableRBRanks3141[[#This Row],[Player]],RB!B:O,14,FALSE)</f>
        <v>125.49705526529478</v>
      </c>
      <c r="AB43" s="133">
        <f>IF(VLOOKUP(TableRBRanks3141[[#This Row],[RK]],'Ranks w Proj'!$P:$AB,13,FALSE)&lt;0,0,VLOOKUP(TableRBRanks3141[[#This Row],[RK]],'Ranks w Proj'!$P:$AB,13,FALSE))</f>
        <v>1.1055247992775148</v>
      </c>
      <c r="AD43">
        <v>42</v>
      </c>
      <c r="AE43" t="str">
        <f>VLOOKUP(TableWRRanks3242[[#This Row],[RK]],Rankings!A:T,13,FALSE)</f>
        <v>Brandin Cooks</v>
      </c>
      <c r="AF43" t="str">
        <f>IFERROR(INDEX(TableWRCalcPts[TM],MATCH(TableWRRanks3242[[#This Row],[Player]],TableWRCalcPts[PLAYER],0)),"")</f>
        <v>DAL</v>
      </c>
      <c r="AG43">
        <f>IFERROR(INDEX(TableWRCalcPts[BYE],MATCH(TableWRRanks3242[[#This Row],[Player]],TableWRCalcPts[PLAYER],0)),"")</f>
        <v>7</v>
      </c>
      <c r="AH43" s="86">
        <f>VLOOKUP(TableWRRanks3242[[#This Row],[Player]],WR!B:O,4,FALSE)</f>
        <v>0</v>
      </c>
      <c r="AI43" s="86">
        <f>VLOOKUP(TableWRRanks3242[[#This Row],[Player]],WR!B:O,5,FALSE)</f>
        <v>0</v>
      </c>
      <c r="AJ43" s="86">
        <f>VLOOKUP(TableWRRanks3242[[#This Row],[Player]],WR!B:O,6,FALSE)</f>
        <v>98.255646720000001</v>
      </c>
      <c r="AK43" s="86">
        <f>VLOOKUP(TableWRRanks3242[[#This Row],[Player]],WR!B:O,7,FALSE)</f>
        <v>65.787419248425181</v>
      </c>
      <c r="AL43" s="86">
        <f>VLOOKUP(TableWRRanks3242[[#This Row],[Player]],WR!B:O,8,FALSE)</f>
        <v>855.23645022952735</v>
      </c>
      <c r="AM43" s="86">
        <f>VLOOKUP(TableWRRanks3242[[#This Row],[Player]],WR!B:O,9,FALSE)</f>
        <v>5.5261432168677151</v>
      </c>
      <c r="AN43" s="58">
        <f>VLOOKUP(TableWRRanks3242[[#This Row],[Player]],WR!B:O,13,FALSE)</f>
        <v>151.57421394837161</v>
      </c>
      <c r="AO43" s="133">
        <f>IF(VLOOKUP(TableWRRanks3242[[#This Row],[RK]],'Ranks w Proj'!AD:AO,12,FALSE)&lt;0,0,VLOOKUP(TableWRRanks3242[[#This Row],[RK]],'Ranks w Proj'!AD:AO,12,FALSE))</f>
        <v>7.2884369651638528</v>
      </c>
      <c r="AQ43">
        <v>42</v>
      </c>
      <c r="AR43" t="str">
        <f>VLOOKUP(TableTERanks3343[[#This Row],[RK]],Rankings!A:T,18,FALSE)</f>
        <v>Mo Alie-Cox</v>
      </c>
      <c r="AS43" t="str">
        <f>IFERROR(INDEX(TableTECalcPts[TM],MATCH(TableTERanks3343[[#This Row],[Player]],TableTECalcPts[PLAYER],0)),"")</f>
        <v>IND</v>
      </c>
      <c r="AT43">
        <f>IFERROR(INDEX(TableTECalcPts[BYE],MATCH(TableTERanks3343[[#This Row],[Player]],TableTECalcPts[PLAYER],0)),"")</f>
        <v>11</v>
      </c>
      <c r="AU43" s="86">
        <f>VLOOKUP(TableTERanks3343[[#This Row],[Player]],TE!B:O,4,FALSE)</f>
        <v>41.697255600000005</v>
      </c>
      <c r="AV43" s="86">
        <f>VLOOKUP(TableTERanks3343[[#This Row],[Player]],TE!B:O,5,FALSE)</f>
        <v>24.417783144591585</v>
      </c>
      <c r="AW43" s="86">
        <f>VLOOKUP(TableTERanks3343[[#This Row],[Player]],TE!B:O,6,FALSE)</f>
        <v>283.6294339954681</v>
      </c>
      <c r="AX43" s="86">
        <f>VLOOKUP(TableTERanks3343[[#This Row],[Player]],TE!B:O,7,FALSE)</f>
        <v>2.3929427481699754</v>
      </c>
      <c r="AY43" s="58">
        <f>VLOOKUP(TableTERanks3343[[#This Row],[Player]],TE!B:O,11,FALSE)</f>
        <v>54.929491460862458</v>
      </c>
      <c r="AZ43" s="133">
        <f>IF(VLOOKUP(TableTERanks3343[[#This Row],[RK]],'Ranks w Proj'!AQ:AZ,10,FALSE)&lt;0,0,VLOOKUP(TableTERanks3343[[#This Row],[RK]],'Ranks w Proj'!AQ:AZ,10,FALSE))</f>
        <v>0</v>
      </c>
    </row>
    <row r="44" spans="1:52" x14ac:dyDescent="0.2">
      <c r="A44">
        <v>43</v>
      </c>
      <c r="B44" t="str">
        <f>VLOOKUP(TableQBRanks3040[[#This Row],[RK]],Rankings!A:T,3,FALSE)</f>
        <v>Andy Dalton</v>
      </c>
      <c r="C44" t="str">
        <f>IFERROR(INDEX(TableQBCalcPts[TM],MATCH(TableQBRanks3040[[#This Row],[Player]],TableQBCalcPts[PLAYER],0)),"")</f>
        <v>CAR</v>
      </c>
      <c r="D44">
        <f>IFERROR(INDEX(TableQBCalcPts[BYE],MATCH(TableQBRanks3040[[#This Row],[Player]],TableQBCalcPts[PLAYER],0)),"")</f>
        <v>7</v>
      </c>
      <c r="E44" s="86">
        <f>VLOOKUP(TableQBRanks3040[[#This Row],[Player]],QB!B:O,4,FALSE)</f>
        <v>30.022649999999999</v>
      </c>
      <c r="F44" s="86">
        <f>VLOOKUP(TableQBRanks3040[[#This Row],[Player]],QB!B:O,5,FALSE)</f>
        <v>18.957690112213761</v>
      </c>
      <c r="G44" s="86">
        <f>VLOOKUP(TableQBRanks3040[[#This Row],[Player]],QB!B:O,6,FALSE)</f>
        <v>203.98474560742008</v>
      </c>
      <c r="H44" s="86">
        <f>VLOOKUP(TableQBRanks3040[[#This Row],[Player]],QB!B:O,7,FALSE)</f>
        <v>1.3858071472028259</v>
      </c>
      <c r="I44" s="86">
        <f>VLOOKUP(TableQBRanks3040[[#This Row],[Player]],QB!B:O,8,FALSE)</f>
        <v>0.74387271583779924</v>
      </c>
      <c r="J44" s="86">
        <f>VLOOKUP(TableQBRanks3040[[#This Row],[Player]],QB!B:O,9,FALSE)</f>
        <v>2.2468803000000004</v>
      </c>
      <c r="K44" s="86">
        <f>VLOOKUP(TableQBRanks3040[[#This Row],[Player]],QB!B:O,10,FALSE)</f>
        <v>6.5114942493224293</v>
      </c>
      <c r="L44" s="86">
        <f>VLOOKUP(TableQBRanks3040[[#This Row],[Player]],QB!B:O,11,FALSE)</f>
        <v>4.1573164207364309E-2</v>
      </c>
      <c r="M44" s="58">
        <f>VLOOKUP(TableQBRanks3040[[#This Row],[Player]],QB!B:O,13,FALSE)</f>
        <v>13.859334107446738</v>
      </c>
      <c r="N44" s="133">
        <f>IF(VLOOKUP(TableQBRanks3040[[#This Row],[RK]],'Ranks w Proj'!$A:$N,14,FALSE)&lt;0,0,VLOOKUP(TableQBRanks3040[[#This Row],[RK]],'Ranks w Proj'!$A:$N,14,FALSE))</f>
        <v>0</v>
      </c>
      <c r="P44">
        <v>43</v>
      </c>
      <c r="Q44" t="str">
        <f>VLOOKUP(TableRBRanks3141[[#This Row],[RK]],Rankings!A:T,8,FALSE)</f>
        <v>Jonathan Taylor</v>
      </c>
      <c r="R44" t="str">
        <f>IFERROR(INDEX(TableRBCalcPts[TM],MATCH(TableRBRanks3141[[#This Row],[Player]],TableRBCalcPts[PLAYER],0)),"")</f>
        <v>IND</v>
      </c>
      <c r="S44">
        <f>IFERROR(INDEX(TableRBCalcPts[BYE],MATCH(TableRBRanks3141[[#This Row],[Player]],TableRBCalcPts[PLAYER],0)),"")</f>
        <v>11</v>
      </c>
      <c r="T44" s="86">
        <f>VLOOKUP(TableRBRanks3141[[#This Row],[Player]],RB!B:O,4,FALSE)</f>
        <v>161.54153400000001</v>
      </c>
      <c r="U44" s="86">
        <f>VLOOKUP(TableRBRanks3141[[#This Row],[Player]],RB!B:O,5,FALSE)</f>
        <v>743.09105639999996</v>
      </c>
      <c r="V44" s="86">
        <f>VLOOKUP(TableRBRanks3141[[#This Row],[Player]],RB!B:O,6,FALSE)</f>
        <v>5.9770367580000006</v>
      </c>
      <c r="W44" s="86">
        <f>VLOOKUP(TableRBRanks3141[[#This Row],[Player]],RB!B:O,7,FALSE)</f>
        <v>22.452368400000005</v>
      </c>
      <c r="X44" s="86">
        <f>VLOOKUP(TableRBRanks3141[[#This Row],[Player]],RB!B:O,8,FALSE)</f>
        <v>16.143252879600002</v>
      </c>
      <c r="Y44" s="86">
        <f>VLOOKUP(TableRBRanks3141[[#This Row],[Player]],RB!B:O,9,FALSE)</f>
        <v>122.02092464884409</v>
      </c>
      <c r="Z44" s="86">
        <f>VLOOKUP(TableRBRanks3141[[#This Row],[Player]],RB!B:O,10,FALSE)</f>
        <v>0.48429758638800002</v>
      </c>
      <c r="AA44" s="58">
        <f>VLOOKUP(TableRBRanks3141[[#This Row],[Player]],RB!B:O,14,FALSE)</f>
        <v>133.35083061101241</v>
      </c>
      <c r="AB44" s="133">
        <f>IF(VLOOKUP(TableRBRanks3141[[#This Row],[RK]],'Ranks w Proj'!$P:$AB,13,FALSE)&lt;0,0,VLOOKUP(TableRBRanks3141[[#This Row],[RK]],'Ranks w Proj'!$P:$AB,13,FALSE))</f>
        <v>0.98875384378522035</v>
      </c>
      <c r="AD44">
        <v>43</v>
      </c>
      <c r="AE44" t="str">
        <f>VLOOKUP(TableWRRanks3242[[#This Row],[RK]],Rankings!A:T,13,FALSE)</f>
        <v>Michael Pittman</v>
      </c>
      <c r="AF44" t="str">
        <f>IFERROR(INDEX(TableWRCalcPts[TM],MATCH(TableWRRanks3242[[#This Row],[Player]],TableWRCalcPts[PLAYER],0)),"")</f>
        <v>IND</v>
      </c>
      <c r="AG44">
        <f>IFERROR(INDEX(TableWRCalcPts[BYE],MATCH(TableWRRanks3242[[#This Row],[Player]],TableWRCalcPts[PLAYER],0)),"")</f>
        <v>11</v>
      </c>
      <c r="AH44" s="86">
        <f>VLOOKUP(TableWRRanks3242[[#This Row],[Player]],WR!B:O,4,FALSE)</f>
        <v>0</v>
      </c>
      <c r="AI44" s="86">
        <f>VLOOKUP(TableWRRanks3242[[#This Row],[Player]],WR!B:O,5,FALSE)</f>
        <v>0</v>
      </c>
      <c r="AJ44" s="86">
        <f>VLOOKUP(TableWRRanks3242[[#This Row],[Player]],WR!B:O,6,FALSE)</f>
        <v>119.74596480000001</v>
      </c>
      <c r="AK44" s="86">
        <f>VLOOKUP(TableWRRanks3242[[#This Row],[Player]],WR!B:O,7,FALSE)</f>
        <v>73.284530457599999</v>
      </c>
      <c r="AL44" s="86">
        <f>VLOOKUP(TableWRRanks3242[[#This Row],[Player]],WR!B:O,8,FALSE)</f>
        <v>847.43656784899952</v>
      </c>
      <c r="AM44" s="86">
        <f>VLOOKUP(TableWRRanks3242[[#This Row],[Player]],WR!B:O,9,FALSE)</f>
        <v>4.3237872969983995</v>
      </c>
      <c r="AN44" s="58">
        <f>VLOOKUP(TableWRRanks3242[[#This Row],[Player]],WR!B:O,13,FALSE)</f>
        <v>147.32864579569036</v>
      </c>
      <c r="AO44" s="133">
        <f>IF(VLOOKUP(TableWRRanks3242[[#This Row],[RK]],'Ranks w Proj'!AD:AO,12,FALSE)&lt;0,0,VLOOKUP(TableWRRanks3242[[#This Row],[RK]],'Ranks w Proj'!AD:AO,12,FALSE))</f>
        <v>6.8135511427178965</v>
      </c>
      <c r="AQ44">
        <v>43</v>
      </c>
      <c r="AR44" t="str">
        <f>VLOOKUP(TableTERanks3343[[#This Row],[RK]],Rankings!A:T,18,FALSE)</f>
        <v>Jonnu Smith</v>
      </c>
      <c r="AS44" t="str">
        <f>IFERROR(INDEX(TableTECalcPts[TM],MATCH(TableTERanks3343[[#This Row],[Player]],TableTECalcPts[PLAYER],0)),"")</f>
        <v>ATL</v>
      </c>
      <c r="AT44">
        <f>IFERROR(INDEX(TableTECalcPts[BYE],MATCH(TableTERanks3343[[#This Row],[Player]],TableTECalcPts[PLAYER],0)),"")</f>
        <v>11</v>
      </c>
      <c r="AU44" s="86">
        <f>VLOOKUP(TableTERanks3343[[#This Row],[Player]],TE!B:O,4,FALSE)</f>
        <v>34.392637439999994</v>
      </c>
      <c r="AV44" s="86">
        <f>VLOOKUP(TableTERanks3343[[#This Row],[Player]],TE!B:O,5,FALSE)</f>
        <v>23.126402270091624</v>
      </c>
      <c r="AW44" s="86">
        <f>VLOOKUP(TableTERanks3343[[#This Row],[Player]],TE!B:O,6,FALSE)</f>
        <v>241.77366066071954</v>
      </c>
      <c r="AX44" s="86">
        <f>VLOOKUP(TableTERanks3343[[#This Row],[Player]],TE!B:O,7,FALSE)</f>
        <v>1.2719521248550394</v>
      </c>
      <c r="AY44" s="58">
        <f>VLOOKUP(TableTERanks3343[[#This Row],[Player]],TE!B:O,11,FALSE)</f>
        <v>43.372279950248007</v>
      </c>
      <c r="AZ44" s="133">
        <f>IF(VLOOKUP(TableTERanks3343[[#This Row],[RK]],'Ranks w Proj'!AQ:AZ,10,FALSE)&lt;0,0,VLOOKUP(TableTERanks3343[[#This Row],[RK]],'Ranks w Proj'!AQ:AZ,10,FALSE))</f>
        <v>0</v>
      </c>
    </row>
    <row r="45" spans="1:52" x14ac:dyDescent="0.2">
      <c r="A45">
        <v>44</v>
      </c>
      <c r="B45" t="str">
        <f>VLOOKUP(TableQBRanks3040[[#This Row],[RK]],Rankings!A:T,3,FALSE)</f>
        <v>Sam Darnold</v>
      </c>
      <c r="C45" t="str">
        <f>IFERROR(INDEX(TableQBCalcPts[TM],MATCH(TableQBRanks3040[[#This Row],[Player]],TableQBCalcPts[PLAYER],0)),"")</f>
        <v>SF</v>
      </c>
      <c r="D45">
        <f>IFERROR(INDEX(TableQBCalcPts[BYE],MATCH(TableQBRanks3040[[#This Row],[Player]],TableQBCalcPts[PLAYER],0)),"")</f>
        <v>9</v>
      </c>
      <c r="E45" s="86">
        <f>VLOOKUP(TableQBRanks3040[[#This Row],[Player]],QB!B:O,4,FALSE)</f>
        <v>26.277450000000002</v>
      </c>
      <c r="F45" s="86">
        <f>VLOOKUP(TableQBRanks3040[[#This Row],[Player]],QB!B:O,5,FALSE)</f>
        <v>15.76647</v>
      </c>
      <c r="G45" s="86">
        <f>VLOOKUP(TableQBRanks3040[[#This Row],[Player]],QB!B:O,6,FALSE)</f>
        <v>167.124582</v>
      </c>
      <c r="H45" s="86">
        <f>VLOOKUP(TableQBRanks3040[[#This Row],[Player]],QB!B:O,7,FALSE)</f>
        <v>0.81985643999999991</v>
      </c>
      <c r="I45" s="86">
        <f>VLOOKUP(TableQBRanks3040[[#This Row],[Player]],QB!B:O,8,FALSE)</f>
        <v>0.85138937999999997</v>
      </c>
      <c r="J45" s="86">
        <f>VLOOKUP(TableQBRanks3040[[#This Row],[Player]],QB!B:O,9,FALSE)</f>
        <v>7.1817477199999997</v>
      </c>
      <c r="K45" s="86">
        <f>VLOOKUP(TableQBRanks3040[[#This Row],[Player]],QB!B:O,10,FALSE)</f>
        <v>21.545243159999998</v>
      </c>
      <c r="L45" s="86">
        <f>VLOOKUP(TableQBRanks3040[[#This Row],[Player]],QB!B:O,11,FALSE)</f>
        <v>0.21545243159999999</v>
      </c>
      <c r="M45" s="58">
        <f>VLOOKUP(TableQBRanks3040[[#This Row],[Player]],QB!B:O,13,FALSE)</f>
        <v>12.560258565599998</v>
      </c>
      <c r="N45" s="133">
        <f>IF(VLOOKUP(TableQBRanks3040[[#This Row],[RK]],'Ranks w Proj'!$A:$N,14,FALSE)&lt;0,0,VLOOKUP(TableQBRanks3040[[#This Row],[RK]],'Ranks w Proj'!$A:$N,14,FALSE))</f>
        <v>0</v>
      </c>
      <c r="P45">
        <v>44</v>
      </c>
      <c r="Q45" t="str">
        <f>VLOOKUP(TableRBRanks3141[[#This Row],[RK]],Rankings!A:T,8,FALSE)</f>
        <v>Roschon Johnson</v>
      </c>
      <c r="R45" t="str">
        <f>IFERROR(INDEX(TableRBCalcPts[TM],MATCH(TableRBRanks3141[[#This Row],[Player]],TableRBCalcPts[PLAYER],0)),"")</f>
        <v>CHI</v>
      </c>
      <c r="S45">
        <f>IFERROR(INDEX(TableRBCalcPts[BYE],MATCH(TableRBRanks3141[[#This Row],[Player]],TableRBCalcPts[PLAYER],0)),"")</f>
        <v>13</v>
      </c>
      <c r="T45" s="86">
        <f>VLOOKUP(TableRBRanks3141[[#This Row],[Player]],RB!B:O,4,FALSE)</f>
        <v>112.04473279999999</v>
      </c>
      <c r="U45" s="86">
        <f>VLOOKUP(TableRBRanks3141[[#This Row],[Player]],RB!B:O,5,FALSE)</f>
        <v>481.79235103999997</v>
      </c>
      <c r="V45" s="86">
        <f>VLOOKUP(TableRBRanks3141[[#This Row],[Player]],RB!B:O,6,FALSE)</f>
        <v>4.7058787775999997</v>
      </c>
      <c r="W45" s="86">
        <f>VLOOKUP(TableRBRanks3141[[#This Row],[Player]],RB!B:O,7,FALSE)</f>
        <v>33.044094719999997</v>
      </c>
      <c r="X45" s="86">
        <f>VLOOKUP(TableRBRanks3141[[#This Row],[Player]],RB!B:O,8,FALSE)</f>
        <v>23.094947501995961</v>
      </c>
      <c r="Y45" s="86">
        <f>VLOOKUP(TableRBRanks3141[[#This Row],[Player]],RB!B:O,9,FALSE)</f>
        <v>183.66350045852619</v>
      </c>
      <c r="Z45" s="86">
        <f>VLOOKUP(TableRBRanks3141[[#This Row],[Player]],RB!B:O,10,FALSE)</f>
        <v>1.1316524275978022</v>
      </c>
      <c r="AA45" s="58">
        <f>VLOOKUP(TableRBRanks3141[[#This Row],[Player]],RB!B:O,14,FALSE)</f>
        <v>113.11824613203741</v>
      </c>
      <c r="AB45" s="133">
        <f>IF(VLOOKUP(TableRBRanks3141[[#This Row],[RK]],'Ranks w Proj'!$P:$AB,13,FALSE)&lt;0,0,VLOOKUP(TableRBRanks3141[[#This Row],[RK]],'Ranks w Proj'!$P:$AB,13,FALSE))</f>
        <v>0</v>
      </c>
      <c r="AD45">
        <v>44</v>
      </c>
      <c r="AE45" t="str">
        <f>VLOOKUP(TableWRRanks3242[[#This Row],[RK]],Rankings!A:T,13,FALSE)</f>
        <v>Jonathan Mingo</v>
      </c>
      <c r="AF45" t="str">
        <f>IFERROR(INDEX(TableWRCalcPts[TM],MATCH(TableWRRanks3242[[#This Row],[Player]],TableWRCalcPts[PLAYER],0)),"")</f>
        <v>CAR</v>
      </c>
      <c r="AG45">
        <f>IFERROR(INDEX(TableWRCalcPts[BYE],MATCH(TableWRRanks3242[[#This Row],[Player]],TableWRCalcPts[PLAYER],0)),"")</f>
        <v>7</v>
      </c>
      <c r="AH45" s="86">
        <f>VLOOKUP(TableWRRanks3242[[#This Row],[Player]],WR!B:O,4,FALSE)</f>
        <v>0</v>
      </c>
      <c r="AI45" s="86">
        <f>VLOOKUP(TableWRRanks3242[[#This Row],[Player]],WR!B:O,5,FALSE)</f>
        <v>0</v>
      </c>
      <c r="AJ45" s="86">
        <f>VLOOKUP(TableWRRanks3242[[#This Row],[Player]],WR!B:O,6,FALSE)</f>
        <v>107.68524101999999</v>
      </c>
      <c r="AK45" s="86">
        <f>VLOOKUP(TableWRRanks3242[[#This Row],[Player]],WR!B:O,7,FALSE)</f>
        <v>64.176582360608236</v>
      </c>
      <c r="AL45" s="86">
        <f>VLOOKUP(TableWRRanks3242[[#This Row],[Player]],WR!B:O,8,FALSE)</f>
        <v>828.29852932366464</v>
      </c>
      <c r="AM45" s="86">
        <f>VLOOKUP(TableWRRanks3242[[#This Row],[Player]],WR!B:O,9,FALSE)</f>
        <v>5.3908329182910926</v>
      </c>
      <c r="AN45" s="58">
        <f>VLOOKUP(TableWRRanks3242[[#This Row],[Player]],WR!B:O,13,FALSE)</f>
        <v>147.26314162241712</v>
      </c>
      <c r="AO45" s="133">
        <f>IF(VLOOKUP(TableWRRanks3242[[#This Row],[RK]],'Ranks w Proj'!AD:AO,12,FALSE)&lt;0,0,VLOOKUP(TableWRRanks3242[[#This Row],[RK]],'Ranks w Proj'!AD:AO,12,FALSE))</f>
        <v>6.6157731873747299</v>
      </c>
      <c r="AQ45">
        <v>44</v>
      </c>
      <c r="AR45" t="str">
        <f>VLOOKUP(TableTERanks3343[[#This Row],[RK]],Rankings!A:T,18,FALSE)</f>
        <v>Will Dissly</v>
      </c>
      <c r="AS45" t="str">
        <f>IFERROR(INDEX(TableTECalcPts[TM],MATCH(TableTERanks3343[[#This Row],[Player]],TableTECalcPts[PLAYER],0)),"")</f>
        <v>SEA</v>
      </c>
      <c r="AT45">
        <f>IFERROR(INDEX(TableTECalcPts[BYE],MATCH(TableTERanks3343[[#This Row],[Player]],TableTECalcPts[PLAYER],0)),"")</f>
        <v>5</v>
      </c>
      <c r="AU45" s="86">
        <f>VLOOKUP(TableTERanks3343[[#This Row],[Player]],TE!B:O,4,FALSE)</f>
        <v>28.189002239999997</v>
      </c>
      <c r="AV45" s="86">
        <f>VLOOKUP(TableTERanks3343[[#This Row],[Player]],TE!B:O,5,FALSE)</f>
        <v>20.938360802748882</v>
      </c>
      <c r="AW45" s="86">
        <f>VLOOKUP(TableTERanks3343[[#This Row],[Player]],TE!B:O,6,FALSE)</f>
        <v>221.94662450913813</v>
      </c>
      <c r="AX45" s="86">
        <f>VLOOKUP(TableTERanks3343[[#This Row],[Player]],TE!B:O,7,FALSE)</f>
        <v>1.7169455858254083</v>
      </c>
      <c r="AY45" s="58">
        <f>VLOOKUP(TableTERanks3343[[#This Row],[Player]],TE!B:O,11,FALSE)</f>
        <v>42.965516367240703</v>
      </c>
      <c r="AZ45" s="133">
        <f>IF(VLOOKUP(TableTERanks3343[[#This Row],[RK]],'Ranks w Proj'!AQ:AZ,10,FALSE)&lt;0,0,VLOOKUP(TableTERanks3343[[#This Row],[RK]],'Ranks w Proj'!AQ:AZ,10,FALSE))</f>
        <v>0</v>
      </c>
    </row>
    <row r="46" spans="1:52" x14ac:dyDescent="0.2">
      <c r="A46">
        <v>45</v>
      </c>
      <c r="B46" t="str">
        <f>VLOOKUP(TableQBRanks3040[[#This Row],[RK]],Rankings!A:T,3,FALSE)</f>
        <v>Trey Lance</v>
      </c>
      <c r="C46" t="str">
        <f>IFERROR(INDEX(TableQBCalcPts[TM],MATCH(TableQBRanks3040[[#This Row],[Player]],TableQBCalcPts[PLAYER],0)),"")</f>
        <v>DAL</v>
      </c>
      <c r="D46">
        <f>IFERROR(INDEX(TableQBCalcPts[BYE],MATCH(TableQBRanks3040[[#This Row],[Player]],TableQBCalcPts[PLAYER],0)),"")</f>
        <v>7</v>
      </c>
      <c r="E46" s="86">
        <f>VLOOKUP(TableQBRanks3040[[#This Row],[Player]],QB!B:O,4,FALSE)</f>
        <v>11.658240000000012</v>
      </c>
      <c r="F46" s="86">
        <f>VLOOKUP(TableQBRanks3040[[#This Row],[Player]],QB!B:O,5,FALSE)</f>
        <v>7.1915499065010247</v>
      </c>
      <c r="G46" s="86">
        <f>VLOOKUP(TableQBRanks3040[[#This Row],[Player]],QB!B:O,6,FALSE)</f>
        <v>83.421978915411884</v>
      </c>
      <c r="H46" s="86">
        <f>VLOOKUP(TableQBRanks3040[[#This Row],[Player]],QB!B:O,7,FALSE)</f>
        <v>0.54080455296887708</v>
      </c>
      <c r="I46" s="86">
        <f>VLOOKUP(TableQBRanks3040[[#This Row],[Player]],QB!B:O,8,FALSE)</f>
        <v>0.37396059513805324</v>
      </c>
      <c r="J46" s="86">
        <f>VLOOKUP(TableQBRanks3040[[#This Row],[Player]],QB!B:O,9,FALSE)</f>
        <v>6.1279948799999993</v>
      </c>
      <c r="K46" s="86">
        <f>VLOOKUP(TableQBRanks3040[[#This Row],[Player]],QB!B:O,10,FALSE)</f>
        <v>34.255491379199995</v>
      </c>
      <c r="L46" s="86">
        <f>VLOOKUP(TableQBRanks3040[[#This Row],[Player]],QB!B:O,11,FALSE)</f>
        <v>0.30639974399999997</v>
      </c>
      <c r="M46" s="58">
        <f>VLOOKUP(TableQBRanks3040[[#This Row],[Player]],QB!B:O,13,FALSE)</f>
        <v>10.390084375273929</v>
      </c>
      <c r="N46" s="133">
        <f>IF(VLOOKUP(TableQBRanks3040[[#This Row],[RK]],'Ranks w Proj'!$A:$N,14,FALSE)&lt;0,0,VLOOKUP(TableQBRanks3040[[#This Row],[RK]],'Ranks w Proj'!$A:$N,14,FALSE))</f>
        <v>0</v>
      </c>
      <c r="P46">
        <v>45</v>
      </c>
      <c r="Q46" t="str">
        <f>VLOOKUP(TableRBRanks3141[[#This Row],[RK]],Rankings!A:T,8,FALSE)</f>
        <v>De'Von Achane</v>
      </c>
      <c r="R46" t="str">
        <f>IFERROR(INDEX(TableRBCalcPts[TM],MATCH(TableRBRanks3141[[#This Row],[Player]],TableRBCalcPts[PLAYER],0)),"")</f>
        <v>MIA</v>
      </c>
      <c r="S46">
        <f>IFERROR(INDEX(TableRBCalcPts[BYE],MATCH(TableRBRanks3141[[#This Row],[Player]],TableRBCalcPts[PLAYER],0)),"")</f>
        <v>10</v>
      </c>
      <c r="T46" s="86">
        <f>VLOOKUP(TableRBRanks3141[[#This Row],[Player]],RB!B:O,4,FALSE)</f>
        <v>71.257673760000003</v>
      </c>
      <c r="U46" s="86">
        <f>VLOOKUP(TableRBRanks3141[[#This Row],[Player]],RB!B:O,5,FALSE)</f>
        <v>315.22424771534526</v>
      </c>
      <c r="V46" s="86">
        <f>VLOOKUP(TableRBRanks3141[[#This Row],[Player]],RB!B:O,6,FALSE)</f>
        <v>2.8503069504000003</v>
      </c>
      <c r="W46" s="86">
        <f>VLOOKUP(TableRBRanks3141[[#This Row],[Player]],RB!B:O,7,FALSE)</f>
        <v>64.434792240000007</v>
      </c>
      <c r="X46" s="86">
        <f>VLOOKUP(TableRBRanks3141[[#This Row],[Player]],RB!B:O,8,FALSE)</f>
        <v>45.8946691012233</v>
      </c>
      <c r="Y46" s="86">
        <f>VLOOKUP(TableRBRanks3141[[#This Row],[Player]],RB!B:O,9,FALSE)</f>
        <v>376.33628663003105</v>
      </c>
      <c r="Z46" s="86">
        <f>VLOOKUP(TableRBRanks3141[[#This Row],[Player]],RB!B:O,10,FALSE)</f>
        <v>2.6618908078709516</v>
      </c>
      <c r="AA46" s="58">
        <f>VLOOKUP(TableRBRanks3141[[#This Row],[Player]],RB!B:O,14,FALSE)</f>
        <v>125.17657453477499</v>
      </c>
      <c r="AB46" s="133">
        <f>IF(VLOOKUP(TableRBRanks3141[[#This Row],[RK]],'Ranks w Proj'!$P:$AB,13,FALSE)&lt;0,0,VLOOKUP(TableRBRanks3141[[#This Row],[RK]],'Ranks w Proj'!$P:$AB,13,FALSE))</f>
        <v>0</v>
      </c>
      <c r="AD46">
        <v>45</v>
      </c>
      <c r="AE46" t="str">
        <f>VLOOKUP(TableWRRanks3242[[#This Row],[RK]],Rankings!A:T,13,FALSE)</f>
        <v>Zay Flowers</v>
      </c>
      <c r="AF46" t="str">
        <f>IFERROR(INDEX(TableWRCalcPts[TM],MATCH(TableWRRanks3242[[#This Row],[Player]],TableWRCalcPts[PLAYER],0)),"")</f>
        <v>BAL</v>
      </c>
      <c r="AG46">
        <f>IFERROR(INDEX(TableWRCalcPts[BYE],MATCH(TableWRRanks3242[[#This Row],[Player]],TableWRCalcPts[PLAYER],0)),"")</f>
        <v>13</v>
      </c>
      <c r="AH46" s="86">
        <f>VLOOKUP(TableWRRanks3242[[#This Row],[Player]],WR!B:O,4,FALSE)</f>
        <v>0</v>
      </c>
      <c r="AI46" s="86">
        <f>VLOOKUP(TableWRRanks3242[[#This Row],[Player]],WR!B:O,5,FALSE)</f>
        <v>0</v>
      </c>
      <c r="AJ46" s="86">
        <f>VLOOKUP(TableWRRanks3242[[#This Row],[Player]],WR!B:O,6,FALSE)</f>
        <v>99.974194320000009</v>
      </c>
      <c r="AK46" s="86">
        <f>VLOOKUP(TableWRRanks3242[[#This Row],[Player]],WR!B:O,7,FALSE)</f>
        <v>60.376316466686816</v>
      </c>
      <c r="AL46" s="86">
        <f>VLOOKUP(TableWRRanks3242[[#This Row],[Player]],WR!B:O,8,FALSE)</f>
        <v>743.83621886958156</v>
      </c>
      <c r="AM46" s="86">
        <f>VLOOKUP(TableWRRanks3242[[#This Row],[Player]],WR!B:O,9,FALSE)</f>
        <v>4.2867184691347635</v>
      </c>
      <c r="AN46" s="58">
        <f>VLOOKUP(TableWRRanks3242[[#This Row],[Player]],WR!B:O,13,FALSE)</f>
        <v>130.29209093511014</v>
      </c>
      <c r="AO46" s="133">
        <f>IF(VLOOKUP(TableWRRanks3242[[#This Row],[RK]],'Ranks w Proj'!AD:AO,12,FALSE)&lt;0,0,VLOOKUP(TableWRRanks3242[[#This Row],[RK]],'Ranks w Proj'!AD:AO,12,FALSE))</f>
        <v>5.834467554177805</v>
      </c>
      <c r="AQ46">
        <v>45</v>
      </c>
      <c r="AR46" t="str">
        <f>VLOOKUP(TableTERanks3343[[#This Row],[RK]],Rankings!A:T,18,FALSE)</f>
        <v>C.J. Uzomah</v>
      </c>
      <c r="AS46" t="str">
        <f>IFERROR(INDEX(TableTECalcPts[TM],MATCH(TableTERanks3343[[#This Row],[Player]],TableTECalcPts[PLAYER],0)),"")</f>
        <v>NYJ</v>
      </c>
      <c r="AT46">
        <f>IFERROR(INDEX(TableTECalcPts[BYE],MATCH(TableTERanks3343[[#This Row],[Player]],TableTECalcPts[PLAYER],0)),"")</f>
        <v>7</v>
      </c>
      <c r="AU46" s="86">
        <f>VLOOKUP(TableTERanks3343[[#This Row],[Player]],TE!B:O,4,FALSE)</f>
        <v>28.536580799999999</v>
      </c>
      <c r="AV46" s="86">
        <f>VLOOKUP(TableTERanks3343[[#This Row],[Player]],TE!B:O,5,FALSE)</f>
        <v>19.963133649451848</v>
      </c>
      <c r="AW46" s="86">
        <f>VLOOKUP(TableTERanks3343[[#This Row],[Player]],TE!B:O,6,FALSE)</f>
        <v>200.24420294046385</v>
      </c>
      <c r="AX46" s="86">
        <f>VLOOKUP(TableTERanks3343[[#This Row],[Player]],TE!B:O,7,FALSE)</f>
        <v>1.6369769592550516</v>
      </c>
      <c r="AY46" s="58">
        <f>VLOOKUP(TableTERanks3343[[#This Row],[Player]],TE!B:O,11,FALSE)</f>
        <v>39.827848874302617</v>
      </c>
      <c r="AZ46" s="133">
        <f>IF(VLOOKUP(TableTERanks3343[[#This Row],[RK]],'Ranks w Proj'!AQ:AZ,10,FALSE)&lt;0,0,VLOOKUP(TableTERanks3343[[#This Row],[RK]],'Ranks w Proj'!AQ:AZ,10,FALSE))</f>
        <v>0</v>
      </c>
    </row>
    <row r="47" spans="1:52" x14ac:dyDescent="0.2">
      <c r="A47">
        <v>46</v>
      </c>
      <c r="B47" t="str">
        <f>VLOOKUP(TableQBRanks3040[[#This Row],[RK]],Rankings!A:T,3,FALSE)</f>
        <v>Will Levis</v>
      </c>
      <c r="C47" t="str">
        <f>IFERROR(INDEX(TableQBCalcPts[TM],MATCH(TableQBRanks3040[[#This Row],[Player]],TableQBCalcPts[PLAYER],0)),"")</f>
        <v>TEN</v>
      </c>
      <c r="D47">
        <f>IFERROR(INDEX(TableQBCalcPts[BYE],MATCH(TableQBRanks3040[[#This Row],[Player]],TableQBCalcPts[PLAYER],0)),"")</f>
        <v>7</v>
      </c>
      <c r="E47" s="86">
        <f>VLOOKUP(TableQBRanks3040[[#This Row],[Player]],QB!B:O,4,FALSE)</f>
        <v>11.053100000000002</v>
      </c>
      <c r="F47" s="86">
        <f>VLOOKUP(TableQBRanks3040[[#This Row],[Player]],QB!B:O,5,FALSE)</f>
        <v>6.7866034000000015</v>
      </c>
      <c r="G47" s="86">
        <f>VLOOKUP(TableQBRanks3040[[#This Row],[Player]],QB!B:O,6,FALSE)</f>
        <v>81.439240800000022</v>
      </c>
      <c r="H47" s="86">
        <f>VLOOKUP(TableQBRanks3040[[#This Row],[Player]],QB!B:O,7,FALSE)</f>
        <v>0.3746205076800001</v>
      </c>
      <c r="I47" s="86">
        <f>VLOOKUP(TableQBRanks3040[[#This Row],[Player]],QB!B:O,8,FALSE)</f>
        <v>0.30539715300000003</v>
      </c>
      <c r="J47" s="86">
        <f>VLOOKUP(TableQBRanks3040[[#This Row],[Player]],QB!B:O,9,FALSE)</f>
        <v>9.8855000999999998</v>
      </c>
      <c r="K47" s="86">
        <f>VLOOKUP(TableQBRanks3040[[#This Row],[Player]],QB!B:O,10,FALSE)</f>
        <v>30.941615313</v>
      </c>
      <c r="L47" s="86">
        <f>VLOOKUP(TableQBRanks3040[[#This Row],[Player]],QB!B:O,11,FALSE)</f>
        <v>0.59313000599999999</v>
      </c>
      <c r="M47" s="58">
        <f>VLOOKUP(TableQBRanks3040[[#This Row],[Player]],QB!B:O,13,FALSE)</f>
        <v>11.103596077020001</v>
      </c>
      <c r="N47" s="133">
        <f>IF(VLOOKUP(TableQBRanks3040[[#This Row],[RK]],'Ranks w Proj'!$A:$N,14,FALSE)&lt;0,0,VLOOKUP(TableQBRanks3040[[#This Row],[RK]],'Ranks w Proj'!$A:$N,14,FALSE))</f>
        <v>0</v>
      </c>
      <c r="P47">
        <v>46</v>
      </c>
      <c r="Q47" t="str">
        <f>VLOOKUP(TableRBRanks3141[[#This Row],[RK]],Rankings!A:T,8,FALSE)</f>
        <v>Tank Bigsby</v>
      </c>
      <c r="R47" t="str">
        <f>IFERROR(INDEX(TableRBCalcPts[TM],MATCH(TableRBRanks3141[[#This Row],[Player]],TableRBCalcPts[PLAYER],0)),"")</f>
        <v>JAX</v>
      </c>
      <c r="S47">
        <f>IFERROR(INDEX(TableRBCalcPts[BYE],MATCH(TableRBRanks3141[[#This Row],[Player]],TableRBCalcPts[PLAYER],0)),"")</f>
        <v>9</v>
      </c>
      <c r="T47" s="86">
        <f>VLOOKUP(TableRBRanks3141[[#This Row],[Player]],RB!B:O,4,FALSE)</f>
        <v>131.86392940000002</v>
      </c>
      <c r="U47" s="86">
        <f>VLOOKUP(TableRBRanks3141[[#This Row],[Player]],RB!B:O,5,FALSE)</f>
        <v>573.60809289000008</v>
      </c>
      <c r="V47" s="86">
        <f>VLOOKUP(TableRBRanks3141[[#This Row],[Player]],RB!B:O,6,FALSE)</f>
        <v>5.0108293172000007</v>
      </c>
      <c r="W47" s="86">
        <f>VLOOKUP(TableRBRanks3141[[#This Row],[Player]],RB!B:O,7,FALSE)</f>
        <v>20.397161399999998</v>
      </c>
      <c r="X47" s="86">
        <f>VLOOKUP(TableRBRanks3141[[#This Row],[Player]],RB!B:O,8,FALSE)</f>
        <v>15.109531036107557</v>
      </c>
      <c r="Y47" s="86">
        <f>VLOOKUP(TableRBRanks3141[[#This Row],[Player]],RB!B:O,9,FALSE)</f>
        <v>117.23737698493431</v>
      </c>
      <c r="Z47" s="86">
        <f>VLOOKUP(TableRBRanks3141[[#This Row],[Player]],RB!B:O,10,FALSE)</f>
        <v>0.55905264833597956</v>
      </c>
      <c r="AA47" s="58">
        <f>VLOOKUP(TableRBRanks3141[[#This Row],[Player]],RB!B:O,14,FALSE)</f>
        <v>110.05860429876311</v>
      </c>
      <c r="AB47" s="133">
        <f>IF(VLOOKUP(TableRBRanks3141[[#This Row],[RK]],'Ranks w Proj'!$P:$AB,13,FALSE)&lt;0,0,VLOOKUP(TableRBRanks3141[[#This Row],[RK]],'Ranks w Proj'!$P:$AB,13,FALSE))</f>
        <v>0</v>
      </c>
      <c r="AD47">
        <v>46</v>
      </c>
      <c r="AE47" t="str">
        <f>VLOOKUP(TableWRRanks3242[[#This Row],[RK]],Rankings!A:T,13,FALSE)</f>
        <v>Adam Thielen</v>
      </c>
      <c r="AF47" t="str">
        <f>IFERROR(INDEX(TableWRCalcPts[TM],MATCH(TableWRRanks3242[[#This Row],[Player]],TableWRCalcPts[PLAYER],0)),"")</f>
        <v>CAR</v>
      </c>
      <c r="AG47">
        <f>IFERROR(INDEX(TableWRCalcPts[BYE],MATCH(TableWRRanks3242[[#This Row],[Player]],TableWRCalcPts[PLAYER],0)),"")</f>
        <v>7</v>
      </c>
      <c r="AH47" s="86">
        <f>VLOOKUP(TableWRRanks3242[[#This Row],[Player]],WR!B:O,4,FALSE)</f>
        <v>0</v>
      </c>
      <c r="AI47" s="86">
        <f>VLOOKUP(TableWRRanks3242[[#This Row],[Player]],WR!B:O,5,FALSE)</f>
        <v>0</v>
      </c>
      <c r="AJ47" s="86">
        <f>VLOOKUP(TableWRRanks3242[[#This Row],[Player]],WR!B:O,6,FALSE)</f>
        <v>112.98123647999999</v>
      </c>
      <c r="AK47" s="86">
        <f>VLOOKUP(TableWRRanks3242[[#This Row],[Player]],WR!B:O,7,FALSE)</f>
        <v>70.678545573413743</v>
      </c>
      <c r="AL47" s="86">
        <f>VLOOKUP(TableWRRanks3242[[#This Row],[Player]],WR!B:O,8,FALSE)</f>
        <v>798.66756497957533</v>
      </c>
      <c r="AM47" s="86">
        <f>VLOOKUP(TableWRRanks3242[[#This Row],[Player]],WR!B:O,9,FALSE)</f>
        <v>5.2302123724326171</v>
      </c>
      <c r="AN47" s="58">
        <f>VLOOKUP(TableWRRanks3242[[#This Row],[Player]],WR!B:O,13,FALSE)</f>
        <v>146.5873035192601</v>
      </c>
      <c r="AO47" s="133">
        <f>IF(VLOOKUP(TableWRRanks3242[[#This Row],[RK]],'Ranks w Proj'!AD:AO,12,FALSE)&lt;0,0,VLOOKUP(TableWRRanks3242[[#This Row],[RK]],'Ranks w Proj'!AD:AO,12,FALSE))</f>
        <v>5.8120344990939827</v>
      </c>
      <c r="AQ47">
        <v>46</v>
      </c>
      <c r="AR47">
        <f>VLOOKUP(TableTERanks3343[[#This Row],[RK]],Rankings!A:T,18,FALSE)</f>
        <v>0</v>
      </c>
      <c r="AS47" t="str">
        <f>IFERROR(INDEX(TableTECalcPts[TM],MATCH(TableTERanks3343[[#This Row],[Player]],TableTECalcPts[PLAYER],0)),"")</f>
        <v/>
      </c>
      <c r="AT47" t="str">
        <f>IFERROR(INDEX(TableTECalcPts[BYE],MATCH(TableTERanks3343[[#This Row],[Player]],TableTECalcPts[PLAYER],0)),"")</f>
        <v/>
      </c>
      <c r="AU47" s="86">
        <f>VLOOKUP(TableTERanks3343[[#This Row],[Player]],TE!B:O,4,FALSE)</f>
        <v>0</v>
      </c>
      <c r="AV47" s="86">
        <f>VLOOKUP(TableTERanks3343[[#This Row],[Player]],TE!B:O,5,FALSE)</f>
        <v>0</v>
      </c>
      <c r="AW47" s="86">
        <f>VLOOKUP(TableTERanks3343[[#This Row],[Player]],TE!B:O,6,FALSE)</f>
        <v>0</v>
      </c>
      <c r="AX47" s="86">
        <f>VLOOKUP(TableTERanks3343[[#This Row],[Player]],TE!B:O,7,FALSE)</f>
        <v>0</v>
      </c>
      <c r="AY47" s="58">
        <f>VLOOKUP(TableTERanks3343[[#This Row],[Player]],TE!B:O,11,FALSE)</f>
        <v>0</v>
      </c>
      <c r="AZ47" s="133">
        <f>IF(VLOOKUP(TableTERanks3343[[#This Row],[RK]],'Ranks w Proj'!AQ:AZ,10,FALSE)&lt;0,0,VLOOKUP(TableTERanks3343[[#This Row],[RK]],'Ranks w Proj'!AQ:AZ,10,FALSE))</f>
        <v>0</v>
      </c>
    </row>
    <row r="48" spans="1:52" x14ac:dyDescent="0.2">
      <c r="A48">
        <v>47</v>
      </c>
      <c r="B48" t="str">
        <f>VLOOKUP(TableQBRanks3040[[#This Row],[RK]],Rankings!A:T,3,FALSE)</f>
        <v>Drew Lock</v>
      </c>
      <c r="C48" t="str">
        <f>IFERROR(INDEX(TableQBCalcPts[TM],MATCH(TableQBRanks3040[[#This Row],[Player]],TableQBCalcPts[PLAYER],0)),"")</f>
        <v>SEA</v>
      </c>
      <c r="D48">
        <f>IFERROR(INDEX(TableQBCalcPts[BYE],MATCH(TableQBRanks3040[[#This Row],[Player]],TableQBCalcPts[PLAYER],0)),"")</f>
        <v>5</v>
      </c>
      <c r="E48" s="86">
        <f>VLOOKUP(TableQBRanks3040[[#This Row],[Player]],QB!B:O,4,FALSE)</f>
        <v>29.962800000000026</v>
      </c>
      <c r="F48" s="86">
        <f>VLOOKUP(TableQBRanks3040[[#This Row],[Player]],QB!B:O,5,FALSE)</f>
        <v>17.807981955712137</v>
      </c>
      <c r="G48" s="86">
        <f>VLOOKUP(TableQBRanks3040[[#This Row],[Player]],QB!B:O,6,FALSE)</f>
        <v>201.40827591910428</v>
      </c>
      <c r="H48" s="86">
        <f>VLOOKUP(TableQBRanks3040[[#This Row],[Player]],QB!B:O,7,FALSE)</f>
        <v>1.0624822769847155</v>
      </c>
      <c r="I48" s="86">
        <f>VLOOKUP(TableQBRanks3040[[#This Row],[Player]],QB!B:O,8,FALSE)</f>
        <v>0.92026585190521337</v>
      </c>
      <c r="J48" s="86">
        <f>VLOOKUP(TableQBRanks3040[[#This Row],[Player]],QB!B:O,9,FALSE)</f>
        <v>0</v>
      </c>
      <c r="K48" s="86">
        <f>VLOOKUP(TableQBRanks3040[[#This Row],[Player]],QB!B:O,10,FALSE)</f>
        <v>0</v>
      </c>
      <c r="L48" s="86">
        <f>VLOOKUP(TableQBRanks3040[[#This Row],[Player]],QB!B:O,11,FALSE)</f>
        <v>0</v>
      </c>
      <c r="M48" s="58">
        <f>VLOOKUP(TableQBRanks3040[[#This Row],[Player]],QB!B:O,13,FALSE)</f>
        <v>11.385994292797822</v>
      </c>
      <c r="N48" s="133">
        <f>IF(VLOOKUP(TableQBRanks3040[[#This Row],[RK]],'Ranks w Proj'!$A:$N,14,FALSE)&lt;0,0,VLOOKUP(TableQBRanks3040[[#This Row],[RK]],'Ranks w Proj'!$A:$N,14,FALSE))</f>
        <v>0</v>
      </c>
      <c r="P48">
        <v>47</v>
      </c>
      <c r="Q48" t="str">
        <f>VLOOKUP(TableRBRanks3141[[#This Row],[RK]],Rankings!A:T,8,FALSE)</f>
        <v>Zack Moss</v>
      </c>
      <c r="R48" t="str">
        <f>IFERROR(INDEX(TableRBCalcPts[TM],MATCH(TableRBRanks3141[[#This Row],[Player]],TableRBCalcPts[PLAYER],0)),"")</f>
        <v>IND</v>
      </c>
      <c r="S48">
        <f>IFERROR(INDEX(TableRBCalcPts[BYE],MATCH(TableRBRanks3141[[#This Row],[Player]],TableRBCalcPts[PLAYER],0)),"")</f>
        <v>11</v>
      </c>
      <c r="T48" s="86">
        <f>VLOOKUP(TableRBRanks3141[[#This Row],[Player]],RB!B:O,4,FALSE)</f>
        <v>83.218366000000003</v>
      </c>
      <c r="U48" s="86">
        <f>VLOOKUP(TableRBRanks3141[[#This Row],[Player]],RB!B:O,5,FALSE)</f>
        <v>354.51023915999997</v>
      </c>
      <c r="V48" s="86">
        <f>VLOOKUP(TableRBRanks3141[[#This Row],[Player]],RB!B:O,6,FALSE)</f>
        <v>2.995861176</v>
      </c>
      <c r="W48" s="86">
        <f>VLOOKUP(TableRBRanks3141[[#This Row],[Player]],RB!B:O,7,FALSE)</f>
        <v>13.364505000000003</v>
      </c>
      <c r="X48" s="86">
        <f>VLOOKUP(TableRBRanks3141[[#This Row],[Player]],RB!B:O,8,FALSE)</f>
        <v>9.0744988950000032</v>
      </c>
      <c r="Y48" s="86">
        <f>VLOOKUP(TableRBRanks3141[[#This Row],[Player]],RB!B:O,9,FALSE)</f>
        <v>66.062351955600022</v>
      </c>
      <c r="Z48" s="86">
        <f>VLOOKUP(TableRBRanks3141[[#This Row],[Player]],RB!B:O,10,FALSE)</f>
        <v>0.27223496685000009</v>
      </c>
      <c r="AA48" s="58">
        <f>VLOOKUP(TableRBRanks3141[[#This Row],[Player]],RB!B:O,14,FALSE)</f>
        <v>66.203085416160008</v>
      </c>
      <c r="AB48" s="133">
        <f>IF(VLOOKUP(TableRBRanks3141[[#This Row],[RK]],'Ranks w Proj'!$P:$AB,13,FALSE)&lt;0,0,VLOOKUP(TableRBRanks3141[[#This Row],[RK]],'Ranks w Proj'!$P:$AB,13,FALSE))</f>
        <v>0</v>
      </c>
      <c r="AD48">
        <v>47</v>
      </c>
      <c r="AE48" t="str">
        <f>VLOOKUP(TableWRRanks3242[[#This Row],[RK]],Rankings!A:T,13,FALSE)</f>
        <v>Nico Collins</v>
      </c>
      <c r="AF48" t="str">
        <f>IFERROR(INDEX(TableWRCalcPts[TM],MATCH(TableWRRanks3242[[#This Row],[Player]],TableWRCalcPts[PLAYER],0)),"")</f>
        <v>HOU</v>
      </c>
      <c r="AG48">
        <f>IFERROR(INDEX(TableWRCalcPts[BYE],MATCH(TableWRRanks3242[[#This Row],[Player]],TableWRCalcPts[PLAYER],0)),"")</f>
        <v>7</v>
      </c>
      <c r="AH48" s="86">
        <f>VLOOKUP(TableWRRanks3242[[#This Row],[Player]],WR!B:O,4,FALSE)</f>
        <v>0</v>
      </c>
      <c r="AI48" s="86">
        <f>VLOOKUP(TableWRRanks3242[[#This Row],[Player]],WR!B:O,5,FALSE)</f>
        <v>0</v>
      </c>
      <c r="AJ48" s="86">
        <f>VLOOKUP(TableWRRanks3242[[#This Row],[Player]],WR!B:O,6,FALSE)</f>
        <v>83.384076160000006</v>
      </c>
      <c r="AK48" s="86">
        <f>VLOOKUP(TableWRRanks3242[[#This Row],[Player]],WR!B:O,7,FALSE)</f>
        <v>47.694389978675531</v>
      </c>
      <c r="AL48" s="86">
        <f>VLOOKUP(TableWRRanks3242[[#This Row],[Player]],WR!B:O,8,FALSE)</f>
        <v>672.49089869932493</v>
      </c>
      <c r="AM48" s="86">
        <f>VLOOKUP(TableWRRanks3242[[#This Row],[Player]],WR!B:O,9,FALSE)</f>
        <v>3.9586343682300691</v>
      </c>
      <c r="AN48" s="58">
        <f>VLOOKUP(TableWRRanks3242[[#This Row],[Player]],WR!B:O,13,FALSE)</f>
        <v>114.84809106865067</v>
      </c>
      <c r="AO48" s="133">
        <f>IF(VLOOKUP(TableWRRanks3242[[#This Row],[RK]],'Ranks w Proj'!AD:AO,12,FALSE)&lt;0,0,VLOOKUP(TableWRRanks3242[[#This Row],[RK]],'Ranks w Proj'!AD:AO,12,FALSE))</f>
        <v>5.5805818657995285</v>
      </c>
      <c r="AQ48">
        <v>47</v>
      </c>
      <c r="AR48">
        <f>VLOOKUP(TableTERanks3343[[#This Row],[RK]],Rankings!A:T,18,FALSE)</f>
        <v>0</v>
      </c>
      <c r="AS48" t="str">
        <f>IFERROR(INDEX(TableTECalcPts[TM],MATCH(TableTERanks3343[[#This Row],[Player]],TableTECalcPts[PLAYER],0)),"")</f>
        <v/>
      </c>
      <c r="AT48" t="str">
        <f>IFERROR(INDEX(TableTECalcPts[BYE],MATCH(TableTERanks3343[[#This Row],[Player]],TableTECalcPts[PLAYER],0)),"")</f>
        <v/>
      </c>
      <c r="AU48" s="86">
        <f>VLOOKUP(TableTERanks3343[[#This Row],[Player]],TE!B:O,4,FALSE)</f>
        <v>0</v>
      </c>
      <c r="AV48" s="86">
        <f>VLOOKUP(TableTERanks3343[[#This Row],[Player]],TE!B:O,5,FALSE)</f>
        <v>0</v>
      </c>
      <c r="AW48" s="86">
        <f>VLOOKUP(TableTERanks3343[[#This Row],[Player]],TE!B:O,6,FALSE)</f>
        <v>0</v>
      </c>
      <c r="AX48" s="86">
        <f>VLOOKUP(TableTERanks3343[[#This Row],[Player]],TE!B:O,7,FALSE)</f>
        <v>0</v>
      </c>
      <c r="AY48" s="58">
        <f>VLOOKUP(TableTERanks3343[[#This Row],[Player]],TE!B:O,11,FALSE)</f>
        <v>0</v>
      </c>
      <c r="AZ48" s="133">
        <f>IF(VLOOKUP(TableTERanks3343[[#This Row],[RK]],'Ranks w Proj'!AQ:AZ,10,FALSE)&lt;0,0,VLOOKUP(TableTERanks3343[[#This Row],[RK]],'Ranks w Proj'!AQ:AZ,10,FALSE))</f>
        <v>0</v>
      </c>
    </row>
    <row r="49" spans="1:52" x14ac:dyDescent="0.2">
      <c r="A49">
        <v>48</v>
      </c>
      <c r="B49" t="str">
        <f>VLOOKUP(TableQBRanks3040[[#This Row],[RK]],Rankings!A:T,3,FALSE)</f>
        <v>Stetson Bennett</v>
      </c>
      <c r="C49" t="str">
        <f>IFERROR(INDEX(TableQBCalcPts[TM],MATCH(TableQBRanks3040[[#This Row],[Player]],TableQBCalcPts[PLAYER],0)),"")</f>
        <v>LAR</v>
      </c>
      <c r="D49">
        <f>IFERROR(INDEX(TableQBCalcPts[BYE],MATCH(TableQBRanks3040[[#This Row],[Player]],TableQBCalcPts[PLAYER],0)),"")</f>
        <v>10</v>
      </c>
      <c r="E49" s="86">
        <f>VLOOKUP(TableQBRanks3040[[#This Row],[Player]],QB!B:O,4,FALSE)</f>
        <v>25.217280000000024</v>
      </c>
      <c r="F49" s="86">
        <f>VLOOKUP(TableQBRanks3040[[#This Row],[Player]],QB!B:O,5,FALSE)</f>
        <v>15.631473331449063</v>
      </c>
      <c r="G49" s="86">
        <f>VLOOKUP(TableQBRanks3040[[#This Row],[Player]],QB!B:O,6,FALSE)</f>
        <v>164.92402007411778</v>
      </c>
      <c r="H49" s="86">
        <f>VLOOKUP(TableQBRanks3040[[#This Row],[Player]],QB!B:O,7,FALSE)</f>
        <v>0.8632685331305876</v>
      </c>
      <c r="I49" s="86">
        <f>VLOOKUP(TableQBRanks3040[[#This Row],[Player]],QB!B:O,8,FALSE)</f>
        <v>0.65209895868144907</v>
      </c>
      <c r="J49" s="86">
        <f>VLOOKUP(TableQBRanks3040[[#This Row],[Player]],QB!B:O,9,FALSE)</f>
        <v>0</v>
      </c>
      <c r="K49" s="86">
        <f>VLOOKUP(TableQBRanks3040[[#This Row],[Player]],QB!B:O,10,FALSE)</f>
        <v>0</v>
      </c>
      <c r="L49" s="86">
        <f>VLOOKUP(TableQBRanks3040[[#This Row],[Player]],QB!B:O,11,FALSE)</f>
        <v>0</v>
      </c>
      <c r="M49" s="58">
        <f>VLOOKUP(TableQBRanks3040[[#This Row],[Player]],QB!B:O,13,FALSE)</f>
        <v>9.3979359768056128</v>
      </c>
      <c r="N49" s="133">
        <f>IF(VLOOKUP(TableQBRanks3040[[#This Row],[RK]],'Ranks w Proj'!$A:$N,14,FALSE)&lt;0,0,VLOOKUP(TableQBRanks3040[[#This Row],[RK]],'Ranks w Proj'!$A:$N,14,FALSE))</f>
        <v>0</v>
      </c>
      <c r="P49">
        <v>48</v>
      </c>
      <c r="Q49" t="str">
        <f>VLOOKUP(TableRBRanks3141[[#This Row],[RK]],Rankings!A:T,8,FALSE)</f>
        <v>Ty Chandler</v>
      </c>
      <c r="R49" t="str">
        <f>IFERROR(INDEX(TableRBCalcPts[TM],MATCH(TableRBRanks3141[[#This Row],[Player]],TableRBCalcPts[PLAYER],0)),"")</f>
        <v>MIN</v>
      </c>
      <c r="S49">
        <f>IFERROR(INDEX(TableRBCalcPts[BYE],MATCH(TableRBRanks3141[[#This Row],[Player]],TableRBCalcPts[PLAYER],0)),"")</f>
        <v>13</v>
      </c>
      <c r="T49" s="86">
        <f>VLOOKUP(TableRBRanks3141[[#This Row],[Player]],RB!B:O,4,FALSE)</f>
        <v>117.43598328000002</v>
      </c>
      <c r="U49" s="86">
        <f>VLOOKUP(TableRBRanks3141[[#This Row],[Player]],RB!B:O,5,FALSE)</f>
        <v>484.14447840238842</v>
      </c>
      <c r="V49" s="86">
        <f>VLOOKUP(TableRBRanks3141[[#This Row],[Player]],RB!B:O,6,FALSE)</f>
        <v>4.5800033479200009</v>
      </c>
      <c r="W49" s="86">
        <f>VLOOKUP(TableRBRanks3141[[#This Row],[Player]],RB!B:O,7,FALSE)</f>
        <v>31.338236159999987</v>
      </c>
      <c r="X49" s="86">
        <f>VLOOKUP(TableRBRanks3141[[#This Row],[Player]],RB!B:O,8,FALSE)</f>
        <v>21.372677061119994</v>
      </c>
      <c r="Y49" s="86">
        <f>VLOOKUP(TableRBRanks3141[[#This Row],[Player]],RB!B:O,9,FALSE)</f>
        <v>168.20296847101434</v>
      </c>
      <c r="Z49" s="86">
        <f>VLOOKUP(TableRBRanks3141[[#This Row],[Player]],RB!B:O,10,FALSE)</f>
        <v>0.6198076347724798</v>
      </c>
      <c r="AA49" s="58">
        <f>VLOOKUP(TableRBRanks3141[[#This Row],[Player]],RB!B:O,14,FALSE)</f>
        <v>107.11994911405516</v>
      </c>
      <c r="AB49" s="133">
        <f>IF(VLOOKUP(TableRBRanks3141[[#This Row],[RK]],'Ranks w Proj'!$P:$AB,13,FALSE)&lt;0,0,VLOOKUP(TableRBRanks3141[[#This Row],[RK]],'Ranks w Proj'!$P:$AB,13,FALSE))</f>
        <v>0</v>
      </c>
      <c r="AD49">
        <v>48</v>
      </c>
      <c r="AE49" t="str">
        <f>VLOOKUP(TableWRRanks3242[[#This Row],[RK]],Rankings!A:T,13,FALSE)</f>
        <v>Treylon Burks</v>
      </c>
      <c r="AF49" t="str">
        <f>IFERROR(INDEX(TableWRCalcPts[TM],MATCH(TableWRRanks3242[[#This Row],[Player]],TableWRCalcPts[PLAYER],0)),"")</f>
        <v>TEN</v>
      </c>
      <c r="AG49">
        <f>IFERROR(INDEX(TableWRCalcPts[BYE],MATCH(TableWRRanks3242[[#This Row],[Player]],TableWRCalcPts[PLAYER],0)),"")</f>
        <v>7</v>
      </c>
      <c r="AH49" s="86">
        <f>VLOOKUP(TableWRRanks3242[[#This Row],[Player]],WR!B:O,4,FALSE)</f>
        <v>0</v>
      </c>
      <c r="AI49" s="86">
        <f>VLOOKUP(TableWRRanks3242[[#This Row],[Player]],WR!B:O,5,FALSE)</f>
        <v>0</v>
      </c>
      <c r="AJ49" s="86">
        <f>VLOOKUP(TableWRRanks3242[[#This Row],[Player]],WR!B:O,6,FALSE)</f>
        <v>101.82115719999997</v>
      </c>
      <c r="AK49" s="86">
        <f>VLOOKUP(TableWRRanks3242[[#This Row],[Player]],WR!B:O,7,FALSE)</f>
        <v>62.053334057524253</v>
      </c>
      <c r="AL49" s="86">
        <f>VLOOKUP(TableWRRanks3242[[#This Row],[Player]],WR!B:O,8,FALSE)</f>
        <v>838.34054311715261</v>
      </c>
      <c r="AM49" s="86">
        <f>VLOOKUP(TableWRRanks3242[[#This Row],[Player]],WR!B:O,9,FALSE)</f>
        <v>5.2745333948895619</v>
      </c>
      <c r="AN49" s="58">
        <f>VLOOKUP(TableWRRanks3242[[#This Row],[Player]],WR!B:O,13,FALSE)</f>
        <v>146.50792170981475</v>
      </c>
      <c r="AO49" s="133">
        <f>IF(VLOOKUP(TableWRRanks3242[[#This Row],[RK]],'Ranks w Proj'!AD:AO,12,FALSE)&lt;0,0,VLOOKUP(TableWRRanks3242[[#This Row],[RK]],'Ranks w Proj'!AD:AO,12,FALSE))</f>
        <v>5.5533961703704326</v>
      </c>
      <c r="AQ49">
        <v>48</v>
      </c>
      <c r="AR49">
        <f>VLOOKUP(TableTERanks3343[[#This Row],[RK]],Rankings!A:T,18,FALSE)</f>
        <v>0</v>
      </c>
      <c r="AS49" t="str">
        <f>IFERROR(INDEX(TableTECalcPts[TM],MATCH(TableTERanks3343[[#This Row],[Player]],TableTECalcPts[PLAYER],0)),"")</f>
        <v/>
      </c>
      <c r="AT49" t="str">
        <f>IFERROR(INDEX(TableTECalcPts[BYE],MATCH(TableTERanks3343[[#This Row],[Player]],TableTECalcPts[PLAYER],0)),"")</f>
        <v/>
      </c>
      <c r="AU49" s="86">
        <f>VLOOKUP(TableTERanks3343[[#This Row],[Player]],TE!B:O,4,FALSE)</f>
        <v>0</v>
      </c>
      <c r="AV49" s="86">
        <f>VLOOKUP(TableTERanks3343[[#This Row],[Player]],TE!B:O,5,FALSE)</f>
        <v>0</v>
      </c>
      <c r="AW49" s="86">
        <f>VLOOKUP(TableTERanks3343[[#This Row],[Player]],TE!B:O,6,FALSE)</f>
        <v>0</v>
      </c>
      <c r="AX49" s="86">
        <f>VLOOKUP(TableTERanks3343[[#This Row],[Player]],TE!B:O,7,FALSE)</f>
        <v>0</v>
      </c>
      <c r="AY49" s="58">
        <f>VLOOKUP(TableTERanks3343[[#This Row],[Player]],TE!B:O,11,FALSE)</f>
        <v>0</v>
      </c>
      <c r="AZ49" s="133">
        <f>IF(VLOOKUP(TableTERanks3343[[#This Row],[RK]],'Ranks w Proj'!AQ:AZ,10,FALSE)&lt;0,0,VLOOKUP(TableTERanks3343[[#This Row],[RK]],'Ranks w Proj'!AQ:AZ,10,FALSE))</f>
        <v>0</v>
      </c>
    </row>
    <row r="50" spans="1:52" x14ac:dyDescent="0.2">
      <c r="A50">
        <v>49</v>
      </c>
      <c r="B50" t="str">
        <f>VLOOKUP(TableQBRanks3040[[#This Row],[RK]],Rankings!A:T,3,FALSE)</f>
        <v>Mitch Trubisky</v>
      </c>
      <c r="C50" t="str">
        <f>IFERROR(INDEX(TableQBCalcPts[TM],MATCH(TableQBRanks3040[[#This Row],[Player]],TableQBCalcPts[PLAYER],0)),"")</f>
        <v>PIT</v>
      </c>
      <c r="D50">
        <f>IFERROR(INDEX(TableQBCalcPts[BYE],MATCH(TableQBRanks3040[[#This Row],[Player]],TableQBCalcPts[PLAYER],0)),"")</f>
        <v>6</v>
      </c>
      <c r="E50" s="86">
        <f>VLOOKUP(TableQBRanks3040[[#This Row],[Player]],QB!B:O,4,FALSE)</f>
        <v>29.447250000000029</v>
      </c>
      <c r="F50" s="86">
        <f>VLOOKUP(TableQBRanks3040[[#This Row],[Player]],QB!B:O,5,FALSE)</f>
        <v>18.372576004164319</v>
      </c>
      <c r="G50" s="86">
        <f>VLOOKUP(TableQBRanks3040[[#This Row],[Player]],QB!B:O,6,FALSE)</f>
        <v>188.42991412868332</v>
      </c>
      <c r="H50" s="86">
        <f>VLOOKUP(TableQBRanks3040[[#This Row],[Player]],QB!B:O,7,FALSE)</f>
        <v>1.003018474001816</v>
      </c>
      <c r="I50" s="86">
        <f>VLOOKUP(TableQBRanks3040[[#This Row],[Player]],QB!B:O,8,FALSE)</f>
        <v>0.73235903843467198</v>
      </c>
      <c r="J50" s="86">
        <f>VLOOKUP(TableQBRanks3040[[#This Row],[Player]],QB!B:O,9,FALSE)</f>
        <v>0</v>
      </c>
      <c r="K50" s="86">
        <f>VLOOKUP(TableQBRanks3040[[#This Row],[Player]],QB!B:O,10,FALSE)</f>
        <v>0</v>
      </c>
      <c r="L50" s="86">
        <f>VLOOKUP(TableQBRanks3040[[#This Row],[Player]],QB!B:O,11,FALSE)</f>
        <v>0</v>
      </c>
      <c r="M50" s="58">
        <f>VLOOKUP(TableQBRanks3040[[#This Row],[Player]],QB!B:O,13,FALSE)</f>
        <v>10.816911422719926</v>
      </c>
      <c r="N50" s="133">
        <f>IF(VLOOKUP(TableQBRanks3040[[#This Row],[RK]],'Ranks w Proj'!$A:$N,14,FALSE)&lt;0,0,VLOOKUP(TableQBRanks3040[[#This Row],[RK]],'Ranks w Proj'!$A:$N,14,FALSE))</f>
        <v>0</v>
      </c>
      <c r="P50">
        <v>49</v>
      </c>
      <c r="Q50" t="str">
        <f>VLOOKUP(TableRBRanks3141[[#This Row],[RK]],Rankings!A:T,8,FALSE)</f>
        <v>Deon Jackson</v>
      </c>
      <c r="R50" t="str">
        <f>IFERROR(INDEX(TableRBCalcPts[TM],MATCH(TableRBRanks3141[[#This Row],[Player]],TableRBCalcPts[PLAYER],0)),"")</f>
        <v>IND</v>
      </c>
      <c r="S50">
        <f>IFERROR(INDEX(TableRBCalcPts[BYE],MATCH(TableRBRanks3141[[#This Row],[Player]],TableRBCalcPts[PLAYER],0)),"")</f>
        <v>11</v>
      </c>
      <c r="T50" s="86">
        <f>VLOOKUP(TableRBRanks3141[[#This Row],[Player]],RB!B:O,4,FALSE)</f>
        <v>80.281247199999996</v>
      </c>
      <c r="U50" s="86">
        <f>VLOOKUP(TableRBRanks3141[[#This Row],[Player]],RB!B:O,5,FALSE)</f>
        <v>351.63186273599996</v>
      </c>
      <c r="V50" s="86">
        <f>VLOOKUP(TableRBRanks3141[[#This Row],[Player]],RB!B:O,6,FALSE)</f>
        <v>2.9704061463999998</v>
      </c>
      <c r="W50" s="86">
        <f>VLOOKUP(TableRBRanks3141[[#This Row],[Player]],RB!B:O,7,FALSE)</f>
        <v>17.106566400000002</v>
      </c>
      <c r="X50" s="86">
        <f>VLOOKUP(TableRBRanks3141[[#This Row],[Player]],RB!B:O,8,FALSE)</f>
        <v>12.487793472000002</v>
      </c>
      <c r="Y50" s="86">
        <f>VLOOKUP(TableRBRanks3141[[#This Row],[Player]],RB!B:O,9,FALSE)</f>
        <v>95.281864191360015</v>
      </c>
      <c r="Z50" s="86">
        <f>VLOOKUP(TableRBRanks3141[[#This Row],[Player]],RB!B:O,10,FALSE)</f>
        <v>0.37463380416000003</v>
      </c>
      <c r="AA50" s="58">
        <f>VLOOKUP(TableRBRanks3141[[#This Row],[Player]],RB!B:O,14,FALSE)</f>
        <v>71.005509132096009</v>
      </c>
      <c r="AB50" s="133">
        <f>IF(VLOOKUP(TableRBRanks3141[[#This Row],[RK]],'Ranks w Proj'!$P:$AB,13,FALSE)&lt;0,0,VLOOKUP(TableRBRanks3141[[#This Row],[RK]],'Ranks w Proj'!$P:$AB,13,FALSE))</f>
        <v>0</v>
      </c>
      <c r="AD50">
        <v>49</v>
      </c>
      <c r="AE50" t="str">
        <f>VLOOKUP(TableWRRanks3242[[#This Row],[RK]],Rankings!A:T,13,FALSE)</f>
        <v>Zay Jones</v>
      </c>
      <c r="AF50" t="str">
        <f>IFERROR(INDEX(TableWRCalcPts[TM],MATCH(TableWRRanks3242[[#This Row],[Player]],TableWRCalcPts[PLAYER],0)),"")</f>
        <v>JAX</v>
      </c>
      <c r="AG50">
        <f>IFERROR(INDEX(TableWRCalcPts[BYE],MATCH(TableWRRanks3242[[#This Row],[Player]],TableWRCalcPts[PLAYER],0)),"")</f>
        <v>9</v>
      </c>
      <c r="AH50" s="86">
        <f>VLOOKUP(TableWRRanks3242[[#This Row],[Player]],WR!B:O,4,FALSE)</f>
        <v>0</v>
      </c>
      <c r="AI50" s="86">
        <f>VLOOKUP(TableWRRanks3242[[#This Row],[Player]],WR!B:O,5,FALSE)</f>
        <v>0</v>
      </c>
      <c r="AJ50" s="86">
        <f>VLOOKUP(TableWRRanks3242[[#This Row],[Player]],WR!B:O,6,FALSE)</f>
        <v>110.02105239999997</v>
      </c>
      <c r="AK50" s="86">
        <f>VLOOKUP(TableWRRanks3242[[#This Row],[Player]],WR!B:O,7,FALSE)</f>
        <v>70.876581235276305</v>
      </c>
      <c r="AL50" s="86">
        <f>VLOOKUP(TableWRRanks3242[[#This Row],[Player]],WR!B:O,8,FALSE)</f>
        <v>760.50650732479369</v>
      </c>
      <c r="AM50" s="86">
        <f>VLOOKUP(TableWRRanks3242[[#This Row],[Player]],WR!B:O,9,FALSE)</f>
        <v>6.4497688924101437</v>
      </c>
      <c r="AN50" s="58">
        <f>VLOOKUP(TableWRRanks3242[[#This Row],[Player]],WR!B:O,13,FALSE)</f>
        <v>150.18755470457839</v>
      </c>
      <c r="AO50" s="133">
        <f>IF(VLOOKUP(TableWRRanks3242[[#This Row],[RK]],'Ranks w Proj'!AD:AO,12,FALSE)&lt;0,0,VLOOKUP(TableWRRanks3242[[#This Row],[RK]],'Ranks w Proj'!AD:AO,12,FALSE))</f>
        <v>5.4827290751882813</v>
      </c>
      <c r="AQ50">
        <v>49</v>
      </c>
      <c r="AR50">
        <f>VLOOKUP(TableTERanks3343[[#This Row],[RK]],Rankings!A:T,18,FALSE)</f>
        <v>0</v>
      </c>
      <c r="AS50" t="str">
        <f>IFERROR(INDEX(TableTECalcPts[TM],MATCH(TableTERanks3343[[#This Row],[Player]],TableTECalcPts[PLAYER],0)),"")</f>
        <v/>
      </c>
      <c r="AT50" t="str">
        <f>IFERROR(INDEX(TableTECalcPts[BYE],MATCH(TableTERanks3343[[#This Row],[Player]],TableTECalcPts[PLAYER],0)),"")</f>
        <v/>
      </c>
      <c r="AU50" s="86">
        <f>VLOOKUP(TableTERanks3343[[#This Row],[Player]],TE!B:O,4,FALSE)</f>
        <v>0</v>
      </c>
      <c r="AV50" s="86">
        <f>VLOOKUP(TableTERanks3343[[#This Row],[Player]],TE!B:O,5,FALSE)</f>
        <v>0</v>
      </c>
      <c r="AW50" s="86">
        <f>VLOOKUP(TableTERanks3343[[#This Row],[Player]],TE!B:O,6,FALSE)</f>
        <v>0</v>
      </c>
      <c r="AX50" s="86">
        <f>VLOOKUP(TableTERanks3343[[#This Row],[Player]],TE!B:O,7,FALSE)</f>
        <v>0</v>
      </c>
      <c r="AY50" s="58">
        <f>VLOOKUP(TableTERanks3343[[#This Row],[Player]],TE!B:O,11,FALSE)</f>
        <v>0</v>
      </c>
      <c r="AZ50" s="133">
        <f>IF(VLOOKUP(TableTERanks3343[[#This Row],[RK]],'Ranks w Proj'!AQ:AZ,10,FALSE)&lt;0,0,VLOOKUP(TableTERanks3343[[#This Row],[RK]],'Ranks w Proj'!AQ:AZ,10,FALSE))</f>
        <v>0</v>
      </c>
    </row>
    <row r="51" spans="1:52" x14ac:dyDescent="0.2">
      <c r="A51">
        <v>50</v>
      </c>
      <c r="B51" t="str">
        <f>VLOOKUP(TableQBRanks3040[[#This Row],[RK]],Rankings!A:T,3,FALSE)</f>
        <v>Jameis Winston</v>
      </c>
      <c r="C51" t="str">
        <f>IFERROR(INDEX(TableQBCalcPts[TM],MATCH(TableQBRanks3040[[#This Row],[Player]],TableQBCalcPts[PLAYER],0)),"")</f>
        <v>NO</v>
      </c>
      <c r="D51">
        <f>IFERROR(INDEX(TableQBCalcPts[BYE],MATCH(TableQBRanks3040[[#This Row],[Player]],TableQBCalcPts[PLAYER],0)),"")</f>
        <v>11</v>
      </c>
      <c r="E51" s="86">
        <f>VLOOKUP(TableQBRanks3040[[#This Row],[Player]],QB!B:O,4,FALSE)</f>
        <v>16.543800000000029</v>
      </c>
      <c r="F51" s="86">
        <f>VLOOKUP(TableQBRanks3040[[#This Row],[Player]],QB!B:O,5,FALSE)</f>
        <v>10.406050200000019</v>
      </c>
      <c r="G51" s="86">
        <f>VLOOKUP(TableQBRanks3040[[#This Row],[Player]],QB!B:O,6,FALSE)</f>
        <v>112.1772211560002</v>
      </c>
      <c r="H51" s="86">
        <f>VLOOKUP(TableQBRanks3040[[#This Row],[Player]],QB!B:O,7,FALSE)</f>
        <v>0.63476906220000118</v>
      </c>
      <c r="I51" s="86">
        <f>VLOOKUP(TableQBRanks3040[[#This Row],[Player]],QB!B:O,8,FALSE)</f>
        <v>0.44746015860000077</v>
      </c>
      <c r="J51" s="86">
        <f>VLOOKUP(TableQBRanks3040[[#This Row],[Player]],QB!B:O,9,FALSE)</f>
        <v>2.2468459999999997</v>
      </c>
      <c r="K51" s="86">
        <f>VLOOKUP(TableQBRanks3040[[#This Row],[Player]],QB!B:O,10,FALSE)</f>
        <v>8.5380147999999991</v>
      </c>
      <c r="L51" s="86">
        <f>VLOOKUP(TableQBRanks3040[[#This Row],[Player]],QB!B:O,11,FALSE)</f>
        <v>6.7405379999999987E-2</v>
      </c>
      <c r="M51" s="58">
        <f>VLOOKUP(TableQBRanks3040[[#This Row],[Player]],QB!B:O,13,FALSE)</f>
        <v>7.8369386964400114</v>
      </c>
      <c r="N51" s="133">
        <f>IF(VLOOKUP(TableQBRanks3040[[#This Row],[RK]],'Ranks w Proj'!$A:$N,14,FALSE)&lt;0,0,VLOOKUP(TableQBRanks3040[[#This Row],[RK]],'Ranks w Proj'!$A:$N,14,FALSE))</f>
        <v>0</v>
      </c>
      <c r="P51">
        <v>50</v>
      </c>
      <c r="Q51" t="str">
        <f>VLOOKUP(TableRBRanks3141[[#This Row],[RK]],Rankings!A:T,8,FALSE)</f>
        <v>Deuce Vaughn</v>
      </c>
      <c r="R51" t="str">
        <f>IFERROR(INDEX(TableRBCalcPts[TM],MATCH(TableRBRanks3141[[#This Row],[Player]],TableRBCalcPts[PLAYER],0)),"")</f>
        <v>DAL</v>
      </c>
      <c r="S51">
        <f>IFERROR(INDEX(TableRBCalcPts[BYE],MATCH(TableRBRanks3141[[#This Row],[Player]],TableRBCalcPts[PLAYER],0)),"")</f>
        <v>7</v>
      </c>
      <c r="T51" s="86">
        <f>VLOOKUP(TableRBRanks3141[[#This Row],[Player]],RB!B:O,4,FALSE)</f>
        <v>90.898590719999987</v>
      </c>
      <c r="U51" s="86">
        <f>VLOOKUP(TableRBRanks3141[[#This Row],[Player]],RB!B:O,5,FALSE)</f>
        <v>391.77292600319993</v>
      </c>
      <c r="V51" s="86">
        <f>VLOOKUP(TableRBRanks3141[[#This Row],[Player]],RB!B:O,6,FALSE)</f>
        <v>3.4541464473599994</v>
      </c>
      <c r="W51" s="86">
        <f>VLOOKUP(TableRBRanks3141[[#This Row],[Player]],RB!B:O,7,FALSE)</f>
        <v>57.125376000000003</v>
      </c>
      <c r="X51" s="86">
        <f>VLOOKUP(TableRBRanks3141[[#This Row],[Player]],RB!B:O,8,FALSE)</f>
        <v>37.92015152966178</v>
      </c>
      <c r="Y51" s="86">
        <f>VLOOKUP(TableRBRanks3141[[#This Row],[Player]],RB!B:O,9,FALSE)</f>
        <v>315.42060300313875</v>
      </c>
      <c r="Z51" s="86">
        <f>VLOOKUP(TableRBRanks3141[[#This Row],[Player]],RB!B:O,10,FALSE)</f>
        <v>2.0097680310720745</v>
      </c>
      <c r="AA51" s="58">
        <f>VLOOKUP(TableRBRanks3141[[#This Row],[Player]],RB!B:O,14,FALSE)</f>
        <v>122.46291553605721</v>
      </c>
      <c r="AB51" s="133">
        <f>IF(VLOOKUP(TableRBRanks3141[[#This Row],[RK]],'Ranks w Proj'!$P:$AB,13,FALSE)&lt;0,0,VLOOKUP(TableRBRanks3141[[#This Row],[RK]],'Ranks w Proj'!$P:$AB,13,FALSE))</f>
        <v>0</v>
      </c>
      <c r="AD51">
        <v>50</v>
      </c>
      <c r="AE51" t="str">
        <f>VLOOKUP(TableWRRanks3242[[#This Row],[RK]],Rankings!A:T,13,FALSE)</f>
        <v>Odell Beckham</v>
      </c>
      <c r="AF51" t="str">
        <f>IFERROR(INDEX(TableWRCalcPts[TM],MATCH(TableWRRanks3242[[#This Row],[Player]],TableWRCalcPts[PLAYER],0)),"")</f>
        <v>BAL</v>
      </c>
      <c r="AG51">
        <f>IFERROR(INDEX(TableWRCalcPts[BYE],MATCH(TableWRRanks3242[[#This Row],[Player]],TableWRCalcPts[PLAYER],0)),"")</f>
        <v>13</v>
      </c>
      <c r="AH51" s="86">
        <f>VLOOKUP(TableWRRanks3242[[#This Row],[Player]],WR!B:O,4,FALSE)</f>
        <v>0</v>
      </c>
      <c r="AI51" s="86">
        <f>VLOOKUP(TableWRRanks3242[[#This Row],[Player]],WR!B:O,5,FALSE)</f>
        <v>0</v>
      </c>
      <c r="AJ51" s="86">
        <f>VLOOKUP(TableWRRanks3242[[#This Row],[Player]],WR!B:O,6,FALSE)</f>
        <v>98.370330240000001</v>
      </c>
      <c r="AK51" s="86">
        <f>VLOOKUP(TableWRRanks3242[[#This Row],[Player]],WR!B:O,7,FALSE)</f>
        <v>58.235736778513441</v>
      </c>
      <c r="AL51" s="86">
        <f>VLOOKUP(TableWRRanks3242[[#This Row],[Player]],WR!B:O,8,FALSE)</f>
        <v>745.4174307649721</v>
      </c>
      <c r="AM51" s="86">
        <f>VLOOKUP(TableWRRanks3242[[#This Row],[Player]],WR!B:O,9,FALSE)</f>
        <v>5.5323949939587767</v>
      </c>
      <c r="AN51" s="58">
        <f>VLOOKUP(TableWRRanks3242[[#This Row],[Player]],WR!B:O,13,FALSE)</f>
        <v>136.85398142950658</v>
      </c>
      <c r="AO51" s="133">
        <f>IF(VLOOKUP(TableWRRanks3242[[#This Row],[RK]],'Ranks w Proj'!AD:AO,12,FALSE)&lt;0,0,VLOOKUP(TableWRRanks3242[[#This Row],[RK]],'Ranks w Proj'!AD:AO,12,FALSE))</f>
        <v>5.0075787287195617</v>
      </c>
      <c r="AQ51">
        <v>50</v>
      </c>
      <c r="AR51">
        <f>VLOOKUP(TableTERanks3343[[#This Row],[RK]],Rankings!A:T,18,FALSE)</f>
        <v>0</v>
      </c>
      <c r="AS51" t="str">
        <f>IFERROR(INDEX(TableTECalcPts[TM],MATCH(TableTERanks3343[[#This Row],[Player]],TableTECalcPts[PLAYER],0)),"")</f>
        <v/>
      </c>
      <c r="AT51" t="str">
        <f>IFERROR(INDEX(TableTECalcPts[BYE],MATCH(TableTERanks3343[[#This Row],[Player]],TableTECalcPts[PLAYER],0)),"")</f>
        <v/>
      </c>
      <c r="AU51" s="86">
        <f>VLOOKUP(TableTERanks3343[[#This Row],[Player]],TE!B:O,4,FALSE)</f>
        <v>0</v>
      </c>
      <c r="AV51" s="86">
        <f>VLOOKUP(TableTERanks3343[[#This Row],[Player]],TE!B:O,5,FALSE)</f>
        <v>0</v>
      </c>
      <c r="AW51" s="86">
        <f>VLOOKUP(TableTERanks3343[[#This Row],[Player]],TE!B:O,6,FALSE)</f>
        <v>0</v>
      </c>
      <c r="AX51" s="86">
        <f>VLOOKUP(TableTERanks3343[[#This Row],[Player]],TE!B:O,7,FALSE)</f>
        <v>0</v>
      </c>
      <c r="AY51" s="58">
        <f>VLOOKUP(TableTERanks3343[[#This Row],[Player]],TE!B:O,11,FALSE)</f>
        <v>0</v>
      </c>
      <c r="AZ51" s="133">
        <f>IF(VLOOKUP(TableTERanks3343[[#This Row],[RK]],'Ranks w Proj'!AQ:AZ,10,FALSE)&lt;0,0,VLOOKUP(TableTERanks3343[[#This Row],[RK]],'Ranks w Proj'!AQ:AZ,10,FALSE))</f>
        <v>0</v>
      </c>
    </row>
    <row r="52" spans="1:52" x14ac:dyDescent="0.2">
      <c r="A52">
        <v>51</v>
      </c>
      <c r="B52">
        <f>VLOOKUP(TableQBRanks3040[[#This Row],[RK]],Rankings!A:T,3,FALSE)</f>
        <v>0</v>
      </c>
      <c r="C52" t="str">
        <f>IFERROR(INDEX(TableQBCalcPts[TM],MATCH(TableQBRanks3040[[#This Row],[Player]],TableQBCalcPts[PLAYER],0)),"")</f>
        <v/>
      </c>
      <c r="D52" t="str">
        <f>IFERROR(INDEX(TableQBCalcPts[BYE],MATCH(TableQBRanks3040[[#This Row],[Player]],TableQBCalcPts[PLAYER],0)),"")</f>
        <v/>
      </c>
      <c r="E52" s="86">
        <f>VLOOKUP(TableQBRanks3040[[#This Row],[Player]],QB!B:O,4,FALSE)</f>
        <v>30.022649999999999</v>
      </c>
      <c r="F52" s="86">
        <f>VLOOKUP(TableQBRanks3040[[#This Row],[Player]],QB!B:O,5,FALSE)</f>
        <v>18.957690112213761</v>
      </c>
      <c r="G52" s="86">
        <f>VLOOKUP(TableQBRanks3040[[#This Row],[Player]],QB!B:O,6,FALSE)</f>
        <v>203.98474560742008</v>
      </c>
      <c r="H52" s="86">
        <f>VLOOKUP(TableQBRanks3040[[#This Row],[Player]],QB!B:O,7,FALSE)</f>
        <v>1.3858071472028259</v>
      </c>
      <c r="I52" s="86">
        <f>VLOOKUP(TableQBRanks3040[[#This Row],[Player]],QB!B:O,8,FALSE)</f>
        <v>0.74387271583779924</v>
      </c>
      <c r="J52" s="86">
        <f>VLOOKUP(TableQBRanks3040[[#This Row],[Player]],QB!B:O,9,FALSE)</f>
        <v>2.2468803000000004</v>
      </c>
      <c r="K52" s="86">
        <f>VLOOKUP(TableQBRanks3040[[#This Row],[Player]],QB!B:O,10,FALSE)</f>
        <v>6.5114942493224293</v>
      </c>
      <c r="L52" s="86">
        <f>VLOOKUP(TableQBRanks3040[[#This Row],[Player]],QB!B:O,11,FALSE)</f>
        <v>4.1573164207364309E-2</v>
      </c>
      <c r="M52" s="58">
        <f>VLOOKUP(TableQBRanks3040[[#This Row],[Player]],QB!B:O,13,FALSE)</f>
        <v>13.859334107446738</v>
      </c>
      <c r="N52" s="133">
        <f>IF(VLOOKUP(TableQBRanks3040[[#This Row],[RK]],'Ranks w Proj'!$A:$N,14,FALSE)&lt;0,0,VLOOKUP(TableQBRanks3040[[#This Row],[RK]],'Ranks w Proj'!$A:$N,14,FALSE))</f>
        <v>0</v>
      </c>
      <c r="P52">
        <v>51</v>
      </c>
      <c r="Q52" t="str">
        <f>VLOOKUP(TableRBRanks3141[[#This Row],[RK]],Rankings!A:T,8,FALSE)</f>
        <v>Gus Edwards</v>
      </c>
      <c r="R52" t="str">
        <f>IFERROR(INDEX(TableRBCalcPts[TM],MATCH(TableRBRanks3141[[#This Row],[Player]],TableRBCalcPts[PLAYER],0)),"")</f>
        <v>BAL</v>
      </c>
      <c r="S52">
        <f>IFERROR(INDEX(TableRBCalcPts[BYE],MATCH(TableRBRanks3141[[#This Row],[Player]],TableRBCalcPts[PLAYER],0)),"")</f>
        <v>13</v>
      </c>
      <c r="T52" s="86">
        <f>VLOOKUP(TableRBRanks3141[[#This Row],[Player]],RB!B:O,4,FALSE)</f>
        <v>110.72989031999998</v>
      </c>
      <c r="U52" s="86">
        <f>VLOOKUP(TableRBRanks3141[[#This Row],[Player]],RB!B:O,5,FALSE)</f>
        <v>546.75708779792967</v>
      </c>
      <c r="V52" s="86">
        <f>VLOOKUP(TableRBRanks3141[[#This Row],[Player]],RB!B:O,6,FALSE)</f>
        <v>4.4783582283252725</v>
      </c>
      <c r="W52" s="86">
        <f>VLOOKUP(TableRBRanks3141[[#This Row],[Player]],RB!B:O,7,FALSE)</f>
        <v>5.3462136000000005</v>
      </c>
      <c r="X52" s="86">
        <f>VLOOKUP(TableRBRanks3141[[#This Row],[Player]],RB!B:O,8,FALSE)</f>
        <v>4.1569887408982078</v>
      </c>
      <c r="Y52" s="86">
        <f>VLOOKUP(TableRBRanks3141[[#This Row],[Player]],RB!B:O,9,FALSE)</f>
        <v>28.724792199606618</v>
      </c>
      <c r="Z52" s="86">
        <f>VLOOKUP(TableRBRanks3141[[#This Row],[Player]],RB!B:O,10,FALSE)</f>
        <v>0.12470966222694622</v>
      </c>
      <c r="AA52" s="58">
        <f>VLOOKUP(TableRBRanks3141[[#This Row],[Player]],RB!B:O,14,FALSE)</f>
        <v>87.245089713516052</v>
      </c>
      <c r="AB52" s="133">
        <f>IF(VLOOKUP(TableRBRanks3141[[#This Row],[RK]],'Ranks w Proj'!$P:$AB,13,FALSE)&lt;0,0,VLOOKUP(TableRBRanks3141[[#This Row],[RK]],'Ranks w Proj'!$P:$AB,13,FALSE))</f>
        <v>0</v>
      </c>
      <c r="AD52">
        <v>51</v>
      </c>
      <c r="AE52" t="str">
        <f>VLOOKUP(TableWRRanks3242[[#This Row],[RK]],Rankings!A:T,13,FALSE)</f>
        <v>JuJu Smith-Schuster</v>
      </c>
      <c r="AF52" t="str">
        <f>IFERROR(INDEX(TableWRCalcPts[TM],MATCH(TableWRRanks3242[[#This Row],[Player]],TableWRCalcPts[PLAYER],0)),"")</f>
        <v>NE</v>
      </c>
      <c r="AG52">
        <f>IFERROR(INDEX(TableWRCalcPts[BYE],MATCH(TableWRRanks3242[[#This Row],[Player]],TableWRCalcPts[PLAYER],0)),"")</f>
        <v>11</v>
      </c>
      <c r="AH52" s="86">
        <f>VLOOKUP(TableWRRanks3242[[#This Row],[Player]],WR!B:O,4,FALSE)</f>
        <v>0</v>
      </c>
      <c r="AI52" s="86">
        <f>VLOOKUP(TableWRRanks3242[[#This Row],[Player]],WR!B:O,5,FALSE)</f>
        <v>0</v>
      </c>
      <c r="AJ52" s="86">
        <f>VLOOKUP(TableWRRanks3242[[#This Row],[Player]],WR!B:O,6,FALSE)</f>
        <v>97.550942439999972</v>
      </c>
      <c r="AK52" s="86">
        <f>VLOOKUP(TableWRRanks3242[[#This Row],[Player]],WR!B:O,7,FALSE)</f>
        <v>67.700354053359973</v>
      </c>
      <c r="AL52" s="86">
        <f>VLOOKUP(TableWRRanks3242[[#This Row],[Player]],WR!B:O,8,FALSE)</f>
        <v>751.0819543208338</v>
      </c>
      <c r="AM52" s="86">
        <f>VLOOKUP(TableWRRanks3242[[#This Row],[Player]],WR!B:O,9,FALSE)</f>
        <v>3.9943208891482382</v>
      </c>
      <c r="AN52" s="58">
        <f>VLOOKUP(TableWRRanks3242[[#This Row],[Player]],WR!B:O,13,FALSE)</f>
        <v>132.92429779365278</v>
      </c>
      <c r="AO52" s="133">
        <f>IF(VLOOKUP(TableWRRanks3242[[#This Row],[RK]],'Ranks w Proj'!AD:AO,12,FALSE)&lt;0,0,VLOOKUP(TableWRRanks3242[[#This Row],[RK]],'Ranks w Proj'!AD:AO,12,FALSE))</f>
        <v>4.9404050420554642</v>
      </c>
      <c r="AQ52">
        <v>51</v>
      </c>
      <c r="AR52">
        <f>VLOOKUP(TableTERanks3343[[#This Row],[RK]],Rankings!A:T,18,FALSE)</f>
        <v>0</v>
      </c>
      <c r="AS52" t="str">
        <f>IFERROR(INDEX(TableTECalcPts[TM],MATCH(TableTERanks3343[[#This Row],[Player]],TableTECalcPts[PLAYER],0)),"")</f>
        <v/>
      </c>
      <c r="AT52" t="str">
        <f>IFERROR(INDEX(TableTECalcPts[BYE],MATCH(TableTERanks3343[[#This Row],[Player]],TableTECalcPts[PLAYER],0)),"")</f>
        <v/>
      </c>
      <c r="AU52" s="86">
        <f>VLOOKUP(TableTERanks3343[[#This Row],[Player]],TE!B:O,4,FALSE)</f>
        <v>0</v>
      </c>
      <c r="AV52" s="86">
        <f>VLOOKUP(TableTERanks3343[[#This Row],[Player]],TE!B:O,5,FALSE)</f>
        <v>0</v>
      </c>
      <c r="AW52" s="86">
        <f>VLOOKUP(TableTERanks3343[[#This Row],[Player]],TE!B:O,6,FALSE)</f>
        <v>0</v>
      </c>
      <c r="AX52" s="86">
        <f>VLOOKUP(TableTERanks3343[[#This Row],[Player]],TE!B:O,7,FALSE)</f>
        <v>0</v>
      </c>
      <c r="AY52" s="58">
        <f>VLOOKUP(TableTERanks3343[[#This Row],[Player]],TE!B:O,11,FALSE)</f>
        <v>0</v>
      </c>
      <c r="AZ52" s="133">
        <f>IF(VLOOKUP(TableTERanks3343[[#This Row],[RK]],'Ranks w Proj'!AQ:AZ,10,FALSE)&lt;0,0,VLOOKUP(TableTERanks3343[[#This Row],[RK]],'Ranks w Proj'!AQ:AZ,10,FALSE))</f>
        <v>0</v>
      </c>
    </row>
    <row r="53" spans="1:52" x14ac:dyDescent="0.2">
      <c r="A53">
        <v>52</v>
      </c>
      <c r="B53">
        <f>VLOOKUP(TableQBRanks3040[[#This Row],[RK]],Rankings!A:T,3,FALSE)</f>
        <v>0</v>
      </c>
      <c r="C53" t="str">
        <f>IFERROR(INDEX(TableQBCalcPts[TM],MATCH(TableQBRanks3040[[#This Row],[Player]],TableQBCalcPts[PLAYER],0)),"")</f>
        <v/>
      </c>
      <c r="D53" t="str">
        <f>IFERROR(INDEX(TableQBCalcPts[BYE],MATCH(TableQBRanks3040[[#This Row],[Player]],TableQBCalcPts[PLAYER],0)),"")</f>
        <v/>
      </c>
      <c r="E53" s="86">
        <f>VLOOKUP(TableQBRanks3040[[#This Row],[Player]],QB!B:O,4,FALSE)</f>
        <v>30.022649999999999</v>
      </c>
      <c r="F53" s="86">
        <f>VLOOKUP(TableQBRanks3040[[#This Row],[Player]],QB!B:O,5,FALSE)</f>
        <v>18.957690112213761</v>
      </c>
      <c r="G53" s="86">
        <f>VLOOKUP(TableQBRanks3040[[#This Row],[Player]],QB!B:O,6,FALSE)</f>
        <v>203.98474560742008</v>
      </c>
      <c r="H53" s="86">
        <f>VLOOKUP(TableQBRanks3040[[#This Row],[Player]],QB!B:O,7,FALSE)</f>
        <v>1.3858071472028259</v>
      </c>
      <c r="I53" s="86">
        <f>VLOOKUP(TableQBRanks3040[[#This Row],[Player]],QB!B:O,8,FALSE)</f>
        <v>0.74387271583779924</v>
      </c>
      <c r="J53" s="86">
        <f>VLOOKUP(TableQBRanks3040[[#This Row],[Player]],QB!B:O,9,FALSE)</f>
        <v>2.2468803000000004</v>
      </c>
      <c r="K53" s="86">
        <f>VLOOKUP(TableQBRanks3040[[#This Row],[Player]],QB!B:O,10,FALSE)</f>
        <v>6.5114942493224293</v>
      </c>
      <c r="L53" s="86">
        <f>VLOOKUP(TableQBRanks3040[[#This Row],[Player]],QB!B:O,11,FALSE)</f>
        <v>4.1573164207364309E-2</v>
      </c>
      <c r="M53" s="58">
        <f>VLOOKUP(TableQBRanks3040[[#This Row],[Player]],QB!B:O,13,FALSE)</f>
        <v>13.859334107446738</v>
      </c>
      <c r="N53" s="133">
        <f>IF(VLOOKUP(TableQBRanks3040[[#This Row],[RK]],'Ranks w Proj'!$A:$N,14,FALSE)&lt;0,0,VLOOKUP(TableQBRanks3040[[#This Row],[RK]],'Ranks w Proj'!$A:$N,14,FALSE))</f>
        <v>0</v>
      </c>
      <c r="P53">
        <v>52</v>
      </c>
      <c r="Q53" t="str">
        <f>VLOOKUP(TableRBRanks3141[[#This Row],[RK]],Rankings!A:T,8,FALSE)</f>
        <v>Elijah Mitchell</v>
      </c>
      <c r="R53" t="str">
        <f>IFERROR(INDEX(TableRBCalcPts[TM],MATCH(TableRBRanks3141[[#This Row],[Player]],TableRBCalcPts[PLAYER],0)),"")</f>
        <v>SF</v>
      </c>
      <c r="S53">
        <f>IFERROR(INDEX(TableRBCalcPts[BYE],MATCH(TableRBRanks3141[[#This Row],[Player]],TableRBCalcPts[PLAYER],0)),"")</f>
        <v>9</v>
      </c>
      <c r="T53" s="86">
        <f>VLOOKUP(TableRBRanks3141[[#This Row],[Player]],RB!B:O,4,FALSE)</f>
        <v>114.90796352</v>
      </c>
      <c r="U53" s="86">
        <f>VLOOKUP(TableRBRanks3141[[#This Row],[Player]],RB!B:O,5,FALSE)</f>
        <v>523.98031365119994</v>
      </c>
      <c r="V53" s="86">
        <f>VLOOKUP(TableRBRanks3141[[#This Row],[Player]],RB!B:O,6,FALSE)</f>
        <v>5.2857663219199997</v>
      </c>
      <c r="W53" s="86">
        <f>VLOOKUP(TableRBRanks3141[[#This Row],[Player]],RB!B:O,7,FALSE)</f>
        <v>19.05640674</v>
      </c>
      <c r="X53" s="86">
        <f>VLOOKUP(TableRBRanks3141[[#This Row],[Player]],RB!B:O,8,FALSE)</f>
        <v>13.56816159888</v>
      </c>
      <c r="Y53" s="86">
        <f>VLOOKUP(TableRBRanks3141[[#This Row],[Player]],RB!B:O,9,FALSE)</f>
        <v>105.2889340073088</v>
      </c>
      <c r="Z53" s="86">
        <f>VLOOKUP(TableRBRanks3141[[#This Row],[Player]],RB!B:O,10,FALSE)</f>
        <v>0.52915830235632</v>
      </c>
      <c r="AA53" s="58">
        <f>VLOOKUP(TableRBRanks3141[[#This Row],[Player]],RB!B:O,14,FALSE)</f>
        <v>104.6005533109488</v>
      </c>
      <c r="AB53" s="133">
        <f>IF(VLOOKUP(TableRBRanks3141[[#This Row],[RK]],'Ranks w Proj'!$P:$AB,13,FALSE)&lt;0,0,VLOOKUP(TableRBRanks3141[[#This Row],[RK]],'Ranks w Proj'!$P:$AB,13,FALSE))</f>
        <v>0</v>
      </c>
      <c r="AD53">
        <v>52</v>
      </c>
      <c r="AE53" t="str">
        <f>VLOOKUP(TableWRRanks3242[[#This Row],[RK]],Rankings!A:T,13,FALSE)</f>
        <v>Marquez Valdes-Scantling</v>
      </c>
      <c r="AF53" t="str">
        <f>IFERROR(INDEX(TableWRCalcPts[TM],MATCH(TableWRRanks3242[[#This Row],[Player]],TableWRCalcPts[PLAYER],0)),"")</f>
        <v>KC</v>
      </c>
      <c r="AG53">
        <f>IFERROR(INDEX(TableWRCalcPts[BYE],MATCH(TableWRRanks3242[[#This Row],[Player]],TableWRCalcPts[PLAYER],0)),"")</f>
        <v>10</v>
      </c>
      <c r="AH53" s="86">
        <f>VLOOKUP(TableWRRanks3242[[#This Row],[Player]],WR!B:O,4,FALSE)</f>
        <v>0</v>
      </c>
      <c r="AI53" s="86">
        <f>VLOOKUP(TableWRRanks3242[[#This Row],[Player]],WR!B:O,5,FALSE)</f>
        <v>0</v>
      </c>
      <c r="AJ53" s="86">
        <f>VLOOKUP(TableWRRanks3242[[#This Row],[Player]],WR!B:O,6,FALSE)</f>
        <v>97.426296239999985</v>
      </c>
      <c r="AK53" s="86">
        <f>VLOOKUP(TableWRRanks3242[[#This Row],[Player]],WR!B:O,7,FALSE)</f>
        <v>52.978061664055602</v>
      </c>
      <c r="AL53" s="86">
        <f>VLOOKUP(TableWRRanks3242[[#This Row],[Player]],WR!B:O,8,FALSE)</f>
        <v>821.15995579286187</v>
      </c>
      <c r="AM53" s="86">
        <f>VLOOKUP(TableWRRanks3242[[#This Row],[Player]],WR!B:O,9,FALSE)</f>
        <v>6.8341699546631727</v>
      </c>
      <c r="AN53" s="58">
        <f>VLOOKUP(TableWRRanks3242[[#This Row],[Player]],WR!B:O,13,FALSE)</f>
        <v>149.61004613929302</v>
      </c>
      <c r="AO53" s="133">
        <f>IF(VLOOKUP(TableWRRanks3242[[#This Row],[RK]],'Ranks w Proj'!AD:AO,12,FALSE)&lt;0,0,VLOOKUP(TableWRRanks3242[[#This Row],[RK]],'Ranks w Proj'!AD:AO,12,FALSE))</f>
        <v>3.055847974341583</v>
      </c>
      <c r="AQ53">
        <v>52</v>
      </c>
      <c r="AR53">
        <f>VLOOKUP(TableTERanks3343[[#This Row],[RK]],Rankings!A:T,18,FALSE)</f>
        <v>0</v>
      </c>
      <c r="AS53" t="str">
        <f>IFERROR(INDEX(TableTECalcPts[TM],MATCH(TableTERanks3343[[#This Row],[Player]],TableTECalcPts[PLAYER],0)),"")</f>
        <v/>
      </c>
      <c r="AT53" t="str">
        <f>IFERROR(INDEX(TableTECalcPts[BYE],MATCH(TableTERanks3343[[#This Row],[Player]],TableTECalcPts[PLAYER],0)),"")</f>
        <v/>
      </c>
      <c r="AU53" s="86">
        <f>VLOOKUP(TableTERanks3343[[#This Row],[Player]],TE!B:O,4,FALSE)</f>
        <v>0</v>
      </c>
      <c r="AV53" s="86">
        <f>VLOOKUP(TableTERanks3343[[#This Row],[Player]],TE!B:O,5,FALSE)</f>
        <v>0</v>
      </c>
      <c r="AW53" s="86">
        <f>VLOOKUP(TableTERanks3343[[#This Row],[Player]],TE!B:O,6,FALSE)</f>
        <v>0</v>
      </c>
      <c r="AX53" s="86">
        <f>VLOOKUP(TableTERanks3343[[#This Row],[Player]],TE!B:O,7,FALSE)</f>
        <v>0</v>
      </c>
      <c r="AY53" s="58">
        <f>VLOOKUP(TableTERanks3343[[#This Row],[Player]],TE!B:O,11,FALSE)</f>
        <v>0</v>
      </c>
      <c r="AZ53" s="133">
        <f>IF(VLOOKUP(TableTERanks3343[[#This Row],[RK]],'Ranks w Proj'!AQ:AZ,10,FALSE)&lt;0,0,VLOOKUP(TableTERanks3343[[#This Row],[RK]],'Ranks w Proj'!AQ:AZ,10,FALSE))</f>
        <v>0</v>
      </c>
    </row>
    <row r="54" spans="1:52" x14ac:dyDescent="0.2">
      <c r="A54">
        <v>53</v>
      </c>
      <c r="B54">
        <f>VLOOKUP(TableQBRanks3040[[#This Row],[RK]],Rankings!A:T,3,FALSE)</f>
        <v>0</v>
      </c>
      <c r="C54" t="str">
        <f>IFERROR(INDEX(TableQBCalcPts[TM],MATCH(TableQBRanks3040[[#This Row],[Player]],TableQBCalcPts[PLAYER],0)),"")</f>
        <v/>
      </c>
      <c r="D54" t="str">
        <f>IFERROR(INDEX(TableQBCalcPts[BYE],MATCH(TableQBRanks3040[[#This Row],[Player]],TableQBCalcPts[PLAYER],0)),"")</f>
        <v/>
      </c>
      <c r="E54" s="86">
        <f>VLOOKUP(TableQBRanks3040[[#This Row],[Player]],QB!B:O,4,FALSE)</f>
        <v>30.022649999999999</v>
      </c>
      <c r="F54" s="86">
        <f>VLOOKUP(TableQBRanks3040[[#This Row],[Player]],QB!B:O,5,FALSE)</f>
        <v>18.957690112213761</v>
      </c>
      <c r="G54" s="86">
        <f>VLOOKUP(TableQBRanks3040[[#This Row],[Player]],QB!B:O,6,FALSE)</f>
        <v>203.98474560742008</v>
      </c>
      <c r="H54" s="86">
        <f>VLOOKUP(TableQBRanks3040[[#This Row],[Player]],QB!B:O,7,FALSE)</f>
        <v>1.3858071472028259</v>
      </c>
      <c r="I54" s="86">
        <f>VLOOKUP(TableQBRanks3040[[#This Row],[Player]],QB!B:O,8,FALSE)</f>
        <v>0.74387271583779924</v>
      </c>
      <c r="J54" s="86">
        <f>VLOOKUP(TableQBRanks3040[[#This Row],[Player]],QB!B:O,9,FALSE)</f>
        <v>2.2468803000000004</v>
      </c>
      <c r="K54" s="86">
        <f>VLOOKUP(TableQBRanks3040[[#This Row],[Player]],QB!B:O,10,FALSE)</f>
        <v>6.5114942493224293</v>
      </c>
      <c r="L54" s="86">
        <f>VLOOKUP(TableQBRanks3040[[#This Row],[Player]],QB!B:O,11,FALSE)</f>
        <v>4.1573164207364309E-2</v>
      </c>
      <c r="M54" s="58">
        <f>VLOOKUP(TableQBRanks3040[[#This Row],[Player]],QB!B:O,13,FALSE)</f>
        <v>13.859334107446738</v>
      </c>
      <c r="N54" s="133">
        <f>IF(VLOOKUP(TableQBRanks3040[[#This Row],[RK]],'Ranks w Proj'!$A:$N,14,FALSE)&lt;0,0,VLOOKUP(TableQBRanks3040[[#This Row],[RK]],'Ranks w Proj'!$A:$N,14,FALSE))</f>
        <v>0</v>
      </c>
      <c r="P54">
        <v>53</v>
      </c>
      <c r="Q54" t="str">
        <f>VLOOKUP(TableRBRanks3141[[#This Row],[RK]],Rankings!A:T,8,FALSE)</f>
        <v>Tyler Allgeier</v>
      </c>
      <c r="R54" t="str">
        <f>IFERROR(INDEX(TableRBCalcPts[TM],MATCH(TableRBRanks3141[[#This Row],[Player]],TableRBCalcPts[PLAYER],0)),"")</f>
        <v>ATL</v>
      </c>
      <c r="S54">
        <f>IFERROR(INDEX(TableRBCalcPts[BYE],MATCH(TableRBRanks3141[[#This Row],[Player]],TableRBCalcPts[PLAYER],0)),"")</f>
        <v>11</v>
      </c>
      <c r="T54" s="86">
        <f>VLOOKUP(TableRBRanks3141[[#This Row],[Player]],RB!B:O,4,FALSE)</f>
        <v>89.18219520000001</v>
      </c>
      <c r="U54" s="86">
        <f>VLOOKUP(TableRBRanks3141[[#This Row],[Player]],RB!B:O,5,FALSE)</f>
        <v>391.50983692800003</v>
      </c>
      <c r="V54" s="86">
        <f>VLOOKUP(TableRBRanks3141[[#This Row],[Player]],RB!B:O,6,FALSE)</f>
        <v>2.9430124416000005</v>
      </c>
      <c r="W54" s="86">
        <f>VLOOKUP(TableRBRanks3141[[#This Row],[Player]],RB!B:O,7,FALSE)</f>
        <v>15.173222399999997</v>
      </c>
      <c r="X54" s="86">
        <f>VLOOKUP(TableRBRanks3141[[#This Row],[Player]],RB!B:O,8,FALSE)</f>
        <v>11.822863973427133</v>
      </c>
      <c r="Y54" s="86">
        <f>VLOOKUP(TableRBRanks3141[[#This Row],[Player]],RB!B:O,9,FALSE)</f>
        <v>91.633656000557863</v>
      </c>
      <c r="Z54" s="86">
        <f>VLOOKUP(TableRBRanks3141[[#This Row],[Player]],RB!B:O,10,FALSE)</f>
        <v>0.38138270882023007</v>
      </c>
      <c r="AA54" s="58">
        <f>VLOOKUP(TableRBRanks3141[[#This Row],[Player]],RB!B:O,14,FALSE)</f>
        <v>74.172152182090741</v>
      </c>
      <c r="AB54" s="133">
        <f>IF(VLOOKUP(TableRBRanks3141[[#This Row],[RK]],'Ranks w Proj'!$P:$AB,13,FALSE)&lt;0,0,VLOOKUP(TableRBRanks3141[[#This Row],[RK]],'Ranks w Proj'!$P:$AB,13,FALSE))</f>
        <v>0</v>
      </c>
      <c r="AD54">
        <v>53</v>
      </c>
      <c r="AE54" t="str">
        <f>VLOOKUP(TableWRRanks3242[[#This Row],[RK]],Rankings!A:T,13,FALSE)</f>
        <v>Marvin Mims</v>
      </c>
      <c r="AF54" t="str">
        <f>IFERROR(INDEX(TableWRCalcPts[TM],MATCH(TableWRRanks3242[[#This Row],[Player]],TableWRCalcPts[PLAYER],0)),"")</f>
        <v>DEN</v>
      </c>
      <c r="AG54">
        <f>IFERROR(INDEX(TableWRCalcPts[BYE],MATCH(TableWRRanks3242[[#This Row],[Player]],TableWRCalcPts[PLAYER],0)),"")</f>
        <v>9</v>
      </c>
      <c r="AH54" s="86">
        <f>VLOOKUP(TableWRRanks3242[[#This Row],[Player]],WR!B:O,4,FALSE)</f>
        <v>0</v>
      </c>
      <c r="AI54" s="86">
        <f>VLOOKUP(TableWRRanks3242[[#This Row],[Player]],WR!B:O,5,FALSE)</f>
        <v>0</v>
      </c>
      <c r="AJ54" s="86">
        <f>VLOOKUP(TableWRRanks3242[[#This Row],[Player]],WR!B:O,6,FALSE)</f>
        <v>94.328841600000018</v>
      </c>
      <c r="AK54" s="86">
        <f>VLOOKUP(TableWRRanks3242[[#This Row],[Player]],WR!B:O,7,FALSE)</f>
        <v>53.227314537775591</v>
      </c>
      <c r="AL54" s="86">
        <f>VLOOKUP(TableWRRanks3242[[#This Row],[Player]],WR!B:O,8,FALSE)</f>
        <v>752.1019544187692</v>
      </c>
      <c r="AM54" s="86">
        <f>VLOOKUP(TableWRRanks3242[[#This Row],[Player]],WR!B:O,9,FALSE)</f>
        <v>4.5775490502487006</v>
      </c>
      <c r="AN54" s="58">
        <f>VLOOKUP(TableWRRanks3242[[#This Row],[Player]],WR!B:O,13,FALSE)</f>
        <v>129.2891470122569</v>
      </c>
      <c r="AO54" s="133">
        <f>IF(VLOOKUP(TableWRRanks3242[[#This Row],[RK]],'Ranks w Proj'!AD:AO,12,FALSE)&lt;0,0,VLOOKUP(TableWRRanks3242[[#This Row],[RK]],'Ranks w Proj'!AD:AO,12,FALSE))</f>
        <v>2.2472346960364176</v>
      </c>
      <c r="AQ54">
        <v>53</v>
      </c>
      <c r="AR54">
        <f>VLOOKUP(TableTERanks3343[[#This Row],[RK]],Rankings!A:T,18,FALSE)</f>
        <v>0</v>
      </c>
      <c r="AS54" t="str">
        <f>IFERROR(INDEX(TableTECalcPts[TM],MATCH(TableTERanks3343[[#This Row],[Player]],TableTECalcPts[PLAYER],0)),"")</f>
        <v/>
      </c>
      <c r="AT54" t="str">
        <f>IFERROR(INDEX(TableTECalcPts[BYE],MATCH(TableTERanks3343[[#This Row],[Player]],TableTECalcPts[PLAYER],0)),"")</f>
        <v/>
      </c>
      <c r="AU54" s="86">
        <f>VLOOKUP(TableTERanks3343[[#This Row],[Player]],TE!B:O,4,FALSE)</f>
        <v>0</v>
      </c>
      <c r="AV54" s="86">
        <f>VLOOKUP(TableTERanks3343[[#This Row],[Player]],TE!B:O,5,FALSE)</f>
        <v>0</v>
      </c>
      <c r="AW54" s="86">
        <f>VLOOKUP(TableTERanks3343[[#This Row],[Player]],TE!B:O,6,FALSE)</f>
        <v>0</v>
      </c>
      <c r="AX54" s="86">
        <f>VLOOKUP(TableTERanks3343[[#This Row],[Player]],TE!B:O,7,FALSE)</f>
        <v>0</v>
      </c>
      <c r="AY54" s="58">
        <f>VLOOKUP(TableTERanks3343[[#This Row],[Player]],TE!B:O,11,FALSE)</f>
        <v>0</v>
      </c>
      <c r="AZ54" s="133">
        <f>IF(VLOOKUP(TableTERanks3343[[#This Row],[RK]],'Ranks w Proj'!AQ:AZ,10,FALSE)&lt;0,0,VLOOKUP(TableTERanks3343[[#This Row],[RK]],'Ranks w Proj'!AQ:AZ,10,FALSE))</f>
        <v>0</v>
      </c>
    </row>
    <row r="55" spans="1:52" x14ac:dyDescent="0.2">
      <c r="A55">
        <v>54</v>
      </c>
      <c r="B55">
        <f>VLOOKUP(TableQBRanks3040[[#This Row],[RK]],Rankings!A:T,3,FALSE)</f>
        <v>0</v>
      </c>
      <c r="C55" t="str">
        <f>IFERROR(INDEX(TableQBCalcPts[TM],MATCH(TableQBRanks3040[[#This Row],[Player]],TableQBCalcPts[PLAYER],0)),"")</f>
        <v/>
      </c>
      <c r="D55" t="str">
        <f>IFERROR(INDEX(TableQBCalcPts[BYE],MATCH(TableQBRanks3040[[#This Row],[Player]],TableQBCalcPts[PLAYER],0)),"")</f>
        <v/>
      </c>
      <c r="E55" s="86">
        <f>VLOOKUP(TableQBRanks3040[[#This Row],[Player]],QB!B:O,4,FALSE)</f>
        <v>30.022649999999999</v>
      </c>
      <c r="F55" s="86">
        <f>VLOOKUP(TableQBRanks3040[[#This Row],[Player]],QB!B:O,5,FALSE)</f>
        <v>18.957690112213761</v>
      </c>
      <c r="G55" s="86">
        <f>VLOOKUP(TableQBRanks3040[[#This Row],[Player]],QB!B:O,6,FALSE)</f>
        <v>203.98474560742008</v>
      </c>
      <c r="H55" s="86">
        <f>VLOOKUP(TableQBRanks3040[[#This Row],[Player]],QB!B:O,7,FALSE)</f>
        <v>1.3858071472028259</v>
      </c>
      <c r="I55" s="86">
        <f>VLOOKUP(TableQBRanks3040[[#This Row],[Player]],QB!B:O,8,FALSE)</f>
        <v>0.74387271583779924</v>
      </c>
      <c r="J55" s="86">
        <f>VLOOKUP(TableQBRanks3040[[#This Row],[Player]],QB!B:O,9,FALSE)</f>
        <v>2.2468803000000004</v>
      </c>
      <c r="K55" s="86">
        <f>VLOOKUP(TableQBRanks3040[[#This Row],[Player]],QB!B:O,10,FALSE)</f>
        <v>6.5114942493224293</v>
      </c>
      <c r="L55" s="86">
        <f>VLOOKUP(TableQBRanks3040[[#This Row],[Player]],QB!B:O,11,FALSE)</f>
        <v>4.1573164207364309E-2</v>
      </c>
      <c r="M55" s="58">
        <f>VLOOKUP(TableQBRanks3040[[#This Row],[Player]],QB!B:O,13,FALSE)</f>
        <v>13.859334107446738</v>
      </c>
      <c r="N55" s="133">
        <f>IF(VLOOKUP(TableQBRanks3040[[#This Row],[RK]],'Ranks w Proj'!$A:$N,14,FALSE)&lt;0,0,VLOOKUP(TableQBRanks3040[[#This Row],[RK]],'Ranks w Proj'!$A:$N,14,FALSE))</f>
        <v>0</v>
      </c>
      <c r="P55">
        <v>54</v>
      </c>
      <c r="Q55" t="str">
        <f>VLOOKUP(TableRBRanks3141[[#This Row],[RK]],Rankings!A:T,8,FALSE)</f>
        <v>Damien Harris</v>
      </c>
      <c r="R55" t="str">
        <f>IFERROR(INDEX(TableRBCalcPts[TM],MATCH(TableRBRanks3141[[#This Row],[Player]],TableRBCalcPts[PLAYER],0)),"")</f>
        <v>BUF</v>
      </c>
      <c r="S55">
        <f>IFERROR(INDEX(TableRBCalcPts[BYE],MATCH(TableRBRanks3141[[#This Row],[Player]],TableRBCalcPts[PLAYER],0)),"")</f>
        <v>13</v>
      </c>
      <c r="T55" s="86">
        <f>VLOOKUP(TableRBRanks3141[[#This Row],[Player]],RB!B:O,4,FALSE)</f>
        <v>116.56953000000001</v>
      </c>
      <c r="U55" s="86">
        <f>VLOOKUP(TableRBRanks3141[[#This Row],[Player]],RB!B:O,5,FALSE)</f>
        <v>527.97929001540706</v>
      </c>
      <c r="V55" s="86">
        <f>VLOOKUP(TableRBRanks3141[[#This Row],[Player]],RB!B:O,6,FALSE)</f>
        <v>7.1107413300000006</v>
      </c>
      <c r="W55" s="86">
        <f>VLOOKUP(TableRBRanks3141[[#This Row],[Player]],RB!B:O,7,FALSE)</f>
        <v>10.262559999999999</v>
      </c>
      <c r="X55" s="86">
        <f>VLOOKUP(TableRBRanks3141[[#This Row],[Player]],RB!B:O,8,FALSE)</f>
        <v>7.3669138818888671</v>
      </c>
      <c r="Y55" s="86">
        <f>VLOOKUP(TableRBRanks3141[[#This Row],[Player]],RB!B:O,9,FALSE)</f>
        <v>51.875474703584288</v>
      </c>
      <c r="Z55" s="86">
        <f>VLOOKUP(TableRBRanks3141[[#This Row],[Player]],RB!B:O,10,FALSE)</f>
        <v>0.19153976092911054</v>
      </c>
      <c r="AA55" s="58">
        <f>VLOOKUP(TableRBRanks3141[[#This Row],[Player]],RB!B:O,14,FALSE)</f>
        <v>105.48261995841824</v>
      </c>
      <c r="AB55" s="133">
        <f>IF(VLOOKUP(TableRBRanks3141[[#This Row],[RK]],'Ranks w Proj'!$P:$AB,13,FALSE)&lt;0,0,VLOOKUP(TableRBRanks3141[[#This Row],[RK]],'Ranks w Proj'!$P:$AB,13,FALSE))</f>
        <v>0</v>
      </c>
      <c r="AD55">
        <v>54</v>
      </c>
      <c r="AE55" t="str">
        <f>VLOOKUP(TableWRRanks3242[[#This Row],[RK]],Rankings!A:T,13,FALSE)</f>
        <v>Jaxon Smith-Njigba</v>
      </c>
      <c r="AF55" t="str">
        <f>IFERROR(INDEX(TableWRCalcPts[TM],MATCH(TableWRRanks3242[[#This Row],[Player]],TableWRCalcPts[PLAYER],0)),"")</f>
        <v>SEA</v>
      </c>
      <c r="AG55">
        <f>IFERROR(INDEX(TableWRCalcPts[BYE],MATCH(TableWRRanks3242[[#This Row],[Player]],TableWRCalcPts[PLAYER],0)),"")</f>
        <v>5</v>
      </c>
      <c r="AH55" s="86">
        <f>VLOOKUP(TableWRRanks3242[[#This Row],[Player]],WR!B:O,4,FALSE)</f>
        <v>0</v>
      </c>
      <c r="AI55" s="86">
        <f>VLOOKUP(TableWRRanks3242[[#This Row],[Player]],WR!B:O,5,FALSE)</f>
        <v>0</v>
      </c>
      <c r="AJ55" s="86">
        <f>VLOOKUP(TableWRRanks3242[[#This Row],[Player]],WR!B:O,6,FALSE)</f>
        <v>105.12148751999999</v>
      </c>
      <c r="AK55" s="86">
        <f>VLOOKUP(TableWRRanks3242[[#This Row],[Player]],WR!B:O,7,FALSE)</f>
        <v>67.515846007758839</v>
      </c>
      <c r="AL55" s="86">
        <f>VLOOKUP(TableWRRanks3242[[#This Row],[Player]],WR!B:O,8,FALSE)</f>
        <v>811.54046901326126</v>
      </c>
      <c r="AM55" s="86">
        <f>VLOOKUP(TableWRRanks3242[[#This Row],[Player]],WR!B:O,9,FALSE)</f>
        <v>6.4140053707370894</v>
      </c>
      <c r="AN55" s="58">
        <f>VLOOKUP(TableWRRanks3242[[#This Row],[Player]],WR!B:O,13,FALSE)</f>
        <v>153.39600212962807</v>
      </c>
      <c r="AO55" s="133">
        <f>IF(VLOOKUP(TableWRRanks3242[[#This Row],[RK]],'Ranks w Proj'!AD:AO,12,FALSE)&lt;0,0,VLOOKUP(TableWRRanks3242[[#This Row],[RK]],'Ranks w Proj'!AD:AO,12,FALSE))</f>
        <v>1.1234555375993336</v>
      </c>
      <c r="AQ55">
        <v>54</v>
      </c>
      <c r="AR55">
        <f>VLOOKUP(TableTERanks3343[[#This Row],[RK]],Rankings!A:T,18,FALSE)</f>
        <v>0</v>
      </c>
      <c r="AS55" t="str">
        <f>IFERROR(INDEX(TableTECalcPts[TM],MATCH(TableTERanks3343[[#This Row],[Player]],TableTECalcPts[PLAYER],0)),"")</f>
        <v/>
      </c>
      <c r="AT55" t="str">
        <f>IFERROR(INDEX(TableTECalcPts[BYE],MATCH(TableTERanks3343[[#This Row],[Player]],TableTECalcPts[PLAYER],0)),"")</f>
        <v/>
      </c>
      <c r="AU55" s="86">
        <f>VLOOKUP(TableTERanks3343[[#This Row],[Player]],TE!B:O,4,FALSE)</f>
        <v>0</v>
      </c>
      <c r="AV55" s="86">
        <f>VLOOKUP(TableTERanks3343[[#This Row],[Player]],TE!B:O,5,FALSE)</f>
        <v>0</v>
      </c>
      <c r="AW55" s="86">
        <f>VLOOKUP(TableTERanks3343[[#This Row],[Player]],TE!B:O,6,FALSE)</f>
        <v>0</v>
      </c>
      <c r="AX55" s="86">
        <f>VLOOKUP(TableTERanks3343[[#This Row],[Player]],TE!B:O,7,FALSE)</f>
        <v>0</v>
      </c>
      <c r="AY55" s="58">
        <f>VLOOKUP(TableTERanks3343[[#This Row],[Player]],TE!B:O,11,FALSE)</f>
        <v>0</v>
      </c>
      <c r="AZ55" s="133">
        <f>IF(VLOOKUP(TableTERanks3343[[#This Row],[RK]],'Ranks w Proj'!AQ:AZ,10,FALSE)&lt;0,0,VLOOKUP(TableTERanks3343[[#This Row],[RK]],'Ranks w Proj'!AQ:AZ,10,FALSE))</f>
        <v>0</v>
      </c>
    </row>
    <row r="56" spans="1:52" x14ac:dyDescent="0.2">
      <c r="A56">
        <v>55</v>
      </c>
      <c r="B56">
        <f>VLOOKUP(TableQBRanks3040[[#This Row],[RK]],Rankings!A:T,3,FALSE)</f>
        <v>0</v>
      </c>
      <c r="C56" t="str">
        <f>IFERROR(INDEX(TableQBCalcPts[TM],MATCH(TableQBRanks3040[[#This Row],[Player]],TableQBCalcPts[PLAYER],0)),"")</f>
        <v/>
      </c>
      <c r="D56" t="str">
        <f>IFERROR(INDEX(TableQBCalcPts[BYE],MATCH(TableQBRanks3040[[#This Row],[Player]],TableQBCalcPts[PLAYER],0)),"")</f>
        <v/>
      </c>
      <c r="E56" s="86">
        <f>VLOOKUP(TableQBRanks3040[[#This Row],[Player]],QB!B:O,4,FALSE)</f>
        <v>30.022649999999999</v>
      </c>
      <c r="F56" s="86">
        <f>VLOOKUP(TableQBRanks3040[[#This Row],[Player]],QB!B:O,5,FALSE)</f>
        <v>18.957690112213761</v>
      </c>
      <c r="G56" s="86">
        <f>VLOOKUP(TableQBRanks3040[[#This Row],[Player]],QB!B:O,6,FALSE)</f>
        <v>203.98474560742008</v>
      </c>
      <c r="H56" s="86">
        <f>VLOOKUP(TableQBRanks3040[[#This Row],[Player]],QB!B:O,7,FALSE)</f>
        <v>1.3858071472028259</v>
      </c>
      <c r="I56" s="86">
        <f>VLOOKUP(TableQBRanks3040[[#This Row],[Player]],QB!B:O,8,FALSE)</f>
        <v>0.74387271583779924</v>
      </c>
      <c r="J56" s="86">
        <f>VLOOKUP(TableQBRanks3040[[#This Row],[Player]],QB!B:O,9,FALSE)</f>
        <v>2.2468803000000004</v>
      </c>
      <c r="K56" s="86">
        <f>VLOOKUP(TableQBRanks3040[[#This Row],[Player]],QB!B:O,10,FALSE)</f>
        <v>6.5114942493224293</v>
      </c>
      <c r="L56" s="86">
        <f>VLOOKUP(TableQBRanks3040[[#This Row],[Player]],QB!B:O,11,FALSE)</f>
        <v>4.1573164207364309E-2</v>
      </c>
      <c r="M56" s="58">
        <f>VLOOKUP(TableQBRanks3040[[#This Row],[Player]],QB!B:O,13,FALSE)</f>
        <v>13.859334107446738</v>
      </c>
      <c r="N56" s="133">
        <f>IF(VLOOKUP(TableQBRanks3040[[#This Row],[RK]],'Ranks w Proj'!$A:$N,14,FALSE)&lt;0,0,VLOOKUP(TableQBRanks3040[[#This Row],[RK]],'Ranks w Proj'!$A:$N,14,FALSE))</f>
        <v>0</v>
      </c>
      <c r="P56">
        <v>55</v>
      </c>
      <c r="Q56" t="str">
        <f>VLOOKUP(TableRBRanks3141[[#This Row],[RK]],Rankings!A:T,8,FALSE)</f>
        <v>Keaontay Ingram</v>
      </c>
      <c r="R56" t="str">
        <f>IFERROR(INDEX(TableRBCalcPts[TM],MATCH(TableRBRanks3141[[#This Row],[Player]],TableRBCalcPts[PLAYER],0)),"")</f>
        <v>ARI</v>
      </c>
      <c r="S56">
        <f>IFERROR(INDEX(TableRBCalcPts[BYE],MATCH(TableRBRanks3141[[#This Row],[Player]],TableRBCalcPts[PLAYER],0)),"")</f>
        <v>14</v>
      </c>
      <c r="T56" s="86">
        <f>VLOOKUP(TableRBRanks3141[[#This Row],[Player]],RB!B:O,4,FALSE)</f>
        <v>148.58564000000001</v>
      </c>
      <c r="U56" s="86">
        <f>VLOOKUP(TableRBRanks3141[[#This Row],[Player]],RB!B:O,5,FALSE)</f>
        <v>595.82841640000004</v>
      </c>
      <c r="V56" s="86">
        <f>VLOOKUP(TableRBRanks3141[[#This Row],[Player]],RB!B:O,6,FALSE)</f>
        <v>4.6061548400000003</v>
      </c>
      <c r="W56" s="86">
        <f>VLOOKUP(TableRBRanks3141[[#This Row],[Player]],RB!B:O,7,FALSE)</f>
        <v>27.022275</v>
      </c>
      <c r="X56" s="86">
        <f>VLOOKUP(TableRBRanks3141[[#This Row],[Player]],RB!B:O,8,FALSE)</f>
        <v>19.726260750000002</v>
      </c>
      <c r="Y56" s="86">
        <f>VLOOKUP(TableRBRanks3141[[#This Row],[Player]],RB!B:O,9,FALSE)</f>
        <v>143.0153904375</v>
      </c>
      <c r="Z56" s="86">
        <f>VLOOKUP(TableRBRanks3141[[#This Row],[Player]],RB!B:O,10,FALSE)</f>
        <v>0.49315651875000005</v>
      </c>
      <c r="AA56" s="58">
        <f>VLOOKUP(TableRBRanks3141[[#This Row],[Player]],RB!B:O,14,FALSE)</f>
        <v>114.34337921125001</v>
      </c>
      <c r="AB56" s="133">
        <f>IF(VLOOKUP(TableRBRanks3141[[#This Row],[RK]],'Ranks w Proj'!$P:$AB,13,FALSE)&lt;0,0,VLOOKUP(TableRBRanks3141[[#This Row],[RK]],'Ranks w Proj'!$P:$AB,13,FALSE))</f>
        <v>0</v>
      </c>
      <c r="AD56">
        <v>55</v>
      </c>
      <c r="AE56" t="str">
        <f>VLOOKUP(TableWRRanks3242[[#This Row],[RK]],Rankings!A:T,13,FALSE)</f>
        <v>Jakobi Meyers</v>
      </c>
      <c r="AF56" t="str">
        <f>IFERROR(INDEX(TableWRCalcPts[TM],MATCH(TableWRRanks3242[[#This Row],[Player]],TableWRCalcPts[PLAYER],0)),"")</f>
        <v>LV</v>
      </c>
      <c r="AG56">
        <f>IFERROR(INDEX(TableWRCalcPts[BYE],MATCH(TableWRRanks3242[[#This Row],[Player]],TableWRCalcPts[PLAYER],0)),"")</f>
        <v>13</v>
      </c>
      <c r="AH56" s="86">
        <f>VLOOKUP(TableWRRanks3242[[#This Row],[Player]],WR!B:O,4,FALSE)</f>
        <v>0</v>
      </c>
      <c r="AI56" s="86">
        <f>VLOOKUP(TableWRRanks3242[[#This Row],[Player]],WR!B:O,5,FALSE)</f>
        <v>0</v>
      </c>
      <c r="AJ56" s="86">
        <f>VLOOKUP(TableWRRanks3242[[#This Row],[Player]],WR!B:O,6,FALSE)</f>
        <v>111.01381199999999</v>
      </c>
      <c r="AK56" s="86">
        <f>VLOOKUP(TableWRRanks3242[[#This Row],[Player]],WR!B:O,7,FALSE)</f>
        <v>73.460912239923474</v>
      </c>
      <c r="AL56" s="86">
        <f>VLOOKUP(TableWRRanks3242[[#This Row],[Player]],WR!B:O,8,FALSE)</f>
        <v>859.49267320710464</v>
      </c>
      <c r="AM56" s="86">
        <f>VLOOKUP(TableWRRanks3242[[#This Row],[Player]],WR!B:O,9,FALSE)</f>
        <v>3.6730456119961739</v>
      </c>
      <c r="AN56" s="58">
        <f>VLOOKUP(TableWRRanks3242[[#This Row],[Player]],WR!B:O,13,FALSE)</f>
        <v>144.71799711264924</v>
      </c>
      <c r="AO56" s="133">
        <f>IF(VLOOKUP(TableWRRanks3242[[#This Row],[RK]],'Ranks w Proj'!AD:AO,12,FALSE)&lt;0,0,VLOOKUP(TableWRRanks3242[[#This Row],[RK]],'Ranks w Proj'!AD:AO,12,FALSE))</f>
        <v>0.9014454881125129</v>
      </c>
      <c r="AQ56">
        <v>55</v>
      </c>
      <c r="AR56">
        <f>VLOOKUP(TableTERanks3343[[#This Row],[RK]],Rankings!A:T,18,FALSE)</f>
        <v>0</v>
      </c>
      <c r="AS56" t="str">
        <f>IFERROR(INDEX(TableTECalcPts[TM],MATCH(TableTERanks3343[[#This Row],[Player]],TableTECalcPts[PLAYER],0)),"")</f>
        <v/>
      </c>
      <c r="AT56" t="str">
        <f>IFERROR(INDEX(TableTECalcPts[BYE],MATCH(TableTERanks3343[[#This Row],[Player]],TableTECalcPts[PLAYER],0)),"")</f>
        <v/>
      </c>
      <c r="AU56" s="86">
        <f>VLOOKUP(TableTERanks3343[[#This Row],[Player]],TE!B:O,4,FALSE)</f>
        <v>0</v>
      </c>
      <c r="AV56" s="86">
        <f>VLOOKUP(TableTERanks3343[[#This Row],[Player]],TE!B:O,5,FALSE)</f>
        <v>0</v>
      </c>
      <c r="AW56" s="86">
        <f>VLOOKUP(TableTERanks3343[[#This Row],[Player]],TE!B:O,6,FALSE)</f>
        <v>0</v>
      </c>
      <c r="AX56" s="86">
        <f>VLOOKUP(TableTERanks3343[[#This Row],[Player]],TE!B:O,7,FALSE)</f>
        <v>0</v>
      </c>
      <c r="AY56" s="58">
        <f>VLOOKUP(TableTERanks3343[[#This Row],[Player]],TE!B:O,11,FALSE)</f>
        <v>0</v>
      </c>
      <c r="AZ56" s="133">
        <f>IF(VLOOKUP(TableTERanks3343[[#This Row],[RK]],'Ranks w Proj'!AQ:AZ,10,FALSE)&lt;0,0,VLOOKUP(TableTERanks3343[[#This Row],[RK]],'Ranks w Proj'!AQ:AZ,10,FALSE))</f>
        <v>0</v>
      </c>
    </row>
    <row r="57" spans="1:52" x14ac:dyDescent="0.2">
      <c r="A57">
        <v>56</v>
      </c>
      <c r="B57">
        <f>VLOOKUP(TableQBRanks3040[[#This Row],[RK]],Rankings!A:T,3,FALSE)</f>
        <v>0</v>
      </c>
      <c r="C57" t="str">
        <f>IFERROR(INDEX(TableQBCalcPts[TM],MATCH(TableQBRanks3040[[#This Row],[Player]],TableQBCalcPts[PLAYER],0)),"")</f>
        <v/>
      </c>
      <c r="D57" t="str">
        <f>IFERROR(INDEX(TableQBCalcPts[BYE],MATCH(TableQBRanks3040[[#This Row],[Player]],TableQBCalcPts[PLAYER],0)),"")</f>
        <v/>
      </c>
      <c r="E57" s="86">
        <f>VLOOKUP(TableQBRanks3040[[#This Row],[Player]],QB!B:O,4,FALSE)</f>
        <v>30.022649999999999</v>
      </c>
      <c r="F57" s="86">
        <f>VLOOKUP(TableQBRanks3040[[#This Row],[Player]],QB!B:O,5,FALSE)</f>
        <v>18.957690112213761</v>
      </c>
      <c r="G57" s="86">
        <f>VLOOKUP(TableQBRanks3040[[#This Row],[Player]],QB!B:O,6,FALSE)</f>
        <v>203.98474560742008</v>
      </c>
      <c r="H57" s="86">
        <f>VLOOKUP(TableQBRanks3040[[#This Row],[Player]],QB!B:O,7,FALSE)</f>
        <v>1.3858071472028259</v>
      </c>
      <c r="I57" s="86">
        <f>VLOOKUP(TableQBRanks3040[[#This Row],[Player]],QB!B:O,8,FALSE)</f>
        <v>0.74387271583779924</v>
      </c>
      <c r="J57" s="86">
        <f>VLOOKUP(TableQBRanks3040[[#This Row],[Player]],QB!B:O,9,FALSE)</f>
        <v>2.2468803000000004</v>
      </c>
      <c r="K57" s="86">
        <f>VLOOKUP(TableQBRanks3040[[#This Row],[Player]],QB!B:O,10,FALSE)</f>
        <v>6.5114942493224293</v>
      </c>
      <c r="L57" s="86">
        <f>VLOOKUP(TableQBRanks3040[[#This Row],[Player]],QB!B:O,11,FALSE)</f>
        <v>4.1573164207364309E-2</v>
      </c>
      <c r="M57" s="58">
        <f>VLOOKUP(TableQBRanks3040[[#This Row],[Player]],QB!B:O,13,FALSE)</f>
        <v>13.859334107446738</v>
      </c>
      <c r="N57" s="133">
        <f>IF(VLOOKUP(TableQBRanks3040[[#This Row],[RK]],'Ranks w Proj'!$A:$N,14,FALSE)&lt;0,0,VLOOKUP(TableQBRanks3040[[#This Row],[RK]],'Ranks w Proj'!$A:$N,14,FALSE))</f>
        <v>0</v>
      </c>
      <c r="P57">
        <v>56</v>
      </c>
      <c r="Q57" t="str">
        <f>VLOOKUP(TableRBRanks3141[[#This Row],[RK]],Rankings!A:T,8,FALSE)</f>
        <v>Cordarrelle Patterson</v>
      </c>
      <c r="R57" t="str">
        <f>IFERROR(INDEX(TableRBCalcPts[TM],MATCH(TableRBRanks3141[[#This Row],[Player]],TableRBCalcPts[PLAYER],0)),"")</f>
        <v>ATL</v>
      </c>
      <c r="S57">
        <f>IFERROR(INDEX(TableRBCalcPts[BYE],MATCH(TableRBRanks3141[[#This Row],[Player]],TableRBCalcPts[PLAYER],0)),"")</f>
        <v>11</v>
      </c>
      <c r="T57" s="86">
        <f>VLOOKUP(TableRBRanks3141[[#This Row],[Player]],RB!B:O,4,FALSE)</f>
        <v>44.350064639999999</v>
      </c>
      <c r="U57" s="86">
        <f>VLOOKUP(TableRBRanks3141[[#This Row],[Player]],RB!B:O,5,FALSE)</f>
        <v>201.25286553045106</v>
      </c>
      <c r="V57" s="86">
        <f>VLOOKUP(TableRBRanks3141[[#This Row],[Player]],RB!B:O,6,FALSE)</f>
        <v>1.8627027148800002</v>
      </c>
      <c r="W57" s="86">
        <f>VLOOKUP(TableRBRanks3141[[#This Row],[Player]],RB!B:O,7,FALSE)</f>
        <v>42.485022719999996</v>
      </c>
      <c r="X57" s="86">
        <f>VLOOKUP(TableRBRanks3141[[#This Row],[Player]],RB!B:O,8,FALSE)</f>
        <v>32.252144408360678</v>
      </c>
      <c r="Y57" s="86">
        <f>VLOOKUP(TableRBRanks3141[[#This Row],[Player]],RB!B:O,9,FALSE)</f>
        <v>228.40380607507731</v>
      </c>
      <c r="Z57" s="86">
        <f>VLOOKUP(TableRBRanks3141[[#This Row],[Player]],RB!B:O,10,FALSE)</f>
        <v>0.80630361020901697</v>
      </c>
      <c r="AA57" s="58">
        <f>VLOOKUP(TableRBRanks3141[[#This Row],[Player]],RB!B:O,14,FALSE)</f>
        <v>75.105777315267275</v>
      </c>
      <c r="AB57" s="133">
        <f>IF(VLOOKUP(TableRBRanks3141[[#This Row],[RK]],'Ranks w Proj'!$P:$AB,13,FALSE)&lt;0,0,VLOOKUP(TableRBRanks3141[[#This Row],[RK]],'Ranks w Proj'!$P:$AB,13,FALSE))</f>
        <v>0</v>
      </c>
      <c r="AD57">
        <v>56</v>
      </c>
      <c r="AE57" t="str">
        <f>VLOOKUP(TableWRRanks3242[[#This Row],[RK]],Rankings!A:T,13,FALSE)</f>
        <v>Tyler Boyd</v>
      </c>
      <c r="AF57" t="str">
        <f>IFERROR(INDEX(TableWRCalcPts[TM],MATCH(TableWRRanks3242[[#This Row],[Player]],TableWRCalcPts[PLAYER],0)),"")</f>
        <v>CIN</v>
      </c>
      <c r="AG57">
        <f>IFERROR(INDEX(TableWRCalcPts[BYE],MATCH(TableWRRanks3242[[#This Row],[Player]],TableWRCalcPts[PLAYER],0)),"")</f>
        <v>7</v>
      </c>
      <c r="AH57" s="86">
        <f>VLOOKUP(TableWRRanks3242[[#This Row],[Player]],WR!B:O,4,FALSE)</f>
        <v>0</v>
      </c>
      <c r="AI57" s="86">
        <f>VLOOKUP(TableWRRanks3242[[#This Row],[Player]],WR!B:O,5,FALSE)</f>
        <v>0</v>
      </c>
      <c r="AJ57" s="86">
        <f>VLOOKUP(TableWRRanks3242[[#This Row],[Player]],WR!B:O,6,FALSE)</f>
        <v>93.54494351999999</v>
      </c>
      <c r="AK57" s="86">
        <f>VLOOKUP(TableWRRanks3242[[#This Row],[Player]],WR!B:O,7,FALSE)</f>
        <v>64.193321721423047</v>
      </c>
      <c r="AL57" s="86">
        <f>VLOOKUP(TableWRRanks3242[[#This Row],[Player]],WR!B:O,8,FALSE)</f>
        <v>763.05664386733645</v>
      </c>
      <c r="AM57" s="86">
        <f>VLOOKUP(TableWRRanks3242[[#This Row],[Player]],WR!B:O,9,FALSE)</f>
        <v>5.1354657377138437</v>
      </c>
      <c r="AN57" s="58">
        <f>VLOOKUP(TableWRRanks3242[[#This Row],[Player]],WR!B:O,13,FALSE)</f>
        <v>139.21511967372822</v>
      </c>
      <c r="AO57" s="133">
        <f>IF(VLOOKUP(TableWRRanks3242[[#This Row],[RK]],'Ranks w Proj'!AD:AO,12,FALSE)&lt;0,0,VLOOKUP(TableWRRanks3242[[#This Row],[RK]],'Ranks w Proj'!AD:AO,12,FALSE))</f>
        <v>0.44750475114445964</v>
      </c>
      <c r="AQ57">
        <v>56</v>
      </c>
      <c r="AR57">
        <f>VLOOKUP(TableTERanks3343[[#This Row],[RK]],Rankings!A:T,18,FALSE)</f>
        <v>0</v>
      </c>
      <c r="AS57" t="str">
        <f>IFERROR(INDEX(TableTECalcPts[TM],MATCH(TableTERanks3343[[#This Row],[Player]],TableTECalcPts[PLAYER],0)),"")</f>
        <v/>
      </c>
      <c r="AT57" t="str">
        <f>IFERROR(INDEX(TableTECalcPts[BYE],MATCH(TableTERanks3343[[#This Row],[Player]],TableTECalcPts[PLAYER],0)),"")</f>
        <v/>
      </c>
      <c r="AU57" s="86">
        <f>VLOOKUP(TableTERanks3343[[#This Row],[Player]],TE!B:O,4,FALSE)</f>
        <v>0</v>
      </c>
      <c r="AV57" s="86">
        <f>VLOOKUP(TableTERanks3343[[#This Row],[Player]],TE!B:O,5,FALSE)</f>
        <v>0</v>
      </c>
      <c r="AW57" s="86">
        <f>VLOOKUP(TableTERanks3343[[#This Row],[Player]],TE!B:O,6,FALSE)</f>
        <v>0</v>
      </c>
      <c r="AX57" s="86">
        <f>VLOOKUP(TableTERanks3343[[#This Row],[Player]],TE!B:O,7,FALSE)</f>
        <v>0</v>
      </c>
      <c r="AY57" s="58">
        <f>VLOOKUP(TableTERanks3343[[#This Row],[Player]],TE!B:O,11,FALSE)</f>
        <v>0</v>
      </c>
      <c r="AZ57" s="133">
        <f>IF(VLOOKUP(TableTERanks3343[[#This Row],[RK]],'Ranks w Proj'!AQ:AZ,10,FALSE)&lt;0,0,VLOOKUP(TableTERanks3343[[#This Row],[RK]],'Ranks w Proj'!AQ:AZ,10,FALSE))</f>
        <v>0</v>
      </c>
    </row>
    <row r="58" spans="1:52" x14ac:dyDescent="0.2">
      <c r="A58">
        <v>57</v>
      </c>
      <c r="B58">
        <f>VLOOKUP(TableQBRanks3040[[#This Row],[RK]],Rankings!A:T,3,FALSE)</f>
        <v>0</v>
      </c>
      <c r="C58" t="str">
        <f>IFERROR(INDEX(TableQBCalcPts[TM],MATCH(TableQBRanks3040[[#This Row],[Player]],TableQBCalcPts[PLAYER],0)),"")</f>
        <v/>
      </c>
      <c r="D58" t="str">
        <f>IFERROR(INDEX(TableQBCalcPts[BYE],MATCH(TableQBRanks3040[[#This Row],[Player]],TableQBCalcPts[PLAYER],0)),"")</f>
        <v/>
      </c>
      <c r="E58" s="86">
        <f>VLOOKUP(TableQBRanks3040[[#This Row],[Player]],QB!B:O,4,FALSE)</f>
        <v>30.022649999999999</v>
      </c>
      <c r="F58" s="86">
        <f>VLOOKUP(TableQBRanks3040[[#This Row],[Player]],QB!B:O,5,FALSE)</f>
        <v>18.957690112213761</v>
      </c>
      <c r="G58" s="86">
        <f>VLOOKUP(TableQBRanks3040[[#This Row],[Player]],QB!B:O,6,FALSE)</f>
        <v>203.98474560742008</v>
      </c>
      <c r="H58" s="86">
        <f>VLOOKUP(TableQBRanks3040[[#This Row],[Player]],QB!B:O,7,FALSE)</f>
        <v>1.3858071472028259</v>
      </c>
      <c r="I58" s="86">
        <f>VLOOKUP(TableQBRanks3040[[#This Row],[Player]],QB!B:O,8,FALSE)</f>
        <v>0.74387271583779924</v>
      </c>
      <c r="J58" s="86">
        <f>VLOOKUP(TableQBRanks3040[[#This Row],[Player]],QB!B:O,9,FALSE)</f>
        <v>2.2468803000000004</v>
      </c>
      <c r="K58" s="86">
        <f>VLOOKUP(TableQBRanks3040[[#This Row],[Player]],QB!B:O,10,FALSE)</f>
        <v>6.5114942493224293</v>
      </c>
      <c r="L58" s="86">
        <f>VLOOKUP(TableQBRanks3040[[#This Row],[Player]],QB!B:O,11,FALSE)</f>
        <v>4.1573164207364309E-2</v>
      </c>
      <c r="M58" s="58">
        <f>VLOOKUP(TableQBRanks3040[[#This Row],[Player]],QB!B:O,13,FALSE)</f>
        <v>13.859334107446738</v>
      </c>
      <c r="N58" s="133">
        <f>IF(VLOOKUP(TableQBRanks3040[[#This Row],[RK]],'Ranks w Proj'!$A:$N,14,FALSE)&lt;0,0,VLOOKUP(TableQBRanks3040[[#This Row],[RK]],'Ranks w Proj'!$A:$N,14,FALSE))</f>
        <v>0</v>
      </c>
      <c r="P58">
        <v>57</v>
      </c>
      <c r="Q58" t="str">
        <f>VLOOKUP(TableRBRanks3141[[#This Row],[RK]],Rankings!A:T,8,FALSE)</f>
        <v>Kyren Williams</v>
      </c>
      <c r="R58" t="str">
        <f>IFERROR(INDEX(TableRBCalcPts[TM],MATCH(TableRBRanks3141[[#This Row],[Player]],TableRBCalcPts[PLAYER],0)),"")</f>
        <v>LAR</v>
      </c>
      <c r="S58">
        <f>IFERROR(INDEX(TableRBCalcPts[BYE],MATCH(TableRBRanks3141[[#This Row],[Player]],TableRBCalcPts[PLAYER],0)),"")</f>
        <v>10</v>
      </c>
      <c r="T58" s="86">
        <f>VLOOKUP(TableRBRanks3141[[#This Row],[Player]],RB!B:O,4,FALSE)</f>
        <v>117.19291584000001</v>
      </c>
      <c r="U58" s="86">
        <f>VLOOKUP(TableRBRanks3141[[#This Row],[Player]],RB!B:O,5,FALSE)</f>
        <v>480.49095494400001</v>
      </c>
      <c r="V58" s="86">
        <f>VLOOKUP(TableRBRanks3141[[#This Row],[Player]],RB!B:O,6,FALSE)</f>
        <v>3.6329803910400003</v>
      </c>
      <c r="W58" s="86">
        <f>VLOOKUP(TableRBRanks3141[[#This Row],[Player]],RB!B:O,7,FALSE)</f>
        <v>30.273344640000001</v>
      </c>
      <c r="X58" s="86">
        <f>VLOOKUP(TableRBRanks3141[[#This Row],[Player]],RB!B:O,8,FALSE)</f>
        <v>21.818445873841096</v>
      </c>
      <c r="Y58" s="86">
        <f>VLOOKUP(TableRBRanks3141[[#This Row],[Player]],RB!B:O,9,FALSE)</f>
        <v>169.3111399810069</v>
      </c>
      <c r="Z58" s="86">
        <f>VLOOKUP(TableRBRanks3141[[#This Row],[Player]],RB!B:O,10,FALSE)</f>
        <v>0.67637182208907398</v>
      </c>
      <c r="AA58" s="58">
        <f>VLOOKUP(TableRBRanks3141[[#This Row],[Player]],RB!B:O,14,FALSE)</f>
        <v>101.74554570819568</v>
      </c>
      <c r="AB58" s="133">
        <f>IF(VLOOKUP(TableRBRanks3141[[#This Row],[RK]],'Ranks w Proj'!$P:$AB,13,FALSE)&lt;0,0,VLOOKUP(TableRBRanks3141[[#This Row],[RK]],'Ranks w Proj'!$P:$AB,13,FALSE))</f>
        <v>0</v>
      </c>
      <c r="AD58">
        <v>57</v>
      </c>
      <c r="AE58" t="str">
        <f>VLOOKUP(TableWRRanks3242[[#This Row],[RK]],Rankings!A:T,13,FALSE)</f>
        <v>Quentin Johnston</v>
      </c>
      <c r="AF58" t="str">
        <f>IFERROR(INDEX(TableWRCalcPts[TM],MATCH(TableWRRanks3242[[#This Row],[Player]],TableWRCalcPts[PLAYER],0)),"")</f>
        <v>LAC</v>
      </c>
      <c r="AG58">
        <f>IFERROR(INDEX(TableWRCalcPts[BYE],MATCH(TableWRRanks3242[[#This Row],[Player]],TableWRCalcPts[PLAYER],0)),"")</f>
        <v>5</v>
      </c>
      <c r="AH58" s="86">
        <f>VLOOKUP(TableWRRanks3242[[#This Row],[Player]],WR!B:O,4,FALSE)</f>
        <v>0</v>
      </c>
      <c r="AI58" s="86">
        <f>VLOOKUP(TableWRRanks3242[[#This Row],[Player]],WR!B:O,5,FALSE)</f>
        <v>0</v>
      </c>
      <c r="AJ58" s="86">
        <f>VLOOKUP(TableWRRanks3242[[#This Row],[Player]],WR!B:O,6,FALSE)</f>
        <v>99.704484600000001</v>
      </c>
      <c r="AK58" s="86">
        <f>VLOOKUP(TableWRRanks3242[[#This Row],[Player]],WR!B:O,7,FALSE)</f>
        <v>59.4238728216</v>
      </c>
      <c r="AL58" s="86">
        <f>VLOOKUP(TableWRRanks3242[[#This Row],[Player]],WR!B:O,8,FALSE)</f>
        <v>834.31117441526396</v>
      </c>
      <c r="AM58" s="86">
        <f>VLOOKUP(TableWRRanks3242[[#This Row],[Player]],WR!B:O,9,FALSE)</f>
        <v>5.5264201724088</v>
      </c>
      <c r="AN58" s="58">
        <f>VLOOKUP(TableWRRanks3242[[#This Row],[Player]],WR!B:O,13,FALSE)</f>
        <v>146.30157488677921</v>
      </c>
      <c r="AO58" s="133">
        <f>IF(VLOOKUP(TableWRRanks3242[[#This Row],[RK]],'Ranks w Proj'!AD:AO,12,FALSE)&lt;0,0,VLOOKUP(TableWRRanks3242[[#This Row],[RK]],'Ranks w Proj'!AD:AO,12,FALSE))</f>
        <v>0</v>
      </c>
      <c r="AQ58">
        <v>57</v>
      </c>
      <c r="AR58">
        <f>VLOOKUP(TableTERanks3343[[#This Row],[RK]],Rankings!A:T,18,FALSE)</f>
        <v>0</v>
      </c>
      <c r="AS58" t="str">
        <f>IFERROR(INDEX(TableTECalcPts[TM],MATCH(TableTERanks3343[[#This Row],[Player]],TableTECalcPts[PLAYER],0)),"")</f>
        <v/>
      </c>
      <c r="AT58" t="str">
        <f>IFERROR(INDEX(TableTECalcPts[BYE],MATCH(TableTERanks3343[[#This Row],[Player]],TableTECalcPts[PLAYER],0)),"")</f>
        <v/>
      </c>
      <c r="AU58" s="86">
        <f>VLOOKUP(TableTERanks3343[[#This Row],[Player]],TE!B:O,4,FALSE)</f>
        <v>0</v>
      </c>
      <c r="AV58" s="86">
        <f>VLOOKUP(TableTERanks3343[[#This Row],[Player]],TE!B:O,5,FALSE)</f>
        <v>0</v>
      </c>
      <c r="AW58" s="86">
        <f>VLOOKUP(TableTERanks3343[[#This Row],[Player]],TE!B:O,6,FALSE)</f>
        <v>0</v>
      </c>
      <c r="AX58" s="86">
        <f>VLOOKUP(TableTERanks3343[[#This Row],[Player]],TE!B:O,7,FALSE)</f>
        <v>0</v>
      </c>
      <c r="AY58" s="58">
        <f>VLOOKUP(TableTERanks3343[[#This Row],[Player]],TE!B:O,11,FALSE)</f>
        <v>0</v>
      </c>
      <c r="AZ58" s="133">
        <f>IF(VLOOKUP(TableTERanks3343[[#This Row],[RK]],'Ranks w Proj'!AQ:AZ,10,FALSE)&lt;0,0,VLOOKUP(TableTERanks3343[[#This Row],[RK]],'Ranks w Proj'!AQ:AZ,10,FALSE))</f>
        <v>0</v>
      </c>
    </row>
    <row r="59" spans="1:52" x14ac:dyDescent="0.2">
      <c r="A59">
        <v>58</v>
      </c>
      <c r="B59">
        <f>VLOOKUP(TableQBRanks3040[[#This Row],[RK]],Rankings!A:T,3,FALSE)</f>
        <v>0</v>
      </c>
      <c r="C59" t="str">
        <f>IFERROR(INDEX(TableQBCalcPts[TM],MATCH(TableQBRanks3040[[#This Row],[Player]],TableQBCalcPts[PLAYER],0)),"")</f>
        <v/>
      </c>
      <c r="D59" t="str">
        <f>IFERROR(INDEX(TableQBCalcPts[BYE],MATCH(TableQBRanks3040[[#This Row],[Player]],TableQBCalcPts[PLAYER],0)),"")</f>
        <v/>
      </c>
      <c r="E59" s="86">
        <f>VLOOKUP(TableQBRanks3040[[#This Row],[Player]],QB!B:O,4,FALSE)</f>
        <v>30.022649999999999</v>
      </c>
      <c r="F59" s="86">
        <f>VLOOKUP(TableQBRanks3040[[#This Row],[Player]],QB!B:O,5,FALSE)</f>
        <v>18.957690112213761</v>
      </c>
      <c r="G59" s="86">
        <f>VLOOKUP(TableQBRanks3040[[#This Row],[Player]],QB!B:O,6,FALSE)</f>
        <v>203.98474560742008</v>
      </c>
      <c r="H59" s="86">
        <f>VLOOKUP(TableQBRanks3040[[#This Row],[Player]],QB!B:O,7,FALSE)</f>
        <v>1.3858071472028259</v>
      </c>
      <c r="I59" s="86">
        <f>VLOOKUP(TableQBRanks3040[[#This Row],[Player]],QB!B:O,8,FALSE)</f>
        <v>0.74387271583779924</v>
      </c>
      <c r="J59" s="86">
        <f>VLOOKUP(TableQBRanks3040[[#This Row],[Player]],QB!B:O,9,FALSE)</f>
        <v>2.2468803000000004</v>
      </c>
      <c r="K59" s="86">
        <f>VLOOKUP(TableQBRanks3040[[#This Row],[Player]],QB!B:O,10,FALSE)</f>
        <v>6.5114942493224293</v>
      </c>
      <c r="L59" s="86">
        <f>VLOOKUP(TableQBRanks3040[[#This Row],[Player]],QB!B:O,11,FALSE)</f>
        <v>4.1573164207364309E-2</v>
      </c>
      <c r="M59" s="58">
        <f>VLOOKUP(TableQBRanks3040[[#This Row],[Player]],QB!B:O,13,FALSE)</f>
        <v>13.859334107446738</v>
      </c>
      <c r="N59" s="133">
        <f>IF(VLOOKUP(TableQBRanks3040[[#This Row],[RK]],'Ranks w Proj'!$A:$N,14,FALSE)&lt;0,0,VLOOKUP(TableQBRanks3040[[#This Row],[RK]],'Ranks w Proj'!$A:$N,14,FALSE))</f>
        <v>0</v>
      </c>
      <c r="P59">
        <v>58</v>
      </c>
      <c r="Q59" t="str">
        <f>VLOOKUP(TableRBRanks3141[[#This Row],[RK]],Rankings!A:T,8,FALSE)</f>
        <v>Kenneth Gainwell</v>
      </c>
      <c r="R59" t="str">
        <f>IFERROR(INDEX(TableRBCalcPts[TM],MATCH(TableRBRanks3141[[#This Row],[Player]],TableRBCalcPts[PLAYER],0)),"")</f>
        <v>PHI</v>
      </c>
      <c r="S59">
        <f>IFERROR(INDEX(TableRBCalcPts[BYE],MATCH(TableRBRanks3141[[#This Row],[Player]],TableRBCalcPts[PLAYER],0)),"")</f>
        <v>10</v>
      </c>
      <c r="T59" s="86">
        <f>VLOOKUP(TableRBRanks3141[[#This Row],[Player]],RB!B:O,4,FALSE)</f>
        <v>100.53889776000001</v>
      </c>
      <c r="U59" s="86">
        <f>VLOOKUP(TableRBRanks3141[[#This Row],[Player]],RB!B:O,5,FALSE)</f>
        <v>457.45198480800002</v>
      </c>
      <c r="V59" s="86">
        <f>VLOOKUP(TableRBRanks3141[[#This Row],[Player]],RB!B:O,6,FALSE)</f>
        <v>3.8204781148800002</v>
      </c>
      <c r="W59" s="86">
        <f>VLOOKUP(TableRBRanks3141[[#This Row],[Player]],RB!B:O,7,FALSE)</f>
        <v>28.752841319999998</v>
      </c>
      <c r="X59" s="86">
        <f>VLOOKUP(TableRBRanks3141[[#This Row],[Player]],RB!B:O,8,FALSE)</f>
        <v>21.277102576799997</v>
      </c>
      <c r="Y59" s="86">
        <f>VLOOKUP(TableRBRanks3141[[#This Row],[Player]],RB!B:O,9,FALSE)</f>
        <v>159.57826932599997</v>
      </c>
      <c r="Z59" s="86">
        <f>VLOOKUP(TableRBRanks3141[[#This Row],[Player]],RB!B:O,10,FALSE)</f>
        <v>1.0000238211096</v>
      </c>
      <c r="AA59" s="58">
        <f>VLOOKUP(TableRBRanks3141[[#This Row],[Player]],RB!B:O,14,FALSE)</f>
        <v>101.2645883177376</v>
      </c>
      <c r="AB59" s="133">
        <f>IF(VLOOKUP(TableRBRanks3141[[#This Row],[RK]],'Ranks w Proj'!$P:$AB,13,FALSE)&lt;0,0,VLOOKUP(TableRBRanks3141[[#This Row],[RK]],'Ranks w Proj'!$P:$AB,13,FALSE))</f>
        <v>0</v>
      </c>
      <c r="AD59">
        <v>58</v>
      </c>
      <c r="AE59" t="str">
        <f>VLOOKUP(TableWRRanks3242[[#This Row],[RK]],Rankings!A:T,13,FALSE)</f>
        <v>Rashod Bateman</v>
      </c>
      <c r="AF59" t="str">
        <f>IFERROR(INDEX(TableWRCalcPts[TM],MATCH(TableWRRanks3242[[#This Row],[Player]],TableWRCalcPts[PLAYER],0)),"")</f>
        <v>BAL</v>
      </c>
      <c r="AG59">
        <f>IFERROR(INDEX(TableWRCalcPts[BYE],MATCH(TableWRRanks3242[[#This Row],[Player]],TableWRCalcPts[PLAYER],0)),"")</f>
        <v>13</v>
      </c>
      <c r="AH59" s="86">
        <f>VLOOKUP(TableWRRanks3242[[#This Row],[Player]],WR!B:O,4,FALSE)</f>
        <v>0</v>
      </c>
      <c r="AI59" s="86">
        <f>VLOOKUP(TableWRRanks3242[[#This Row],[Player]],WR!B:O,5,FALSE)</f>
        <v>0</v>
      </c>
      <c r="AJ59" s="86">
        <f>VLOOKUP(TableWRRanks3242[[#This Row],[Player]],WR!B:O,6,FALSE)</f>
        <v>73.243126320000016</v>
      </c>
      <c r="AK59" s="86">
        <f>VLOOKUP(TableWRRanks3242[[#This Row],[Player]],WR!B:O,7,FALSE)</f>
        <v>45.230232956759949</v>
      </c>
      <c r="AL59" s="86">
        <f>VLOOKUP(TableWRRanks3242[[#This Row],[Player]],WR!B:O,8,FALSE)</f>
        <v>563.11640031166132</v>
      </c>
      <c r="AM59" s="86">
        <f>VLOOKUP(TableWRRanks3242[[#This Row],[Player]],WR!B:O,9,FALSE)</f>
        <v>2.8042744433191169</v>
      </c>
      <c r="AN59" s="58">
        <f>VLOOKUP(TableWRRanks3242[[#This Row],[Player]],WR!B:O,13,FALSE)</f>
        <v>95.75240316946082</v>
      </c>
      <c r="AO59" s="133">
        <f>IF(VLOOKUP(TableWRRanks3242[[#This Row],[RK]],'Ranks w Proj'!AD:AO,12,FALSE)&lt;0,0,VLOOKUP(TableWRRanks3242[[#This Row],[RK]],'Ranks w Proj'!AD:AO,12,FALSE))</f>
        <v>0</v>
      </c>
      <c r="AQ59">
        <v>58</v>
      </c>
      <c r="AR59">
        <f>VLOOKUP(TableTERanks3343[[#This Row],[RK]],Rankings!A:T,18,FALSE)</f>
        <v>0</v>
      </c>
      <c r="AS59" t="str">
        <f>IFERROR(INDEX(TableTECalcPts[TM],MATCH(TableTERanks3343[[#This Row],[Player]],TableTECalcPts[PLAYER],0)),"")</f>
        <v/>
      </c>
      <c r="AT59" t="str">
        <f>IFERROR(INDEX(TableTECalcPts[BYE],MATCH(TableTERanks3343[[#This Row],[Player]],TableTECalcPts[PLAYER],0)),"")</f>
        <v/>
      </c>
      <c r="AU59" s="86">
        <f>VLOOKUP(TableTERanks3343[[#This Row],[Player]],TE!B:O,4,FALSE)</f>
        <v>0</v>
      </c>
      <c r="AV59" s="86">
        <f>VLOOKUP(TableTERanks3343[[#This Row],[Player]],TE!B:O,5,FALSE)</f>
        <v>0</v>
      </c>
      <c r="AW59" s="86">
        <f>VLOOKUP(TableTERanks3343[[#This Row],[Player]],TE!B:O,6,FALSE)</f>
        <v>0</v>
      </c>
      <c r="AX59" s="86">
        <f>VLOOKUP(TableTERanks3343[[#This Row],[Player]],TE!B:O,7,FALSE)</f>
        <v>0</v>
      </c>
      <c r="AY59" s="58">
        <f>VLOOKUP(TableTERanks3343[[#This Row],[Player]],TE!B:O,11,FALSE)</f>
        <v>0</v>
      </c>
      <c r="AZ59" s="133">
        <f>IF(VLOOKUP(TableTERanks3343[[#This Row],[RK]],'Ranks w Proj'!AQ:AZ,10,FALSE)&lt;0,0,VLOOKUP(TableTERanks3343[[#This Row],[RK]],'Ranks w Proj'!AQ:AZ,10,FALSE))</f>
        <v>0</v>
      </c>
    </row>
    <row r="60" spans="1:52" x14ac:dyDescent="0.2">
      <c r="A60">
        <v>59</v>
      </c>
      <c r="B60">
        <f>VLOOKUP(TableQBRanks3040[[#This Row],[RK]],Rankings!A:T,3,FALSE)</f>
        <v>0</v>
      </c>
      <c r="C60" t="str">
        <f>IFERROR(INDEX(TableQBCalcPts[TM],MATCH(TableQBRanks3040[[#This Row],[Player]],TableQBCalcPts[PLAYER],0)),"")</f>
        <v/>
      </c>
      <c r="D60" t="str">
        <f>IFERROR(INDEX(TableQBCalcPts[BYE],MATCH(TableQBRanks3040[[#This Row],[Player]],TableQBCalcPts[PLAYER],0)),"")</f>
        <v/>
      </c>
      <c r="E60" s="86">
        <f>VLOOKUP(TableQBRanks3040[[#This Row],[Player]],QB!B:O,4,FALSE)</f>
        <v>30.022649999999999</v>
      </c>
      <c r="F60" s="86">
        <f>VLOOKUP(TableQBRanks3040[[#This Row],[Player]],QB!B:O,5,FALSE)</f>
        <v>18.957690112213761</v>
      </c>
      <c r="G60" s="86">
        <f>VLOOKUP(TableQBRanks3040[[#This Row],[Player]],QB!B:O,6,FALSE)</f>
        <v>203.98474560742008</v>
      </c>
      <c r="H60" s="86">
        <f>VLOOKUP(TableQBRanks3040[[#This Row],[Player]],QB!B:O,7,FALSE)</f>
        <v>1.3858071472028259</v>
      </c>
      <c r="I60" s="86">
        <f>VLOOKUP(TableQBRanks3040[[#This Row],[Player]],QB!B:O,8,FALSE)</f>
        <v>0.74387271583779924</v>
      </c>
      <c r="J60" s="86">
        <f>VLOOKUP(TableQBRanks3040[[#This Row],[Player]],QB!B:O,9,FALSE)</f>
        <v>2.2468803000000004</v>
      </c>
      <c r="K60" s="86">
        <f>VLOOKUP(TableQBRanks3040[[#This Row],[Player]],QB!B:O,10,FALSE)</f>
        <v>6.5114942493224293</v>
      </c>
      <c r="L60" s="86">
        <f>VLOOKUP(TableQBRanks3040[[#This Row],[Player]],QB!B:O,11,FALSE)</f>
        <v>4.1573164207364309E-2</v>
      </c>
      <c r="M60" s="58">
        <f>VLOOKUP(TableQBRanks3040[[#This Row],[Player]],QB!B:O,13,FALSE)</f>
        <v>13.859334107446738</v>
      </c>
      <c r="N60" s="133">
        <f>IF(VLOOKUP(TableQBRanks3040[[#This Row],[RK]],'Ranks w Proj'!$A:$N,14,FALSE)&lt;0,0,VLOOKUP(TableQBRanks3040[[#This Row],[RK]],'Ranks w Proj'!$A:$N,14,FALSE))</f>
        <v>0</v>
      </c>
      <c r="P60">
        <v>59</v>
      </c>
      <c r="Q60" t="str">
        <f>VLOOKUP(TableRBRanks3141[[#This Row],[RK]],Rankings!A:T,8,FALSE)</f>
        <v>Joshua Kelley</v>
      </c>
      <c r="R60" t="str">
        <f>IFERROR(INDEX(TableRBCalcPts[TM],MATCH(TableRBRanks3141[[#This Row],[Player]],TableRBCalcPts[PLAYER],0)),"")</f>
        <v>LAC</v>
      </c>
      <c r="S60">
        <f>IFERROR(INDEX(TableRBCalcPts[BYE],MATCH(TableRBRanks3141[[#This Row],[Player]],TableRBCalcPts[PLAYER],0)),"")</f>
        <v>5</v>
      </c>
      <c r="T60" s="86">
        <f>VLOOKUP(TableRBRanks3141[[#This Row],[Player]],RB!B:O,4,FALSE)</f>
        <v>110.29639320000001</v>
      </c>
      <c r="U60" s="86">
        <f>VLOOKUP(TableRBRanks3141[[#This Row],[Player]],RB!B:O,5,FALSE)</f>
        <v>474.27449076000005</v>
      </c>
      <c r="V60" s="86">
        <f>VLOOKUP(TableRBRanks3141[[#This Row],[Player]],RB!B:O,6,FALSE)</f>
        <v>3.6397809756000004</v>
      </c>
      <c r="W60" s="86">
        <f>VLOOKUP(TableRBRanks3141[[#This Row],[Player]],RB!B:O,7,FALSE)</f>
        <v>27.072078600000001</v>
      </c>
      <c r="X60" s="86">
        <f>VLOOKUP(TableRBRanks3141[[#This Row],[Player]],RB!B:O,8,FALSE)</f>
        <v>19.9521219282</v>
      </c>
      <c r="Y60" s="86">
        <f>VLOOKUP(TableRBRanks3141[[#This Row],[Player]],RB!B:O,9,FALSE)</f>
        <v>143.4184040946781</v>
      </c>
      <c r="Z60" s="86">
        <f>VLOOKUP(TableRBRanks3141[[#This Row],[Player]],RB!B:O,10,FALSE)</f>
        <v>0.6783721455588001</v>
      </c>
      <c r="AA60" s="58">
        <f>VLOOKUP(TableRBRanks3141[[#This Row],[Player]],RB!B:O,14,FALSE)</f>
        <v>97.654269176520614</v>
      </c>
      <c r="AB60" s="133">
        <f>IF(VLOOKUP(TableRBRanks3141[[#This Row],[RK]],'Ranks w Proj'!$P:$AB,13,FALSE)&lt;0,0,VLOOKUP(TableRBRanks3141[[#This Row],[RK]],'Ranks w Proj'!$P:$AB,13,FALSE))</f>
        <v>0</v>
      </c>
      <c r="AD60">
        <v>59</v>
      </c>
      <c r="AE60" t="str">
        <f>VLOOKUP(TableWRRanks3242[[#This Row],[RK]],Rankings!A:T,13,FALSE)</f>
        <v>Donovan Peoples-Jones</v>
      </c>
      <c r="AF60" t="str">
        <f>IFERROR(INDEX(TableWRCalcPts[TM],MATCH(TableWRRanks3242[[#This Row],[Player]],TableWRCalcPts[PLAYER],0)),"")</f>
        <v>CLE</v>
      </c>
      <c r="AG60">
        <f>IFERROR(INDEX(TableWRCalcPts[BYE],MATCH(TableWRRanks3242[[#This Row],[Player]],TableWRCalcPts[PLAYER],0)),"")</f>
        <v>5</v>
      </c>
      <c r="AH60" s="86">
        <f>VLOOKUP(TableWRRanks3242[[#This Row],[Player]],WR!B:O,4,FALSE)</f>
        <v>0</v>
      </c>
      <c r="AI60" s="86">
        <f>VLOOKUP(TableWRRanks3242[[#This Row],[Player]],WR!B:O,5,FALSE)</f>
        <v>0</v>
      </c>
      <c r="AJ60" s="86">
        <f>VLOOKUP(TableWRRanks3242[[#This Row],[Player]],WR!B:O,6,FALSE)</f>
        <v>88.9745724</v>
      </c>
      <c r="AK60" s="86">
        <f>VLOOKUP(TableWRRanks3242[[#This Row],[Player]],WR!B:O,7,FALSE)</f>
        <v>55.307673087252937</v>
      </c>
      <c r="AL60" s="86">
        <f>VLOOKUP(TableWRRanks3242[[#This Row],[Player]],WR!B:O,8,FALSE)</f>
        <v>783.75505957313862</v>
      </c>
      <c r="AM60" s="86">
        <f>VLOOKUP(TableWRRanks3242[[#This Row],[Player]],WR!B:O,9,FALSE)</f>
        <v>4.5905368662419939</v>
      </c>
      <c r="AN60" s="58">
        <f>VLOOKUP(TableWRRanks3242[[#This Row],[Player]],WR!B:O,13,FALSE)</f>
        <v>133.57256369839229</v>
      </c>
      <c r="AO60" s="133">
        <f>IF(VLOOKUP(TableWRRanks3242[[#This Row],[RK]],'Ranks w Proj'!AD:AO,12,FALSE)&lt;0,0,VLOOKUP(TableWRRanks3242[[#This Row],[RK]],'Ranks w Proj'!AD:AO,12,FALSE))</f>
        <v>0</v>
      </c>
      <c r="AQ60">
        <v>59</v>
      </c>
      <c r="AR60">
        <f>VLOOKUP(TableTERanks3343[[#This Row],[RK]],Rankings!A:T,18,FALSE)</f>
        <v>0</v>
      </c>
      <c r="AS60" t="str">
        <f>IFERROR(INDEX(TableTECalcPts[TM],MATCH(TableTERanks3343[[#This Row],[Player]],TableTECalcPts[PLAYER],0)),"")</f>
        <v/>
      </c>
      <c r="AT60" t="str">
        <f>IFERROR(INDEX(TableTECalcPts[BYE],MATCH(TableTERanks3343[[#This Row],[Player]],TableTECalcPts[PLAYER],0)),"")</f>
        <v/>
      </c>
      <c r="AU60" s="86">
        <f>VLOOKUP(TableTERanks3343[[#This Row],[Player]],TE!B:O,4,FALSE)</f>
        <v>0</v>
      </c>
      <c r="AV60" s="86">
        <f>VLOOKUP(TableTERanks3343[[#This Row],[Player]],TE!B:O,5,FALSE)</f>
        <v>0</v>
      </c>
      <c r="AW60" s="86">
        <f>VLOOKUP(TableTERanks3343[[#This Row],[Player]],TE!B:O,6,FALSE)</f>
        <v>0</v>
      </c>
      <c r="AX60" s="86">
        <f>VLOOKUP(TableTERanks3343[[#This Row],[Player]],TE!B:O,7,FALSE)</f>
        <v>0</v>
      </c>
      <c r="AY60" s="58">
        <f>VLOOKUP(TableTERanks3343[[#This Row],[Player]],TE!B:O,11,FALSE)</f>
        <v>0</v>
      </c>
      <c r="AZ60" s="133">
        <f>IF(VLOOKUP(TableTERanks3343[[#This Row],[RK]],'Ranks w Proj'!AQ:AZ,10,FALSE)&lt;0,0,VLOOKUP(TableTERanks3343[[#This Row],[RK]],'Ranks w Proj'!AQ:AZ,10,FALSE))</f>
        <v>0</v>
      </c>
    </row>
    <row r="61" spans="1:52" x14ac:dyDescent="0.2">
      <c r="A61">
        <v>60</v>
      </c>
      <c r="B61">
        <f>VLOOKUP(TableQBRanks3040[[#This Row],[RK]],Rankings!A:T,3,FALSE)</f>
        <v>0</v>
      </c>
      <c r="C61" t="str">
        <f>IFERROR(INDEX(TableQBCalcPts[TM],MATCH(TableQBRanks3040[[#This Row],[Player]],TableQBCalcPts[PLAYER],0)),"")</f>
        <v/>
      </c>
      <c r="D61" t="str">
        <f>IFERROR(INDEX(TableQBCalcPts[BYE],MATCH(TableQBRanks3040[[#This Row],[Player]],TableQBCalcPts[PLAYER],0)),"")</f>
        <v/>
      </c>
      <c r="E61" s="86">
        <f>VLOOKUP(TableQBRanks3040[[#This Row],[Player]],QB!B:O,4,FALSE)</f>
        <v>30.022649999999999</v>
      </c>
      <c r="F61" s="86">
        <f>VLOOKUP(TableQBRanks3040[[#This Row],[Player]],QB!B:O,5,FALSE)</f>
        <v>18.957690112213761</v>
      </c>
      <c r="G61" s="86">
        <f>VLOOKUP(TableQBRanks3040[[#This Row],[Player]],QB!B:O,6,FALSE)</f>
        <v>203.98474560742008</v>
      </c>
      <c r="H61" s="86">
        <f>VLOOKUP(TableQBRanks3040[[#This Row],[Player]],QB!B:O,7,FALSE)</f>
        <v>1.3858071472028259</v>
      </c>
      <c r="I61" s="86">
        <f>VLOOKUP(TableQBRanks3040[[#This Row],[Player]],QB!B:O,8,FALSE)</f>
        <v>0.74387271583779924</v>
      </c>
      <c r="J61" s="86">
        <f>VLOOKUP(TableQBRanks3040[[#This Row],[Player]],QB!B:O,9,FALSE)</f>
        <v>2.2468803000000004</v>
      </c>
      <c r="K61" s="86">
        <f>VLOOKUP(TableQBRanks3040[[#This Row],[Player]],QB!B:O,10,FALSE)</f>
        <v>6.5114942493224293</v>
      </c>
      <c r="L61" s="86">
        <f>VLOOKUP(TableQBRanks3040[[#This Row],[Player]],QB!B:O,11,FALSE)</f>
        <v>4.1573164207364309E-2</v>
      </c>
      <c r="M61" s="58">
        <f>VLOOKUP(TableQBRanks3040[[#This Row],[Player]],QB!B:O,13,FALSE)</f>
        <v>13.859334107446738</v>
      </c>
      <c r="N61" s="133">
        <f>IF(VLOOKUP(TableQBRanks3040[[#This Row],[RK]],'Ranks w Proj'!$A:$N,14,FALSE)&lt;0,0,VLOOKUP(TableQBRanks3040[[#This Row],[RK]],'Ranks w Proj'!$A:$N,14,FALSE))</f>
        <v>0</v>
      </c>
      <c r="P61">
        <v>60</v>
      </c>
      <c r="Q61" t="str">
        <f>VLOOKUP(TableRBRanks3141[[#This Row],[RK]],Rankings!A:T,8,FALSE)</f>
        <v>Tyjae Spears</v>
      </c>
      <c r="R61" t="str">
        <f>IFERROR(INDEX(TableRBCalcPts[TM],MATCH(TableRBRanks3141[[#This Row],[Player]],TableRBCalcPts[PLAYER],0)),"")</f>
        <v>TEN</v>
      </c>
      <c r="S61">
        <f>IFERROR(INDEX(TableRBCalcPts[BYE],MATCH(TableRBRanks3141[[#This Row],[Player]],TableRBCalcPts[PLAYER],0)),"")</f>
        <v>7</v>
      </c>
      <c r="T61" s="86">
        <f>VLOOKUP(TableRBRanks3141[[#This Row],[Player]],RB!B:O,4,FALSE)</f>
        <v>80.966953199999992</v>
      </c>
      <c r="U61" s="86">
        <f>VLOOKUP(TableRBRanks3141[[#This Row],[Player]],RB!B:O,5,FALSE)</f>
        <v>347.34822922799998</v>
      </c>
      <c r="V61" s="86">
        <f>VLOOKUP(TableRBRanks3141[[#This Row],[Player]],RB!B:O,6,FALSE)</f>
        <v>2.9148103151999996</v>
      </c>
      <c r="W61" s="86">
        <f>VLOOKUP(TableRBRanks3141[[#This Row],[Player]],RB!B:O,7,FALSE)</f>
        <v>40.078540599999997</v>
      </c>
      <c r="X61" s="86">
        <f>VLOOKUP(TableRBRanks3141[[#This Row],[Player]],RB!B:O,8,FALSE)</f>
        <v>28.690301078978443</v>
      </c>
      <c r="Y61" s="86">
        <f>VLOOKUP(TableRBRanks3141[[#This Row],[Player]],RB!B:O,9,FALSE)</f>
        <v>217.19650744424862</v>
      </c>
      <c r="Z61" s="86">
        <f>VLOOKUP(TableRBRanks3141[[#This Row],[Player]],RB!B:O,10,FALSE)</f>
        <v>0.9467799356062887</v>
      </c>
      <c r="AA61" s="58">
        <f>VLOOKUP(TableRBRanks3141[[#This Row],[Player]],RB!B:O,14,FALSE)</f>
        <v>93.969165711551824</v>
      </c>
      <c r="AB61" s="133">
        <f>IF(VLOOKUP(TableRBRanks3141[[#This Row],[RK]],'Ranks w Proj'!$P:$AB,13,FALSE)&lt;0,0,VLOOKUP(TableRBRanks3141[[#This Row],[RK]],'Ranks w Proj'!$P:$AB,13,FALSE))</f>
        <v>0</v>
      </c>
      <c r="AD61">
        <v>60</v>
      </c>
      <c r="AE61" t="str">
        <f>VLOOKUP(TableWRRanks3242[[#This Row],[RK]],Rankings!A:T,13,FALSE)</f>
        <v>Romeo Doubs</v>
      </c>
      <c r="AF61" t="str">
        <f>IFERROR(INDEX(TableWRCalcPts[TM],MATCH(TableWRRanks3242[[#This Row],[Player]],TableWRCalcPts[PLAYER],0)),"")</f>
        <v>GB</v>
      </c>
      <c r="AG61">
        <f>IFERROR(INDEX(TableWRCalcPts[BYE],MATCH(TableWRRanks3242[[#This Row],[Player]],TableWRCalcPts[PLAYER],0)),"")</f>
        <v>6</v>
      </c>
      <c r="AH61" s="86">
        <f>VLOOKUP(TableWRRanks3242[[#This Row],[Player]],WR!B:O,4,FALSE)</f>
        <v>0</v>
      </c>
      <c r="AI61" s="86">
        <f>VLOOKUP(TableWRRanks3242[[#This Row],[Player]],WR!B:O,5,FALSE)</f>
        <v>0</v>
      </c>
      <c r="AJ61" s="86">
        <f>VLOOKUP(TableWRRanks3242[[#This Row],[Player]],WR!B:O,6,FALSE)</f>
        <v>102.73240824</v>
      </c>
      <c r="AK61" s="86">
        <f>VLOOKUP(TableWRRanks3242[[#This Row],[Player]],WR!B:O,7,FALSE)</f>
        <v>62.386214338574327</v>
      </c>
      <c r="AL61" s="86">
        <f>VLOOKUP(TableWRRanks3242[[#This Row],[Player]],WR!B:O,8,FALSE)</f>
        <v>742.03480683449322</v>
      </c>
      <c r="AM61" s="86">
        <f>VLOOKUP(TableWRRanks3242[[#This Row],[Player]],WR!B:O,9,FALSE)</f>
        <v>4.3670350037002033</v>
      </c>
      <c r="AN61" s="58">
        <f>VLOOKUP(TableWRRanks3242[[#This Row],[Player]],WR!B:O,13,FALSE)</f>
        <v>131.5987978749377</v>
      </c>
      <c r="AO61" s="133">
        <f>IF(VLOOKUP(TableWRRanks3242[[#This Row],[RK]],'Ranks w Proj'!AD:AO,12,FALSE)&lt;0,0,VLOOKUP(TableWRRanks3242[[#This Row],[RK]],'Ranks w Proj'!AD:AO,12,FALSE))</f>
        <v>0</v>
      </c>
      <c r="AQ61">
        <v>60</v>
      </c>
      <c r="AR61">
        <f>VLOOKUP(TableTERanks3343[[#This Row],[RK]],Rankings!A:T,18,FALSE)</f>
        <v>0</v>
      </c>
      <c r="AS61" t="str">
        <f>IFERROR(INDEX(TableTECalcPts[TM],MATCH(TableTERanks3343[[#This Row],[Player]],TableTECalcPts[PLAYER],0)),"")</f>
        <v/>
      </c>
      <c r="AT61" t="str">
        <f>IFERROR(INDEX(TableTECalcPts[BYE],MATCH(TableTERanks3343[[#This Row],[Player]],TableTECalcPts[PLAYER],0)),"")</f>
        <v/>
      </c>
      <c r="AU61" s="86">
        <f>VLOOKUP(TableTERanks3343[[#This Row],[Player]],TE!B:O,4,FALSE)</f>
        <v>0</v>
      </c>
      <c r="AV61" s="86">
        <f>VLOOKUP(TableTERanks3343[[#This Row],[Player]],TE!B:O,5,FALSE)</f>
        <v>0</v>
      </c>
      <c r="AW61" s="86">
        <f>VLOOKUP(TableTERanks3343[[#This Row],[Player]],TE!B:O,6,FALSE)</f>
        <v>0</v>
      </c>
      <c r="AX61" s="86">
        <f>VLOOKUP(TableTERanks3343[[#This Row],[Player]],TE!B:O,7,FALSE)</f>
        <v>0</v>
      </c>
      <c r="AY61" s="58">
        <f>VLOOKUP(TableTERanks3343[[#This Row],[Player]],TE!B:O,11,FALSE)</f>
        <v>0</v>
      </c>
      <c r="AZ61" s="133">
        <f>IF(VLOOKUP(TableTERanks3343[[#This Row],[RK]],'Ranks w Proj'!AQ:AZ,10,FALSE)&lt;0,0,VLOOKUP(TableTERanks3343[[#This Row],[RK]],'Ranks w Proj'!AQ:AZ,10,FALSE))</f>
        <v>0</v>
      </c>
    </row>
    <row r="62" spans="1:52" x14ac:dyDescent="0.2">
      <c r="A62">
        <v>61</v>
      </c>
      <c r="B62">
        <f>VLOOKUP(TableQBRanks3040[[#This Row],[RK]],Rankings!A:T,3,FALSE)</f>
        <v>0</v>
      </c>
      <c r="C62" t="str">
        <f>IFERROR(INDEX(TableQBCalcPts[TM],MATCH(TableQBRanks3040[[#This Row],[Player]],TableQBCalcPts[PLAYER],0)),"")</f>
        <v/>
      </c>
      <c r="D62" t="str">
        <f>IFERROR(INDEX(TableQBCalcPts[BYE],MATCH(TableQBRanks3040[[#This Row],[Player]],TableQBCalcPts[PLAYER],0)),"")</f>
        <v/>
      </c>
      <c r="E62" s="86">
        <f>VLOOKUP(TableQBRanks3040[[#This Row],[Player]],QB!B:O,4,FALSE)</f>
        <v>30.022649999999999</v>
      </c>
      <c r="F62" s="86">
        <f>VLOOKUP(TableQBRanks3040[[#This Row],[Player]],QB!B:O,5,FALSE)</f>
        <v>18.957690112213761</v>
      </c>
      <c r="G62" s="86">
        <f>VLOOKUP(TableQBRanks3040[[#This Row],[Player]],QB!B:O,6,FALSE)</f>
        <v>203.98474560742008</v>
      </c>
      <c r="H62" s="86">
        <f>VLOOKUP(TableQBRanks3040[[#This Row],[Player]],QB!B:O,7,FALSE)</f>
        <v>1.3858071472028259</v>
      </c>
      <c r="I62" s="86">
        <f>VLOOKUP(TableQBRanks3040[[#This Row],[Player]],QB!B:O,8,FALSE)</f>
        <v>0.74387271583779924</v>
      </c>
      <c r="J62" s="86">
        <f>VLOOKUP(TableQBRanks3040[[#This Row],[Player]],QB!B:O,9,FALSE)</f>
        <v>2.2468803000000004</v>
      </c>
      <c r="K62" s="86">
        <f>VLOOKUP(TableQBRanks3040[[#This Row],[Player]],QB!B:O,10,FALSE)</f>
        <v>6.5114942493224293</v>
      </c>
      <c r="L62" s="86">
        <f>VLOOKUP(TableQBRanks3040[[#This Row],[Player]],QB!B:O,11,FALSE)</f>
        <v>4.1573164207364309E-2</v>
      </c>
      <c r="M62" s="58">
        <f>VLOOKUP(TableQBRanks3040[[#This Row],[Player]],QB!B:O,13,FALSE)</f>
        <v>13.859334107446738</v>
      </c>
      <c r="N62" s="133">
        <f>IF(VLOOKUP(TableQBRanks3040[[#This Row],[RK]],'Ranks w Proj'!$A:$N,14,FALSE)&lt;0,0,VLOOKUP(TableQBRanks3040[[#This Row],[RK]],'Ranks w Proj'!$A:$N,14,FALSE))</f>
        <v>0</v>
      </c>
      <c r="P62">
        <v>61</v>
      </c>
      <c r="Q62" t="str">
        <f>VLOOKUP(TableRBRanks3141[[#This Row],[RK]],Rankings!A:T,8,FALSE)</f>
        <v>Devin Singletary</v>
      </c>
      <c r="R62" t="str">
        <f>IFERROR(INDEX(TableRBCalcPts[TM],MATCH(TableRBRanks3141[[#This Row],[Player]],TableRBCalcPts[PLAYER],0)),"")</f>
        <v>HOU</v>
      </c>
      <c r="S62">
        <f>IFERROR(INDEX(TableRBCalcPts[BYE],MATCH(TableRBRanks3141[[#This Row],[Player]],TableRBCalcPts[PLAYER],0)),"")</f>
        <v>7</v>
      </c>
      <c r="T62" s="86">
        <f>VLOOKUP(TableRBRanks3141[[#This Row],[Player]],RB!B:O,4,FALSE)</f>
        <v>96.731527199999988</v>
      </c>
      <c r="U62" s="86">
        <f>VLOOKUP(TableRBRanks3141[[#This Row],[Player]],RB!B:O,5,FALSE)</f>
        <v>430.34655548075796</v>
      </c>
      <c r="V62" s="86">
        <f>VLOOKUP(TableRBRanks3141[[#This Row],[Player]],RB!B:O,6,FALSE)</f>
        <v>2.7084827615999996</v>
      </c>
      <c r="W62" s="86">
        <f>VLOOKUP(TableRBRanks3141[[#This Row],[Player]],RB!B:O,7,FALSE)</f>
        <v>24.226454559999997</v>
      </c>
      <c r="X62" s="86">
        <f>VLOOKUP(TableRBRanks3141[[#This Row],[Player]],RB!B:O,8,FALSE)</f>
        <v>16.724852452526708</v>
      </c>
      <c r="Y62" s="86">
        <f>VLOOKUP(TableRBRanks3141[[#This Row],[Player]],RB!B:O,9,FALSE)</f>
        <v>123.76390814869764</v>
      </c>
      <c r="Z62" s="86">
        <f>VLOOKUP(TableRBRanks3141[[#This Row],[Player]],RB!B:O,10,FALSE)</f>
        <v>0.63554439319601486</v>
      </c>
      <c r="AA62" s="58">
        <f>VLOOKUP(TableRBRanks3141[[#This Row],[Player]],RB!B:O,14,FALSE)</f>
        <v>83.837635517984992</v>
      </c>
      <c r="AB62" s="133">
        <f>IF(VLOOKUP(TableRBRanks3141[[#This Row],[RK]],'Ranks w Proj'!$P:$AB,13,FALSE)&lt;0,0,VLOOKUP(TableRBRanks3141[[#This Row],[RK]],'Ranks w Proj'!$P:$AB,13,FALSE))</f>
        <v>0</v>
      </c>
      <c r="AD62">
        <v>61</v>
      </c>
      <c r="AE62" t="str">
        <f>VLOOKUP(TableWRRanks3242[[#This Row],[RK]],Rankings!A:T,13,FALSE)</f>
        <v>Van Jefferson</v>
      </c>
      <c r="AF62" t="str">
        <f>IFERROR(INDEX(TableWRCalcPts[TM],MATCH(TableWRRanks3242[[#This Row],[Player]],TableWRCalcPts[PLAYER],0)),"")</f>
        <v>LAR</v>
      </c>
      <c r="AG62">
        <f>IFERROR(INDEX(TableWRCalcPts[BYE],MATCH(TableWRRanks3242[[#This Row],[Player]],TableWRCalcPts[PLAYER],0)),"")</f>
        <v>10</v>
      </c>
      <c r="AH62" s="86">
        <f>VLOOKUP(TableWRRanks3242[[#This Row],[Player]],WR!B:O,4,FALSE)</f>
        <v>0</v>
      </c>
      <c r="AI62" s="86">
        <f>VLOOKUP(TableWRRanks3242[[#This Row],[Player]],WR!B:O,5,FALSE)</f>
        <v>0</v>
      </c>
      <c r="AJ62" s="86">
        <f>VLOOKUP(TableWRRanks3242[[#This Row],[Player]],WR!B:O,6,FALSE)</f>
        <v>93.291327359999997</v>
      </c>
      <c r="AK62" s="86">
        <f>VLOOKUP(TableWRRanks3242[[#This Row],[Player]],WR!B:O,7,FALSE)</f>
        <v>52.128575665652221</v>
      </c>
      <c r="AL62" s="86">
        <f>VLOOKUP(TableWRRanks3242[[#This Row],[Player]],WR!B:O,8,FALSE)</f>
        <v>750.13020382873549</v>
      </c>
      <c r="AM62" s="86">
        <f>VLOOKUP(TableWRRanks3242[[#This Row],[Player]],WR!B:O,9,FALSE)</f>
        <v>4.8479575369056569</v>
      </c>
      <c r="AN62" s="58">
        <f>VLOOKUP(TableWRRanks3242[[#This Row],[Player]],WR!B:O,13,FALSE)</f>
        <v>130.16505343713359</v>
      </c>
      <c r="AO62" s="133">
        <f>IF(VLOOKUP(TableWRRanks3242[[#This Row],[RK]],'Ranks w Proj'!AD:AO,12,FALSE)&lt;0,0,VLOOKUP(TableWRRanks3242[[#This Row],[RK]],'Ranks w Proj'!AD:AO,12,FALSE))</f>
        <v>0</v>
      </c>
      <c r="AQ62">
        <v>61</v>
      </c>
      <c r="AR62">
        <f>VLOOKUP(TableTERanks3343[[#This Row],[RK]],Rankings!A:T,18,FALSE)</f>
        <v>0</v>
      </c>
      <c r="AS62" t="str">
        <f>IFERROR(INDEX(TableTECalcPts[TM],MATCH(TableTERanks3343[[#This Row],[Player]],TableTECalcPts[PLAYER],0)),"")</f>
        <v/>
      </c>
      <c r="AT62" t="str">
        <f>IFERROR(INDEX(TableTECalcPts[BYE],MATCH(TableTERanks3343[[#This Row],[Player]],TableTECalcPts[PLAYER],0)),"")</f>
        <v/>
      </c>
      <c r="AU62" s="86">
        <f>VLOOKUP(TableTERanks3343[[#This Row],[Player]],TE!B:O,4,FALSE)</f>
        <v>0</v>
      </c>
      <c r="AV62" s="86">
        <f>VLOOKUP(TableTERanks3343[[#This Row],[Player]],TE!B:O,5,FALSE)</f>
        <v>0</v>
      </c>
      <c r="AW62" s="86">
        <f>VLOOKUP(TableTERanks3343[[#This Row],[Player]],TE!B:O,6,FALSE)</f>
        <v>0</v>
      </c>
      <c r="AX62" s="86">
        <f>VLOOKUP(TableTERanks3343[[#This Row],[Player]],TE!B:O,7,FALSE)</f>
        <v>0</v>
      </c>
      <c r="AY62" s="58">
        <f>VLOOKUP(TableTERanks3343[[#This Row],[Player]],TE!B:O,11,FALSE)</f>
        <v>0</v>
      </c>
      <c r="AZ62" s="133">
        <f>IF(VLOOKUP(TableTERanks3343[[#This Row],[RK]],'Ranks w Proj'!AQ:AZ,10,FALSE)&lt;0,0,VLOOKUP(TableTERanks3343[[#This Row],[RK]],'Ranks w Proj'!AQ:AZ,10,FALSE))</f>
        <v>0</v>
      </c>
    </row>
    <row r="63" spans="1:52" x14ac:dyDescent="0.2">
      <c r="A63">
        <v>62</v>
      </c>
      <c r="B63">
        <f>VLOOKUP(TableQBRanks3040[[#This Row],[RK]],Rankings!A:T,3,FALSE)</f>
        <v>0</v>
      </c>
      <c r="C63" t="str">
        <f>IFERROR(INDEX(TableQBCalcPts[TM],MATCH(TableQBRanks3040[[#This Row],[Player]],TableQBCalcPts[PLAYER],0)),"")</f>
        <v/>
      </c>
      <c r="D63" t="str">
        <f>IFERROR(INDEX(TableQBCalcPts[BYE],MATCH(TableQBRanks3040[[#This Row],[Player]],TableQBCalcPts[PLAYER],0)),"")</f>
        <v/>
      </c>
      <c r="E63" s="86">
        <f>VLOOKUP(TableQBRanks3040[[#This Row],[Player]],QB!B:O,4,FALSE)</f>
        <v>30.022649999999999</v>
      </c>
      <c r="F63" s="86">
        <f>VLOOKUP(TableQBRanks3040[[#This Row],[Player]],QB!B:O,5,FALSE)</f>
        <v>18.957690112213761</v>
      </c>
      <c r="G63" s="86">
        <f>VLOOKUP(TableQBRanks3040[[#This Row],[Player]],QB!B:O,6,FALSE)</f>
        <v>203.98474560742008</v>
      </c>
      <c r="H63" s="86">
        <f>VLOOKUP(TableQBRanks3040[[#This Row],[Player]],QB!B:O,7,FALSE)</f>
        <v>1.3858071472028259</v>
      </c>
      <c r="I63" s="86">
        <f>VLOOKUP(TableQBRanks3040[[#This Row],[Player]],QB!B:O,8,FALSE)</f>
        <v>0.74387271583779924</v>
      </c>
      <c r="J63" s="86">
        <f>VLOOKUP(TableQBRanks3040[[#This Row],[Player]],QB!B:O,9,FALSE)</f>
        <v>2.2468803000000004</v>
      </c>
      <c r="K63" s="86">
        <f>VLOOKUP(TableQBRanks3040[[#This Row],[Player]],QB!B:O,10,FALSE)</f>
        <v>6.5114942493224293</v>
      </c>
      <c r="L63" s="86">
        <f>VLOOKUP(TableQBRanks3040[[#This Row],[Player]],QB!B:O,11,FALSE)</f>
        <v>4.1573164207364309E-2</v>
      </c>
      <c r="M63" s="58">
        <f>VLOOKUP(TableQBRanks3040[[#This Row],[Player]],QB!B:O,13,FALSE)</f>
        <v>13.859334107446738</v>
      </c>
      <c r="N63" s="133">
        <f>IF(VLOOKUP(TableQBRanks3040[[#This Row],[RK]],'Ranks w Proj'!$A:$N,14,FALSE)&lt;0,0,VLOOKUP(TableQBRanks3040[[#This Row],[RK]],'Ranks w Proj'!$A:$N,14,FALSE))</f>
        <v>0</v>
      </c>
      <c r="P63">
        <v>62</v>
      </c>
      <c r="Q63" t="str">
        <f>VLOOKUP(TableRBRanks3141[[#This Row],[RK]],Rankings!A:T,8,FALSE)</f>
        <v>Jeff Wilson</v>
      </c>
      <c r="R63" t="str">
        <f>IFERROR(INDEX(TableRBCalcPts[TM],MATCH(TableRBRanks3141[[#This Row],[Player]],TableRBCalcPts[PLAYER],0)),"")</f>
        <v>MIA</v>
      </c>
      <c r="S63">
        <f>IFERROR(INDEX(TableRBCalcPts[BYE],MATCH(TableRBRanks3141[[#This Row],[Player]],TableRBCalcPts[PLAYER],0)),"")</f>
        <v>10</v>
      </c>
      <c r="T63" s="86">
        <f>VLOOKUP(TableRBRanks3141[[#This Row],[Player]],RB!B:O,4,FALSE)</f>
        <v>92.791586160000008</v>
      </c>
      <c r="U63" s="86">
        <f>VLOOKUP(TableRBRanks3141[[#This Row],[Player]],RB!B:O,5,FALSE)</f>
        <v>405.21146863299469</v>
      </c>
      <c r="V63" s="86">
        <f>VLOOKUP(TableRBRanks3141[[#This Row],[Player]],RB!B:O,6,FALSE)</f>
        <v>3.8044550325600004</v>
      </c>
      <c r="W63" s="86">
        <f>VLOOKUP(TableRBRanks3141[[#This Row],[Player]],RB!B:O,7,FALSE)</f>
        <v>31.916298960000006</v>
      </c>
      <c r="X63" s="86">
        <f>VLOOKUP(TableRBRanks3141[[#This Row],[Player]],RB!B:O,8,FALSE)</f>
        <v>20.639984373688989</v>
      </c>
      <c r="Y63" s="86">
        <f>VLOOKUP(TableRBRanks3141[[#This Row],[Player]],RB!B:O,9,FALSE)</f>
        <v>173.27123117974887</v>
      </c>
      <c r="Z63" s="86">
        <f>VLOOKUP(TableRBRanks3141[[#This Row],[Player]],RB!B:O,10,FALSE)</f>
        <v>1.3415989842897844</v>
      </c>
      <c r="AA63" s="58">
        <f>VLOOKUP(TableRBRanks3141[[#This Row],[Player]],RB!B:O,14,FALSE)</f>
        <v>99.044586269217561</v>
      </c>
      <c r="AB63" s="133">
        <f>IF(VLOOKUP(TableRBRanks3141[[#This Row],[RK]],'Ranks w Proj'!$P:$AB,13,FALSE)&lt;0,0,VLOOKUP(TableRBRanks3141[[#This Row],[RK]],'Ranks w Proj'!$P:$AB,13,FALSE))</f>
        <v>0</v>
      </c>
      <c r="AD63">
        <v>62</v>
      </c>
      <c r="AE63" t="str">
        <f>VLOOKUP(TableWRRanks3242[[#This Row],[RK]],Rankings!A:T,13,FALSE)</f>
        <v>Jayden Reed</v>
      </c>
      <c r="AF63" t="str">
        <f>IFERROR(INDEX(TableWRCalcPts[TM],MATCH(TableWRRanks3242[[#This Row],[Player]],TableWRCalcPts[PLAYER],0)),"")</f>
        <v>GB</v>
      </c>
      <c r="AG63">
        <f>IFERROR(INDEX(TableWRCalcPts[BYE],MATCH(TableWRRanks3242[[#This Row],[Player]],TableWRCalcPts[PLAYER],0)),"")</f>
        <v>6</v>
      </c>
      <c r="AH63" s="86">
        <f>VLOOKUP(TableWRRanks3242[[#This Row],[Player]],WR!B:O,4,FALSE)</f>
        <v>31.618738920028076</v>
      </c>
      <c r="AI63" s="86">
        <f>VLOOKUP(TableWRRanks3242[[#This Row],[Player]],WR!B:O,5,FALSE)</f>
        <v>0.34386496773716252</v>
      </c>
      <c r="AJ63" s="86">
        <f>VLOOKUP(TableWRRanks3242[[#This Row],[Player]],WR!B:O,6,FALSE)</f>
        <v>85.32965055999999</v>
      </c>
      <c r="AK63" s="86">
        <f>VLOOKUP(TableWRRanks3242[[#This Row],[Player]],WR!B:O,7,FALSE)</f>
        <v>51.314136045715102</v>
      </c>
      <c r="AL63" s="86">
        <f>VLOOKUP(TableWRRanks3242[[#This Row],[Player]],WR!B:O,8,FALSE)</f>
        <v>650.91951539715728</v>
      </c>
      <c r="AM63" s="86">
        <f>VLOOKUP(TableWRRanks3242[[#This Row],[Player]],WR!B:O,9,FALSE)</f>
        <v>3.8485602034286326</v>
      </c>
      <c r="AN63" s="58">
        <f>VLOOKUP(TableWRRanks3242[[#This Row],[Player]],WR!B:O,13,FALSE)</f>
        <v>119.06544448157086</v>
      </c>
      <c r="AO63" s="133">
        <f>IF(VLOOKUP(TableWRRanks3242[[#This Row],[RK]],'Ranks w Proj'!AD:AO,12,FALSE)&lt;0,0,VLOOKUP(TableWRRanks3242[[#This Row],[RK]],'Ranks w Proj'!AD:AO,12,FALSE))</f>
        <v>0</v>
      </c>
      <c r="AQ63">
        <v>62</v>
      </c>
      <c r="AR63">
        <f>VLOOKUP(TableTERanks3343[[#This Row],[RK]],Rankings!A:T,18,FALSE)</f>
        <v>0</v>
      </c>
      <c r="AS63" t="str">
        <f>IFERROR(INDEX(TableTECalcPts[TM],MATCH(TableTERanks3343[[#This Row],[Player]],TableTECalcPts[PLAYER],0)),"")</f>
        <v/>
      </c>
      <c r="AT63" t="str">
        <f>IFERROR(INDEX(TableTECalcPts[BYE],MATCH(TableTERanks3343[[#This Row],[Player]],TableTECalcPts[PLAYER],0)),"")</f>
        <v/>
      </c>
      <c r="AU63" s="86">
        <f>VLOOKUP(TableTERanks3343[[#This Row],[Player]],TE!B:O,4,FALSE)</f>
        <v>0</v>
      </c>
      <c r="AV63" s="86">
        <f>VLOOKUP(TableTERanks3343[[#This Row],[Player]],TE!B:O,5,FALSE)</f>
        <v>0</v>
      </c>
      <c r="AW63" s="86">
        <f>VLOOKUP(TableTERanks3343[[#This Row],[Player]],TE!B:O,6,FALSE)</f>
        <v>0</v>
      </c>
      <c r="AX63" s="86">
        <f>VLOOKUP(TableTERanks3343[[#This Row],[Player]],TE!B:O,7,FALSE)</f>
        <v>0</v>
      </c>
      <c r="AY63" s="58">
        <f>VLOOKUP(TableTERanks3343[[#This Row],[Player]],TE!B:O,11,FALSE)</f>
        <v>0</v>
      </c>
      <c r="AZ63" s="133">
        <f>IF(VLOOKUP(TableTERanks3343[[#This Row],[RK]],'Ranks w Proj'!AQ:AZ,10,FALSE)&lt;0,0,VLOOKUP(TableTERanks3343[[#This Row],[RK]],'Ranks w Proj'!AQ:AZ,10,FALSE))</f>
        <v>0</v>
      </c>
    </row>
    <row r="64" spans="1:52" x14ac:dyDescent="0.2">
      <c r="A64">
        <v>63</v>
      </c>
      <c r="B64">
        <f>VLOOKUP(TableQBRanks3040[[#This Row],[RK]],Rankings!A:T,3,FALSE)</f>
        <v>0</v>
      </c>
      <c r="C64" t="str">
        <f>IFERROR(INDEX(TableQBCalcPts[TM],MATCH(TableQBRanks3040[[#This Row],[Player]],TableQBCalcPts[PLAYER],0)),"")</f>
        <v/>
      </c>
      <c r="D64" t="str">
        <f>IFERROR(INDEX(TableQBCalcPts[BYE],MATCH(TableQBRanks3040[[#This Row],[Player]],TableQBCalcPts[PLAYER],0)),"")</f>
        <v/>
      </c>
      <c r="E64" s="86">
        <f>VLOOKUP(TableQBRanks3040[[#This Row],[Player]],QB!B:O,4,FALSE)</f>
        <v>30.022649999999999</v>
      </c>
      <c r="F64" s="86">
        <f>VLOOKUP(TableQBRanks3040[[#This Row],[Player]],QB!B:O,5,FALSE)</f>
        <v>18.957690112213761</v>
      </c>
      <c r="G64" s="86">
        <f>VLOOKUP(TableQBRanks3040[[#This Row],[Player]],QB!B:O,6,FALSE)</f>
        <v>203.98474560742008</v>
      </c>
      <c r="H64" s="86">
        <f>VLOOKUP(TableQBRanks3040[[#This Row],[Player]],QB!B:O,7,FALSE)</f>
        <v>1.3858071472028259</v>
      </c>
      <c r="I64" s="86">
        <f>VLOOKUP(TableQBRanks3040[[#This Row],[Player]],QB!B:O,8,FALSE)</f>
        <v>0.74387271583779924</v>
      </c>
      <c r="J64" s="86">
        <f>VLOOKUP(TableQBRanks3040[[#This Row],[Player]],QB!B:O,9,FALSE)</f>
        <v>2.2468803000000004</v>
      </c>
      <c r="K64" s="86">
        <f>VLOOKUP(TableQBRanks3040[[#This Row],[Player]],QB!B:O,10,FALSE)</f>
        <v>6.5114942493224293</v>
      </c>
      <c r="L64" s="86">
        <f>VLOOKUP(TableQBRanks3040[[#This Row],[Player]],QB!B:O,11,FALSE)</f>
        <v>4.1573164207364309E-2</v>
      </c>
      <c r="M64" s="58">
        <f>VLOOKUP(TableQBRanks3040[[#This Row],[Player]],QB!B:O,13,FALSE)</f>
        <v>13.859334107446738</v>
      </c>
      <c r="N64" s="133">
        <f>IF(VLOOKUP(TableQBRanks3040[[#This Row],[RK]],'Ranks w Proj'!$A:$N,14,FALSE)&lt;0,0,VLOOKUP(TableQBRanks3040[[#This Row],[RK]],'Ranks w Proj'!$A:$N,14,FALSE))</f>
        <v>0</v>
      </c>
      <c r="P64">
        <v>63</v>
      </c>
      <c r="Q64" t="str">
        <f>VLOOKUP(TableRBRanks3141[[#This Row],[RK]],Rankings!A:T,8,FALSE)</f>
        <v>Zamir White</v>
      </c>
      <c r="R64" t="str">
        <f>IFERROR(INDEX(TableRBCalcPts[TM],MATCH(TableRBRanks3141[[#This Row],[Player]],TableRBCalcPts[PLAYER],0)),"")</f>
        <v>LV</v>
      </c>
      <c r="S64">
        <f>IFERROR(INDEX(TableRBCalcPts[BYE],MATCH(TableRBRanks3141[[#This Row],[Player]],TableRBCalcPts[PLAYER],0)),"")</f>
        <v>13</v>
      </c>
      <c r="T64" s="86">
        <f>VLOOKUP(TableRBRanks3141[[#This Row],[Player]],RB!B:O,4,FALSE)</f>
        <v>103.46854700000002</v>
      </c>
      <c r="U64" s="86">
        <f>VLOOKUP(TableRBRanks3141[[#This Row],[Player]],RB!B:O,5,FALSE)</f>
        <v>445.58861597607017</v>
      </c>
      <c r="V64" s="86">
        <f>VLOOKUP(TableRBRanks3141[[#This Row],[Player]],RB!B:O,6,FALSE)</f>
        <v>3.8283362390000004</v>
      </c>
      <c r="W64" s="86">
        <f>VLOOKUP(TableRBRanks3141[[#This Row],[Player]],RB!B:O,7,FALSE)</f>
        <v>15.352973999999998</v>
      </c>
      <c r="X64" s="86">
        <f>VLOOKUP(TableRBRanks3141[[#This Row],[Player]],RB!B:O,8,FALSE)</f>
        <v>9.5465221125711928</v>
      </c>
      <c r="Y64" s="86">
        <f>VLOOKUP(TableRBRanks3141[[#This Row],[Player]],RB!B:O,9,FALSE)</f>
        <v>71.598915844283951</v>
      </c>
      <c r="Z64" s="86">
        <f>VLOOKUP(TableRBRanks3141[[#This Row],[Player]],RB!B:O,10,FALSE)</f>
        <v>0.28639566337713579</v>
      </c>
      <c r="AA64" s="58">
        <f>VLOOKUP(TableRBRanks3141[[#This Row],[Player]],RB!B:O,14,FALSE)</f>
        <v>81.180405652583815</v>
      </c>
      <c r="AB64" s="133">
        <f>IF(VLOOKUP(TableRBRanks3141[[#This Row],[RK]],'Ranks w Proj'!$P:$AB,13,FALSE)&lt;0,0,VLOOKUP(TableRBRanks3141[[#This Row],[RK]],'Ranks w Proj'!$P:$AB,13,FALSE))</f>
        <v>0</v>
      </c>
      <c r="AD64">
        <v>63</v>
      </c>
      <c r="AE64" t="str">
        <f>VLOOKUP(TableWRRanks3242[[#This Row],[RK]],Rankings!A:T,13,FALSE)</f>
        <v>Curtis Samuel</v>
      </c>
      <c r="AF64" t="str">
        <f>IFERROR(INDEX(TableWRCalcPts[TM],MATCH(TableWRRanks3242[[#This Row],[Player]],TableWRCalcPts[PLAYER],0)),"")</f>
        <v>WSH</v>
      </c>
      <c r="AG64">
        <f>IFERROR(INDEX(TableWRCalcPts[BYE],MATCH(TableWRRanks3242[[#This Row],[Player]],TableWRCalcPts[PLAYER],0)),"")</f>
        <v>14</v>
      </c>
      <c r="AH64" s="86">
        <f>VLOOKUP(TableWRRanks3242[[#This Row],[Player]],WR!B:O,4,FALSE)</f>
        <v>120.03891986519997</v>
      </c>
      <c r="AI64" s="86">
        <f>VLOOKUP(TableWRRanks3242[[#This Row],[Player]],WR!B:O,5,FALSE)</f>
        <v>1.237575826558371</v>
      </c>
      <c r="AJ64" s="86">
        <f>VLOOKUP(TableWRRanks3242[[#This Row],[Player]],WR!B:O,6,FALSE)</f>
        <v>86.150900360000009</v>
      </c>
      <c r="AK64" s="86">
        <f>VLOOKUP(TableWRRanks3242[[#This Row],[Player]],WR!B:O,7,FALSE)</f>
        <v>56.48730666704396</v>
      </c>
      <c r="AL64" s="86">
        <f>VLOOKUP(TableWRRanks3242[[#This Row],[Player]],WR!B:O,8,FALSE)</f>
        <v>602.60634392071938</v>
      </c>
      <c r="AM64" s="86">
        <f>VLOOKUP(TableWRRanks3242[[#This Row],[Player]],WR!B:O,9,FALSE)</f>
        <v>3.5587003200237697</v>
      </c>
      <c r="AN64" s="58">
        <f>VLOOKUP(TableWRRanks3242[[#This Row],[Player]],WR!B:O,13,FALSE)</f>
        <v>129.28583659160677</v>
      </c>
      <c r="AO64" s="133">
        <f>IF(VLOOKUP(TableWRRanks3242[[#This Row],[RK]],'Ranks w Proj'!AD:AO,12,FALSE)&lt;0,0,VLOOKUP(TableWRRanks3242[[#This Row],[RK]],'Ranks w Proj'!AD:AO,12,FALSE))</f>
        <v>0</v>
      </c>
      <c r="AQ64">
        <v>63</v>
      </c>
      <c r="AR64">
        <f>VLOOKUP(TableTERanks3343[[#This Row],[RK]],Rankings!A:T,18,FALSE)</f>
        <v>0</v>
      </c>
      <c r="AS64" t="str">
        <f>IFERROR(INDEX(TableTECalcPts[TM],MATCH(TableTERanks3343[[#This Row],[Player]],TableTECalcPts[PLAYER],0)),"")</f>
        <v/>
      </c>
      <c r="AT64" t="str">
        <f>IFERROR(INDEX(TableTECalcPts[BYE],MATCH(TableTERanks3343[[#This Row],[Player]],TableTECalcPts[PLAYER],0)),"")</f>
        <v/>
      </c>
      <c r="AU64" s="86">
        <f>VLOOKUP(TableTERanks3343[[#This Row],[Player]],TE!B:O,4,FALSE)</f>
        <v>0</v>
      </c>
      <c r="AV64" s="86">
        <f>VLOOKUP(TableTERanks3343[[#This Row],[Player]],TE!B:O,5,FALSE)</f>
        <v>0</v>
      </c>
      <c r="AW64" s="86">
        <f>VLOOKUP(TableTERanks3343[[#This Row],[Player]],TE!B:O,6,FALSE)</f>
        <v>0</v>
      </c>
      <c r="AX64" s="86">
        <f>VLOOKUP(TableTERanks3343[[#This Row],[Player]],TE!B:O,7,FALSE)</f>
        <v>0</v>
      </c>
      <c r="AY64" s="58">
        <f>VLOOKUP(TableTERanks3343[[#This Row],[Player]],TE!B:O,11,FALSE)</f>
        <v>0</v>
      </c>
      <c r="AZ64" s="133">
        <f>IF(VLOOKUP(TableTERanks3343[[#This Row],[RK]],'Ranks w Proj'!AQ:AZ,10,FALSE)&lt;0,0,VLOOKUP(TableTERanks3343[[#This Row],[RK]],'Ranks w Proj'!AQ:AZ,10,FALSE))</f>
        <v>0</v>
      </c>
    </row>
    <row r="65" spans="1:52" x14ac:dyDescent="0.2">
      <c r="A65">
        <v>64</v>
      </c>
      <c r="B65">
        <f>VLOOKUP(TableQBRanks3040[[#This Row],[RK]],Rankings!A:T,3,FALSE)</f>
        <v>0</v>
      </c>
      <c r="C65" t="str">
        <f>IFERROR(INDEX(TableQBCalcPts[TM],MATCH(TableQBRanks3040[[#This Row],[Player]],TableQBCalcPts[PLAYER],0)),"")</f>
        <v/>
      </c>
      <c r="D65" t="str">
        <f>IFERROR(INDEX(TableQBCalcPts[BYE],MATCH(TableQBRanks3040[[#This Row],[Player]],TableQBCalcPts[PLAYER],0)),"")</f>
        <v/>
      </c>
      <c r="E65" s="86">
        <f>VLOOKUP(TableQBRanks3040[[#This Row],[Player]],QB!B:O,4,FALSE)</f>
        <v>30.022649999999999</v>
      </c>
      <c r="F65" s="86">
        <f>VLOOKUP(TableQBRanks3040[[#This Row],[Player]],QB!B:O,5,FALSE)</f>
        <v>18.957690112213761</v>
      </c>
      <c r="G65" s="86">
        <f>VLOOKUP(TableQBRanks3040[[#This Row],[Player]],QB!B:O,6,FALSE)</f>
        <v>203.98474560742008</v>
      </c>
      <c r="H65" s="86">
        <f>VLOOKUP(TableQBRanks3040[[#This Row],[Player]],QB!B:O,7,FALSE)</f>
        <v>1.3858071472028259</v>
      </c>
      <c r="I65" s="86">
        <f>VLOOKUP(TableQBRanks3040[[#This Row],[Player]],QB!B:O,8,FALSE)</f>
        <v>0.74387271583779924</v>
      </c>
      <c r="J65" s="86">
        <f>VLOOKUP(TableQBRanks3040[[#This Row],[Player]],QB!B:O,9,FALSE)</f>
        <v>2.2468803000000004</v>
      </c>
      <c r="K65" s="86">
        <f>VLOOKUP(TableQBRanks3040[[#This Row],[Player]],QB!B:O,10,FALSE)</f>
        <v>6.5114942493224293</v>
      </c>
      <c r="L65" s="86">
        <f>VLOOKUP(TableQBRanks3040[[#This Row],[Player]],QB!B:O,11,FALSE)</f>
        <v>4.1573164207364309E-2</v>
      </c>
      <c r="M65" s="58">
        <f>VLOOKUP(TableQBRanks3040[[#This Row],[Player]],QB!B:O,13,FALSE)</f>
        <v>13.859334107446738</v>
      </c>
      <c r="N65" s="133">
        <f>IF(VLOOKUP(TableQBRanks3040[[#This Row],[RK]],'Ranks w Proj'!$A:$N,14,FALSE)&lt;0,0,VLOOKUP(TableQBRanks3040[[#This Row],[RK]],'Ranks w Proj'!$A:$N,14,FALSE))</f>
        <v>0</v>
      </c>
      <c r="P65">
        <v>64</v>
      </c>
      <c r="Q65" t="str">
        <f>VLOOKUP(TableRBRanks3141[[#This Row],[RK]],Rankings!A:T,8,FALSE)</f>
        <v>Chuba Hubbard</v>
      </c>
      <c r="R65" t="str">
        <f>IFERROR(INDEX(TableRBCalcPts[TM],MATCH(TableRBRanks3141[[#This Row],[Player]],TableRBCalcPts[PLAYER],0)),"")</f>
        <v>CAR</v>
      </c>
      <c r="S65">
        <f>IFERROR(INDEX(TableRBCalcPts[BYE],MATCH(TableRBRanks3141[[#This Row],[Player]],TableRBCalcPts[PLAYER],0)),"")</f>
        <v>7</v>
      </c>
      <c r="T65" s="86">
        <f>VLOOKUP(TableRBRanks3141[[#This Row],[Player]],RB!B:O,4,FALSE)</f>
        <v>52.576999020000009</v>
      </c>
      <c r="U65" s="86">
        <f>VLOOKUP(TableRBRanks3141[[#This Row],[Player]],RB!B:O,5,FALSE)</f>
        <v>226.60686577620001</v>
      </c>
      <c r="V65" s="86">
        <f>VLOOKUP(TableRBRanks3141[[#This Row],[Player]],RB!B:O,6,FALSE)</f>
        <v>1.9453489637400003</v>
      </c>
      <c r="W65" s="86">
        <f>VLOOKUP(TableRBRanks3141[[#This Row],[Player]],RB!B:O,7,FALSE)</f>
        <v>41.1910758</v>
      </c>
      <c r="X65" s="86">
        <f>VLOOKUP(TableRBRanks3141[[#This Row],[Player]],RB!B:O,8,FALSE)</f>
        <v>28.255536884916104</v>
      </c>
      <c r="Y65" s="86">
        <f>VLOOKUP(TableRBRanks3141[[#This Row],[Player]],RB!B:O,9,FALSE)</f>
        <v>246.3799652643273</v>
      </c>
      <c r="Z65" s="86">
        <f>VLOOKUP(TableRBRanks3141[[#This Row],[Player]],RB!B:O,10,FALSE)</f>
        <v>1.073710401626812</v>
      </c>
      <c r="AA65" s="58">
        <f>VLOOKUP(TableRBRanks3141[[#This Row],[Player]],RB!B:O,14,FALSE)</f>
        <v>79.540807738711649</v>
      </c>
      <c r="AB65" s="133">
        <f>IF(VLOOKUP(TableRBRanks3141[[#This Row],[RK]],'Ranks w Proj'!$P:$AB,13,FALSE)&lt;0,0,VLOOKUP(TableRBRanks3141[[#This Row],[RK]],'Ranks w Proj'!$P:$AB,13,FALSE))</f>
        <v>0</v>
      </c>
      <c r="AD65">
        <v>64</v>
      </c>
      <c r="AE65" t="str">
        <f>VLOOKUP(TableWRRanks3242[[#This Row],[RK]],Rankings!A:T,13,FALSE)</f>
        <v>Darius Slayton</v>
      </c>
      <c r="AF65" t="str">
        <f>IFERROR(INDEX(TableWRCalcPts[TM],MATCH(TableWRRanks3242[[#This Row],[Player]],TableWRCalcPts[PLAYER],0)),"")</f>
        <v>NYG</v>
      </c>
      <c r="AG65">
        <f>IFERROR(INDEX(TableWRCalcPts[BYE],MATCH(TableWRRanks3242[[#This Row],[Player]],TableWRCalcPts[PLAYER],0)),"")</f>
        <v>13</v>
      </c>
      <c r="AH65" s="86">
        <f>VLOOKUP(TableWRRanks3242[[#This Row],[Player]],WR!B:O,4,FALSE)</f>
        <v>0</v>
      </c>
      <c r="AI65" s="86">
        <f>VLOOKUP(TableWRRanks3242[[#This Row],[Player]],WR!B:O,5,FALSE)</f>
        <v>0</v>
      </c>
      <c r="AJ65" s="86">
        <f>VLOOKUP(TableWRRanks3242[[#This Row],[Player]],WR!B:O,6,FALSE)</f>
        <v>79.026385619999999</v>
      </c>
      <c r="AK65" s="86">
        <f>VLOOKUP(TableWRRanks3242[[#This Row],[Player]],WR!B:O,7,FALSE)</f>
        <v>53.165598070019477</v>
      </c>
      <c r="AL65" s="86">
        <f>VLOOKUP(TableWRRanks3242[[#This Row],[Player]],WR!B:O,8,FALSE)</f>
        <v>712.41901413826099</v>
      </c>
      <c r="AM65" s="86">
        <f>VLOOKUP(TableWRRanks3242[[#This Row],[Player]],WR!B:O,9,FALSE)</f>
        <v>3.8810886591114215</v>
      </c>
      <c r="AN65" s="58">
        <f>VLOOKUP(TableWRRanks3242[[#This Row],[Player]],WR!B:O,13,FALSE)</f>
        <v>121.11123240350437</v>
      </c>
      <c r="AO65" s="133">
        <f>IF(VLOOKUP(TableWRRanks3242[[#This Row],[RK]],'Ranks w Proj'!AD:AO,12,FALSE)&lt;0,0,VLOOKUP(TableWRRanks3242[[#This Row],[RK]],'Ranks w Proj'!AD:AO,12,FALSE))</f>
        <v>0</v>
      </c>
      <c r="AQ65">
        <v>64</v>
      </c>
      <c r="AR65">
        <f>VLOOKUP(TableTERanks3343[[#This Row],[RK]],Rankings!A:T,18,FALSE)</f>
        <v>0</v>
      </c>
      <c r="AS65" t="str">
        <f>IFERROR(INDEX(TableTECalcPts[TM],MATCH(TableTERanks3343[[#This Row],[Player]],TableTECalcPts[PLAYER],0)),"")</f>
        <v/>
      </c>
      <c r="AT65" t="str">
        <f>IFERROR(INDEX(TableTECalcPts[BYE],MATCH(TableTERanks3343[[#This Row],[Player]],TableTECalcPts[PLAYER],0)),"")</f>
        <v/>
      </c>
      <c r="AU65" s="86">
        <f>VLOOKUP(TableTERanks3343[[#This Row],[Player]],TE!B:O,4,FALSE)</f>
        <v>0</v>
      </c>
      <c r="AV65" s="86">
        <f>VLOOKUP(TableTERanks3343[[#This Row],[Player]],TE!B:O,5,FALSE)</f>
        <v>0</v>
      </c>
      <c r="AW65" s="86">
        <f>VLOOKUP(TableTERanks3343[[#This Row],[Player]],TE!B:O,6,FALSE)</f>
        <v>0</v>
      </c>
      <c r="AX65" s="86">
        <f>VLOOKUP(TableTERanks3343[[#This Row],[Player]],TE!B:O,7,FALSE)</f>
        <v>0</v>
      </c>
      <c r="AY65" s="58">
        <f>VLOOKUP(TableTERanks3343[[#This Row],[Player]],TE!B:O,11,FALSE)</f>
        <v>0</v>
      </c>
      <c r="AZ65" s="133">
        <f>IF(VLOOKUP(TableTERanks3343[[#This Row],[RK]],'Ranks w Proj'!AQ:AZ,10,FALSE)&lt;0,0,VLOOKUP(TableTERanks3343[[#This Row],[RK]],'Ranks w Proj'!AQ:AZ,10,FALSE))</f>
        <v>0</v>
      </c>
    </row>
    <row r="66" spans="1:52" x14ac:dyDescent="0.2">
      <c r="A66">
        <v>65</v>
      </c>
      <c r="B66">
        <f>VLOOKUP(TableQBRanks3040[[#This Row],[RK]],Rankings!A:T,3,FALSE)</f>
        <v>0</v>
      </c>
      <c r="C66" t="str">
        <f>IFERROR(INDEX(TableQBCalcPts[TM],MATCH(TableQBRanks3040[[#This Row],[Player]],TableQBCalcPts[PLAYER],0)),"")</f>
        <v/>
      </c>
      <c r="D66" t="str">
        <f>IFERROR(INDEX(TableQBCalcPts[BYE],MATCH(TableQBRanks3040[[#This Row],[Player]],TableQBCalcPts[PLAYER],0)),"")</f>
        <v/>
      </c>
      <c r="E66" s="86">
        <f>VLOOKUP(TableQBRanks3040[[#This Row],[Player]],QB!B:O,4,FALSE)</f>
        <v>30.022649999999999</v>
      </c>
      <c r="F66" s="86">
        <f>VLOOKUP(TableQBRanks3040[[#This Row],[Player]],QB!B:O,5,FALSE)</f>
        <v>18.957690112213761</v>
      </c>
      <c r="G66" s="86">
        <f>VLOOKUP(TableQBRanks3040[[#This Row],[Player]],QB!B:O,6,FALSE)</f>
        <v>203.98474560742008</v>
      </c>
      <c r="H66" s="86">
        <f>VLOOKUP(TableQBRanks3040[[#This Row],[Player]],QB!B:O,7,FALSE)</f>
        <v>1.3858071472028259</v>
      </c>
      <c r="I66" s="86">
        <f>VLOOKUP(TableQBRanks3040[[#This Row],[Player]],QB!B:O,8,FALSE)</f>
        <v>0.74387271583779924</v>
      </c>
      <c r="J66" s="86">
        <f>VLOOKUP(TableQBRanks3040[[#This Row],[Player]],QB!B:O,9,FALSE)</f>
        <v>2.2468803000000004</v>
      </c>
      <c r="K66" s="86">
        <f>VLOOKUP(TableQBRanks3040[[#This Row],[Player]],QB!B:O,10,FALSE)</f>
        <v>6.5114942493224293</v>
      </c>
      <c r="L66" s="86">
        <f>VLOOKUP(TableQBRanks3040[[#This Row],[Player]],QB!B:O,11,FALSE)</f>
        <v>4.1573164207364309E-2</v>
      </c>
      <c r="M66" s="58">
        <f>VLOOKUP(TableQBRanks3040[[#This Row],[Player]],QB!B:O,13,FALSE)</f>
        <v>13.859334107446738</v>
      </c>
      <c r="N66" s="133">
        <f>IF(VLOOKUP(TableQBRanks3040[[#This Row],[RK]],'Ranks w Proj'!$A:$N,14,FALSE)&lt;0,0,VLOOKUP(TableQBRanks3040[[#This Row],[RK]],'Ranks w Proj'!$A:$N,14,FALSE))</f>
        <v>0</v>
      </c>
      <c r="P66">
        <v>65</v>
      </c>
      <c r="Q66" t="str">
        <f>VLOOKUP(TableRBRanks3141[[#This Row],[RK]],Rankings!A:T,8,FALSE)</f>
        <v>Rico Dowdle</v>
      </c>
      <c r="R66" t="str">
        <f>IFERROR(INDEX(TableRBCalcPts[TM],MATCH(TableRBRanks3141[[#This Row],[Player]],TableRBCalcPts[PLAYER],0)),"")</f>
        <v>DAL</v>
      </c>
      <c r="S66">
        <f>IFERROR(INDEX(TableRBCalcPts[BYE],MATCH(TableRBRanks3141[[#This Row],[Player]],TableRBCalcPts[PLAYER],0)),"")</f>
        <v>7</v>
      </c>
      <c r="T66" s="86">
        <f>VLOOKUP(TableRBRanks3141[[#This Row],[Player]],RB!B:O,4,FALSE)</f>
        <v>91.919923199999999</v>
      </c>
      <c r="U66" s="86">
        <f>VLOOKUP(TableRBRanks3141[[#This Row],[Player]],RB!B:O,5,FALSE)</f>
        <v>393.41727129600002</v>
      </c>
      <c r="V66" s="86">
        <f>VLOOKUP(TableRBRanks3141[[#This Row],[Player]],RB!B:O,6,FALSE)</f>
        <v>3.6767969279999999</v>
      </c>
      <c r="W66" s="86">
        <f>VLOOKUP(TableRBRanks3141[[#This Row],[Player]],RB!B:O,7,FALSE)</f>
        <v>12.567582720000001</v>
      </c>
      <c r="X66" s="86">
        <f>VLOOKUP(TableRBRanks3141[[#This Row],[Player]],RB!B:O,8,FALSE)</f>
        <v>8.0515231862733678</v>
      </c>
      <c r="Y66" s="86">
        <f>VLOOKUP(TableRBRanks3141[[#This Row],[Player]],RB!B:O,9,FALSE)</f>
        <v>55.641706395255021</v>
      </c>
      <c r="Z66" s="86">
        <f>VLOOKUP(TableRBRanks3141[[#This Row],[Player]],RB!B:O,10,FALSE)</f>
        <v>0.24959721877447441</v>
      </c>
      <c r="AA66" s="58">
        <f>VLOOKUP(TableRBRanks3141[[#This Row],[Player]],RB!B:O,14,FALSE)</f>
        <v>72.49002424290903</v>
      </c>
      <c r="AB66" s="133">
        <f>IF(VLOOKUP(TableRBRanks3141[[#This Row],[RK]],'Ranks w Proj'!$P:$AB,13,FALSE)&lt;0,0,VLOOKUP(TableRBRanks3141[[#This Row],[RK]],'Ranks w Proj'!$P:$AB,13,FALSE))</f>
        <v>0</v>
      </c>
      <c r="AD66">
        <v>65</v>
      </c>
      <c r="AE66" t="str">
        <f>VLOOKUP(TableWRRanks3242[[#This Row],[RK]],Rankings!A:T,13,FALSE)</f>
        <v>Michael Wilson</v>
      </c>
      <c r="AF66" t="str">
        <f>IFERROR(INDEX(TableWRCalcPts[TM],MATCH(TableWRRanks3242[[#This Row],[Player]],TableWRCalcPts[PLAYER],0)),"")</f>
        <v>ARI</v>
      </c>
      <c r="AG66">
        <f>IFERROR(INDEX(TableWRCalcPts[BYE],MATCH(TableWRRanks3242[[#This Row],[Player]],TableWRCalcPts[PLAYER],0)),"")</f>
        <v>14</v>
      </c>
      <c r="AH66" s="86">
        <f>VLOOKUP(TableWRRanks3242[[#This Row],[Player]],WR!B:O,4,FALSE)</f>
        <v>0</v>
      </c>
      <c r="AI66" s="86">
        <f>VLOOKUP(TableWRRanks3242[[#This Row],[Player]],WR!B:O,5,FALSE)</f>
        <v>0</v>
      </c>
      <c r="AJ66" s="86">
        <f>VLOOKUP(TableWRRanks3242[[#This Row],[Player]],WR!B:O,6,FALSE)</f>
        <v>92.476230000000001</v>
      </c>
      <c r="AK66" s="86">
        <f>VLOOKUP(TableWRRanks3242[[#This Row],[Player]],WR!B:O,7,FALSE)</f>
        <v>55.57821423</v>
      </c>
      <c r="AL66" s="86">
        <f>VLOOKUP(TableWRRanks3242[[#This Row],[Player]],WR!B:O,8,FALSE)</f>
        <v>686.3909457405</v>
      </c>
      <c r="AM66" s="86">
        <f>VLOOKUP(TableWRRanks3242[[#This Row],[Player]],WR!B:O,9,FALSE)</f>
        <v>3.8904749961000005</v>
      </c>
      <c r="AN66" s="58">
        <f>VLOOKUP(TableWRRanks3242[[#This Row],[Player]],WR!B:O,13,FALSE)</f>
        <v>119.77105166565002</v>
      </c>
      <c r="AO66" s="133">
        <f>IF(VLOOKUP(TableWRRanks3242[[#This Row],[RK]],'Ranks w Proj'!AD:AO,12,FALSE)&lt;0,0,VLOOKUP(TableWRRanks3242[[#This Row],[RK]],'Ranks w Proj'!AD:AO,12,FALSE))</f>
        <v>0</v>
      </c>
      <c r="AQ66">
        <v>65</v>
      </c>
      <c r="AR66">
        <f>VLOOKUP(TableTERanks3343[[#This Row],[RK]],Rankings!A:T,18,FALSE)</f>
        <v>0</v>
      </c>
      <c r="AS66" t="str">
        <f>IFERROR(INDEX(TableTECalcPts[TM],MATCH(TableTERanks3343[[#This Row],[Player]],TableTECalcPts[PLAYER],0)),"")</f>
        <v/>
      </c>
      <c r="AT66" t="str">
        <f>IFERROR(INDEX(TableTECalcPts[BYE],MATCH(TableTERanks3343[[#This Row],[Player]],TableTECalcPts[PLAYER],0)),"")</f>
        <v/>
      </c>
      <c r="AU66" s="86">
        <f>VLOOKUP(TableTERanks3343[[#This Row],[Player]],TE!B:O,4,FALSE)</f>
        <v>0</v>
      </c>
      <c r="AV66" s="86">
        <f>VLOOKUP(TableTERanks3343[[#This Row],[Player]],TE!B:O,5,FALSE)</f>
        <v>0</v>
      </c>
      <c r="AW66" s="86">
        <f>VLOOKUP(TableTERanks3343[[#This Row],[Player]],TE!B:O,6,FALSE)</f>
        <v>0</v>
      </c>
      <c r="AX66" s="86">
        <f>VLOOKUP(TableTERanks3343[[#This Row],[Player]],TE!B:O,7,FALSE)</f>
        <v>0</v>
      </c>
      <c r="AY66" s="58">
        <f>VLOOKUP(TableTERanks3343[[#This Row],[Player]],TE!B:O,11,FALSE)</f>
        <v>0</v>
      </c>
      <c r="AZ66" s="133">
        <f>IF(VLOOKUP(TableTERanks3343[[#This Row],[RK]],'Ranks w Proj'!AQ:AZ,10,FALSE)&lt;0,0,VLOOKUP(TableTERanks3343[[#This Row],[RK]],'Ranks w Proj'!AQ:AZ,10,FALSE))</f>
        <v>0</v>
      </c>
    </row>
    <row r="67" spans="1:52" x14ac:dyDescent="0.2">
      <c r="A67">
        <v>66</v>
      </c>
      <c r="B67">
        <f>VLOOKUP(TableQBRanks3040[[#This Row],[RK]],Rankings!A:T,3,FALSE)</f>
        <v>0</v>
      </c>
      <c r="C67" t="str">
        <f>IFERROR(INDEX(TableQBCalcPts[TM],MATCH(TableQBRanks3040[[#This Row],[Player]],TableQBCalcPts[PLAYER],0)),"")</f>
        <v/>
      </c>
      <c r="D67" t="str">
        <f>IFERROR(INDEX(TableQBCalcPts[BYE],MATCH(TableQBRanks3040[[#This Row],[Player]],TableQBCalcPts[PLAYER],0)),"")</f>
        <v/>
      </c>
      <c r="E67" s="86">
        <f>VLOOKUP(TableQBRanks3040[[#This Row],[Player]],QB!B:O,4,FALSE)</f>
        <v>30.022649999999999</v>
      </c>
      <c r="F67" s="86">
        <f>VLOOKUP(TableQBRanks3040[[#This Row],[Player]],QB!B:O,5,FALSE)</f>
        <v>18.957690112213761</v>
      </c>
      <c r="G67" s="86">
        <f>VLOOKUP(TableQBRanks3040[[#This Row],[Player]],QB!B:O,6,FALSE)</f>
        <v>203.98474560742008</v>
      </c>
      <c r="H67" s="86">
        <f>VLOOKUP(TableQBRanks3040[[#This Row],[Player]],QB!B:O,7,FALSE)</f>
        <v>1.3858071472028259</v>
      </c>
      <c r="I67" s="86">
        <f>VLOOKUP(TableQBRanks3040[[#This Row],[Player]],QB!B:O,8,FALSE)</f>
        <v>0.74387271583779924</v>
      </c>
      <c r="J67" s="86">
        <f>VLOOKUP(TableQBRanks3040[[#This Row],[Player]],QB!B:O,9,FALSE)</f>
        <v>2.2468803000000004</v>
      </c>
      <c r="K67" s="86">
        <f>VLOOKUP(TableQBRanks3040[[#This Row],[Player]],QB!B:O,10,FALSE)</f>
        <v>6.5114942493224293</v>
      </c>
      <c r="L67" s="86">
        <f>VLOOKUP(TableQBRanks3040[[#This Row],[Player]],QB!B:O,11,FALSE)</f>
        <v>4.1573164207364309E-2</v>
      </c>
      <c r="M67" s="58">
        <f>VLOOKUP(TableQBRanks3040[[#This Row],[Player]],QB!B:O,13,FALSE)</f>
        <v>13.859334107446738</v>
      </c>
      <c r="N67" s="133" t="e">
        <f>IF(VLOOKUP(TableQBRanks3040[[#This Row],[RK]],'Ranks w Proj'!$A:$N,14,FALSE)&lt;0,0,VLOOKUP(TableQBRanks3040[[#This Row],[RK]],'Ranks w Proj'!$A:$N,14,FALSE))</f>
        <v>#VALUE!</v>
      </c>
      <c r="P67">
        <v>66</v>
      </c>
      <c r="Q67" t="str">
        <f>VLOOKUP(TableRBRanks3141[[#This Row],[RK]],Rankings!A:T,8,FALSE)</f>
        <v>Chris Evans</v>
      </c>
      <c r="R67" t="str">
        <f>IFERROR(INDEX(TableRBCalcPts[TM],MATCH(TableRBRanks3141[[#This Row],[Player]],TableRBCalcPts[PLAYER],0)),"")</f>
        <v>CIN</v>
      </c>
      <c r="S67">
        <f>IFERROR(INDEX(TableRBCalcPts[BYE],MATCH(TableRBRanks3141[[#This Row],[Player]],TableRBCalcPts[PLAYER],0)),"")</f>
        <v>7</v>
      </c>
      <c r="T67" s="86">
        <f>VLOOKUP(TableRBRanks3141[[#This Row],[Player]],RB!B:O,4,FALSE)</f>
        <v>62.514125520000007</v>
      </c>
      <c r="U67" s="86">
        <f>VLOOKUP(TableRBRanks3141[[#This Row],[Player]],RB!B:O,5,FALSE)</f>
        <v>260.26257383011506</v>
      </c>
      <c r="V67" s="86">
        <f>VLOOKUP(TableRBRanks3141[[#This Row],[Player]],RB!B:O,6,FALSE)</f>
        <v>2.6255932718400006</v>
      </c>
      <c r="W67" s="86">
        <f>VLOOKUP(TableRBRanks3141[[#This Row],[Player]],RB!B:O,7,FALSE)</f>
        <v>24.617090399999999</v>
      </c>
      <c r="X67" s="86">
        <f>VLOOKUP(TableRBRanks3141[[#This Row],[Player]],RB!B:O,8,FALSE)</f>
        <v>17.885869044127826</v>
      </c>
      <c r="Y67" s="86">
        <f>VLOOKUP(TableRBRanks3141[[#This Row],[Player]],RB!B:O,9,FALSE)</f>
        <v>147.97630579433516</v>
      </c>
      <c r="Z67" s="86">
        <f>VLOOKUP(TableRBRanks3141[[#This Row],[Player]],RB!B:O,10,FALSE)</f>
        <v>0.93006519029464696</v>
      </c>
      <c r="AA67" s="58">
        <f>VLOOKUP(TableRBRanks3141[[#This Row],[Player]],RB!B:O,14,FALSE)</f>
        <v>71.100773257316817</v>
      </c>
      <c r="AB67" s="133">
        <f>IF(VLOOKUP(TableRBRanks3141[[#This Row],[RK]],'Ranks w Proj'!$P:$AB,13,FALSE)&lt;0,0,VLOOKUP(TableRBRanks3141[[#This Row],[RK]],'Ranks w Proj'!$P:$AB,13,FALSE))</f>
        <v>0</v>
      </c>
      <c r="AD67">
        <v>66</v>
      </c>
      <c r="AE67" t="str">
        <f>VLOOKUP(TableWRRanks3242[[#This Row],[RK]],Rankings!A:T,13,FALSE)</f>
        <v>Elijah Moore</v>
      </c>
      <c r="AF67" t="str">
        <f>IFERROR(INDEX(TableWRCalcPts[TM],MATCH(TableWRRanks3242[[#This Row],[Player]],TableWRCalcPts[PLAYER],0)),"")</f>
        <v>CLE</v>
      </c>
      <c r="AG67">
        <f>IFERROR(INDEX(TableWRCalcPts[BYE],MATCH(TableWRRanks3242[[#This Row],[Player]],TableWRCalcPts[PLAYER],0)),"")</f>
        <v>5</v>
      </c>
      <c r="AH67" s="86">
        <f>VLOOKUP(TableWRRanks3242[[#This Row],[Player]],WR!B:O,4,FALSE)</f>
        <v>0</v>
      </c>
      <c r="AI67" s="86">
        <f>VLOOKUP(TableWRRanks3242[[#This Row],[Player]],WR!B:O,5,FALSE)</f>
        <v>0</v>
      </c>
      <c r="AJ67" s="86">
        <f>VLOOKUP(TableWRRanks3242[[#This Row],[Player]],WR!B:O,6,FALSE)</f>
        <v>85.222632599999983</v>
      </c>
      <c r="AK67" s="86">
        <f>VLOOKUP(TableWRRanks3242[[#This Row],[Player]],WR!B:O,7,FALSE)</f>
        <v>54.685314264584569</v>
      </c>
      <c r="AL67" s="86">
        <f>VLOOKUP(TableWRRanks3242[[#This Row],[Player]],WR!B:O,8,FALSE)</f>
        <v>650.75523974855639</v>
      </c>
      <c r="AM67" s="86">
        <f>VLOOKUP(TableWRRanks3242[[#This Row],[Player]],WR!B:O,9,FALSE)</f>
        <v>4.3748251411667658</v>
      </c>
      <c r="AN67" s="58">
        <f>VLOOKUP(TableWRRanks3242[[#This Row],[Player]],WR!B:O,13,FALSE)</f>
        <v>118.66713195414852</v>
      </c>
      <c r="AO67" s="133">
        <f>IF(VLOOKUP(TableWRRanks3242[[#This Row],[RK]],'Ranks w Proj'!AD:AO,12,FALSE)&lt;0,0,VLOOKUP(TableWRRanks3242[[#This Row],[RK]],'Ranks w Proj'!AD:AO,12,FALSE))</f>
        <v>0</v>
      </c>
      <c r="AQ67">
        <v>66</v>
      </c>
      <c r="AR67">
        <f>VLOOKUP(TableTERanks3343[[#This Row],[RK]],Rankings!A:T,18,FALSE)</f>
        <v>0</v>
      </c>
      <c r="AS67" t="str">
        <f>IFERROR(INDEX(TableTECalcPts[TM],MATCH(TableTERanks3343[[#This Row],[Player]],TableTECalcPts[PLAYER],0)),"")</f>
        <v/>
      </c>
      <c r="AT67" t="str">
        <f>IFERROR(INDEX(TableTECalcPts[BYE],MATCH(TableTERanks3343[[#This Row],[Player]],TableTECalcPts[PLAYER],0)),"")</f>
        <v/>
      </c>
      <c r="AU67" s="86">
        <f>VLOOKUP(TableTERanks3343[[#This Row],[Player]],TE!B:O,4,FALSE)</f>
        <v>0</v>
      </c>
      <c r="AV67" s="86">
        <f>VLOOKUP(TableTERanks3343[[#This Row],[Player]],TE!B:O,5,FALSE)</f>
        <v>0</v>
      </c>
      <c r="AW67" s="86">
        <f>VLOOKUP(TableTERanks3343[[#This Row],[Player]],TE!B:O,6,FALSE)</f>
        <v>0</v>
      </c>
      <c r="AX67" s="86">
        <f>VLOOKUP(TableTERanks3343[[#This Row],[Player]],TE!B:O,7,FALSE)</f>
        <v>0</v>
      </c>
      <c r="AY67" s="58">
        <f>VLOOKUP(TableTERanks3343[[#This Row],[Player]],TE!B:O,11,FALSE)</f>
        <v>0</v>
      </c>
      <c r="AZ67" s="133">
        <f>IF(VLOOKUP(TableTERanks3343[[#This Row],[RK]],'Ranks w Proj'!AQ:AZ,10,FALSE)&lt;0,0,VLOOKUP(TableTERanks3343[[#This Row],[RK]],'Ranks w Proj'!AQ:AZ,10,FALSE))</f>
        <v>0</v>
      </c>
    </row>
    <row r="68" spans="1:52" x14ac:dyDescent="0.2">
      <c r="A68">
        <v>67</v>
      </c>
      <c r="B68">
        <f>VLOOKUP(TableQBRanks3040[[#This Row],[RK]],Rankings!A:T,3,FALSE)</f>
        <v>0</v>
      </c>
      <c r="C68" t="str">
        <f>IFERROR(INDEX(TableQBCalcPts[TM],MATCH(TableQBRanks3040[[#This Row],[Player]],TableQBCalcPts[PLAYER],0)),"")</f>
        <v/>
      </c>
      <c r="D68" t="str">
        <f>IFERROR(INDEX(TableQBCalcPts[BYE],MATCH(TableQBRanks3040[[#This Row],[Player]],TableQBCalcPts[PLAYER],0)),"")</f>
        <v/>
      </c>
      <c r="E68" s="86">
        <f>VLOOKUP(TableQBRanks3040[[#This Row],[Player]],QB!B:O,4,FALSE)</f>
        <v>30.022649999999999</v>
      </c>
      <c r="F68" s="86">
        <f>VLOOKUP(TableQBRanks3040[[#This Row],[Player]],QB!B:O,5,FALSE)</f>
        <v>18.957690112213761</v>
      </c>
      <c r="G68" s="86">
        <f>VLOOKUP(TableQBRanks3040[[#This Row],[Player]],QB!B:O,6,FALSE)</f>
        <v>203.98474560742008</v>
      </c>
      <c r="H68" s="86">
        <f>VLOOKUP(TableQBRanks3040[[#This Row],[Player]],QB!B:O,7,FALSE)</f>
        <v>1.3858071472028259</v>
      </c>
      <c r="I68" s="86">
        <f>VLOOKUP(TableQBRanks3040[[#This Row],[Player]],QB!B:O,8,FALSE)</f>
        <v>0.74387271583779924</v>
      </c>
      <c r="J68" s="86">
        <f>VLOOKUP(TableQBRanks3040[[#This Row],[Player]],QB!B:O,9,FALSE)</f>
        <v>2.2468803000000004</v>
      </c>
      <c r="K68" s="86">
        <f>VLOOKUP(TableQBRanks3040[[#This Row],[Player]],QB!B:O,10,FALSE)</f>
        <v>6.5114942493224293</v>
      </c>
      <c r="L68" s="86">
        <f>VLOOKUP(TableQBRanks3040[[#This Row],[Player]],QB!B:O,11,FALSE)</f>
        <v>4.1573164207364309E-2</v>
      </c>
      <c r="M68" s="58">
        <f>VLOOKUP(TableQBRanks3040[[#This Row],[Player]],QB!B:O,13,FALSE)</f>
        <v>13.859334107446738</v>
      </c>
      <c r="N68" s="133" t="e">
        <f>IF(VLOOKUP(TableQBRanks3040[[#This Row],[RK]],'Ranks w Proj'!$A:$N,14,FALSE)&lt;0,0,VLOOKUP(TableQBRanks3040[[#This Row],[RK]],'Ranks w Proj'!$A:$N,14,FALSE))</f>
        <v>#VALUE!</v>
      </c>
      <c r="P68">
        <v>67</v>
      </c>
      <c r="Q68" t="str">
        <f>VLOOKUP(TableRBRanks3141[[#This Row],[RK]],Rankings!A:T,8,FALSE)</f>
        <v>Pierre Strong</v>
      </c>
      <c r="R68" t="str">
        <f>IFERROR(INDEX(TableRBCalcPts[TM],MATCH(TableRBRanks3141[[#This Row],[Player]],TableRBCalcPts[PLAYER],0)),"")</f>
        <v>CLE</v>
      </c>
      <c r="S68">
        <f>IFERROR(INDEX(TableRBCalcPts[BYE],MATCH(TableRBRanks3141[[#This Row],[Player]],TableRBCalcPts[PLAYER],0)),"")</f>
        <v>5</v>
      </c>
      <c r="T68" s="86">
        <f>VLOOKUP(TableRBRanks3141[[#This Row],[Player]],RB!B:O,4,FALSE)</f>
        <v>56.029314599999992</v>
      </c>
      <c r="U68" s="86">
        <f>VLOOKUP(TableRBRanks3141[[#This Row],[Player]],RB!B:O,5,FALSE)</f>
        <v>244.84810480199997</v>
      </c>
      <c r="V68" s="86">
        <f>VLOOKUP(TableRBRanks3141[[#This Row],[Player]],RB!B:O,6,FALSE)</f>
        <v>2.2972018985999996</v>
      </c>
      <c r="W68" s="86">
        <f>VLOOKUP(TableRBRanks3141[[#This Row],[Player]],RB!B:O,7,FALSE)</f>
        <v>22.5116388</v>
      </c>
      <c r="X68" s="86">
        <f>VLOOKUP(TableRBRanks3141[[#This Row],[Player]],RB!B:O,8,FALSE)</f>
        <v>16.748659267200001</v>
      </c>
      <c r="Y68" s="86">
        <f>VLOOKUP(TableRBRanks3141[[#This Row],[Player]],RB!B:O,9,FALSE)</f>
        <v>126.11740428201601</v>
      </c>
      <c r="Z68" s="86">
        <f>VLOOKUP(TableRBRanks3141[[#This Row],[Player]],RB!B:O,10,FALSE)</f>
        <v>0.73694100775679994</v>
      </c>
      <c r="AA68" s="58">
        <f>VLOOKUP(TableRBRanks3141[[#This Row],[Player]],RB!B:O,14,FALSE)</f>
        <v>63.675737980142394</v>
      </c>
      <c r="AB68" s="133">
        <f>IF(VLOOKUP(TableRBRanks3141[[#This Row],[RK]],'Ranks w Proj'!$P:$AB,13,FALSE)&lt;0,0,VLOOKUP(TableRBRanks3141[[#This Row],[RK]],'Ranks w Proj'!$P:$AB,13,FALSE))</f>
        <v>0</v>
      </c>
      <c r="AD68">
        <v>67</v>
      </c>
      <c r="AE68" t="str">
        <f>VLOOKUP(TableWRRanks3242[[#This Row],[RK]],Rankings!A:T,13,FALSE)</f>
        <v>Kadarius Toney</v>
      </c>
      <c r="AF68" t="str">
        <f>IFERROR(INDEX(TableWRCalcPts[TM],MATCH(TableWRRanks3242[[#This Row],[Player]],TableWRCalcPts[PLAYER],0)),"")</f>
        <v>KC</v>
      </c>
      <c r="AG68">
        <f>IFERROR(INDEX(TableWRCalcPts[BYE],MATCH(TableWRRanks3242[[#This Row],[Player]],TableWRCalcPts[PLAYER],0)),"")</f>
        <v>10</v>
      </c>
      <c r="AH68" s="86">
        <f>VLOOKUP(TableWRRanks3242[[#This Row],[Player]],WR!B:O,4,FALSE)</f>
        <v>73.465399938020838</v>
      </c>
      <c r="AI68" s="86">
        <f>VLOOKUP(TableWRRanks3242[[#This Row],[Player]],WR!B:O,5,FALSE)</f>
        <v>0.75480587276612099</v>
      </c>
      <c r="AJ68" s="86">
        <f>VLOOKUP(TableWRRanks3242[[#This Row],[Player]],WR!B:O,6,FALSE)</f>
        <v>69.309982559999995</v>
      </c>
      <c r="AK68" s="86">
        <f>VLOOKUP(TableWRRanks3242[[#This Row],[Player]],WR!B:O,7,FALSE)</f>
        <v>45.120798646559997</v>
      </c>
      <c r="AL68" s="86">
        <f>VLOOKUP(TableWRRanks3242[[#This Row],[Player]],WR!B:O,8,FALSE)</f>
        <v>541.44958375872</v>
      </c>
      <c r="AM68" s="86">
        <f>VLOOKUP(TableWRRanks3242[[#This Row],[Player]],WR!B:O,9,FALSE)</f>
        <v>4.5120798646560001</v>
      </c>
      <c r="AN68" s="58">
        <f>VLOOKUP(TableWRRanks3242[[#This Row],[Player]],WR!B:O,13,FALSE)</f>
        <v>115.6532121174868</v>
      </c>
      <c r="AO68" s="133">
        <f>IF(VLOOKUP(TableWRRanks3242[[#This Row],[RK]],'Ranks w Proj'!AD:AO,12,FALSE)&lt;0,0,VLOOKUP(TableWRRanks3242[[#This Row],[RK]],'Ranks w Proj'!AD:AO,12,FALSE))</f>
        <v>0</v>
      </c>
      <c r="AQ68">
        <v>67</v>
      </c>
      <c r="AR68">
        <f>VLOOKUP(TableTERanks3343[[#This Row],[RK]],Rankings!A:T,18,FALSE)</f>
        <v>0</v>
      </c>
      <c r="AS68" t="str">
        <f>IFERROR(INDEX(TableTECalcPts[TM],MATCH(TableTERanks3343[[#This Row],[Player]],TableTECalcPts[PLAYER],0)),"")</f>
        <v/>
      </c>
      <c r="AT68" t="str">
        <f>IFERROR(INDEX(TableTECalcPts[BYE],MATCH(TableTERanks3343[[#This Row],[Player]],TableTECalcPts[PLAYER],0)),"")</f>
        <v/>
      </c>
      <c r="AU68" s="86">
        <f>VLOOKUP(TableTERanks3343[[#This Row],[Player]],TE!B:O,4,FALSE)</f>
        <v>0</v>
      </c>
      <c r="AV68" s="86">
        <f>VLOOKUP(TableTERanks3343[[#This Row],[Player]],TE!B:O,5,FALSE)</f>
        <v>0</v>
      </c>
      <c r="AW68" s="86">
        <f>VLOOKUP(TableTERanks3343[[#This Row],[Player]],TE!B:O,6,FALSE)</f>
        <v>0</v>
      </c>
      <c r="AX68" s="86">
        <f>VLOOKUP(TableTERanks3343[[#This Row],[Player]],TE!B:O,7,FALSE)</f>
        <v>0</v>
      </c>
      <c r="AY68" s="58">
        <f>VLOOKUP(TableTERanks3343[[#This Row],[Player]],TE!B:O,11,FALSE)</f>
        <v>0</v>
      </c>
      <c r="AZ68" s="133">
        <f>IF(VLOOKUP(TableTERanks3343[[#This Row],[RK]],'Ranks w Proj'!AQ:AZ,10,FALSE)&lt;0,0,VLOOKUP(TableTERanks3343[[#This Row],[RK]],'Ranks w Proj'!AQ:AZ,10,FALSE))</f>
        <v>0</v>
      </c>
    </row>
    <row r="69" spans="1:52" x14ac:dyDescent="0.2">
      <c r="A69">
        <v>68</v>
      </c>
      <c r="B69">
        <f>VLOOKUP(TableQBRanks3040[[#This Row],[RK]],Rankings!A:T,3,FALSE)</f>
        <v>0</v>
      </c>
      <c r="C69" t="str">
        <f>IFERROR(INDEX(TableQBCalcPts[TM],MATCH(TableQBRanks3040[[#This Row],[Player]],TableQBCalcPts[PLAYER],0)),"")</f>
        <v/>
      </c>
      <c r="D69" t="str">
        <f>IFERROR(INDEX(TableQBCalcPts[BYE],MATCH(TableQBRanks3040[[#This Row],[Player]],TableQBCalcPts[PLAYER],0)),"")</f>
        <v/>
      </c>
      <c r="E69" s="86">
        <f>VLOOKUP(TableQBRanks3040[[#This Row],[Player]],QB!B:O,4,FALSE)</f>
        <v>30.022649999999999</v>
      </c>
      <c r="F69" s="86">
        <f>VLOOKUP(TableQBRanks3040[[#This Row],[Player]],QB!B:O,5,FALSE)</f>
        <v>18.957690112213761</v>
      </c>
      <c r="G69" s="86">
        <f>VLOOKUP(TableQBRanks3040[[#This Row],[Player]],QB!B:O,6,FALSE)</f>
        <v>203.98474560742008</v>
      </c>
      <c r="H69" s="86">
        <f>VLOOKUP(TableQBRanks3040[[#This Row],[Player]],QB!B:O,7,FALSE)</f>
        <v>1.3858071472028259</v>
      </c>
      <c r="I69" s="86">
        <f>VLOOKUP(TableQBRanks3040[[#This Row],[Player]],QB!B:O,8,FALSE)</f>
        <v>0.74387271583779924</v>
      </c>
      <c r="J69" s="86">
        <f>VLOOKUP(TableQBRanks3040[[#This Row],[Player]],QB!B:O,9,FALSE)</f>
        <v>2.2468803000000004</v>
      </c>
      <c r="K69" s="86">
        <f>VLOOKUP(TableQBRanks3040[[#This Row],[Player]],QB!B:O,10,FALSE)</f>
        <v>6.5114942493224293</v>
      </c>
      <c r="L69" s="86">
        <f>VLOOKUP(TableQBRanks3040[[#This Row],[Player]],QB!B:O,11,FALSE)</f>
        <v>4.1573164207364309E-2</v>
      </c>
      <c r="M69" s="58">
        <f>VLOOKUP(TableQBRanks3040[[#This Row],[Player]],QB!B:O,13,FALSE)</f>
        <v>13.859334107446738</v>
      </c>
      <c r="N69" s="133" t="e">
        <f>IF(VLOOKUP(TableQBRanks3040[[#This Row],[RK]],'Ranks w Proj'!$A:$N,14,FALSE)&lt;0,0,VLOOKUP(TableQBRanks3040[[#This Row],[RK]],'Ranks w Proj'!$A:$N,14,FALSE))</f>
        <v>#VALUE!</v>
      </c>
      <c r="P69">
        <v>68</v>
      </c>
      <c r="Q69" t="str">
        <f>VLOOKUP(TableRBRanks3141[[#This Row],[RK]],Rankings!A:T,8,FALSE)</f>
        <v>Clyde Edwards-Helaire</v>
      </c>
      <c r="R69" t="str">
        <f>IFERROR(INDEX(TableRBCalcPts[TM],MATCH(TableRBRanks3141[[#This Row],[Player]],TableRBCalcPts[PLAYER],0)),"")</f>
        <v>KC</v>
      </c>
      <c r="S69">
        <f>IFERROR(INDEX(TableRBCalcPts[BYE],MATCH(TableRBRanks3141[[#This Row],[Player]],TableRBCalcPts[PLAYER],0)),"")</f>
        <v>10</v>
      </c>
      <c r="T69" s="86">
        <f>VLOOKUP(TableRBRanks3141[[#This Row],[Player]],RB!B:O,4,FALSE)</f>
        <v>60.778667039999995</v>
      </c>
      <c r="U69" s="86">
        <f>VLOOKUP(TableRBRanks3141[[#This Row],[Player]],RB!B:O,5,FALSE)</f>
        <v>259.06507361475451</v>
      </c>
      <c r="V69" s="86">
        <f>VLOOKUP(TableRBRanks3141[[#This Row],[Player]],RB!B:O,6,FALSE)</f>
        <v>2.1272533463999999</v>
      </c>
      <c r="W69" s="86">
        <f>VLOOKUP(TableRBRanks3141[[#This Row],[Player]],RB!B:O,7,FALSE)</f>
        <v>17.654429520000001</v>
      </c>
      <c r="X69" s="86">
        <f>VLOOKUP(TableRBRanks3141[[#This Row],[Player]],RB!B:O,8,FALSE)</f>
        <v>14.044362895595675</v>
      </c>
      <c r="Y69" s="86">
        <f>VLOOKUP(TableRBRanks3141[[#This Row],[Player]],RB!B:O,9,FALSE)</f>
        <v>115.50399797945147</v>
      </c>
      <c r="Z69" s="86">
        <f>VLOOKUP(TableRBRanks3141[[#This Row],[Player]],RB!B:O,10,FALSE)</f>
        <v>0.70221814477978384</v>
      </c>
      <c r="AA69" s="58">
        <f>VLOOKUP(TableRBRanks3141[[#This Row],[Player]],RB!B:O,14,FALSE)</f>
        <v>61.455917554297137</v>
      </c>
      <c r="AB69" s="133">
        <f>IF(VLOOKUP(TableRBRanks3141[[#This Row],[RK]],'Ranks w Proj'!$P:$AB,13,FALSE)&lt;0,0,VLOOKUP(TableRBRanks3141[[#This Row],[RK]],'Ranks w Proj'!$P:$AB,13,FALSE))</f>
        <v>0</v>
      </c>
      <c r="AD69">
        <v>68</v>
      </c>
      <c r="AE69" t="str">
        <f>VLOOKUP(TableWRRanks3242[[#This Row],[RK]],Rankings!A:T,13,FALSE)</f>
        <v>K.J. Osborn</v>
      </c>
      <c r="AF69" t="str">
        <f>IFERROR(INDEX(TableWRCalcPts[TM],MATCH(TableWRRanks3242[[#This Row],[Player]],TableWRCalcPts[PLAYER],0)),"")</f>
        <v>MIN</v>
      </c>
      <c r="AG69">
        <f>IFERROR(INDEX(TableWRCalcPts[BYE],MATCH(TableWRRanks3242[[#This Row],[Player]],TableWRCalcPts[PLAYER],0)),"")</f>
        <v>13</v>
      </c>
      <c r="AH69" s="86">
        <f>VLOOKUP(TableWRRanks3242[[#This Row],[Player]],WR!B:O,4,FALSE)</f>
        <v>0</v>
      </c>
      <c r="AI69" s="86">
        <f>VLOOKUP(TableWRRanks3242[[#This Row],[Player]],WR!B:O,5,FALSE)</f>
        <v>0</v>
      </c>
      <c r="AJ69" s="86">
        <f>VLOOKUP(TableWRRanks3242[[#This Row],[Player]],WR!B:O,6,FALSE)</f>
        <v>92.056068719999971</v>
      </c>
      <c r="AK69" s="86">
        <f>VLOOKUP(TableWRRanks3242[[#This Row],[Player]],WR!B:O,7,FALSE)</f>
        <v>55.993695014320394</v>
      </c>
      <c r="AL69" s="86">
        <f>VLOOKUP(TableWRRanks3242[[#This Row],[Player]],WR!B:O,8,FALSE)</f>
        <v>610.33127565609232</v>
      </c>
      <c r="AM69" s="86">
        <f>VLOOKUP(TableWRRanks3242[[#This Row],[Player]],WR!B:O,9,FALSE)</f>
        <v>4.1435334310597094</v>
      </c>
      <c r="AN69" s="58">
        <f>VLOOKUP(TableWRRanks3242[[#This Row],[Player]],WR!B:O,13,FALSE)</f>
        <v>113.8911756591277</v>
      </c>
      <c r="AO69" s="133">
        <f>IF(VLOOKUP(TableWRRanks3242[[#This Row],[RK]],'Ranks w Proj'!AD:AO,12,FALSE)&lt;0,0,VLOOKUP(TableWRRanks3242[[#This Row],[RK]],'Ranks w Proj'!AD:AO,12,FALSE))</f>
        <v>0</v>
      </c>
      <c r="AQ69">
        <v>68</v>
      </c>
      <c r="AR69">
        <f>VLOOKUP(TableTERanks3343[[#This Row],[RK]],Rankings!A:T,18,FALSE)</f>
        <v>0</v>
      </c>
      <c r="AS69" t="str">
        <f>IFERROR(INDEX(TableTECalcPts[TM],MATCH(TableTERanks3343[[#This Row],[Player]],TableTECalcPts[PLAYER],0)),"")</f>
        <v/>
      </c>
      <c r="AT69" t="str">
        <f>IFERROR(INDEX(TableTECalcPts[BYE],MATCH(TableTERanks3343[[#This Row],[Player]],TableTECalcPts[PLAYER],0)),"")</f>
        <v/>
      </c>
      <c r="AU69" s="86">
        <f>VLOOKUP(TableTERanks3343[[#This Row],[Player]],TE!B:O,4,FALSE)</f>
        <v>0</v>
      </c>
      <c r="AV69" s="86">
        <f>VLOOKUP(TableTERanks3343[[#This Row],[Player]],TE!B:O,5,FALSE)</f>
        <v>0</v>
      </c>
      <c r="AW69" s="86">
        <f>VLOOKUP(TableTERanks3343[[#This Row],[Player]],TE!B:O,6,FALSE)</f>
        <v>0</v>
      </c>
      <c r="AX69" s="86">
        <f>VLOOKUP(TableTERanks3343[[#This Row],[Player]],TE!B:O,7,FALSE)</f>
        <v>0</v>
      </c>
      <c r="AY69" s="58">
        <f>VLOOKUP(TableTERanks3343[[#This Row],[Player]],TE!B:O,11,FALSE)</f>
        <v>0</v>
      </c>
      <c r="AZ69" s="133">
        <f>IF(VLOOKUP(TableTERanks3343[[#This Row],[RK]],'Ranks w Proj'!AQ:AZ,10,FALSE)&lt;0,0,VLOOKUP(TableTERanks3343[[#This Row],[RK]],'Ranks w Proj'!AQ:AZ,10,FALSE))</f>
        <v>0</v>
      </c>
    </row>
    <row r="70" spans="1:52" x14ac:dyDescent="0.2">
      <c r="A70">
        <v>69</v>
      </c>
      <c r="B70">
        <f>VLOOKUP(TableQBRanks3040[[#This Row],[RK]],Rankings!A:T,3,FALSE)</f>
        <v>0</v>
      </c>
      <c r="C70" t="str">
        <f>IFERROR(INDEX(TableQBCalcPts[TM],MATCH(TableQBRanks3040[[#This Row],[Player]],TableQBCalcPts[PLAYER],0)),"")</f>
        <v/>
      </c>
      <c r="D70" t="str">
        <f>IFERROR(INDEX(TableQBCalcPts[BYE],MATCH(TableQBRanks3040[[#This Row],[Player]],TableQBCalcPts[PLAYER],0)),"")</f>
        <v/>
      </c>
      <c r="E70" s="86">
        <f>VLOOKUP(TableQBRanks3040[[#This Row],[Player]],QB!B:O,4,FALSE)</f>
        <v>30.022649999999999</v>
      </c>
      <c r="F70" s="86">
        <f>VLOOKUP(TableQBRanks3040[[#This Row],[Player]],QB!B:O,5,FALSE)</f>
        <v>18.957690112213761</v>
      </c>
      <c r="G70" s="86">
        <f>VLOOKUP(TableQBRanks3040[[#This Row],[Player]],QB!B:O,6,FALSE)</f>
        <v>203.98474560742008</v>
      </c>
      <c r="H70" s="86">
        <f>VLOOKUP(TableQBRanks3040[[#This Row],[Player]],QB!B:O,7,FALSE)</f>
        <v>1.3858071472028259</v>
      </c>
      <c r="I70" s="86">
        <f>VLOOKUP(TableQBRanks3040[[#This Row],[Player]],QB!B:O,8,FALSE)</f>
        <v>0.74387271583779924</v>
      </c>
      <c r="J70" s="86">
        <f>VLOOKUP(TableQBRanks3040[[#This Row],[Player]],QB!B:O,9,FALSE)</f>
        <v>2.2468803000000004</v>
      </c>
      <c r="K70" s="86">
        <f>VLOOKUP(TableQBRanks3040[[#This Row],[Player]],QB!B:O,10,FALSE)</f>
        <v>6.5114942493224293</v>
      </c>
      <c r="L70" s="86">
        <f>VLOOKUP(TableQBRanks3040[[#This Row],[Player]],QB!B:O,11,FALSE)</f>
        <v>4.1573164207364309E-2</v>
      </c>
      <c r="M70" s="58">
        <f>VLOOKUP(TableQBRanks3040[[#This Row],[Player]],QB!B:O,13,FALSE)</f>
        <v>13.859334107446738</v>
      </c>
      <c r="N70" s="133" t="e">
        <f>IF(VLOOKUP(TableQBRanks3040[[#This Row],[RK]],'Ranks w Proj'!$A:$N,14,FALSE)&lt;0,0,VLOOKUP(TableQBRanks3040[[#This Row],[RK]],'Ranks w Proj'!$A:$N,14,FALSE))</f>
        <v>#VALUE!</v>
      </c>
      <c r="P70">
        <v>69</v>
      </c>
      <c r="Q70" t="str">
        <f>VLOOKUP(TableRBRanks3141[[#This Row],[RK]],Rankings!A:T,8,FALSE)</f>
        <v>Jordan Mason</v>
      </c>
      <c r="R70" t="str">
        <f>IFERROR(INDEX(TableRBCalcPts[TM],MATCH(TableRBRanks3141[[#This Row],[Player]],TableRBCalcPts[PLAYER],0)),"")</f>
        <v>SF</v>
      </c>
      <c r="S70">
        <f>IFERROR(INDEX(TableRBCalcPts[BYE],MATCH(TableRBRanks3141[[#This Row],[Player]],TableRBCalcPts[PLAYER],0)),"")</f>
        <v>9</v>
      </c>
      <c r="T70" s="86">
        <f>VLOOKUP(TableRBRanks3141[[#This Row],[Player]],RB!B:O,4,FALSE)</f>
        <v>60.531873640000001</v>
      </c>
      <c r="U70" s="86">
        <f>VLOOKUP(TableRBRanks3141[[#This Row],[Player]],RB!B:O,5,FALSE)</f>
        <v>276.45138481250888</v>
      </c>
      <c r="V70" s="86">
        <f>VLOOKUP(TableRBRanks3141[[#This Row],[Player]],RB!B:O,6,FALSE)</f>
        <v>2.6028705665199996</v>
      </c>
      <c r="W70" s="86">
        <f>VLOOKUP(TableRBRanks3141[[#This Row],[Player]],RB!B:O,7,FALSE)</f>
        <v>15.966178619999999</v>
      </c>
      <c r="X70" s="86">
        <f>VLOOKUP(TableRBRanks3141[[#This Row],[Player]],RB!B:O,8,FALSE)</f>
        <v>11.112460319519998</v>
      </c>
      <c r="Y70" s="86">
        <f>VLOOKUP(TableRBRanks3141[[#This Row],[Player]],RB!B:O,9,FALSE)</f>
        <v>87.972140915630533</v>
      </c>
      <c r="Z70" s="86">
        <f>VLOOKUP(TableRBRanks3141[[#This Row],[Player]],RB!B:O,10,FALSE)</f>
        <v>0.44449841278079993</v>
      </c>
      <c r="AA70" s="58">
        <f>VLOOKUP(TableRBRanks3141[[#This Row],[Player]],RB!B:O,14,FALSE)</f>
        <v>60.282796608378746</v>
      </c>
      <c r="AB70" s="133">
        <f>IF(VLOOKUP(TableRBRanks3141[[#This Row],[RK]],'Ranks w Proj'!$P:$AB,13,FALSE)&lt;0,0,VLOOKUP(TableRBRanks3141[[#This Row],[RK]],'Ranks w Proj'!$P:$AB,13,FALSE))</f>
        <v>0</v>
      </c>
      <c r="AD70">
        <v>69</v>
      </c>
      <c r="AE70" t="str">
        <f>VLOOKUP(TableWRRanks3242[[#This Row],[RK]],Rankings!A:T,13,FALSE)</f>
        <v>Rondale Moore</v>
      </c>
      <c r="AF70" t="str">
        <f>IFERROR(INDEX(TableWRCalcPts[TM],MATCH(TableWRRanks3242[[#This Row],[Player]],TableWRCalcPts[PLAYER],0)),"")</f>
        <v>ARI</v>
      </c>
      <c r="AG70">
        <f>IFERROR(INDEX(TableWRCalcPts[BYE],MATCH(TableWRRanks3242[[#This Row],[Player]],TableWRCalcPts[PLAYER],0)),"")</f>
        <v>14</v>
      </c>
      <c r="AH70" s="86">
        <f>VLOOKUP(TableWRRanks3242[[#This Row],[Player]],WR!B:O,4,FALSE)</f>
        <v>45.655111421379317</v>
      </c>
      <c r="AI70" s="86">
        <f>VLOOKUP(TableWRRanks3242[[#This Row],[Player]],WR!B:O,5,FALSE)</f>
        <v>0.78822870000000012</v>
      </c>
      <c r="AJ70" s="86">
        <f>VLOOKUP(TableWRRanks3242[[#This Row],[Player]],WR!B:O,6,FALSE)</f>
        <v>73.260390000000001</v>
      </c>
      <c r="AK70" s="86">
        <f>VLOOKUP(TableWRRanks3242[[#This Row],[Player]],WR!B:O,7,FALSE)</f>
        <v>49.084461300000001</v>
      </c>
      <c r="AL70" s="86">
        <f>VLOOKUP(TableWRRanks3242[[#This Row],[Player]],WR!B:O,8,FALSE)</f>
        <v>501.15234987300005</v>
      </c>
      <c r="AM70" s="86">
        <f>VLOOKUP(TableWRRanks3242[[#This Row],[Player]],WR!B:O,9,FALSE)</f>
        <v>2.4542230650000003</v>
      </c>
      <c r="AN70" s="58">
        <f>VLOOKUP(TableWRRanks3242[[#This Row],[Player]],WR!B:O,13,FALSE)</f>
        <v>98.677687369437947</v>
      </c>
      <c r="AO70" s="133">
        <f>IF(VLOOKUP(TableWRRanks3242[[#This Row],[RK]],'Ranks w Proj'!AD:AO,12,FALSE)&lt;0,0,VLOOKUP(TableWRRanks3242[[#This Row],[RK]],'Ranks w Proj'!AD:AO,12,FALSE))</f>
        <v>0</v>
      </c>
      <c r="AQ70">
        <v>69</v>
      </c>
      <c r="AR70">
        <f>VLOOKUP(TableTERanks3343[[#This Row],[RK]],Rankings!A:T,18,FALSE)</f>
        <v>0</v>
      </c>
      <c r="AS70" t="str">
        <f>IFERROR(INDEX(TableTECalcPts[TM],MATCH(TableTERanks3343[[#This Row],[Player]],TableTECalcPts[PLAYER],0)),"")</f>
        <v/>
      </c>
      <c r="AT70" t="str">
        <f>IFERROR(INDEX(TableTECalcPts[BYE],MATCH(TableTERanks3343[[#This Row],[Player]],TableTECalcPts[PLAYER],0)),"")</f>
        <v/>
      </c>
      <c r="AU70" s="86">
        <f>VLOOKUP(TableTERanks3343[[#This Row],[Player]],TE!B:O,4,FALSE)</f>
        <v>0</v>
      </c>
      <c r="AV70" s="86">
        <f>VLOOKUP(TableTERanks3343[[#This Row],[Player]],TE!B:O,5,FALSE)</f>
        <v>0</v>
      </c>
      <c r="AW70" s="86">
        <f>VLOOKUP(TableTERanks3343[[#This Row],[Player]],TE!B:O,6,FALSE)</f>
        <v>0</v>
      </c>
      <c r="AX70" s="86">
        <f>VLOOKUP(TableTERanks3343[[#This Row],[Player]],TE!B:O,7,FALSE)</f>
        <v>0</v>
      </c>
      <c r="AY70" s="58">
        <f>VLOOKUP(TableTERanks3343[[#This Row],[Player]],TE!B:O,11,FALSE)</f>
        <v>0</v>
      </c>
      <c r="AZ70" s="133">
        <f>IF(VLOOKUP(TableTERanks3343[[#This Row],[RK]],'Ranks w Proj'!AQ:AZ,10,FALSE)&lt;0,0,VLOOKUP(TableTERanks3343[[#This Row],[RK]],'Ranks w Proj'!AQ:AZ,10,FALSE))</f>
        <v>0</v>
      </c>
    </row>
    <row r="71" spans="1:52" x14ac:dyDescent="0.2">
      <c r="A71">
        <v>70</v>
      </c>
      <c r="B71">
        <f>VLOOKUP(TableQBRanks3040[[#This Row],[RK]],Rankings!A:T,3,FALSE)</f>
        <v>0</v>
      </c>
      <c r="C71" t="str">
        <f>IFERROR(INDEX(TableQBCalcPts[TM],MATCH(TableQBRanks3040[[#This Row],[Player]],TableQBCalcPts[PLAYER],0)),"")</f>
        <v/>
      </c>
      <c r="D71" t="str">
        <f>IFERROR(INDEX(TableQBCalcPts[BYE],MATCH(TableQBRanks3040[[#This Row],[Player]],TableQBCalcPts[PLAYER],0)),"")</f>
        <v/>
      </c>
      <c r="E71" s="86">
        <f>VLOOKUP(TableQBRanks3040[[#This Row],[Player]],QB!B:O,4,FALSE)</f>
        <v>30.022649999999999</v>
      </c>
      <c r="F71" s="86">
        <f>VLOOKUP(TableQBRanks3040[[#This Row],[Player]],QB!B:O,5,FALSE)</f>
        <v>18.957690112213761</v>
      </c>
      <c r="G71" s="86">
        <f>VLOOKUP(TableQBRanks3040[[#This Row],[Player]],QB!B:O,6,FALSE)</f>
        <v>203.98474560742008</v>
      </c>
      <c r="H71" s="86">
        <f>VLOOKUP(TableQBRanks3040[[#This Row],[Player]],QB!B:O,7,FALSE)</f>
        <v>1.3858071472028259</v>
      </c>
      <c r="I71" s="86">
        <f>VLOOKUP(TableQBRanks3040[[#This Row],[Player]],QB!B:O,8,FALSE)</f>
        <v>0.74387271583779924</v>
      </c>
      <c r="J71" s="86">
        <f>VLOOKUP(TableQBRanks3040[[#This Row],[Player]],QB!B:O,9,FALSE)</f>
        <v>2.2468803000000004</v>
      </c>
      <c r="K71" s="86">
        <f>VLOOKUP(TableQBRanks3040[[#This Row],[Player]],QB!B:O,10,FALSE)</f>
        <v>6.5114942493224293</v>
      </c>
      <c r="L71" s="86">
        <f>VLOOKUP(TableQBRanks3040[[#This Row],[Player]],QB!B:O,11,FALSE)</f>
        <v>4.1573164207364309E-2</v>
      </c>
      <c r="M71" s="58">
        <f>VLOOKUP(TableQBRanks3040[[#This Row],[Player]],QB!B:O,13,FALSE)</f>
        <v>13.859334107446738</v>
      </c>
      <c r="N71" s="133" t="e">
        <f>IF(VLOOKUP(TableQBRanks3040[[#This Row],[RK]],'Ranks w Proj'!$A:$N,14,FALSE)&lt;0,0,VLOOKUP(TableQBRanks3040[[#This Row],[RK]],'Ranks w Proj'!$A:$N,14,FALSE))</f>
        <v>#VALUE!</v>
      </c>
      <c r="P71">
        <v>70</v>
      </c>
      <c r="Q71" t="str">
        <f>VLOOKUP(TableRBRanks3141[[#This Row],[RK]],Rankings!A:T,8,FALSE)</f>
        <v>Keaton Mitchell</v>
      </c>
      <c r="R71" t="str">
        <f>IFERROR(INDEX(TableRBCalcPts[TM],MATCH(TableRBRanks3141[[#This Row],[Player]],TableRBCalcPts[PLAYER],0)),"")</f>
        <v>BAL</v>
      </c>
      <c r="S71">
        <f>IFERROR(INDEX(TableRBCalcPts[BYE],MATCH(TableRBRanks3141[[#This Row],[Player]],TableRBCalcPts[PLAYER],0)),"")</f>
        <v>13</v>
      </c>
      <c r="T71" s="86">
        <f>VLOOKUP(TableRBRanks3141[[#This Row],[Player]],RB!B:O,4,FALSE)</f>
        <v>36.909963439999991</v>
      </c>
      <c r="U71" s="86">
        <f>VLOOKUP(TableRBRanks3141[[#This Row],[Player]],RB!B:O,5,FALSE)</f>
        <v>174.05672665855994</v>
      </c>
      <c r="V71" s="86">
        <f>VLOOKUP(TableRBRanks3141[[#This Row],[Player]],RB!B:O,6,FALSE)</f>
        <v>1.4394885741599996</v>
      </c>
      <c r="W71" s="86">
        <f>VLOOKUP(TableRBRanks3141[[#This Row],[Player]],RB!B:O,7,FALSE)</f>
        <v>16.0386408</v>
      </c>
      <c r="X71" s="86">
        <f>VLOOKUP(TableRBRanks3141[[#This Row],[Player]],RB!B:O,8,FALSE)</f>
        <v>12.444406156913702</v>
      </c>
      <c r="Y71" s="86">
        <f>VLOOKUP(TableRBRanks3141[[#This Row],[Player]],RB!B:O,9,FALSE)</f>
        <v>87.608619344672462</v>
      </c>
      <c r="Z71" s="86">
        <f>VLOOKUP(TableRBRanks3141[[#This Row],[Player]],RB!B:O,10,FALSE)</f>
        <v>0.52266505859037549</v>
      </c>
      <c r="AA71" s="58">
        <f>VLOOKUP(TableRBRanks3141[[#This Row],[Player]],RB!B:O,14,FALSE)</f>
        <v>44.161659475282342</v>
      </c>
      <c r="AB71" s="133">
        <f>IF(VLOOKUP(TableRBRanks3141[[#This Row],[RK]],'Ranks w Proj'!$P:$AB,13,FALSE)&lt;0,0,VLOOKUP(TableRBRanks3141[[#This Row],[RK]],'Ranks w Proj'!$P:$AB,13,FALSE))</f>
        <v>0</v>
      </c>
      <c r="AD71">
        <v>70</v>
      </c>
      <c r="AE71" t="str">
        <f>VLOOKUP(TableWRRanks3242[[#This Row],[RK]],Rankings!A:T,13,FALSE)</f>
        <v>Josh Downs</v>
      </c>
      <c r="AF71" t="str">
        <f>IFERROR(INDEX(TableWRCalcPts[TM],MATCH(TableWRRanks3242[[#This Row],[Player]],TableWRCalcPts[PLAYER],0)),"")</f>
        <v>IND</v>
      </c>
      <c r="AG71">
        <f>IFERROR(INDEX(TableWRCalcPts[BYE],MATCH(TableWRRanks3242[[#This Row],[Player]],TableWRCalcPts[PLAYER],0)),"")</f>
        <v>11</v>
      </c>
      <c r="AH71" s="86">
        <f>VLOOKUP(TableWRRanks3242[[#This Row],[Player]],WR!B:O,4,FALSE)</f>
        <v>0</v>
      </c>
      <c r="AI71" s="86">
        <f>VLOOKUP(TableWRRanks3242[[#This Row],[Player]],WR!B:O,5,FALSE)</f>
        <v>0</v>
      </c>
      <c r="AJ71" s="86">
        <f>VLOOKUP(TableWRRanks3242[[#This Row],[Player]],WR!B:O,6,FALSE)</f>
        <v>90.878634000000019</v>
      </c>
      <c r="AK71" s="86">
        <f>VLOOKUP(TableWRRanks3242[[#This Row],[Player]],WR!B:O,7,FALSE)</f>
        <v>51.841235377764569</v>
      </c>
      <c r="AL71" s="86">
        <f>VLOOKUP(TableWRRanks3242[[#This Row],[Player]],WR!B:O,8,FALSE)</f>
        <v>679.12018344871581</v>
      </c>
      <c r="AM71" s="86">
        <f>VLOOKUP(TableWRRanks3242[[#This Row],[Player]],WR!B:O,9,FALSE)</f>
        <v>3.3178390641769324</v>
      </c>
      <c r="AN71" s="58">
        <f>VLOOKUP(TableWRRanks3242[[#This Row],[Player]],WR!B:O,13,FALSE)</f>
        <v>113.73967041881546</v>
      </c>
      <c r="AO71" s="133">
        <f>IF(VLOOKUP(TableWRRanks3242[[#This Row],[RK]],'Ranks w Proj'!AD:AO,12,FALSE)&lt;0,0,VLOOKUP(TableWRRanks3242[[#This Row],[RK]],'Ranks w Proj'!AD:AO,12,FALSE))</f>
        <v>0</v>
      </c>
      <c r="AQ71">
        <v>70</v>
      </c>
      <c r="AR71">
        <f>VLOOKUP(TableTERanks3343[[#This Row],[RK]],Rankings!A:T,18,FALSE)</f>
        <v>0</v>
      </c>
      <c r="AS71" t="str">
        <f>IFERROR(INDEX(TableTECalcPts[TM],MATCH(TableTERanks3343[[#This Row],[Player]],TableTECalcPts[PLAYER],0)),"")</f>
        <v/>
      </c>
      <c r="AT71" t="str">
        <f>IFERROR(INDEX(TableTECalcPts[BYE],MATCH(TableTERanks3343[[#This Row],[Player]],TableTECalcPts[PLAYER],0)),"")</f>
        <v/>
      </c>
      <c r="AU71" s="86">
        <f>VLOOKUP(TableTERanks3343[[#This Row],[Player]],TE!B:O,4,FALSE)</f>
        <v>0</v>
      </c>
      <c r="AV71" s="86">
        <f>VLOOKUP(TableTERanks3343[[#This Row],[Player]],TE!B:O,5,FALSE)</f>
        <v>0</v>
      </c>
      <c r="AW71" s="86">
        <f>VLOOKUP(TableTERanks3343[[#This Row],[Player]],TE!B:O,6,FALSE)</f>
        <v>0</v>
      </c>
      <c r="AX71" s="86">
        <f>VLOOKUP(TableTERanks3343[[#This Row],[Player]],TE!B:O,7,FALSE)</f>
        <v>0</v>
      </c>
      <c r="AY71" s="58">
        <f>VLOOKUP(TableTERanks3343[[#This Row],[Player]],TE!B:O,11,FALSE)</f>
        <v>0</v>
      </c>
      <c r="AZ71" s="133">
        <f>IF(VLOOKUP(TableTERanks3343[[#This Row],[RK]],'Ranks w Proj'!AQ:AZ,10,FALSE)&lt;0,0,VLOOKUP(TableTERanks3343[[#This Row],[RK]],'Ranks w Proj'!AQ:AZ,10,FALSE))</f>
        <v>0</v>
      </c>
    </row>
    <row r="72" spans="1:52" x14ac:dyDescent="0.2">
      <c r="A72">
        <v>71</v>
      </c>
      <c r="B72">
        <f>VLOOKUP(TableQBRanks3040[[#This Row],[RK]],Rankings!A:T,3,FALSE)</f>
        <v>0</v>
      </c>
      <c r="C72" t="str">
        <f>IFERROR(INDEX(TableQBCalcPts[TM],MATCH(TableQBRanks3040[[#This Row],[Player]],TableQBCalcPts[PLAYER],0)),"")</f>
        <v/>
      </c>
      <c r="D72" t="str">
        <f>IFERROR(INDEX(TableQBCalcPts[BYE],MATCH(TableQBRanks3040[[#This Row],[Player]],TableQBCalcPts[PLAYER],0)),"")</f>
        <v/>
      </c>
      <c r="E72" s="86">
        <f>VLOOKUP(TableQBRanks3040[[#This Row],[Player]],QB!B:O,4,FALSE)</f>
        <v>30.022649999999999</v>
      </c>
      <c r="F72" s="86">
        <f>VLOOKUP(TableQBRanks3040[[#This Row],[Player]],QB!B:O,5,FALSE)</f>
        <v>18.957690112213761</v>
      </c>
      <c r="G72" s="86">
        <f>VLOOKUP(TableQBRanks3040[[#This Row],[Player]],QB!B:O,6,FALSE)</f>
        <v>203.98474560742008</v>
      </c>
      <c r="H72" s="86">
        <f>VLOOKUP(TableQBRanks3040[[#This Row],[Player]],QB!B:O,7,FALSE)</f>
        <v>1.3858071472028259</v>
      </c>
      <c r="I72" s="86">
        <f>VLOOKUP(TableQBRanks3040[[#This Row],[Player]],QB!B:O,8,FALSE)</f>
        <v>0.74387271583779924</v>
      </c>
      <c r="J72" s="86">
        <f>VLOOKUP(TableQBRanks3040[[#This Row],[Player]],QB!B:O,9,FALSE)</f>
        <v>2.2468803000000004</v>
      </c>
      <c r="K72" s="86">
        <f>VLOOKUP(TableQBRanks3040[[#This Row],[Player]],QB!B:O,10,FALSE)</f>
        <v>6.5114942493224293</v>
      </c>
      <c r="L72" s="86">
        <f>VLOOKUP(TableQBRanks3040[[#This Row],[Player]],QB!B:O,11,FALSE)</f>
        <v>4.1573164207364309E-2</v>
      </c>
      <c r="M72" s="58">
        <f>VLOOKUP(TableQBRanks3040[[#This Row],[Player]],QB!B:O,13,FALSE)</f>
        <v>13.859334107446738</v>
      </c>
      <c r="N72" s="133" t="e">
        <f>IF(VLOOKUP(TableQBRanks3040[[#This Row],[RK]],'Ranks w Proj'!$A:$N,14,FALSE)&lt;0,0,VLOOKUP(TableQBRanks3040[[#This Row],[RK]],'Ranks w Proj'!$A:$N,14,FALSE))</f>
        <v>#VALUE!</v>
      </c>
      <c r="P72">
        <v>71</v>
      </c>
      <c r="Q72" t="str">
        <f>VLOOKUP(TableRBRanks3141[[#This Row],[RK]],Rankings!A:T,8,FALSE)</f>
        <v>Matt Breida</v>
      </c>
      <c r="R72" t="str">
        <f>IFERROR(INDEX(TableRBCalcPts[TM],MATCH(TableRBRanks3141[[#This Row],[Player]],TableRBCalcPts[PLAYER],0)),"")</f>
        <v>NYG</v>
      </c>
      <c r="S72">
        <f>IFERROR(INDEX(TableRBCalcPts[BYE],MATCH(TableRBRanks3141[[#This Row],[Player]],TableRBCalcPts[PLAYER],0)),"")</f>
        <v>13</v>
      </c>
      <c r="T72" s="86">
        <f>VLOOKUP(TableRBRanks3141[[#This Row],[Player]],RB!B:O,4,FALSE)</f>
        <v>57.946163239999997</v>
      </c>
      <c r="U72" s="86">
        <f>VLOOKUP(TableRBRanks3141[[#This Row],[Player]],RB!B:O,5,FALSE)</f>
        <v>249.16850193199997</v>
      </c>
      <c r="V72" s="86">
        <f>VLOOKUP(TableRBRanks3141[[#This Row],[Player]],RB!B:O,6,FALSE)</f>
        <v>1.91222338692</v>
      </c>
      <c r="W72" s="86">
        <f>VLOOKUP(TableRBRanks3141[[#This Row],[Player]],RB!B:O,7,FALSE)</f>
        <v>20.176949519999997</v>
      </c>
      <c r="X72" s="86">
        <f>VLOOKUP(TableRBRanks3141[[#This Row],[Player]],RB!B:O,8,FALSE)</f>
        <v>15.078185128823934</v>
      </c>
      <c r="Y72" s="86">
        <f>VLOOKUP(TableRBRanks3141[[#This Row],[Player]],RB!B:O,9,FALSE)</f>
        <v>101.70998161344625</v>
      </c>
      <c r="Z72" s="86">
        <f>VLOOKUP(TableRBRanks3141[[#This Row],[Player]],RB!B:O,10,FALSE)</f>
        <v>0.39203281334942225</v>
      </c>
      <c r="AA72" s="58">
        <f>VLOOKUP(TableRBRanks3141[[#This Row],[Player]],RB!B:O,14,FALSE)</f>
        <v>56.452478120573126</v>
      </c>
      <c r="AB72" s="133">
        <f>IF(VLOOKUP(TableRBRanks3141[[#This Row],[RK]],'Ranks w Proj'!$P:$AB,13,FALSE)&lt;0,0,VLOOKUP(TableRBRanks3141[[#This Row],[RK]],'Ranks w Proj'!$P:$AB,13,FALSE))</f>
        <v>0</v>
      </c>
      <c r="AD72">
        <v>71</v>
      </c>
      <c r="AE72" t="str">
        <f>VLOOKUP(TableWRRanks3242[[#This Row],[RK]],Rankings!A:T,13,FALSE)</f>
        <v>DeVante Parker</v>
      </c>
      <c r="AF72" t="str">
        <f>IFERROR(INDEX(TableWRCalcPts[TM],MATCH(TableWRRanks3242[[#This Row],[Player]],TableWRCalcPts[PLAYER],0)),"")</f>
        <v>NE</v>
      </c>
      <c r="AG72">
        <f>IFERROR(INDEX(TableWRCalcPts[BYE],MATCH(TableWRRanks3242[[#This Row],[Player]],TableWRCalcPts[PLAYER],0)),"")</f>
        <v>11</v>
      </c>
      <c r="AH72" s="86">
        <f>VLOOKUP(TableWRRanks3242[[#This Row],[Player]],WR!B:O,4,FALSE)</f>
        <v>0</v>
      </c>
      <c r="AI72" s="86">
        <f>VLOOKUP(TableWRRanks3242[[#This Row],[Player]],WR!B:O,5,FALSE)</f>
        <v>0</v>
      </c>
      <c r="AJ72" s="86">
        <f>VLOOKUP(TableWRRanks3242[[#This Row],[Player]],WR!B:O,6,FALSE)</f>
        <v>77.815202639999981</v>
      </c>
      <c r="AK72" s="86">
        <f>VLOOKUP(TableWRRanks3242[[#This Row],[Player]],WR!B:O,7,FALSE)</f>
        <v>48.899113266978127</v>
      </c>
      <c r="AL72" s="86">
        <f>VLOOKUP(TableWRRanks3242[[#This Row],[Player]],WR!B:O,8,FALSE)</f>
        <v>640.57838379741349</v>
      </c>
      <c r="AM72" s="86">
        <f>VLOOKUP(TableWRRanks3242[[#This Row],[Player]],WR!B:O,9,FALSE)</f>
        <v>3.9119290613582502</v>
      </c>
      <c r="AN72" s="58">
        <f>VLOOKUP(TableWRRanks3242[[#This Row],[Player]],WR!B:O,13,FALSE)</f>
        <v>111.97896938137993</v>
      </c>
      <c r="AO72" s="133">
        <f>IF(VLOOKUP(TableWRRanks3242[[#This Row],[RK]],'Ranks w Proj'!AD:AO,12,FALSE)&lt;0,0,VLOOKUP(TableWRRanks3242[[#This Row],[RK]],'Ranks w Proj'!AD:AO,12,FALSE))</f>
        <v>0</v>
      </c>
      <c r="AQ72">
        <v>71</v>
      </c>
      <c r="AR72">
        <f>VLOOKUP(TableTERanks3343[[#This Row],[RK]],Rankings!A:T,18,FALSE)</f>
        <v>0</v>
      </c>
      <c r="AS72" t="str">
        <f>IFERROR(INDEX(TableTECalcPts[TM],MATCH(TableTERanks3343[[#This Row],[Player]],TableTECalcPts[PLAYER],0)),"")</f>
        <v/>
      </c>
      <c r="AT72" t="str">
        <f>IFERROR(INDEX(TableTECalcPts[BYE],MATCH(TableTERanks3343[[#This Row],[Player]],TableTECalcPts[PLAYER],0)),"")</f>
        <v/>
      </c>
      <c r="AU72" s="86">
        <f>VLOOKUP(TableTERanks3343[[#This Row],[Player]],TE!B:O,4,FALSE)</f>
        <v>0</v>
      </c>
      <c r="AV72" s="86">
        <f>VLOOKUP(TableTERanks3343[[#This Row],[Player]],TE!B:O,5,FALSE)</f>
        <v>0</v>
      </c>
      <c r="AW72" s="86">
        <f>VLOOKUP(TableTERanks3343[[#This Row],[Player]],TE!B:O,6,FALSE)</f>
        <v>0</v>
      </c>
      <c r="AX72" s="86">
        <f>VLOOKUP(TableTERanks3343[[#This Row],[Player]],TE!B:O,7,FALSE)</f>
        <v>0</v>
      </c>
      <c r="AY72" s="58">
        <f>VLOOKUP(TableTERanks3343[[#This Row],[Player]],TE!B:O,11,FALSE)</f>
        <v>0</v>
      </c>
      <c r="AZ72" s="133">
        <f>IF(VLOOKUP(TableTERanks3343[[#This Row],[RK]],'Ranks w Proj'!AQ:AZ,10,FALSE)&lt;0,0,VLOOKUP(TableTERanks3343[[#This Row],[RK]],'Ranks w Proj'!AQ:AZ,10,FALSE))</f>
        <v>0</v>
      </c>
    </row>
    <row r="73" spans="1:52" x14ac:dyDescent="0.2">
      <c r="A73">
        <v>72</v>
      </c>
      <c r="B73">
        <f>VLOOKUP(TableQBRanks3040[[#This Row],[RK]],Rankings!A:T,3,FALSE)</f>
        <v>0</v>
      </c>
      <c r="C73" t="str">
        <f>IFERROR(INDEX(TableQBCalcPts[TM],MATCH(TableQBRanks3040[[#This Row],[Player]],TableQBCalcPts[PLAYER],0)),"")</f>
        <v/>
      </c>
      <c r="D73" t="str">
        <f>IFERROR(INDEX(TableQBCalcPts[BYE],MATCH(TableQBRanks3040[[#This Row],[Player]],TableQBCalcPts[PLAYER],0)),"")</f>
        <v/>
      </c>
      <c r="E73" s="86">
        <f>VLOOKUP(TableQBRanks3040[[#This Row],[Player]],QB!B:O,4,FALSE)</f>
        <v>30.022649999999999</v>
      </c>
      <c r="F73" s="86">
        <f>VLOOKUP(TableQBRanks3040[[#This Row],[Player]],QB!B:O,5,FALSE)</f>
        <v>18.957690112213761</v>
      </c>
      <c r="G73" s="86">
        <f>VLOOKUP(TableQBRanks3040[[#This Row],[Player]],QB!B:O,6,FALSE)</f>
        <v>203.98474560742008</v>
      </c>
      <c r="H73" s="86">
        <f>VLOOKUP(TableQBRanks3040[[#This Row],[Player]],QB!B:O,7,FALSE)</f>
        <v>1.3858071472028259</v>
      </c>
      <c r="I73" s="86">
        <f>VLOOKUP(TableQBRanks3040[[#This Row],[Player]],QB!B:O,8,FALSE)</f>
        <v>0.74387271583779924</v>
      </c>
      <c r="J73" s="86">
        <f>VLOOKUP(TableQBRanks3040[[#This Row],[Player]],QB!B:O,9,FALSE)</f>
        <v>2.2468803000000004</v>
      </c>
      <c r="K73" s="86">
        <f>VLOOKUP(TableQBRanks3040[[#This Row],[Player]],QB!B:O,10,FALSE)</f>
        <v>6.5114942493224293</v>
      </c>
      <c r="L73" s="86">
        <f>VLOOKUP(TableQBRanks3040[[#This Row],[Player]],QB!B:O,11,FALSE)</f>
        <v>4.1573164207364309E-2</v>
      </c>
      <c r="M73" s="58">
        <f>VLOOKUP(TableQBRanks3040[[#This Row],[Player]],QB!B:O,13,FALSE)</f>
        <v>13.859334107446738</v>
      </c>
      <c r="N73" s="133" t="e">
        <f>IF(VLOOKUP(TableQBRanks3040[[#This Row],[RK]],'Ranks w Proj'!$A:$N,14,FALSE)&lt;0,0,VLOOKUP(TableQBRanks3040[[#This Row],[RK]],'Ranks w Proj'!$A:$N,14,FALSE))</f>
        <v>#VALUE!</v>
      </c>
      <c r="P73">
        <v>72</v>
      </c>
      <c r="Q73" t="str">
        <f>VLOOKUP(TableRBRanks3141[[#This Row],[RK]],Rankings!A:T,8,FALSE)</f>
        <v>Jerome Ford</v>
      </c>
      <c r="R73" t="str">
        <f>IFERROR(INDEX(TableRBCalcPts[TM],MATCH(TableRBRanks3141[[#This Row],[Player]],TableRBCalcPts[PLAYER],0)),"")</f>
        <v>CLE</v>
      </c>
      <c r="S73">
        <f>IFERROR(INDEX(TableRBCalcPts[BYE],MATCH(TableRBRanks3141[[#This Row],[Player]],TableRBCalcPts[PLAYER],0)),"")</f>
        <v>5</v>
      </c>
      <c r="T73" s="86">
        <f>VLOOKUP(TableRBRanks3141[[#This Row],[Player]],RB!B:O,4,FALSE)</f>
        <v>55.019777399999995</v>
      </c>
      <c r="U73" s="86">
        <f>VLOOKUP(TableRBRanks3141[[#This Row],[Player]],RB!B:O,5,FALSE)</f>
        <v>234.28026901148419</v>
      </c>
      <c r="V73" s="86">
        <f>VLOOKUP(TableRBRanks3141[[#This Row],[Player]],RB!B:O,6,FALSE)</f>
        <v>2.2007910959999997</v>
      </c>
      <c r="W73" s="86">
        <f>VLOOKUP(TableRBRanks3141[[#This Row],[Player]],RB!B:O,7,FALSE)</f>
        <v>16.6157334</v>
      </c>
      <c r="X73" s="86">
        <f>VLOOKUP(TableRBRanks3141[[#This Row],[Player]],RB!B:O,8,FALSE)</f>
        <v>11.914477502714831</v>
      </c>
      <c r="Y73" s="86">
        <f>VLOOKUP(TableRBRanks3141[[#This Row],[Player]],RB!B:O,9,FALSE)</f>
        <v>92.932924521175678</v>
      </c>
      <c r="Z73" s="86">
        <f>VLOOKUP(TableRBRanks3141[[#This Row],[Player]],RB!B:O,10,FALSE)</f>
        <v>0.63146730764388603</v>
      </c>
      <c r="AA73" s="58">
        <f>VLOOKUP(TableRBRanks3141[[#This Row],[Player]],RB!B:O,14,FALSE)</f>
        <v>55.672108526486717</v>
      </c>
      <c r="AB73" s="133">
        <f>IF(VLOOKUP(TableRBRanks3141[[#This Row],[RK]],'Ranks w Proj'!$P:$AB,13,FALSE)&lt;0,0,VLOOKUP(TableRBRanks3141[[#This Row],[RK]],'Ranks w Proj'!$P:$AB,13,FALSE))</f>
        <v>0</v>
      </c>
      <c r="AD73">
        <v>72</v>
      </c>
      <c r="AE73" t="str">
        <f>VLOOKUP(TableWRRanks3242[[#This Row],[RK]],Rankings!A:T,13,FALSE)</f>
        <v>Darnell Mooney</v>
      </c>
      <c r="AF73" t="str">
        <f>IFERROR(INDEX(TableWRCalcPts[TM],MATCH(TableWRRanks3242[[#This Row],[Player]],TableWRCalcPts[PLAYER],0)),"")</f>
        <v>CHI</v>
      </c>
      <c r="AG73">
        <f>IFERROR(INDEX(TableWRCalcPts[BYE],MATCH(TableWRRanks3242[[#This Row],[Player]],TableWRCalcPts[PLAYER],0)),"")</f>
        <v>13</v>
      </c>
      <c r="AH73" s="86">
        <f>VLOOKUP(TableWRRanks3242[[#This Row],[Player]],WR!B:O,4,FALSE)</f>
        <v>0</v>
      </c>
      <c r="AI73" s="86">
        <f>VLOOKUP(TableWRRanks3242[[#This Row],[Player]],WR!B:O,5,FALSE)</f>
        <v>0</v>
      </c>
      <c r="AJ73" s="86">
        <f>VLOOKUP(TableWRRanks3242[[#This Row],[Player]],WR!B:O,6,FALSE)</f>
        <v>63.334514879999993</v>
      </c>
      <c r="AK73" s="86">
        <f>VLOOKUP(TableWRRanks3242[[#This Row],[Player]],WR!B:O,7,FALSE)</f>
        <v>38.887392136319995</v>
      </c>
      <c r="AL73" s="86">
        <f>VLOOKUP(TableWRRanks3242[[#This Row],[Player]],WR!B:O,8,FALSE)</f>
        <v>520.6477647242175</v>
      </c>
      <c r="AM73" s="86">
        <f>VLOOKUP(TableWRRanks3242[[#This Row],[Player]],WR!B:O,9,FALSE)</f>
        <v>4.083176174313599</v>
      </c>
      <c r="AN73" s="58">
        <f>VLOOKUP(TableWRRanks3242[[#This Row],[Player]],WR!B:O,13,FALSE)</f>
        <v>96.007529586463335</v>
      </c>
      <c r="AO73" s="133">
        <f>IF(VLOOKUP(TableWRRanks3242[[#This Row],[RK]],'Ranks w Proj'!AD:AO,12,FALSE)&lt;0,0,VLOOKUP(TableWRRanks3242[[#This Row],[RK]],'Ranks w Proj'!AD:AO,12,FALSE))</f>
        <v>0</v>
      </c>
      <c r="AQ73">
        <v>72</v>
      </c>
      <c r="AR73">
        <f>VLOOKUP(TableTERanks3343[[#This Row],[RK]],Rankings!A:T,18,FALSE)</f>
        <v>0</v>
      </c>
      <c r="AS73" t="str">
        <f>IFERROR(INDEX(TableTECalcPts[TM],MATCH(TableTERanks3343[[#This Row],[Player]],TableTECalcPts[PLAYER],0)),"")</f>
        <v/>
      </c>
      <c r="AT73" t="str">
        <f>IFERROR(INDEX(TableTECalcPts[BYE],MATCH(TableTERanks3343[[#This Row],[Player]],TableTECalcPts[PLAYER],0)),"")</f>
        <v/>
      </c>
      <c r="AU73" s="86">
        <f>VLOOKUP(TableTERanks3343[[#This Row],[Player]],TE!B:O,4,FALSE)</f>
        <v>0</v>
      </c>
      <c r="AV73" s="86">
        <f>VLOOKUP(TableTERanks3343[[#This Row],[Player]],TE!B:O,5,FALSE)</f>
        <v>0</v>
      </c>
      <c r="AW73" s="86">
        <f>VLOOKUP(TableTERanks3343[[#This Row],[Player]],TE!B:O,6,FALSE)</f>
        <v>0</v>
      </c>
      <c r="AX73" s="86">
        <f>VLOOKUP(TableTERanks3343[[#This Row],[Player]],TE!B:O,7,FALSE)</f>
        <v>0</v>
      </c>
      <c r="AY73" s="58">
        <f>VLOOKUP(TableTERanks3343[[#This Row],[Player]],TE!B:O,11,FALSE)</f>
        <v>0</v>
      </c>
      <c r="AZ73" s="133">
        <f>IF(VLOOKUP(TableTERanks3343[[#This Row],[RK]],'Ranks w Proj'!AQ:AZ,10,FALSE)&lt;0,0,VLOOKUP(TableTERanks3343[[#This Row],[RK]],'Ranks w Proj'!AQ:AZ,10,FALSE))</f>
        <v>0</v>
      </c>
    </row>
    <row r="74" spans="1:52" x14ac:dyDescent="0.2">
      <c r="A74">
        <v>73</v>
      </c>
      <c r="B74">
        <f>VLOOKUP(TableQBRanks3040[[#This Row],[RK]],Rankings!A:T,3,FALSE)</f>
        <v>0</v>
      </c>
      <c r="C74" t="str">
        <f>IFERROR(INDEX(TableQBCalcPts[TM],MATCH(TableQBRanks3040[[#This Row],[Player]],TableQBCalcPts[PLAYER],0)),"")</f>
        <v/>
      </c>
      <c r="D74" t="str">
        <f>IFERROR(INDEX(TableQBCalcPts[BYE],MATCH(TableQBRanks3040[[#This Row],[Player]],TableQBCalcPts[PLAYER],0)),"")</f>
        <v/>
      </c>
      <c r="E74" s="86">
        <f>VLOOKUP(TableQBRanks3040[[#This Row],[Player]],QB!B:O,4,FALSE)</f>
        <v>30.022649999999999</v>
      </c>
      <c r="F74" s="86">
        <f>VLOOKUP(TableQBRanks3040[[#This Row],[Player]],QB!B:O,5,FALSE)</f>
        <v>18.957690112213761</v>
      </c>
      <c r="G74" s="86">
        <f>VLOOKUP(TableQBRanks3040[[#This Row],[Player]],QB!B:O,6,FALSE)</f>
        <v>203.98474560742008</v>
      </c>
      <c r="H74" s="86">
        <f>VLOOKUP(TableQBRanks3040[[#This Row],[Player]],QB!B:O,7,FALSE)</f>
        <v>1.3858071472028259</v>
      </c>
      <c r="I74" s="86">
        <f>VLOOKUP(TableQBRanks3040[[#This Row],[Player]],QB!B:O,8,FALSE)</f>
        <v>0.74387271583779924</v>
      </c>
      <c r="J74" s="86">
        <f>VLOOKUP(TableQBRanks3040[[#This Row],[Player]],QB!B:O,9,FALSE)</f>
        <v>2.2468803000000004</v>
      </c>
      <c r="K74" s="86">
        <f>VLOOKUP(TableQBRanks3040[[#This Row],[Player]],QB!B:O,10,FALSE)</f>
        <v>6.5114942493224293</v>
      </c>
      <c r="L74" s="86">
        <f>VLOOKUP(TableQBRanks3040[[#This Row],[Player]],QB!B:O,11,FALSE)</f>
        <v>4.1573164207364309E-2</v>
      </c>
      <c r="M74" s="58">
        <f>VLOOKUP(TableQBRanks3040[[#This Row],[Player]],QB!B:O,13,FALSE)</f>
        <v>13.859334107446738</v>
      </c>
      <c r="N74" s="133" t="e">
        <f>IF(VLOOKUP(TableQBRanks3040[[#This Row],[RK]],'Ranks w Proj'!$A:$N,14,FALSE)&lt;0,0,VLOOKUP(TableQBRanks3040[[#This Row],[RK]],'Ranks w Proj'!$A:$N,14,FALSE))</f>
        <v>#VALUE!</v>
      </c>
      <c r="P74">
        <v>73</v>
      </c>
      <c r="Q74" t="str">
        <f>VLOOKUP(TableRBRanks3141[[#This Row],[RK]],Rankings!A:T,8,FALSE)</f>
        <v>Chase Edmonds</v>
      </c>
      <c r="R74" t="str">
        <f>IFERROR(INDEX(TableRBCalcPts[TM],MATCH(TableRBRanks3141[[#This Row],[Player]],TableRBCalcPts[PLAYER],0)),"")</f>
        <v>TB</v>
      </c>
      <c r="S74">
        <f>IFERROR(INDEX(TableRBCalcPts[BYE],MATCH(TableRBRanks3141[[#This Row],[Player]],TableRBCalcPts[PLAYER],0)),"")</f>
        <v>5</v>
      </c>
      <c r="T74" s="86">
        <f>VLOOKUP(TableRBRanks3141[[#This Row],[Player]],RB!B:O,4,FALSE)</f>
        <v>54.831893760000007</v>
      </c>
      <c r="U74" s="86">
        <f>VLOOKUP(TableRBRanks3141[[#This Row],[Player]],RB!B:O,5,FALSE)</f>
        <v>224.48987733141544</v>
      </c>
      <c r="V74" s="86">
        <f>VLOOKUP(TableRBRanks3141[[#This Row],[Player]],RB!B:O,6,FALSE)</f>
        <v>1.4804611315200003</v>
      </c>
      <c r="W74" s="86">
        <f>VLOOKUP(TableRBRanks3141[[#This Row],[Player]],RB!B:O,7,FALSE)</f>
        <v>19.560329599999999</v>
      </c>
      <c r="X74" s="86">
        <f>VLOOKUP(TableRBRanks3141[[#This Row],[Player]],RB!B:O,8,FALSE)</f>
        <v>14.200799289599999</v>
      </c>
      <c r="Y74" s="86">
        <f>VLOOKUP(TableRBRanks3141[[#This Row],[Player]],RB!B:O,9,FALSE)</f>
        <v>100.82567495615999</v>
      </c>
      <c r="Z74" s="86">
        <f>VLOOKUP(TableRBRanks3141[[#This Row],[Player]],RB!B:O,10,FALSE)</f>
        <v>0.59643357016319998</v>
      </c>
      <c r="AA74" s="58">
        <f>VLOOKUP(TableRBRanks3141[[#This Row],[Player]],RB!B:O,14,FALSE)</f>
        <v>52.093323083656742</v>
      </c>
      <c r="AB74" s="133">
        <f>IF(VLOOKUP(TableRBRanks3141[[#This Row],[RK]],'Ranks w Proj'!$P:$AB,13,FALSE)&lt;0,0,VLOOKUP(TableRBRanks3141[[#This Row],[RK]],'Ranks w Proj'!$P:$AB,13,FALSE))</f>
        <v>0</v>
      </c>
      <c r="AD74">
        <v>73</v>
      </c>
      <c r="AE74" t="str">
        <f>VLOOKUP(TableWRRanks3242[[#This Row],[RK]],Rankings!A:T,13,FALSE)</f>
        <v>Parris Campbell</v>
      </c>
      <c r="AF74" t="str">
        <f>IFERROR(INDEX(TableWRCalcPts[TM],MATCH(TableWRRanks3242[[#This Row],[Player]],TableWRCalcPts[PLAYER],0)),"")</f>
        <v>NYG</v>
      </c>
      <c r="AG74">
        <f>IFERROR(INDEX(TableWRCalcPts[BYE],MATCH(TableWRRanks3242[[#This Row],[Player]],TableWRCalcPts[PLAYER],0)),"")</f>
        <v>13</v>
      </c>
      <c r="AH74" s="86">
        <f>VLOOKUP(TableWRRanks3242[[#This Row],[Player]],WR!B:O,4,FALSE)</f>
        <v>0</v>
      </c>
      <c r="AI74" s="86">
        <f>VLOOKUP(TableWRRanks3242[[#This Row],[Player]],WR!B:O,5,FALSE)</f>
        <v>0</v>
      </c>
      <c r="AJ74" s="86">
        <f>VLOOKUP(TableWRRanks3242[[#This Row],[Player]],WR!B:O,6,FALSE)</f>
        <v>74.542619060000007</v>
      </c>
      <c r="AK74" s="86">
        <f>VLOOKUP(TableWRRanks3242[[#This Row],[Player]],WR!B:O,7,FALSE)</f>
        <v>46.562496725323363</v>
      </c>
      <c r="AL74" s="86">
        <f>VLOOKUP(TableWRRanks3242[[#This Row],[Player]],WR!B:O,8,FALSE)</f>
        <v>502.87496463349237</v>
      </c>
      <c r="AM74" s="86">
        <f>VLOOKUP(TableWRRanks3242[[#This Row],[Player]],WR!B:O,9,FALSE)</f>
        <v>2.3281248362661682</v>
      </c>
      <c r="AN74" s="58">
        <f>VLOOKUP(TableWRRanks3242[[#This Row],[Player]],WR!B:O,13,FALSE)</f>
        <v>87.537493843607933</v>
      </c>
      <c r="AO74" s="133">
        <f>IF(VLOOKUP(TableWRRanks3242[[#This Row],[RK]],'Ranks w Proj'!AD:AO,12,FALSE)&lt;0,0,VLOOKUP(TableWRRanks3242[[#This Row],[RK]],'Ranks w Proj'!AD:AO,12,FALSE))</f>
        <v>0</v>
      </c>
      <c r="AQ74">
        <v>73</v>
      </c>
      <c r="AR74">
        <f>VLOOKUP(TableTERanks3343[[#This Row],[RK]],Rankings!A:T,18,FALSE)</f>
        <v>0</v>
      </c>
      <c r="AS74" t="str">
        <f>IFERROR(INDEX(TableTECalcPts[TM],MATCH(TableTERanks3343[[#This Row],[Player]],TableTECalcPts[PLAYER],0)),"")</f>
        <v/>
      </c>
      <c r="AT74" t="str">
        <f>IFERROR(INDEX(TableTECalcPts[BYE],MATCH(TableTERanks3343[[#This Row],[Player]],TableTECalcPts[PLAYER],0)),"")</f>
        <v/>
      </c>
      <c r="AU74" s="86">
        <f>VLOOKUP(TableTERanks3343[[#This Row],[Player]],TE!B:O,4,FALSE)</f>
        <v>0</v>
      </c>
      <c r="AV74" s="86">
        <f>VLOOKUP(TableTERanks3343[[#This Row],[Player]],TE!B:O,5,FALSE)</f>
        <v>0</v>
      </c>
      <c r="AW74" s="86">
        <f>VLOOKUP(TableTERanks3343[[#This Row],[Player]],TE!B:O,6,FALSE)</f>
        <v>0</v>
      </c>
      <c r="AX74" s="86">
        <f>VLOOKUP(TableTERanks3343[[#This Row],[Player]],TE!B:O,7,FALSE)</f>
        <v>0</v>
      </c>
      <c r="AY74" s="58">
        <f>VLOOKUP(TableTERanks3343[[#This Row],[Player]],TE!B:O,11,FALSE)</f>
        <v>0</v>
      </c>
      <c r="AZ74" s="133">
        <f>IF(VLOOKUP(TableTERanks3343[[#This Row],[RK]],'Ranks w Proj'!AQ:AZ,10,FALSE)&lt;0,0,VLOOKUP(TableTERanks3343[[#This Row],[RK]],'Ranks w Proj'!AQ:AZ,10,FALSE))</f>
        <v>0</v>
      </c>
    </row>
    <row r="75" spans="1:52" x14ac:dyDescent="0.2">
      <c r="A75">
        <v>74</v>
      </c>
      <c r="B75">
        <f>VLOOKUP(TableQBRanks3040[[#This Row],[RK]],Rankings!A:T,3,FALSE)</f>
        <v>0</v>
      </c>
      <c r="C75" t="str">
        <f>IFERROR(INDEX(TableQBCalcPts[TM],MATCH(TableQBRanks3040[[#This Row],[Player]],TableQBCalcPts[PLAYER],0)),"")</f>
        <v/>
      </c>
      <c r="D75" t="str">
        <f>IFERROR(INDEX(TableQBCalcPts[BYE],MATCH(TableQBRanks3040[[#This Row],[Player]],TableQBCalcPts[PLAYER],0)),"")</f>
        <v/>
      </c>
      <c r="E75" s="86">
        <f>VLOOKUP(TableQBRanks3040[[#This Row],[Player]],QB!B:O,4,FALSE)</f>
        <v>30.022649999999999</v>
      </c>
      <c r="F75" s="86">
        <f>VLOOKUP(TableQBRanks3040[[#This Row],[Player]],QB!B:O,5,FALSE)</f>
        <v>18.957690112213761</v>
      </c>
      <c r="G75" s="86">
        <f>VLOOKUP(TableQBRanks3040[[#This Row],[Player]],QB!B:O,6,FALSE)</f>
        <v>203.98474560742008</v>
      </c>
      <c r="H75" s="86">
        <f>VLOOKUP(TableQBRanks3040[[#This Row],[Player]],QB!B:O,7,FALSE)</f>
        <v>1.3858071472028259</v>
      </c>
      <c r="I75" s="86">
        <f>VLOOKUP(TableQBRanks3040[[#This Row],[Player]],QB!B:O,8,FALSE)</f>
        <v>0.74387271583779924</v>
      </c>
      <c r="J75" s="86">
        <f>VLOOKUP(TableQBRanks3040[[#This Row],[Player]],QB!B:O,9,FALSE)</f>
        <v>2.2468803000000004</v>
      </c>
      <c r="K75" s="86">
        <f>VLOOKUP(TableQBRanks3040[[#This Row],[Player]],QB!B:O,10,FALSE)</f>
        <v>6.5114942493224293</v>
      </c>
      <c r="L75" s="86">
        <f>VLOOKUP(TableQBRanks3040[[#This Row],[Player]],QB!B:O,11,FALSE)</f>
        <v>4.1573164207364309E-2</v>
      </c>
      <c r="M75" s="58">
        <f>VLOOKUP(TableQBRanks3040[[#This Row],[Player]],QB!B:O,13,FALSE)</f>
        <v>13.859334107446738</v>
      </c>
      <c r="N75" s="133" t="e">
        <f>IF(VLOOKUP(TableQBRanks3040[[#This Row],[RK]],'Ranks w Proj'!$A:$N,14,FALSE)&lt;0,0,VLOOKUP(TableQBRanks3040[[#This Row],[RK]],'Ranks w Proj'!$A:$N,14,FALSE))</f>
        <v>#VALUE!</v>
      </c>
      <c r="P75">
        <v>74</v>
      </c>
      <c r="Q75" t="str">
        <f>VLOOKUP(TableRBRanks3141[[#This Row],[RK]],Rankings!A:T,8,FALSE)</f>
        <v>Sean Tucker</v>
      </c>
      <c r="R75" t="str">
        <f>IFERROR(INDEX(TableRBCalcPts[TM],MATCH(TableRBRanks3141[[#This Row],[Player]],TableRBCalcPts[PLAYER],0)),"")</f>
        <v>TB</v>
      </c>
      <c r="S75">
        <f>IFERROR(INDEX(TableRBCalcPts[BYE],MATCH(TableRBRanks3141[[#This Row],[Player]],TableRBCalcPts[PLAYER],0)),"")</f>
        <v>5</v>
      </c>
      <c r="T75" s="86">
        <f>VLOOKUP(TableRBRanks3141[[#This Row],[Player]],RB!B:O,4,FALSE)</f>
        <v>76.934672640000002</v>
      </c>
      <c r="U75" s="86">
        <f>VLOOKUP(TableRBRanks3141[[#This Row],[Player]],RB!B:O,5,FALSE)</f>
        <v>321.21355355766678</v>
      </c>
      <c r="V75" s="86">
        <f>VLOOKUP(TableRBRanks3141[[#This Row],[Player]],RB!B:O,6,FALSE)</f>
        <v>2.2311055065600001</v>
      </c>
      <c r="W75" s="86">
        <f>VLOOKUP(TableRBRanks3141[[#This Row],[Player]],RB!B:O,7,FALSE)</f>
        <v>23.472395519999999</v>
      </c>
      <c r="X75" s="86">
        <f>VLOOKUP(TableRBRanks3141[[#This Row],[Player]],RB!B:O,8,FALSE)</f>
        <v>18.151608966930063</v>
      </c>
      <c r="Y75" s="86">
        <f>VLOOKUP(TableRBRanks3141[[#This Row],[Player]],RB!B:O,9,FALSE)</f>
        <v>127.78732712718764</v>
      </c>
      <c r="Z75" s="86">
        <f>VLOOKUP(TableRBRanks3141[[#This Row],[Player]],RB!B:O,10,FALSE)</f>
        <v>0.65345792280948223</v>
      </c>
      <c r="AA75" s="58">
        <f>VLOOKUP(TableRBRanks3141[[#This Row],[Player]],RB!B:O,14,FALSE)</f>
        <v>71.283273128167366</v>
      </c>
      <c r="AB75" s="133">
        <f>IF(VLOOKUP(TableRBRanks3141[[#This Row],[RK]],'Ranks w Proj'!$P:$AB,13,FALSE)&lt;0,0,VLOOKUP(TableRBRanks3141[[#This Row],[RK]],'Ranks w Proj'!$P:$AB,13,FALSE))</f>
        <v>0</v>
      </c>
      <c r="AD75">
        <v>74</v>
      </c>
      <c r="AE75" t="str">
        <f>VLOOKUP(TableWRRanks3242[[#This Row],[RK]],Rankings!A:T,13,FALSE)</f>
        <v>Jameson Williams</v>
      </c>
      <c r="AF75" t="str">
        <f>IFERROR(INDEX(TableWRCalcPts[TM],MATCH(TableWRRanks3242[[#This Row],[Player]],TableWRCalcPts[PLAYER],0)),"")</f>
        <v>DET</v>
      </c>
      <c r="AG75">
        <f>IFERROR(INDEX(TableWRCalcPts[BYE],MATCH(TableWRRanks3242[[#This Row],[Player]],TableWRCalcPts[PLAYER],0)),"")</f>
        <v>9</v>
      </c>
      <c r="AH75" s="86">
        <f>VLOOKUP(TableWRRanks3242[[#This Row],[Player]],WR!B:O,4,FALSE)</f>
        <v>0</v>
      </c>
      <c r="AI75" s="86">
        <f>VLOOKUP(TableWRRanks3242[[#This Row],[Player]],WR!B:O,5,FALSE)</f>
        <v>0</v>
      </c>
      <c r="AJ75" s="86">
        <f>VLOOKUP(TableWRRanks3242[[#This Row],[Player]],WR!B:O,6,FALSE)</f>
        <v>68.225961439999992</v>
      </c>
      <c r="AK75" s="86">
        <f>VLOOKUP(TableWRRanks3242[[#This Row],[Player]],WR!B:O,7,FALSE)</f>
        <v>40.006012500397624</v>
      </c>
      <c r="AL75" s="86">
        <f>VLOOKUP(TableWRRanks3242[[#This Row],[Player]],WR!B:O,8,FALSE)</f>
        <v>560.48423513057071</v>
      </c>
      <c r="AM75" s="86">
        <f>VLOOKUP(TableWRRanks3242[[#This Row],[Player]],WR!B:O,9,FALSE)</f>
        <v>3.4805230875345932</v>
      </c>
      <c r="AN75" s="58">
        <f>VLOOKUP(TableWRRanks3242[[#This Row],[Player]],WR!B:O,13,FALSE)</f>
        <v>96.934568288463439</v>
      </c>
      <c r="AO75" s="133">
        <f>IF(VLOOKUP(TableWRRanks3242[[#This Row],[RK]],'Ranks w Proj'!AD:AO,12,FALSE)&lt;0,0,VLOOKUP(TableWRRanks3242[[#This Row],[RK]],'Ranks w Proj'!AD:AO,12,FALSE))</f>
        <v>0</v>
      </c>
      <c r="AQ75">
        <v>74</v>
      </c>
      <c r="AR75">
        <f>VLOOKUP(TableTERanks3343[[#This Row],[RK]],Rankings!A:T,18,FALSE)</f>
        <v>0</v>
      </c>
      <c r="AS75" t="str">
        <f>IFERROR(INDEX(TableTECalcPts[TM],MATCH(TableTERanks3343[[#This Row],[Player]],TableTECalcPts[PLAYER],0)),"")</f>
        <v/>
      </c>
      <c r="AT75" t="str">
        <f>IFERROR(INDEX(TableTECalcPts[BYE],MATCH(TableTERanks3343[[#This Row],[Player]],TableTECalcPts[PLAYER],0)),"")</f>
        <v/>
      </c>
      <c r="AU75" s="86">
        <f>VLOOKUP(TableTERanks3343[[#This Row],[Player]],TE!B:O,4,FALSE)</f>
        <v>0</v>
      </c>
      <c r="AV75" s="86">
        <f>VLOOKUP(TableTERanks3343[[#This Row],[Player]],TE!B:O,5,FALSE)</f>
        <v>0</v>
      </c>
      <c r="AW75" s="86">
        <f>VLOOKUP(TableTERanks3343[[#This Row],[Player]],TE!B:O,6,FALSE)</f>
        <v>0</v>
      </c>
      <c r="AX75" s="86">
        <f>VLOOKUP(TableTERanks3343[[#This Row],[Player]],TE!B:O,7,FALSE)</f>
        <v>0</v>
      </c>
      <c r="AY75" s="58">
        <f>VLOOKUP(TableTERanks3343[[#This Row],[Player]],TE!B:O,11,FALSE)</f>
        <v>0</v>
      </c>
      <c r="AZ75" s="133">
        <f>IF(VLOOKUP(TableTERanks3343[[#This Row],[RK]],'Ranks w Proj'!AQ:AZ,10,FALSE)&lt;0,0,VLOOKUP(TableTERanks3343[[#This Row],[RK]],'Ranks w Proj'!AQ:AZ,10,FALSE))</f>
        <v>0</v>
      </c>
    </row>
    <row r="76" spans="1:52" x14ac:dyDescent="0.2">
      <c r="A76">
        <v>75</v>
      </c>
      <c r="B76">
        <f>VLOOKUP(TableQBRanks3040[[#This Row],[RK]],Rankings!A:T,3,FALSE)</f>
        <v>0</v>
      </c>
      <c r="C76" t="str">
        <f>IFERROR(INDEX(TableQBCalcPts[TM],MATCH(TableQBRanks3040[[#This Row],[Player]],TableQBCalcPts[PLAYER],0)),"")</f>
        <v/>
      </c>
      <c r="D76" t="str">
        <f>IFERROR(INDEX(TableQBCalcPts[BYE],MATCH(TableQBRanks3040[[#This Row],[Player]],TableQBCalcPts[PLAYER],0)),"")</f>
        <v/>
      </c>
      <c r="E76" s="86">
        <f>VLOOKUP(TableQBRanks3040[[#This Row],[Player]],QB!B:O,4,FALSE)</f>
        <v>30.022649999999999</v>
      </c>
      <c r="F76" s="86">
        <f>VLOOKUP(TableQBRanks3040[[#This Row],[Player]],QB!B:O,5,FALSE)</f>
        <v>18.957690112213761</v>
      </c>
      <c r="G76" s="86">
        <f>VLOOKUP(TableQBRanks3040[[#This Row],[Player]],QB!B:O,6,FALSE)</f>
        <v>203.98474560742008</v>
      </c>
      <c r="H76" s="86">
        <f>VLOOKUP(TableQBRanks3040[[#This Row],[Player]],QB!B:O,7,FALSE)</f>
        <v>1.3858071472028259</v>
      </c>
      <c r="I76" s="86">
        <f>VLOOKUP(TableQBRanks3040[[#This Row],[Player]],QB!B:O,8,FALSE)</f>
        <v>0.74387271583779924</v>
      </c>
      <c r="J76" s="86">
        <f>VLOOKUP(TableQBRanks3040[[#This Row],[Player]],QB!B:O,9,FALSE)</f>
        <v>2.2468803000000004</v>
      </c>
      <c r="K76" s="86">
        <f>VLOOKUP(TableQBRanks3040[[#This Row],[Player]],QB!B:O,10,FALSE)</f>
        <v>6.5114942493224293</v>
      </c>
      <c r="L76" s="86">
        <f>VLOOKUP(TableQBRanks3040[[#This Row],[Player]],QB!B:O,11,FALSE)</f>
        <v>4.1573164207364309E-2</v>
      </c>
      <c r="M76" s="58">
        <f>VLOOKUP(TableQBRanks3040[[#This Row],[Player]],QB!B:O,13,FALSE)</f>
        <v>13.859334107446738</v>
      </c>
      <c r="N76" s="133" t="e">
        <f>IF(VLOOKUP(TableQBRanks3040[[#This Row],[RK]],'Ranks w Proj'!$A:$N,14,FALSE)&lt;0,0,VLOOKUP(TableQBRanks3040[[#This Row],[RK]],'Ranks w Proj'!$A:$N,14,FALSE))</f>
        <v>#VALUE!</v>
      </c>
      <c r="P76">
        <v>75</v>
      </c>
      <c r="Q76" t="str">
        <f>VLOOKUP(TableRBRanks3141[[#This Row],[RK]],Rankings!A:T,8,FALSE)</f>
        <v>Kendre Miller</v>
      </c>
      <c r="R76" t="str">
        <f>IFERROR(INDEX(TableRBCalcPts[TM],MATCH(TableRBRanks3141[[#This Row],[Player]],TableRBCalcPts[PLAYER],0)),"")</f>
        <v>NO</v>
      </c>
      <c r="S76">
        <f>IFERROR(INDEX(TableRBCalcPts[BYE],MATCH(TableRBRanks3141[[#This Row],[Player]],TableRBCalcPts[PLAYER],0)),"")</f>
        <v>11</v>
      </c>
      <c r="T76" s="86">
        <f>VLOOKUP(TableRBRanks3141[[#This Row],[Player]],RB!B:O,4,FALSE)</f>
        <v>46.734396799999992</v>
      </c>
      <c r="U76" s="86">
        <f>VLOOKUP(TableRBRanks3141[[#This Row],[Player]],RB!B:O,5,FALSE)</f>
        <v>200.10175478939502</v>
      </c>
      <c r="V76" s="86">
        <f>VLOOKUP(TableRBRanks3141[[#This Row],[Player]],RB!B:O,6,FALSE)</f>
        <v>1.7291726815999997</v>
      </c>
      <c r="W76" s="86">
        <f>VLOOKUP(TableRBRanks3141[[#This Row],[Player]],RB!B:O,7,FALSE)</f>
        <v>16.250754155999999</v>
      </c>
      <c r="X76" s="86">
        <f>VLOOKUP(TableRBRanks3141[[#This Row],[Player]],RB!B:O,8,FALSE)</f>
        <v>12.91719083697425</v>
      </c>
      <c r="Y76" s="86">
        <f>VLOOKUP(TableRBRanks3141[[#This Row],[Player]],RB!B:O,9,FALSE)</f>
        <v>94.605998571977992</v>
      </c>
      <c r="Z76" s="86">
        <f>VLOOKUP(TableRBRanks3141[[#This Row],[Player]],RB!B:O,10,FALSE)</f>
        <v>0.41335010678317602</v>
      </c>
      <c r="AA76" s="58">
        <f>VLOOKUP(TableRBRanks3141[[#This Row],[Player]],RB!B:O,14,FALSE)</f>
        <v>48.784507484923481</v>
      </c>
      <c r="AB76" s="133">
        <f>IF(VLOOKUP(TableRBRanks3141[[#This Row],[RK]],'Ranks w Proj'!$P:$AB,13,FALSE)&lt;0,0,VLOOKUP(TableRBRanks3141[[#This Row],[RK]],'Ranks w Proj'!$P:$AB,13,FALSE))</f>
        <v>0</v>
      </c>
      <c r="AD76">
        <v>75</v>
      </c>
      <c r="AE76" t="str">
        <f>VLOOKUP(TableWRRanks3242[[#This Row],[RK]],Rankings!A:T,13,FALSE)</f>
        <v>DJ Chark</v>
      </c>
      <c r="AF76" t="str">
        <f>IFERROR(INDEX(TableWRCalcPts[TM],MATCH(TableWRRanks3242[[#This Row],[Player]],TableWRCalcPts[PLAYER],0)),"")</f>
        <v>CAR</v>
      </c>
      <c r="AG76">
        <f>IFERROR(INDEX(TableWRCalcPts[BYE],MATCH(TableWRRanks3242[[#This Row],[Player]],TableWRCalcPts[PLAYER],0)),"")</f>
        <v>7</v>
      </c>
      <c r="AH76" s="86">
        <f>VLOOKUP(TableWRRanks3242[[#This Row],[Player]],WR!B:O,4,FALSE)</f>
        <v>0</v>
      </c>
      <c r="AI76" s="86">
        <f>VLOOKUP(TableWRRanks3242[[#This Row],[Player]],WR!B:O,5,FALSE)</f>
        <v>0</v>
      </c>
      <c r="AJ76" s="86">
        <f>VLOOKUP(TableWRRanks3242[[#This Row],[Player]],WR!B:O,6,FALSE)</f>
        <v>86.501259179999991</v>
      </c>
      <c r="AK76" s="86">
        <f>VLOOKUP(TableWRRanks3242[[#This Row],[Player]],WR!B:O,7,FALSE)</f>
        <v>47.151009549006233</v>
      </c>
      <c r="AL76" s="86">
        <f>VLOOKUP(TableWRRanks3242[[#This Row],[Player]],WR!B:O,8,FALSE)</f>
        <v>681.33208798314001</v>
      </c>
      <c r="AM76" s="86">
        <f>VLOOKUP(TableWRRanks3242[[#This Row],[Player]],WR!B:O,9,FALSE)</f>
        <v>3.5834767257244735</v>
      </c>
      <c r="AN76" s="58">
        <f>VLOOKUP(TableWRRanks3242[[#This Row],[Player]],WR!B:O,13,FALSE)</f>
        <v>113.20957392716396</v>
      </c>
      <c r="AO76" s="133">
        <f>IF(VLOOKUP(TableWRRanks3242[[#This Row],[RK]],'Ranks w Proj'!AD:AO,12,FALSE)&lt;0,0,VLOOKUP(TableWRRanks3242[[#This Row],[RK]],'Ranks w Proj'!AD:AO,12,FALSE))</f>
        <v>0</v>
      </c>
      <c r="AQ76">
        <v>75</v>
      </c>
      <c r="AR76">
        <f>VLOOKUP(TableTERanks3343[[#This Row],[RK]],Rankings!A:T,18,FALSE)</f>
        <v>0</v>
      </c>
      <c r="AS76" t="str">
        <f>IFERROR(INDEX(TableTECalcPts[TM],MATCH(TableTERanks3343[[#This Row],[Player]],TableTECalcPts[PLAYER],0)),"")</f>
        <v/>
      </c>
      <c r="AT76" t="str">
        <f>IFERROR(INDEX(TableTECalcPts[BYE],MATCH(TableTERanks3343[[#This Row],[Player]],TableTECalcPts[PLAYER],0)),"")</f>
        <v/>
      </c>
      <c r="AU76" s="86">
        <f>VLOOKUP(TableTERanks3343[[#This Row],[Player]],TE!B:O,4,FALSE)</f>
        <v>0</v>
      </c>
      <c r="AV76" s="86">
        <f>VLOOKUP(TableTERanks3343[[#This Row],[Player]],TE!B:O,5,FALSE)</f>
        <v>0</v>
      </c>
      <c r="AW76" s="86">
        <f>VLOOKUP(TableTERanks3343[[#This Row],[Player]],TE!B:O,6,FALSE)</f>
        <v>0</v>
      </c>
      <c r="AX76" s="86">
        <f>VLOOKUP(TableTERanks3343[[#This Row],[Player]],TE!B:O,7,FALSE)</f>
        <v>0</v>
      </c>
      <c r="AY76" s="58">
        <f>VLOOKUP(TableTERanks3343[[#This Row],[Player]],TE!B:O,11,FALSE)</f>
        <v>0</v>
      </c>
      <c r="AZ76" s="133">
        <f>IF(VLOOKUP(TableTERanks3343[[#This Row],[RK]],'Ranks w Proj'!AQ:AZ,10,FALSE)&lt;0,0,VLOOKUP(TableTERanks3343[[#This Row],[RK]],'Ranks w Proj'!AQ:AZ,10,FALSE))</f>
        <v>0</v>
      </c>
    </row>
    <row r="77" spans="1:52" x14ac:dyDescent="0.2">
      <c r="A77">
        <v>76</v>
      </c>
      <c r="B77">
        <f>VLOOKUP(TableQBRanks3040[[#This Row],[RK]],Rankings!A:T,3,FALSE)</f>
        <v>0</v>
      </c>
      <c r="C77" t="str">
        <f>IFERROR(INDEX(TableQBCalcPts[TM],MATCH(TableQBRanks3040[[#This Row],[Player]],TableQBCalcPts[PLAYER],0)),"")</f>
        <v/>
      </c>
      <c r="D77" t="str">
        <f>IFERROR(INDEX(TableQBCalcPts[BYE],MATCH(TableQBRanks3040[[#This Row],[Player]],TableQBCalcPts[PLAYER],0)),"")</f>
        <v/>
      </c>
      <c r="E77" s="86">
        <f>VLOOKUP(TableQBRanks3040[[#This Row],[Player]],QB!B:O,4,FALSE)</f>
        <v>30.022649999999999</v>
      </c>
      <c r="F77" s="86">
        <f>VLOOKUP(TableQBRanks3040[[#This Row],[Player]],QB!B:O,5,FALSE)</f>
        <v>18.957690112213761</v>
      </c>
      <c r="G77" s="86">
        <f>VLOOKUP(TableQBRanks3040[[#This Row],[Player]],QB!B:O,6,FALSE)</f>
        <v>203.98474560742008</v>
      </c>
      <c r="H77" s="86">
        <f>VLOOKUP(TableQBRanks3040[[#This Row],[Player]],QB!B:O,7,FALSE)</f>
        <v>1.3858071472028259</v>
      </c>
      <c r="I77" s="86">
        <f>VLOOKUP(TableQBRanks3040[[#This Row],[Player]],QB!B:O,8,FALSE)</f>
        <v>0.74387271583779924</v>
      </c>
      <c r="J77" s="86">
        <f>VLOOKUP(TableQBRanks3040[[#This Row],[Player]],QB!B:O,9,FALSE)</f>
        <v>2.2468803000000004</v>
      </c>
      <c r="K77" s="86">
        <f>VLOOKUP(TableQBRanks3040[[#This Row],[Player]],QB!B:O,10,FALSE)</f>
        <v>6.5114942493224293</v>
      </c>
      <c r="L77" s="86">
        <f>VLOOKUP(TableQBRanks3040[[#This Row],[Player]],QB!B:O,11,FALSE)</f>
        <v>4.1573164207364309E-2</v>
      </c>
      <c r="M77" s="58">
        <f>VLOOKUP(TableQBRanks3040[[#This Row],[Player]],QB!B:O,13,FALSE)</f>
        <v>13.859334107446738</v>
      </c>
      <c r="N77" s="133" t="e">
        <f>IF(VLOOKUP(TableQBRanks3040[[#This Row],[RK]],'Ranks w Proj'!$A:$N,14,FALSE)&lt;0,0,VLOOKUP(TableQBRanks3040[[#This Row],[RK]],'Ranks w Proj'!$A:$N,14,FALSE))</f>
        <v>#VALUE!</v>
      </c>
      <c r="P77">
        <v>76</v>
      </c>
      <c r="Q77" t="str">
        <f>VLOOKUP(TableRBRanks3141[[#This Row],[RK]],Rankings!A:T,8,FALSE)</f>
        <v>Evan Hull</v>
      </c>
      <c r="R77" t="str">
        <f>IFERROR(INDEX(TableRBCalcPts[TM],MATCH(TableRBRanks3141[[#This Row],[Player]],TableRBCalcPts[PLAYER],0)),"")</f>
        <v>IND</v>
      </c>
      <c r="S77">
        <f>IFERROR(INDEX(TableRBCalcPts[BYE],MATCH(TableRBRanks3141[[#This Row],[Player]],TableRBCalcPts[PLAYER],0)),"")</f>
        <v>11</v>
      </c>
      <c r="T77" s="86">
        <f>VLOOKUP(TableRBRanks3141[[#This Row],[Player]],RB!B:O,4,FALSE)</f>
        <v>39.161583999999998</v>
      </c>
      <c r="U77" s="86">
        <f>VLOOKUP(TableRBRanks3141[[#This Row],[Player]],RB!B:O,5,FALSE)</f>
        <v>169.56965872000001</v>
      </c>
      <c r="V77" s="86">
        <f>VLOOKUP(TableRBRanks3141[[#This Row],[Player]],RB!B:O,6,FALSE)</f>
        <v>1.3706554399999999</v>
      </c>
      <c r="W77" s="86">
        <f>VLOOKUP(TableRBRanks3141[[#This Row],[Player]],RB!B:O,7,FALSE)</f>
        <v>14.433665400000002</v>
      </c>
      <c r="X77" s="86">
        <f>VLOOKUP(TableRBRanks3141[[#This Row],[Player]],RB!B:O,8,FALSE)</f>
        <v>9.5978783655315034</v>
      </c>
      <c r="Y77" s="86">
        <f>VLOOKUP(TableRBRanks3141[[#This Row],[Player]],RB!B:O,9,FALSE)</f>
        <v>79.568530181425103</v>
      </c>
      <c r="Z77" s="86">
        <f>VLOOKUP(TableRBRanks3141[[#This Row],[Player]],RB!B:O,10,FALSE)</f>
        <v>0.33592574279360266</v>
      </c>
      <c r="AA77" s="58">
        <f>VLOOKUP(TableRBRanks3141[[#This Row],[Player]],RB!B:O,14,FALSE)</f>
        <v>39.952245169669872</v>
      </c>
      <c r="AB77" s="133">
        <f>IF(VLOOKUP(TableRBRanks3141[[#This Row],[RK]],'Ranks w Proj'!$P:$AB,13,FALSE)&lt;0,0,VLOOKUP(TableRBRanks3141[[#This Row],[RK]],'Ranks w Proj'!$P:$AB,13,FALSE))</f>
        <v>0</v>
      </c>
      <c r="AD77">
        <v>76</v>
      </c>
      <c r="AE77" t="str">
        <f>VLOOKUP(TableWRRanks3242[[#This Row],[RK]],Rankings!A:T,13,FALSE)</f>
        <v>Puka Nacua</v>
      </c>
      <c r="AF77" t="str">
        <f>IFERROR(INDEX(TableWRCalcPts[TM],MATCH(TableWRRanks3242[[#This Row],[Player]],TableWRCalcPts[PLAYER],0)),"")</f>
        <v>LAR</v>
      </c>
      <c r="AG77">
        <f>IFERROR(INDEX(TableWRCalcPts[BYE],MATCH(TableWRRanks3242[[#This Row],[Player]],TableWRCalcPts[PLAYER],0)),"")</f>
        <v>10</v>
      </c>
      <c r="AH77" s="86">
        <f>VLOOKUP(TableWRRanks3242[[#This Row],[Player]],WR!B:O,4,FALSE)</f>
        <v>0</v>
      </c>
      <c r="AI77" s="86">
        <f>VLOOKUP(TableWRRanks3242[[#This Row],[Player]],WR!B:O,5,FALSE)</f>
        <v>0</v>
      </c>
      <c r="AJ77" s="86">
        <f>VLOOKUP(TableWRRanks3242[[#This Row],[Player]],WR!B:O,6,FALSE)</f>
        <v>61.782336000000001</v>
      </c>
      <c r="AK77" s="86">
        <f>VLOOKUP(TableWRRanks3242[[#This Row],[Player]],WR!B:O,7,FALSE)</f>
        <v>37.501877952000001</v>
      </c>
      <c r="AL77" s="86">
        <f>VLOOKUP(TableWRRanks3242[[#This Row],[Player]],WR!B:O,8,FALSE)</f>
        <v>510.02554014719999</v>
      </c>
      <c r="AM77" s="86">
        <f>VLOOKUP(TableWRRanks3242[[#This Row],[Player]],WR!B:O,9,FALSE)</f>
        <v>2.5501277007360001</v>
      </c>
      <c r="AN77" s="58">
        <f>VLOOKUP(TableWRRanks3242[[#This Row],[Player]],WR!B:O,13,FALSE)</f>
        <v>85.054259195136012</v>
      </c>
      <c r="AO77" s="133">
        <f>IF(VLOOKUP(TableWRRanks3242[[#This Row],[RK]],'Ranks w Proj'!AD:AO,12,FALSE)&lt;0,0,VLOOKUP(TableWRRanks3242[[#This Row],[RK]],'Ranks w Proj'!AD:AO,12,FALSE))</f>
        <v>0</v>
      </c>
      <c r="AQ77">
        <v>76</v>
      </c>
      <c r="AR77">
        <f>VLOOKUP(TableTERanks3343[[#This Row],[RK]],Rankings!A:T,18,FALSE)</f>
        <v>0</v>
      </c>
      <c r="AS77" t="str">
        <f>IFERROR(INDEX(TableTECalcPts[TM],MATCH(TableTERanks3343[[#This Row],[Player]],TableTECalcPts[PLAYER],0)),"")</f>
        <v/>
      </c>
      <c r="AT77" t="str">
        <f>IFERROR(INDEX(TableTECalcPts[BYE],MATCH(TableTERanks3343[[#This Row],[Player]],TableTECalcPts[PLAYER],0)),"")</f>
        <v/>
      </c>
      <c r="AU77" s="86">
        <f>VLOOKUP(TableTERanks3343[[#This Row],[Player]],TE!B:O,4,FALSE)</f>
        <v>0</v>
      </c>
      <c r="AV77" s="86">
        <f>VLOOKUP(TableTERanks3343[[#This Row],[Player]],TE!B:O,5,FALSE)</f>
        <v>0</v>
      </c>
      <c r="AW77" s="86">
        <f>VLOOKUP(TableTERanks3343[[#This Row],[Player]],TE!B:O,6,FALSE)</f>
        <v>0</v>
      </c>
      <c r="AX77" s="86">
        <f>VLOOKUP(TableTERanks3343[[#This Row],[Player]],TE!B:O,7,FALSE)</f>
        <v>0</v>
      </c>
      <c r="AY77" s="58">
        <f>VLOOKUP(TableTERanks3343[[#This Row],[Player]],TE!B:O,11,FALSE)</f>
        <v>0</v>
      </c>
      <c r="AZ77" s="133">
        <f>IF(VLOOKUP(TableTERanks3343[[#This Row],[RK]],'Ranks w Proj'!AQ:AZ,10,FALSE)&lt;0,0,VLOOKUP(TableTERanks3343[[#This Row],[RK]],'Ranks w Proj'!AQ:AZ,10,FALSE))</f>
        <v>0</v>
      </c>
    </row>
    <row r="78" spans="1:52" x14ac:dyDescent="0.2">
      <c r="A78">
        <v>77</v>
      </c>
      <c r="B78">
        <f>VLOOKUP(TableQBRanks3040[[#This Row],[RK]],Rankings!A:T,3,FALSE)</f>
        <v>0</v>
      </c>
      <c r="C78" t="str">
        <f>IFERROR(INDEX(TableQBCalcPts[TM],MATCH(TableQBRanks3040[[#This Row],[Player]],TableQBCalcPts[PLAYER],0)),"")</f>
        <v/>
      </c>
      <c r="D78" t="str">
        <f>IFERROR(INDEX(TableQBCalcPts[BYE],MATCH(TableQBRanks3040[[#This Row],[Player]],TableQBCalcPts[PLAYER],0)),"")</f>
        <v/>
      </c>
      <c r="E78" s="86">
        <f>VLOOKUP(TableQBRanks3040[[#This Row],[Player]],QB!B:O,4,FALSE)</f>
        <v>30.022649999999999</v>
      </c>
      <c r="F78" s="86">
        <f>VLOOKUP(TableQBRanks3040[[#This Row],[Player]],QB!B:O,5,FALSE)</f>
        <v>18.957690112213761</v>
      </c>
      <c r="G78" s="86">
        <f>VLOOKUP(TableQBRanks3040[[#This Row],[Player]],QB!B:O,6,FALSE)</f>
        <v>203.98474560742008</v>
      </c>
      <c r="H78" s="86">
        <f>VLOOKUP(TableQBRanks3040[[#This Row],[Player]],QB!B:O,7,FALSE)</f>
        <v>1.3858071472028259</v>
      </c>
      <c r="I78" s="86">
        <f>VLOOKUP(TableQBRanks3040[[#This Row],[Player]],QB!B:O,8,FALSE)</f>
        <v>0.74387271583779924</v>
      </c>
      <c r="J78" s="86">
        <f>VLOOKUP(TableQBRanks3040[[#This Row],[Player]],QB!B:O,9,FALSE)</f>
        <v>2.2468803000000004</v>
      </c>
      <c r="K78" s="86">
        <f>VLOOKUP(TableQBRanks3040[[#This Row],[Player]],QB!B:O,10,FALSE)</f>
        <v>6.5114942493224293</v>
      </c>
      <c r="L78" s="86">
        <f>VLOOKUP(TableQBRanks3040[[#This Row],[Player]],QB!B:O,11,FALSE)</f>
        <v>4.1573164207364309E-2</v>
      </c>
      <c r="M78" s="58">
        <f>VLOOKUP(TableQBRanks3040[[#This Row],[Player]],QB!B:O,13,FALSE)</f>
        <v>13.859334107446738</v>
      </c>
      <c r="N78" s="133" t="e">
        <f>IF(VLOOKUP(TableQBRanks3040[[#This Row],[RK]],'Ranks w Proj'!$A:$N,14,FALSE)&lt;0,0,VLOOKUP(TableQBRanks3040[[#This Row],[RK]],'Ranks w Proj'!$A:$N,14,FALSE))</f>
        <v>#VALUE!</v>
      </c>
      <c r="P78">
        <v>77</v>
      </c>
      <c r="Q78" t="str">
        <f>VLOOKUP(TableRBRanks3141[[#This Row],[RK]],Rankings!A:T,8,FALSE)</f>
        <v>Ameer Abdullah</v>
      </c>
      <c r="R78" t="str">
        <f>IFERROR(INDEX(TableRBCalcPts[TM],MATCH(TableRBRanks3141[[#This Row],[Player]],TableRBCalcPts[PLAYER],0)),"")</f>
        <v>LV</v>
      </c>
      <c r="S78">
        <f>IFERROR(INDEX(TableRBCalcPts[BYE],MATCH(TableRBRanks3141[[#This Row],[Player]],TableRBCalcPts[PLAYER],0)),"")</f>
        <v>13</v>
      </c>
      <c r="T78" s="86">
        <f>VLOOKUP(TableRBRanks3141[[#This Row],[Player]],RB!B:O,4,FALSE)</f>
        <v>8.7969210000000011</v>
      </c>
      <c r="U78" s="86">
        <f>VLOOKUP(TableRBRanks3141[[#This Row],[Player]],RB!B:O,5,FALSE)</f>
        <v>36.790341960662985</v>
      </c>
      <c r="V78" s="86">
        <f>VLOOKUP(TableRBRanks3141[[#This Row],[Player]],RB!B:O,6,FALSE)</f>
        <v>0.21112610400000004</v>
      </c>
      <c r="W78" s="86">
        <f>VLOOKUP(TableRBRanks3141[[#This Row],[Player]],RB!B:O,7,FALSE)</f>
        <v>33.658442999999998</v>
      </c>
      <c r="X78" s="86">
        <f>VLOOKUP(TableRBRanks3141[[#This Row],[Player]],RB!B:O,8,FALSE)</f>
        <v>24.706825341141354</v>
      </c>
      <c r="Y78" s="86">
        <f>VLOOKUP(TableRBRanks3141[[#This Row],[Player]],RB!B:O,9,FALSE)</f>
        <v>191.23082814043408</v>
      </c>
      <c r="Z78" s="86">
        <f>VLOOKUP(TableRBRanks3141[[#This Row],[Player]],RB!B:O,10,FALSE)</f>
        <v>0.98827301364565412</v>
      </c>
      <c r="AA78" s="58">
        <f>VLOOKUP(TableRBRanks3141[[#This Row],[Player]],RB!B:O,14,FALSE)</f>
        <v>42.351924386554309</v>
      </c>
      <c r="AB78" s="133">
        <f>IF(VLOOKUP(TableRBRanks3141[[#This Row],[RK]],'Ranks w Proj'!$P:$AB,13,FALSE)&lt;0,0,VLOOKUP(TableRBRanks3141[[#This Row],[RK]],'Ranks w Proj'!$P:$AB,13,FALSE))</f>
        <v>0</v>
      </c>
      <c r="AD78">
        <v>77</v>
      </c>
      <c r="AE78" t="str">
        <f>VLOOKUP(TableWRRanks3242[[#This Row],[RK]],Rankings!A:T,13,FALSE)</f>
        <v>Alec Pierce</v>
      </c>
      <c r="AF78" t="str">
        <f>IFERROR(INDEX(TableWRCalcPts[TM],MATCH(TableWRRanks3242[[#This Row],[Player]],TableWRCalcPts[PLAYER],0)),"")</f>
        <v>IND</v>
      </c>
      <c r="AG78">
        <f>IFERROR(INDEX(TableWRCalcPts[BYE],MATCH(TableWRRanks3242[[#This Row],[Player]],TableWRCalcPts[PLAYER],0)),"")</f>
        <v>11</v>
      </c>
      <c r="AH78" s="86">
        <f>VLOOKUP(TableWRRanks3242[[#This Row],[Player]],WR!B:O,4,FALSE)</f>
        <v>0</v>
      </c>
      <c r="AI78" s="86">
        <f>VLOOKUP(TableWRRanks3242[[#This Row],[Player]],WR!B:O,5,FALSE)</f>
        <v>0</v>
      </c>
      <c r="AJ78" s="86">
        <f>VLOOKUP(TableWRRanks3242[[#This Row],[Player]],WR!B:O,6,FALSE)</f>
        <v>78.583289400000012</v>
      </c>
      <c r="AK78" s="86">
        <f>VLOOKUP(TableWRRanks3242[[#This Row],[Player]],WR!B:O,7,FALSE)</f>
        <v>42.762883472475352</v>
      </c>
      <c r="AL78" s="86">
        <f>VLOOKUP(TableWRRanks3242[[#This Row],[Player]],WR!B:O,8,FALSE)</f>
        <v>564.89769067139946</v>
      </c>
      <c r="AM78" s="86">
        <f>VLOOKUP(TableWRRanks3242[[#This Row],[Player]],WR!B:O,9,FALSE)</f>
        <v>2.7368245422384225</v>
      </c>
      <c r="AN78" s="58">
        <f>VLOOKUP(TableWRRanks3242[[#This Row],[Player]],WR!B:O,13,FALSE)</f>
        <v>94.292158056808148</v>
      </c>
      <c r="AO78" s="133">
        <f>IF(VLOOKUP(TableWRRanks3242[[#This Row],[RK]],'Ranks w Proj'!AD:AO,12,FALSE)&lt;0,0,VLOOKUP(TableWRRanks3242[[#This Row],[RK]],'Ranks w Proj'!AD:AO,12,FALSE))</f>
        <v>0</v>
      </c>
      <c r="AQ78">
        <v>77</v>
      </c>
      <c r="AR78">
        <f>VLOOKUP(TableTERanks3343[[#This Row],[RK]],Rankings!A:T,18,FALSE)</f>
        <v>0</v>
      </c>
      <c r="AS78" t="str">
        <f>IFERROR(INDEX(TableTECalcPts[TM],MATCH(TableTERanks3343[[#This Row],[Player]],TableTECalcPts[PLAYER],0)),"")</f>
        <v/>
      </c>
      <c r="AT78" t="str">
        <f>IFERROR(INDEX(TableTECalcPts[BYE],MATCH(TableTERanks3343[[#This Row],[Player]],TableTECalcPts[PLAYER],0)),"")</f>
        <v/>
      </c>
      <c r="AU78" s="86">
        <f>VLOOKUP(TableTERanks3343[[#This Row],[Player]],TE!B:O,4,FALSE)</f>
        <v>0</v>
      </c>
      <c r="AV78" s="86">
        <f>VLOOKUP(TableTERanks3343[[#This Row],[Player]],TE!B:O,5,FALSE)</f>
        <v>0</v>
      </c>
      <c r="AW78" s="86">
        <f>VLOOKUP(TableTERanks3343[[#This Row],[Player]],TE!B:O,6,FALSE)</f>
        <v>0</v>
      </c>
      <c r="AX78" s="86">
        <f>VLOOKUP(TableTERanks3343[[#This Row],[Player]],TE!B:O,7,FALSE)</f>
        <v>0</v>
      </c>
      <c r="AY78" s="58">
        <f>VLOOKUP(TableTERanks3343[[#This Row],[Player]],TE!B:O,11,FALSE)</f>
        <v>0</v>
      </c>
      <c r="AZ78" s="133">
        <f>IF(VLOOKUP(TableTERanks3343[[#This Row],[RK]],'Ranks w Proj'!AQ:AZ,10,FALSE)&lt;0,0,VLOOKUP(TableTERanks3343[[#This Row],[RK]],'Ranks w Proj'!AQ:AZ,10,FALSE))</f>
        <v>0</v>
      </c>
    </row>
    <row r="79" spans="1:52" x14ac:dyDescent="0.2">
      <c r="A79">
        <v>78</v>
      </c>
      <c r="B79">
        <f>VLOOKUP(TableQBRanks3040[[#This Row],[RK]],Rankings!A:T,3,FALSE)</f>
        <v>0</v>
      </c>
      <c r="C79" t="str">
        <f>IFERROR(INDEX(TableQBCalcPts[TM],MATCH(TableQBRanks3040[[#This Row],[Player]],TableQBCalcPts[PLAYER],0)),"")</f>
        <v/>
      </c>
      <c r="D79" t="str">
        <f>IFERROR(INDEX(TableQBCalcPts[BYE],MATCH(TableQBRanks3040[[#This Row],[Player]],TableQBCalcPts[PLAYER],0)),"")</f>
        <v/>
      </c>
      <c r="E79" s="86">
        <f>VLOOKUP(TableQBRanks3040[[#This Row],[Player]],QB!B:O,4,FALSE)</f>
        <v>30.022649999999999</v>
      </c>
      <c r="F79" s="86">
        <f>VLOOKUP(TableQBRanks3040[[#This Row],[Player]],QB!B:O,5,FALSE)</f>
        <v>18.957690112213761</v>
      </c>
      <c r="G79" s="86">
        <f>VLOOKUP(TableQBRanks3040[[#This Row],[Player]],QB!B:O,6,FALSE)</f>
        <v>203.98474560742008</v>
      </c>
      <c r="H79" s="86">
        <f>VLOOKUP(TableQBRanks3040[[#This Row],[Player]],QB!B:O,7,FALSE)</f>
        <v>1.3858071472028259</v>
      </c>
      <c r="I79" s="86">
        <f>VLOOKUP(TableQBRanks3040[[#This Row],[Player]],QB!B:O,8,FALSE)</f>
        <v>0.74387271583779924</v>
      </c>
      <c r="J79" s="86">
        <f>VLOOKUP(TableQBRanks3040[[#This Row],[Player]],QB!B:O,9,FALSE)</f>
        <v>2.2468803000000004</v>
      </c>
      <c r="K79" s="86">
        <f>VLOOKUP(TableQBRanks3040[[#This Row],[Player]],QB!B:O,10,FALSE)</f>
        <v>6.5114942493224293</v>
      </c>
      <c r="L79" s="86">
        <f>VLOOKUP(TableQBRanks3040[[#This Row],[Player]],QB!B:O,11,FALSE)</f>
        <v>4.1573164207364309E-2</v>
      </c>
      <c r="M79" s="58">
        <f>VLOOKUP(TableQBRanks3040[[#This Row],[Player]],QB!B:O,13,FALSE)</f>
        <v>13.859334107446738</v>
      </c>
      <c r="N79" s="133" t="e">
        <f>IF(VLOOKUP(TableQBRanks3040[[#This Row],[RK]],'Ranks w Proj'!$A:$N,14,FALSE)&lt;0,0,VLOOKUP(TableQBRanks3040[[#This Row],[RK]],'Ranks w Proj'!$A:$N,14,FALSE))</f>
        <v>#VALUE!</v>
      </c>
      <c r="P79">
        <v>78</v>
      </c>
      <c r="Q79" t="str">
        <f>VLOOKUP(TableRBRanks3141[[#This Row],[RK]],Rankings!A:T,8,FALSE)</f>
        <v>Raheem Blackshear</v>
      </c>
      <c r="R79" t="str">
        <f>IFERROR(INDEX(TableRBCalcPts[TM],MATCH(TableRBRanks3141[[#This Row],[Player]],TableRBCalcPts[PLAYER],0)),"")</f>
        <v>CAR</v>
      </c>
      <c r="S79">
        <f>IFERROR(INDEX(TableRBCalcPts[BYE],MATCH(TableRBRanks3141[[#This Row],[Player]],TableRBCalcPts[PLAYER],0)),"")</f>
        <v>7</v>
      </c>
      <c r="T79" s="86">
        <f>VLOOKUP(TableRBRanks3141[[#This Row],[Player]],RB!B:O,4,FALSE)</f>
        <v>41.342597520000005</v>
      </c>
      <c r="U79" s="86">
        <f>VLOOKUP(TableRBRanks3141[[#This Row],[Player]],RB!B:O,5,FALSE)</f>
        <v>166.42020620146423</v>
      </c>
      <c r="V79" s="86">
        <f>VLOOKUP(TableRBRanks3141[[#This Row],[Player]],RB!B:O,6,FALSE)</f>
        <v>1.4469909132000003</v>
      </c>
      <c r="W79" s="86">
        <f>VLOOKUP(TableRBRanks3141[[#This Row],[Player]],RB!B:O,7,FALSE)</f>
        <v>14.7110985</v>
      </c>
      <c r="X79" s="86">
        <f>VLOOKUP(TableRBRanks3141[[#This Row],[Player]],RB!B:O,8,FALSE)</f>
        <v>10.924447056799806</v>
      </c>
      <c r="Y79" s="86">
        <f>VLOOKUP(TableRBRanks3141[[#This Row],[Player]],RB!B:O,9,FALSE)</f>
        <v>88.857166478736829</v>
      </c>
      <c r="Z79" s="86">
        <f>VLOOKUP(TableRBRanks3141[[#This Row],[Player]],RB!B:O,10,FALSE)</f>
        <v>0.26218672936319537</v>
      </c>
      <c r="AA79" s="58">
        <f>VLOOKUP(TableRBRanks3141[[#This Row],[Player]],RB!B:O,14,FALSE)</f>
        <v>41.245026651799179</v>
      </c>
      <c r="AB79" s="133">
        <f>IF(VLOOKUP(TableRBRanks3141[[#This Row],[RK]],'Ranks w Proj'!$P:$AB,13,FALSE)&lt;0,0,VLOOKUP(TableRBRanks3141[[#This Row],[RK]],'Ranks w Proj'!$P:$AB,13,FALSE))</f>
        <v>0</v>
      </c>
      <c r="AD79">
        <v>78</v>
      </c>
      <c r="AE79" t="str">
        <f>VLOOKUP(TableWRRanks3242[[#This Row],[RK]],Rankings!A:T,13,FALSE)</f>
        <v>Michael Gallup</v>
      </c>
      <c r="AF79" t="str">
        <f>IFERROR(INDEX(TableWRCalcPts[TM],MATCH(TableWRRanks3242[[#This Row],[Player]],TableWRCalcPts[PLAYER],0)),"")</f>
        <v>DAL</v>
      </c>
      <c r="AG79">
        <f>IFERROR(INDEX(TableWRCalcPts[BYE],MATCH(TableWRRanks3242[[#This Row],[Player]],TableWRCalcPts[PLAYER],0)),"")</f>
        <v>7</v>
      </c>
      <c r="AH79" s="86">
        <f>VLOOKUP(TableWRRanks3242[[#This Row],[Player]],WR!B:O,4,FALSE)</f>
        <v>0</v>
      </c>
      <c r="AI79" s="86">
        <f>VLOOKUP(TableWRRanks3242[[#This Row],[Player]],WR!B:O,5,FALSE)</f>
        <v>0</v>
      </c>
      <c r="AJ79" s="86">
        <f>VLOOKUP(TableWRRanks3242[[#This Row],[Player]],WR!B:O,6,FALSE)</f>
        <v>69.121704960000002</v>
      </c>
      <c r="AK79" s="86">
        <f>VLOOKUP(TableWRRanks3242[[#This Row],[Player]],WR!B:O,7,FALSE)</f>
        <v>39.505748284365389</v>
      </c>
      <c r="AL79" s="86">
        <f>VLOOKUP(TableWRRanks3242[[#This Row],[Player]],WR!B:O,8,FALSE)</f>
        <v>523.45116476784142</v>
      </c>
      <c r="AM79" s="86">
        <f>VLOOKUP(TableWRRanks3242[[#This Row],[Player]],WR!B:O,9,FALSE)</f>
        <v>3.555517345592885</v>
      </c>
      <c r="AN79" s="58">
        <f>VLOOKUP(TableWRRanks3242[[#This Row],[Player]],WR!B:O,13,FALSE)</f>
        <v>93.431094692524141</v>
      </c>
      <c r="AO79" s="133">
        <f>IF(VLOOKUP(TableWRRanks3242[[#This Row],[RK]],'Ranks w Proj'!AD:AO,12,FALSE)&lt;0,0,VLOOKUP(TableWRRanks3242[[#This Row],[RK]],'Ranks w Proj'!AD:AO,12,FALSE))</f>
        <v>0</v>
      </c>
      <c r="AQ79">
        <v>78</v>
      </c>
      <c r="AR79">
        <f>VLOOKUP(TableTERanks3343[[#This Row],[RK]],Rankings!A:T,18,FALSE)</f>
        <v>0</v>
      </c>
      <c r="AS79" t="str">
        <f>IFERROR(INDEX(TableTECalcPts[TM],MATCH(TableTERanks3343[[#This Row],[Player]],TableTECalcPts[PLAYER],0)),"")</f>
        <v/>
      </c>
      <c r="AT79" t="str">
        <f>IFERROR(INDEX(TableTECalcPts[BYE],MATCH(TableTERanks3343[[#This Row],[Player]],TableTECalcPts[PLAYER],0)),"")</f>
        <v/>
      </c>
      <c r="AU79" s="86">
        <f>VLOOKUP(TableTERanks3343[[#This Row],[Player]],TE!B:O,4,FALSE)</f>
        <v>0</v>
      </c>
      <c r="AV79" s="86">
        <f>VLOOKUP(TableTERanks3343[[#This Row],[Player]],TE!B:O,5,FALSE)</f>
        <v>0</v>
      </c>
      <c r="AW79" s="86">
        <f>VLOOKUP(TableTERanks3343[[#This Row],[Player]],TE!B:O,6,FALSE)</f>
        <v>0</v>
      </c>
      <c r="AX79" s="86">
        <f>VLOOKUP(TableTERanks3343[[#This Row],[Player]],TE!B:O,7,FALSE)</f>
        <v>0</v>
      </c>
      <c r="AY79" s="58">
        <f>VLOOKUP(TableTERanks3343[[#This Row],[Player]],TE!B:O,11,FALSE)</f>
        <v>0</v>
      </c>
      <c r="AZ79" s="133">
        <f>IF(VLOOKUP(TableTERanks3343[[#This Row],[RK]],'Ranks w Proj'!AQ:AZ,10,FALSE)&lt;0,0,VLOOKUP(TableTERanks3343[[#This Row],[RK]],'Ranks w Proj'!AQ:AZ,10,FALSE))</f>
        <v>0</v>
      </c>
    </row>
    <row r="80" spans="1:52" x14ac:dyDescent="0.2">
      <c r="A80">
        <v>79</v>
      </c>
      <c r="B80">
        <f>VLOOKUP(TableQBRanks3040[[#This Row],[RK]],Rankings!A:T,3,FALSE)</f>
        <v>0</v>
      </c>
      <c r="C80" t="str">
        <f>IFERROR(INDEX(TableQBCalcPts[TM],MATCH(TableQBRanks3040[[#This Row],[Player]],TableQBCalcPts[PLAYER],0)),"")</f>
        <v/>
      </c>
      <c r="D80" t="str">
        <f>IFERROR(INDEX(TableQBCalcPts[BYE],MATCH(TableQBRanks3040[[#This Row],[Player]],TableQBCalcPts[PLAYER],0)),"")</f>
        <v/>
      </c>
      <c r="E80" s="86">
        <f>VLOOKUP(TableQBRanks3040[[#This Row],[Player]],QB!B:O,4,FALSE)</f>
        <v>30.022649999999999</v>
      </c>
      <c r="F80" s="86">
        <f>VLOOKUP(TableQBRanks3040[[#This Row],[Player]],QB!B:O,5,FALSE)</f>
        <v>18.957690112213761</v>
      </c>
      <c r="G80" s="86">
        <f>VLOOKUP(TableQBRanks3040[[#This Row],[Player]],QB!B:O,6,FALSE)</f>
        <v>203.98474560742008</v>
      </c>
      <c r="H80" s="86">
        <f>VLOOKUP(TableQBRanks3040[[#This Row],[Player]],QB!B:O,7,FALSE)</f>
        <v>1.3858071472028259</v>
      </c>
      <c r="I80" s="86">
        <f>VLOOKUP(TableQBRanks3040[[#This Row],[Player]],QB!B:O,8,FALSE)</f>
        <v>0.74387271583779924</v>
      </c>
      <c r="J80" s="86">
        <f>VLOOKUP(TableQBRanks3040[[#This Row],[Player]],QB!B:O,9,FALSE)</f>
        <v>2.2468803000000004</v>
      </c>
      <c r="K80" s="86">
        <f>VLOOKUP(TableQBRanks3040[[#This Row],[Player]],QB!B:O,10,FALSE)</f>
        <v>6.5114942493224293</v>
      </c>
      <c r="L80" s="86">
        <f>VLOOKUP(TableQBRanks3040[[#This Row],[Player]],QB!B:O,11,FALSE)</f>
        <v>4.1573164207364309E-2</v>
      </c>
      <c r="M80" s="58">
        <f>VLOOKUP(TableQBRanks3040[[#This Row],[Player]],QB!B:O,13,FALSE)</f>
        <v>13.859334107446738</v>
      </c>
      <c r="N80" s="133" t="e">
        <f>IF(VLOOKUP(TableQBRanks3040[[#This Row],[RK]],'Ranks w Proj'!$A:$N,14,FALSE)&lt;0,0,VLOOKUP(TableQBRanks3040[[#This Row],[RK]],'Ranks w Proj'!$A:$N,14,FALSE))</f>
        <v>#VALUE!</v>
      </c>
      <c r="P80">
        <v>79</v>
      </c>
      <c r="Q80" t="str">
        <f>VLOOKUP(TableRBRanks3141[[#This Row],[RK]],Rankings!A:T,8,FALSE)</f>
        <v>Isaiah Spiller</v>
      </c>
      <c r="R80" t="str">
        <f>IFERROR(INDEX(TableRBCalcPts[TM],MATCH(TableRBRanks3141[[#This Row],[Player]],TableRBCalcPts[PLAYER],0)),"")</f>
        <v>LAC</v>
      </c>
      <c r="S80">
        <f>IFERROR(INDEX(TableRBCalcPts[BYE],MATCH(TableRBRanks3141[[#This Row],[Player]],TableRBCalcPts[PLAYER],0)),"")</f>
        <v>5</v>
      </c>
      <c r="T80" s="86">
        <f>VLOOKUP(TableRBRanks3141[[#This Row],[Player]],RB!B:O,4,FALSE)</f>
        <v>34.627937400000008</v>
      </c>
      <c r="U80" s="86">
        <f>VLOOKUP(TableRBRanks3141[[#This Row],[Player]],RB!B:O,5,FALSE)</f>
        <v>145.09047328492619</v>
      </c>
      <c r="V80" s="86">
        <f>VLOOKUP(TableRBRanks3141[[#This Row],[Player]],RB!B:O,6,FALSE)</f>
        <v>1.0388381220000003</v>
      </c>
      <c r="W80" s="86">
        <f>VLOOKUP(TableRBRanks3141[[#This Row],[Player]],RB!B:O,7,FALSE)</f>
        <v>13.205891999999999</v>
      </c>
      <c r="X80" s="86">
        <f>VLOOKUP(TableRBRanks3141[[#This Row],[Player]],RB!B:O,8,FALSE)</f>
        <v>9.8825858576512271</v>
      </c>
      <c r="Y80" s="86">
        <f>VLOOKUP(TableRBRanks3141[[#This Row],[Player]],RB!B:O,9,FALSE)</f>
        <v>66.055292511883863</v>
      </c>
      <c r="Z80" s="86">
        <f>VLOOKUP(TableRBRanks3141[[#This Row],[Player]],RB!B:O,10,FALSE)</f>
        <v>0.29647757572953681</v>
      </c>
      <c r="AA80" s="58">
        <f>VLOOKUP(TableRBRanks3141[[#This Row],[Player]],RB!B:O,14,FALSE)</f>
        <v>34.067763694883844</v>
      </c>
      <c r="AB80" s="133">
        <f>IF(VLOOKUP(TableRBRanks3141[[#This Row],[RK]],'Ranks w Proj'!$P:$AB,13,FALSE)&lt;0,0,VLOOKUP(TableRBRanks3141[[#This Row],[RK]],'Ranks w Proj'!$P:$AB,13,FALSE))</f>
        <v>0</v>
      </c>
      <c r="AD80">
        <v>79</v>
      </c>
      <c r="AE80" t="str">
        <f>VLOOKUP(TableWRRanks3242[[#This Row],[RK]],Rankings!A:T,13,FALSE)</f>
        <v>Justyn Ross</v>
      </c>
      <c r="AF80" t="str">
        <f>IFERROR(INDEX(TableWRCalcPts[TM],MATCH(TableWRRanks3242[[#This Row],[Player]],TableWRCalcPts[PLAYER],0)),"")</f>
        <v>KC</v>
      </c>
      <c r="AG80">
        <f>IFERROR(INDEX(TableWRCalcPts[BYE],MATCH(TableWRRanks3242[[#This Row],[Player]],TableWRCalcPts[PLAYER],0)),"")</f>
        <v>10</v>
      </c>
      <c r="AH80" s="86">
        <f>VLOOKUP(TableWRRanks3242[[#This Row],[Player]],WR!B:O,4,FALSE)</f>
        <v>0</v>
      </c>
      <c r="AI80" s="86">
        <f>VLOOKUP(TableWRRanks3242[[#This Row],[Player]],WR!B:O,5,FALSE)</f>
        <v>0</v>
      </c>
      <c r="AJ80" s="86">
        <f>VLOOKUP(TableWRRanks3242[[#This Row],[Player]],WR!B:O,6,FALSE)</f>
        <v>64.73290824</v>
      </c>
      <c r="AK80" s="86">
        <f>VLOOKUP(TableWRRanks3242[[#This Row],[Player]],WR!B:O,7,FALSE)</f>
        <v>39.163409485199999</v>
      </c>
      <c r="AL80" s="86">
        <f>VLOOKUP(TableWRRanks3242[[#This Row],[Player]],WR!B:O,8,FALSE)</f>
        <v>509.12432330759998</v>
      </c>
      <c r="AM80" s="86">
        <f>VLOOKUP(TableWRRanks3242[[#This Row],[Player]],WR!B:O,9,FALSE)</f>
        <v>3.6030336726384</v>
      </c>
      <c r="AN80" s="58">
        <f>VLOOKUP(TableWRRanks3242[[#This Row],[Player]],WR!B:O,13,FALSE)</f>
        <v>92.112339109190401</v>
      </c>
      <c r="AO80" s="133">
        <f>IF(VLOOKUP(TableWRRanks3242[[#This Row],[RK]],'Ranks w Proj'!AD:AO,12,FALSE)&lt;0,0,VLOOKUP(TableWRRanks3242[[#This Row],[RK]],'Ranks w Proj'!AD:AO,12,FALSE))</f>
        <v>0</v>
      </c>
      <c r="AQ80">
        <v>79</v>
      </c>
      <c r="AR80">
        <f>VLOOKUP(TableTERanks3343[[#This Row],[RK]],Rankings!A:T,18,FALSE)</f>
        <v>0</v>
      </c>
      <c r="AS80" t="str">
        <f>IFERROR(INDEX(TableTECalcPts[TM],MATCH(TableTERanks3343[[#This Row],[Player]],TableTECalcPts[PLAYER],0)),"")</f>
        <v/>
      </c>
      <c r="AT80" t="str">
        <f>IFERROR(INDEX(TableTECalcPts[BYE],MATCH(TableTERanks3343[[#This Row],[Player]],TableTECalcPts[PLAYER],0)),"")</f>
        <v/>
      </c>
      <c r="AU80" s="86">
        <f>VLOOKUP(TableTERanks3343[[#This Row],[Player]],TE!B:O,4,FALSE)</f>
        <v>0</v>
      </c>
      <c r="AV80" s="86">
        <f>VLOOKUP(TableTERanks3343[[#This Row],[Player]],TE!B:O,5,FALSE)</f>
        <v>0</v>
      </c>
      <c r="AW80" s="86">
        <f>VLOOKUP(TableTERanks3343[[#This Row],[Player]],TE!B:O,6,FALSE)</f>
        <v>0</v>
      </c>
      <c r="AX80" s="86">
        <f>VLOOKUP(TableTERanks3343[[#This Row],[Player]],TE!B:O,7,FALSE)</f>
        <v>0</v>
      </c>
      <c r="AY80" s="58">
        <f>VLOOKUP(TableTERanks3343[[#This Row],[Player]],TE!B:O,11,FALSE)</f>
        <v>0</v>
      </c>
      <c r="AZ80" s="133">
        <f>IF(VLOOKUP(TableTERanks3343[[#This Row],[RK]],'Ranks w Proj'!AQ:AZ,10,FALSE)&lt;0,0,VLOOKUP(TableTERanks3343[[#This Row],[RK]],'Ranks w Proj'!AQ:AZ,10,FALSE))</f>
        <v>0</v>
      </c>
    </row>
    <row r="81" spans="16:52" x14ac:dyDescent="0.2">
      <c r="P81">
        <v>80</v>
      </c>
      <c r="Q81" t="str">
        <f>VLOOKUP(TableRBRanks3141[[#This Row],[RK]],Rankings!A:T,8,FALSE)</f>
        <v>Ke'Shawn Vaughn</v>
      </c>
      <c r="R81" t="str">
        <f>IFERROR(INDEX(TableRBCalcPts[TM],MATCH(TableRBRanks3141[[#This Row],[Player]],TableRBCalcPts[PLAYER],0)),"")</f>
        <v>TB</v>
      </c>
      <c r="S81">
        <f>IFERROR(INDEX(TableRBCalcPts[BYE],MATCH(TableRBRanks3141[[#This Row],[Player]],TableRBCalcPts[PLAYER],0)),"")</f>
        <v>5</v>
      </c>
      <c r="T81" s="86">
        <f>VLOOKUP(TableRBRanks3141[[#This Row],[Player]],RB!B:O,4,FALSE)</f>
        <v>14.451816960000004</v>
      </c>
      <c r="U81" s="86">
        <f>VLOOKUP(TableRBRanks3141[[#This Row],[Player]],RB!B:O,5,FALSE)</f>
        <v>57.951786009600013</v>
      </c>
      <c r="V81" s="86">
        <f>VLOOKUP(TableRBRanks3141[[#This Row],[Player]],RB!B:O,6,FALSE)</f>
        <v>0.37574724096000006</v>
      </c>
      <c r="W81" s="86">
        <f>VLOOKUP(TableRBRanks3141[[#This Row],[Player]],RB!B:O,7,FALSE)</f>
        <v>12.295064319999998</v>
      </c>
      <c r="X81" s="86">
        <f>VLOOKUP(TableRBRanks3141[[#This Row],[Player]],RB!B:O,8,FALSE)</f>
        <v>8.6434302169599988</v>
      </c>
      <c r="Y81" s="86">
        <f>VLOOKUP(TableRBRanks3141[[#This Row],[Player]],RB!B:O,9,FALSE)</f>
        <v>57.210676484281272</v>
      </c>
      <c r="Z81" s="86">
        <f>VLOOKUP(TableRBRanks3141[[#This Row],[Player]],RB!B:O,10,FALSE)</f>
        <v>0.34573720867839997</v>
      </c>
      <c r="AA81" s="58">
        <f>VLOOKUP(TableRBRanks3141[[#This Row],[Player]],RB!B:O,14,FALSE)</f>
        <v>20.166868055698529</v>
      </c>
      <c r="AB81" s="133">
        <f>IF(VLOOKUP(TableRBRanks3141[[#This Row],[RK]],'Ranks w Proj'!$P:$AB,13,FALSE)&lt;0,0,VLOOKUP(TableRBRanks3141[[#This Row],[RK]],'Ranks w Proj'!$P:$AB,13,FALSE))</f>
        <v>0</v>
      </c>
      <c r="AD81">
        <v>80</v>
      </c>
      <c r="AE81" t="str">
        <f>VLOOKUP(TableWRRanks3242[[#This Row],[RK]],Rankings!A:T,13,FALSE)</f>
        <v>Robert Woods</v>
      </c>
      <c r="AF81" t="str">
        <f>IFERROR(INDEX(TableWRCalcPts[TM],MATCH(TableWRRanks3242[[#This Row],[Player]],TableWRCalcPts[PLAYER],0)),"")</f>
        <v>HOU</v>
      </c>
      <c r="AG81">
        <f>IFERROR(INDEX(TableWRCalcPts[BYE],MATCH(TableWRRanks3242[[#This Row],[Player]],TableWRCalcPts[PLAYER],0)),"")</f>
        <v>7</v>
      </c>
      <c r="AH81" s="86">
        <f>VLOOKUP(TableWRRanks3242[[#This Row],[Player]],WR!B:O,4,FALSE)</f>
        <v>0</v>
      </c>
      <c r="AI81" s="86">
        <f>VLOOKUP(TableWRRanks3242[[#This Row],[Player]],WR!B:O,5,FALSE)</f>
        <v>0</v>
      </c>
      <c r="AJ81" s="86">
        <f>VLOOKUP(TableWRRanks3242[[#This Row],[Player]],WR!B:O,6,FALSE)</f>
        <v>93.52538272000001</v>
      </c>
      <c r="AK81" s="86">
        <f>VLOOKUP(TableWRRanks3242[[#This Row],[Player]],WR!B:O,7,FALSE)</f>
        <v>56.502779348435524</v>
      </c>
      <c r="AL81" s="86">
        <f>VLOOKUP(TableWRRanks3242[[#This Row],[Player]],WR!B:O,8,FALSE)</f>
        <v>612.4901281370411</v>
      </c>
      <c r="AM81" s="86">
        <f>VLOOKUP(TableWRRanks3242[[#This Row],[Player]],WR!B:O,9,FALSE)</f>
        <v>3.3901667609061312</v>
      </c>
      <c r="AN81" s="58">
        <f>VLOOKUP(TableWRRanks3242[[#This Row],[Player]],WR!B:O,13,FALSE)</f>
        <v>109.84140305335866</v>
      </c>
      <c r="AO81" s="133">
        <f>IF(VLOOKUP(TableWRRanks3242[[#This Row],[RK]],'Ranks w Proj'!AD:AO,12,FALSE)&lt;0,0,VLOOKUP(TableWRRanks3242[[#This Row],[RK]],'Ranks w Proj'!AD:AO,12,FALSE))</f>
        <v>0</v>
      </c>
      <c r="AQ81">
        <v>80</v>
      </c>
      <c r="AR81">
        <f>VLOOKUP(TableTERanks3343[[#This Row],[RK]],Rankings!A:T,18,FALSE)</f>
        <v>0</v>
      </c>
      <c r="AS81" t="str">
        <f>IFERROR(INDEX(TableTECalcPts[TM],MATCH(TableTERanks3343[[#This Row],[Player]],TableTECalcPts[PLAYER],0)),"")</f>
        <v/>
      </c>
      <c r="AT81" t="str">
        <f>IFERROR(INDEX(TableTECalcPts[BYE],MATCH(TableTERanks3343[[#This Row],[Player]],TableTECalcPts[PLAYER],0)),"")</f>
        <v/>
      </c>
      <c r="AU81" s="86">
        <f>VLOOKUP(TableTERanks3343[[#This Row],[Player]],TE!B:O,4,FALSE)</f>
        <v>0</v>
      </c>
      <c r="AV81" s="86">
        <f>VLOOKUP(TableTERanks3343[[#This Row],[Player]],TE!B:O,5,FALSE)</f>
        <v>0</v>
      </c>
      <c r="AW81" s="86">
        <f>VLOOKUP(TableTERanks3343[[#This Row],[Player]],TE!B:O,6,FALSE)</f>
        <v>0</v>
      </c>
      <c r="AX81" s="86">
        <f>VLOOKUP(TableTERanks3343[[#This Row],[Player]],TE!B:O,7,FALSE)</f>
        <v>0</v>
      </c>
      <c r="AY81" s="58">
        <f>VLOOKUP(TableTERanks3343[[#This Row],[Player]],TE!B:O,11,FALSE)</f>
        <v>0</v>
      </c>
      <c r="AZ81" s="133">
        <f>IF(VLOOKUP(TableTERanks3343[[#This Row],[RK]],'Ranks w Proj'!AQ:AZ,10,FALSE)&lt;0,0,VLOOKUP(TableTERanks3343[[#This Row],[RK]],'Ranks w Proj'!AQ:AZ,10,FALSE))</f>
        <v>0</v>
      </c>
    </row>
    <row r="82" spans="16:52" x14ac:dyDescent="0.2">
      <c r="P82">
        <v>81</v>
      </c>
      <c r="Q82" t="str">
        <f>VLOOKUP(TableRBRanks3141[[#This Row],[RK]],Rankings!A:T,8,FALSE)</f>
        <v>Latavius Murray</v>
      </c>
      <c r="R82" t="str">
        <f>IFERROR(INDEX(TableRBCalcPts[TM],MATCH(TableRBRanks3141[[#This Row],[Player]],TableRBCalcPts[PLAYER],0)),"")</f>
        <v>BUF</v>
      </c>
      <c r="S82">
        <f>IFERROR(INDEX(TableRBCalcPts[BYE],MATCH(TableRBRanks3141[[#This Row],[Player]],TableRBCalcPts[PLAYER],0)),"")</f>
        <v>13</v>
      </c>
      <c r="T82" s="86">
        <f>VLOOKUP(TableRBRanks3141[[#This Row],[Player]],RB!B:O,4,FALSE)</f>
        <v>26.631990000000002</v>
      </c>
      <c r="U82" s="86">
        <f>VLOOKUP(TableRBRanks3141[[#This Row],[Player]],RB!B:O,5,FALSE)</f>
        <v>114.25123710000001</v>
      </c>
      <c r="V82" s="86">
        <f>VLOOKUP(TableRBRanks3141[[#This Row],[Player]],RB!B:O,6,FALSE)</f>
        <v>0.93211965000000019</v>
      </c>
      <c r="W82" s="86">
        <f>VLOOKUP(TableRBRanks3141[[#This Row],[Player]],RB!B:O,7,FALSE)</f>
        <v>19.883710000000001</v>
      </c>
      <c r="X82" s="86">
        <f>VLOOKUP(TableRBRanks3141[[#This Row],[Player]],RB!B:O,8,FALSE)</f>
        <v>15.418986100844407</v>
      </c>
      <c r="Y82" s="86">
        <f>VLOOKUP(TableRBRanks3141[[#This Row],[Player]],RB!B:O,9,FALSE)</f>
        <v>109.6348210011146</v>
      </c>
      <c r="Z82" s="86">
        <f>VLOOKUP(TableRBRanks3141[[#This Row],[Player]],RB!B:O,10,FALSE)</f>
        <v>0.50882654132786542</v>
      </c>
      <c r="AA82" s="58">
        <f>VLOOKUP(TableRBRanks3141[[#This Row],[Player]],RB!B:O,14,FALSE)</f>
        <v>38.743776008500859</v>
      </c>
      <c r="AB82" s="133">
        <f>IF(VLOOKUP(TableRBRanks3141[[#This Row],[RK]],'Ranks w Proj'!$P:$AB,13,FALSE)&lt;0,0,VLOOKUP(TableRBRanks3141[[#This Row],[RK]],'Ranks w Proj'!$P:$AB,13,FALSE))</f>
        <v>0</v>
      </c>
      <c r="AD82">
        <v>81</v>
      </c>
      <c r="AE82" t="str">
        <f>VLOOKUP(TableWRRanks3242[[#This Row],[RK]],Rankings!A:T,13,FALSE)</f>
        <v>Allen Robinson</v>
      </c>
      <c r="AF82" t="str">
        <f>IFERROR(INDEX(TableWRCalcPts[TM],MATCH(TableWRRanks3242[[#This Row],[Player]],TableWRCalcPts[PLAYER],0)),"")</f>
        <v>PIT</v>
      </c>
      <c r="AG82">
        <f>IFERROR(INDEX(TableWRCalcPts[BYE],MATCH(TableWRRanks3242[[#This Row],[Player]],TableWRCalcPts[PLAYER],0)),"")</f>
        <v>6</v>
      </c>
      <c r="AH82" s="86">
        <f>VLOOKUP(TableWRRanks3242[[#This Row],[Player]],WR!B:O,4,FALSE)</f>
        <v>0</v>
      </c>
      <c r="AI82" s="86">
        <f>VLOOKUP(TableWRRanks3242[[#This Row],[Player]],WR!B:O,5,FALSE)</f>
        <v>0</v>
      </c>
      <c r="AJ82" s="86">
        <f>VLOOKUP(TableWRRanks3242[[#This Row],[Player]],WR!B:O,6,FALSE)</f>
        <v>77.340257399999999</v>
      </c>
      <c r="AK82" s="86">
        <f>VLOOKUP(TableWRRanks3242[[#This Row],[Player]],WR!B:O,7,FALSE)</f>
        <v>46.304759969193171</v>
      </c>
      <c r="AL82" s="86">
        <f>VLOOKUP(TableWRRanks3242[[#This Row],[Player]],WR!B:O,8,FALSE)</f>
        <v>511.33577574741923</v>
      </c>
      <c r="AM82" s="86">
        <f>VLOOKUP(TableWRRanks3242[[#This Row],[Player]],WR!B:O,9,FALSE)</f>
        <v>2.9635046380283629</v>
      </c>
      <c r="AN82" s="58">
        <f>VLOOKUP(TableWRRanks3242[[#This Row],[Player]],WR!B:O,13,FALSE)</f>
        <v>92.066985387508694</v>
      </c>
      <c r="AO82" s="133">
        <f>IF(VLOOKUP(TableWRRanks3242[[#This Row],[RK]],'Ranks w Proj'!AD:AO,12,FALSE)&lt;0,0,VLOOKUP(TableWRRanks3242[[#This Row],[RK]],'Ranks w Proj'!AD:AO,12,FALSE))</f>
        <v>0</v>
      </c>
      <c r="AQ82">
        <v>81</v>
      </c>
      <c r="AR82">
        <f>VLOOKUP(TableTERanks3343[[#This Row],[RK]],Rankings!A:T,18,FALSE)</f>
        <v>0</v>
      </c>
      <c r="AS82" t="str">
        <f>IFERROR(INDEX(TableTECalcPts[TM],MATCH(TableTERanks3343[[#This Row],[Player]],TableTECalcPts[PLAYER],0)),"")</f>
        <v/>
      </c>
      <c r="AT82" t="str">
        <f>IFERROR(INDEX(TableTECalcPts[BYE],MATCH(TableTERanks3343[[#This Row],[Player]],TableTECalcPts[PLAYER],0)),"")</f>
        <v/>
      </c>
      <c r="AU82" s="86">
        <f>VLOOKUP(TableTERanks3343[[#This Row],[Player]],TE!B:O,4,FALSE)</f>
        <v>0</v>
      </c>
      <c r="AV82" s="86">
        <f>VLOOKUP(TableTERanks3343[[#This Row],[Player]],TE!B:O,5,FALSE)</f>
        <v>0</v>
      </c>
      <c r="AW82" s="86">
        <f>VLOOKUP(TableTERanks3343[[#This Row],[Player]],TE!B:O,6,FALSE)</f>
        <v>0</v>
      </c>
      <c r="AX82" s="86">
        <f>VLOOKUP(TableTERanks3343[[#This Row],[Player]],TE!B:O,7,FALSE)</f>
        <v>0</v>
      </c>
      <c r="AY82" s="58">
        <f>VLOOKUP(TableTERanks3343[[#This Row],[Player]],TE!B:O,11,FALSE)</f>
        <v>0</v>
      </c>
      <c r="AZ82" s="133">
        <f>IF(VLOOKUP(TableTERanks3343[[#This Row],[RK]],'Ranks w Proj'!AQ:AZ,10,FALSE)&lt;0,0,VLOOKUP(TableTERanks3343[[#This Row],[RK]],'Ranks w Proj'!AQ:AZ,10,FALSE))</f>
        <v>0</v>
      </c>
    </row>
    <row r="83" spans="16:52" x14ac:dyDescent="0.2">
      <c r="P83">
        <v>82</v>
      </c>
      <c r="Q83" t="str">
        <f>VLOOKUP(TableRBRanks3141[[#This Row],[RK]],Rankings!A:T,8,FALSE)</f>
        <v>Chase Brown</v>
      </c>
      <c r="R83" t="str">
        <f>IFERROR(INDEX(TableRBCalcPts[TM],MATCH(TableRBRanks3141[[#This Row],[Player]],TableRBCalcPts[PLAYER],0)),"")</f>
        <v>CIN</v>
      </c>
      <c r="S83">
        <f>IFERROR(INDEX(TableRBCalcPts[BYE],MATCH(TableRBRanks3141[[#This Row],[Player]],TableRBCalcPts[PLAYER],0)),"")</f>
        <v>7</v>
      </c>
      <c r="T83" s="86">
        <f>VLOOKUP(TableRBRanks3141[[#This Row],[Player]],RB!B:O,4,FALSE)</f>
        <v>21.96442248</v>
      </c>
      <c r="U83" s="86">
        <f>VLOOKUP(TableRBRanks3141[[#This Row],[Player]],RB!B:O,5,FALSE)</f>
        <v>92.740063289791834</v>
      </c>
      <c r="V83" s="86">
        <f>VLOOKUP(TableRBRanks3141[[#This Row],[Player]],RB!B:O,6,FALSE)</f>
        <v>0.96643458911999991</v>
      </c>
      <c r="W83" s="86">
        <f>VLOOKUP(TableRBRanks3141[[#This Row],[Player]],RB!B:O,7,FALSE)</f>
        <v>18.4628178</v>
      </c>
      <c r="X83" s="86">
        <f>VLOOKUP(TableRBRanks3141[[#This Row],[Player]],RB!B:O,8,FALSE)</f>
        <v>14.579019378399861</v>
      </c>
      <c r="Y83" s="86">
        <f>VLOOKUP(TableRBRanks3141[[#This Row],[Player]],RB!B:O,9,FALSE)</f>
        <v>109.28712806299094</v>
      </c>
      <c r="Z83" s="86">
        <f>VLOOKUP(TableRBRanks3141[[#This Row],[Player]],RB!B:O,10,FALSE)</f>
        <v>0.77268802705519268</v>
      </c>
      <c r="AA83" s="58">
        <f>VLOOKUP(TableRBRanks3141[[#This Row],[Player]],RB!B:O,14,FALSE)</f>
        <v>37.926964521529364</v>
      </c>
      <c r="AB83" s="133">
        <f>IF(VLOOKUP(TableRBRanks3141[[#This Row],[RK]],'Ranks w Proj'!$P:$AB,13,FALSE)&lt;0,0,VLOOKUP(TableRBRanks3141[[#This Row],[RK]],'Ranks w Proj'!$P:$AB,13,FALSE))</f>
        <v>0</v>
      </c>
      <c r="AD83">
        <v>82</v>
      </c>
      <c r="AE83" t="str">
        <f>VLOOKUP(TableWRRanks3242[[#This Row],[RK]],Rankings!A:T,13,FALSE)</f>
        <v>Marvin Jones</v>
      </c>
      <c r="AF83" t="str">
        <f>IFERROR(INDEX(TableWRCalcPts[TM],MATCH(TableWRRanks3242[[#This Row],[Player]],TableWRCalcPts[PLAYER],0)),"")</f>
        <v>DET</v>
      </c>
      <c r="AG83">
        <f>IFERROR(INDEX(TableWRCalcPts[BYE],MATCH(TableWRRanks3242[[#This Row],[Player]],TableWRCalcPts[PLAYER],0)),"")</f>
        <v>9</v>
      </c>
      <c r="AH83" s="86">
        <f>VLOOKUP(TableWRRanks3242[[#This Row],[Player]],WR!B:O,4,FALSE)</f>
        <v>0</v>
      </c>
      <c r="AI83" s="86">
        <f>VLOOKUP(TableWRRanks3242[[#This Row],[Player]],WR!B:O,5,FALSE)</f>
        <v>0</v>
      </c>
      <c r="AJ83" s="86">
        <f>VLOOKUP(TableWRRanks3242[[#This Row],[Player]],WR!B:O,6,FALSE)</f>
        <v>70.578580799999983</v>
      </c>
      <c r="AK83" s="86">
        <f>VLOOKUP(TableWRRanks3242[[#This Row],[Player]],WR!B:O,7,FALSE)</f>
        <v>40.576873605213081</v>
      </c>
      <c r="AL83" s="86">
        <f>VLOOKUP(TableWRRanks3242[[#This Row],[Player]],WR!B:O,8,FALSE)</f>
        <v>509.57864286324548</v>
      </c>
      <c r="AM83" s="86">
        <f>VLOOKUP(TableWRRanks3242[[#This Row],[Player]],WR!B:O,9,FALSE)</f>
        <v>3.4490342564431122</v>
      </c>
      <c r="AN83" s="58">
        <f>VLOOKUP(TableWRRanks3242[[#This Row],[Player]],WR!B:O,13,FALSE)</f>
        <v>91.94050662758977</v>
      </c>
      <c r="AO83" s="133">
        <f>IF(VLOOKUP(TableWRRanks3242[[#This Row],[RK]],'Ranks w Proj'!AD:AO,12,FALSE)&lt;0,0,VLOOKUP(TableWRRanks3242[[#This Row],[RK]],'Ranks w Proj'!AD:AO,12,FALSE))</f>
        <v>0</v>
      </c>
      <c r="AQ83">
        <v>82</v>
      </c>
      <c r="AR83">
        <f>VLOOKUP(TableTERanks3343[[#This Row],[RK]],Rankings!A:T,18,FALSE)</f>
        <v>0</v>
      </c>
      <c r="AS83" t="str">
        <f>IFERROR(INDEX(TableTECalcPts[TM],MATCH(TableTERanks3343[[#This Row],[Player]],TableTECalcPts[PLAYER],0)),"")</f>
        <v/>
      </c>
      <c r="AT83" t="str">
        <f>IFERROR(INDEX(TableTECalcPts[BYE],MATCH(TableTERanks3343[[#This Row],[Player]],TableTECalcPts[PLAYER],0)),"")</f>
        <v/>
      </c>
      <c r="AU83" s="86">
        <f>VLOOKUP(TableTERanks3343[[#This Row],[Player]],TE!B:O,4,FALSE)</f>
        <v>0</v>
      </c>
      <c r="AV83" s="86">
        <f>VLOOKUP(TableTERanks3343[[#This Row],[Player]],TE!B:O,5,FALSE)</f>
        <v>0</v>
      </c>
      <c r="AW83" s="86">
        <f>VLOOKUP(TableTERanks3343[[#This Row],[Player]],TE!B:O,6,FALSE)</f>
        <v>0</v>
      </c>
      <c r="AX83" s="86">
        <f>VLOOKUP(TableTERanks3343[[#This Row],[Player]],TE!B:O,7,FALSE)</f>
        <v>0</v>
      </c>
      <c r="AY83" s="58">
        <f>VLOOKUP(TableTERanks3343[[#This Row],[Player]],TE!B:O,11,FALSE)</f>
        <v>0</v>
      </c>
      <c r="AZ83" s="133">
        <f>IF(VLOOKUP(TableTERanks3343[[#This Row],[RK]],'Ranks w Proj'!AQ:AZ,10,FALSE)&lt;0,0,VLOOKUP(TableTERanks3343[[#This Row],[RK]],'Ranks w Proj'!AQ:AZ,10,FALSE))</f>
        <v>0</v>
      </c>
    </row>
    <row r="84" spans="16:52" x14ac:dyDescent="0.2">
      <c r="P84">
        <v>83</v>
      </c>
      <c r="Q84" t="str">
        <f>VLOOKUP(TableRBRanks3141[[#This Row],[RK]],Rankings!A:T,8,FALSE)</f>
        <v>Michael Carter</v>
      </c>
      <c r="R84" t="str">
        <f>IFERROR(INDEX(TableRBCalcPts[TM],MATCH(TableRBRanks3141[[#This Row],[Player]],TableRBCalcPts[PLAYER],0)),"")</f>
        <v>NYJ</v>
      </c>
      <c r="S84">
        <f>IFERROR(INDEX(TableRBCalcPts[BYE],MATCH(TableRBRanks3141[[#This Row],[Player]],TableRBCalcPts[PLAYER],0)),"")</f>
        <v>7</v>
      </c>
      <c r="T84" s="86">
        <f>VLOOKUP(TableRBRanks3141[[#This Row],[Player]],RB!B:O,4,FALSE)</f>
        <v>23.121204670050762</v>
      </c>
      <c r="U84" s="86">
        <f>VLOOKUP(TableRBRanks3141[[#This Row],[Player]],RB!B:O,5,FALSE)</f>
        <v>97.109059614213209</v>
      </c>
      <c r="V84" s="86">
        <f>VLOOKUP(TableRBRanks3141[[#This Row],[Player]],RB!B:O,6,FALSE)</f>
        <v>0.7167573447715736</v>
      </c>
      <c r="W84" s="86">
        <f>VLOOKUP(TableRBRanks3141[[#This Row],[Player]],RB!B:O,7,FALSE)</f>
        <v>20.213411400000002</v>
      </c>
      <c r="X84" s="86">
        <f>VLOOKUP(TableRBRanks3141[[#This Row],[Player]],RB!B:O,8,FALSE)</f>
        <v>14.755790322000001</v>
      </c>
      <c r="Y84" s="86">
        <f>VLOOKUP(TableRBRanks3141[[#This Row],[Player]],RB!B:O,9,FALSE)</f>
        <v>120.9974806404</v>
      </c>
      <c r="Z84" s="86">
        <f>VLOOKUP(TableRBRanks3141[[#This Row],[Player]],RB!B:O,10,FALSE)</f>
        <v>0.50169687094800008</v>
      </c>
      <c r="AA84" s="58">
        <f>VLOOKUP(TableRBRanks3141[[#This Row],[Player]],RB!B:O,14,FALSE)</f>
        <v>36.499274480778766</v>
      </c>
      <c r="AB84" s="133">
        <f>IF(VLOOKUP(TableRBRanks3141[[#This Row],[RK]],'Ranks w Proj'!$P:$AB,13,FALSE)&lt;0,0,VLOOKUP(TableRBRanks3141[[#This Row],[RK]],'Ranks w Proj'!$P:$AB,13,FALSE))</f>
        <v>0</v>
      </c>
      <c r="AD84">
        <v>83</v>
      </c>
      <c r="AE84" t="str">
        <f>VLOOKUP(TableWRRanks3242[[#This Row],[RK]],Rankings!A:T,13,FALSE)</f>
        <v>Noah Brown</v>
      </c>
      <c r="AF84" t="str">
        <f>IFERROR(INDEX(TableWRCalcPts[TM],MATCH(TableWRRanks3242[[#This Row],[Player]],TableWRCalcPts[PLAYER],0)),"")</f>
        <v>HOU</v>
      </c>
      <c r="AG84">
        <f>IFERROR(INDEX(TableWRCalcPts[BYE],MATCH(TableWRRanks3242[[#This Row],[Player]],TableWRCalcPts[PLAYER],0)),"")</f>
        <v>7</v>
      </c>
      <c r="AH84" s="86">
        <f>VLOOKUP(TableWRRanks3242[[#This Row],[Player]],WR!B:O,4,FALSE)</f>
        <v>0</v>
      </c>
      <c r="AI84" s="86">
        <f>VLOOKUP(TableWRRanks3242[[#This Row],[Player]],WR!B:O,5,FALSE)</f>
        <v>0</v>
      </c>
      <c r="AJ84" s="86">
        <f>VLOOKUP(TableWRRanks3242[[#This Row],[Player]],WR!B:O,6,FALSE)</f>
        <v>61.411245279999996</v>
      </c>
      <c r="AK84" s="86">
        <f>VLOOKUP(TableWRRanks3242[[#This Row],[Player]],WR!B:O,7,FALSE)</f>
        <v>40.838478111199997</v>
      </c>
      <c r="AL84" s="86">
        <f>VLOOKUP(TableWRRanks3242[[#This Row],[Player]],WR!B:O,8,FALSE)</f>
        <v>532.12536978893593</v>
      </c>
      <c r="AM84" s="86">
        <f>VLOOKUP(TableWRRanks3242[[#This Row],[Player]],WR!B:O,9,FALSE)</f>
        <v>2.8586934677840001</v>
      </c>
      <c r="AN84" s="58">
        <f>VLOOKUP(TableWRRanks3242[[#This Row],[Player]],WR!B:O,13,FALSE)</f>
        <v>90.783936841197601</v>
      </c>
      <c r="AO84" s="133">
        <f>IF(VLOOKUP(TableWRRanks3242[[#This Row],[RK]],'Ranks w Proj'!AD:AO,12,FALSE)&lt;0,0,VLOOKUP(TableWRRanks3242[[#This Row],[RK]],'Ranks w Proj'!AD:AO,12,FALSE))</f>
        <v>0</v>
      </c>
      <c r="AQ84">
        <v>83</v>
      </c>
      <c r="AR84">
        <f>VLOOKUP(TableTERanks3343[[#This Row],[RK]],Rankings!A:T,18,FALSE)</f>
        <v>0</v>
      </c>
      <c r="AS84" t="str">
        <f>IFERROR(INDEX(TableTECalcPts[TM],MATCH(TableTERanks3343[[#This Row],[Player]],TableTECalcPts[PLAYER],0)),"")</f>
        <v/>
      </c>
      <c r="AT84" t="str">
        <f>IFERROR(INDEX(TableTECalcPts[BYE],MATCH(TableTERanks3343[[#This Row],[Player]],TableTECalcPts[PLAYER],0)),"")</f>
        <v/>
      </c>
      <c r="AU84" s="86">
        <f>VLOOKUP(TableTERanks3343[[#This Row],[Player]],TE!B:O,4,FALSE)</f>
        <v>0</v>
      </c>
      <c r="AV84" s="86">
        <f>VLOOKUP(TableTERanks3343[[#This Row],[Player]],TE!B:O,5,FALSE)</f>
        <v>0</v>
      </c>
      <c r="AW84" s="86">
        <f>VLOOKUP(TableTERanks3343[[#This Row],[Player]],TE!B:O,6,FALSE)</f>
        <v>0</v>
      </c>
      <c r="AX84" s="86">
        <f>VLOOKUP(TableTERanks3343[[#This Row],[Player]],TE!B:O,7,FALSE)</f>
        <v>0</v>
      </c>
      <c r="AY84" s="58">
        <f>VLOOKUP(TableTERanks3343[[#This Row],[Player]],TE!B:O,11,FALSE)</f>
        <v>0</v>
      </c>
      <c r="AZ84" s="133">
        <f>IF(VLOOKUP(TableTERanks3343[[#This Row],[RK]],'Ranks w Proj'!AQ:AZ,10,FALSE)&lt;0,0,VLOOKUP(TableTERanks3343[[#This Row],[RK]],'Ranks w Proj'!AQ:AZ,10,FALSE))</f>
        <v>0</v>
      </c>
    </row>
    <row r="85" spans="16:52" x14ac:dyDescent="0.2">
      <c r="P85">
        <v>84</v>
      </c>
      <c r="Q85" t="str">
        <f>VLOOKUP(TableRBRanks3141[[#This Row],[RK]],Rankings!A:T,8,FALSE)</f>
        <v>Eric Gray</v>
      </c>
      <c r="R85" t="str">
        <f>IFERROR(INDEX(TableRBCalcPts[TM],MATCH(TableRBRanks3141[[#This Row],[Player]],TableRBCalcPts[PLAYER],0)),"")</f>
        <v>NYG</v>
      </c>
      <c r="S85">
        <f>IFERROR(INDEX(TableRBCalcPts[BYE],MATCH(TableRBRanks3141[[#This Row],[Player]],TableRBCalcPts[PLAYER],0)),"")</f>
        <v>13</v>
      </c>
      <c r="T85" s="86">
        <f>VLOOKUP(TableRBRanks3141[[#This Row],[Player]],RB!B:O,4,FALSE)</f>
        <v>36.339119320000002</v>
      </c>
      <c r="U85" s="86">
        <f>VLOOKUP(TableRBRanks3141[[#This Row],[Player]],RB!B:O,5,FALSE)</f>
        <v>154.59056286711601</v>
      </c>
      <c r="V85" s="86">
        <f>VLOOKUP(TableRBRanks3141[[#This Row],[Player]],RB!B:O,6,FALSE)</f>
        <v>1.1628518182400001</v>
      </c>
      <c r="W85" s="86">
        <f>VLOOKUP(TableRBRanks3141[[#This Row],[Player]],RB!B:O,7,FALSE)</f>
        <v>12.890828859999999</v>
      </c>
      <c r="X85" s="86">
        <f>VLOOKUP(TableRBRanks3141[[#This Row],[Player]],RB!B:O,8,FALSE)</f>
        <v>9.4078429454891932</v>
      </c>
      <c r="Y85" s="86">
        <f>VLOOKUP(TableRBRanks3141[[#This Row],[Player]],RB!B:O,9,FALSE)</f>
        <v>65.478586900604782</v>
      </c>
      <c r="Z85" s="86">
        <f>VLOOKUP(TableRBRanks3141[[#This Row],[Player]],RB!B:O,10,FALSE)</f>
        <v>0.26341960247369739</v>
      </c>
      <c r="AA85" s="58">
        <f>VLOOKUP(TableRBRanks3141[[#This Row],[Player]],RB!B:O,14,FALSE)</f>
        <v>35.268464973798864</v>
      </c>
      <c r="AB85" s="133">
        <f>IF(VLOOKUP(TableRBRanks3141[[#This Row],[RK]],'Ranks w Proj'!$P:$AB,13,FALSE)&lt;0,0,VLOOKUP(TableRBRanks3141[[#This Row],[RK]],'Ranks w Proj'!$P:$AB,13,FALSE))</f>
        <v>0</v>
      </c>
      <c r="AD85">
        <v>84</v>
      </c>
      <c r="AE85" t="str">
        <f>VLOOKUP(TableWRRanks3242[[#This Row],[RK]],Rankings!A:T,13,FALSE)</f>
        <v>Mecole Hardman</v>
      </c>
      <c r="AF85" t="str">
        <f>IFERROR(INDEX(TableWRCalcPts[TM],MATCH(TableWRRanks3242[[#This Row],[Player]],TableWRCalcPts[PLAYER],0)),"")</f>
        <v>NYJ</v>
      </c>
      <c r="AG85">
        <f>IFERROR(INDEX(TableWRCalcPts[BYE],MATCH(TableWRRanks3242[[#This Row],[Player]],TableWRCalcPts[PLAYER],0)),"")</f>
        <v>7</v>
      </c>
      <c r="AH85" s="86">
        <f>VLOOKUP(TableWRRanks3242[[#This Row],[Player]],WR!B:O,4,FALSE)</f>
        <v>0</v>
      </c>
      <c r="AI85" s="86">
        <f>VLOOKUP(TableWRRanks3242[[#This Row],[Player]],WR!B:O,5,FALSE)</f>
        <v>0</v>
      </c>
      <c r="AJ85" s="86">
        <f>VLOOKUP(TableWRRanks3242[[#This Row],[Player]],WR!B:O,6,FALSE)</f>
        <v>63.612794699999995</v>
      </c>
      <c r="AK85" s="86">
        <f>VLOOKUP(TableWRRanks3242[[#This Row],[Player]],WR!B:O,7,FALSE)</f>
        <v>40.476870395740058</v>
      </c>
      <c r="AL85" s="86">
        <f>VLOOKUP(TableWRRanks3242[[#This Row],[Player]],WR!B:O,8,FALSE)</f>
        <v>489.77013178845471</v>
      </c>
      <c r="AM85" s="86">
        <f>VLOOKUP(TableWRRanks3242[[#This Row],[Player]],WR!B:O,9,FALSE)</f>
        <v>3.521487724429385</v>
      </c>
      <c r="AN85" s="58">
        <f>VLOOKUP(TableWRRanks3242[[#This Row],[Player]],WR!B:O,13,FALSE)</f>
        <v>90.344374723291807</v>
      </c>
      <c r="AO85" s="133">
        <f>IF(VLOOKUP(TableWRRanks3242[[#This Row],[RK]],'Ranks w Proj'!AD:AO,12,FALSE)&lt;0,0,VLOOKUP(TableWRRanks3242[[#This Row],[RK]],'Ranks w Proj'!AD:AO,12,FALSE))</f>
        <v>0</v>
      </c>
      <c r="AQ85">
        <v>84</v>
      </c>
      <c r="AR85">
        <f>VLOOKUP(TableTERanks3343[[#This Row],[RK]],Rankings!A:T,18,FALSE)</f>
        <v>0</v>
      </c>
      <c r="AS85" t="str">
        <f>IFERROR(INDEX(TableTECalcPts[TM],MATCH(TableTERanks3343[[#This Row],[Player]],TableTECalcPts[PLAYER],0)),"")</f>
        <v/>
      </c>
      <c r="AT85" t="str">
        <f>IFERROR(INDEX(TableTECalcPts[BYE],MATCH(TableTERanks3343[[#This Row],[Player]],TableTECalcPts[PLAYER],0)),"")</f>
        <v/>
      </c>
      <c r="AU85" s="86">
        <f>VLOOKUP(TableTERanks3343[[#This Row],[Player]],TE!B:O,4,FALSE)</f>
        <v>0</v>
      </c>
      <c r="AV85" s="86">
        <f>VLOOKUP(TableTERanks3343[[#This Row],[Player]],TE!B:O,5,FALSE)</f>
        <v>0</v>
      </c>
      <c r="AW85" s="86">
        <f>VLOOKUP(TableTERanks3343[[#This Row],[Player]],TE!B:O,6,FALSE)</f>
        <v>0</v>
      </c>
      <c r="AX85" s="86">
        <f>VLOOKUP(TableTERanks3343[[#This Row],[Player]],TE!B:O,7,FALSE)</f>
        <v>0</v>
      </c>
      <c r="AY85" s="58">
        <f>VLOOKUP(TableTERanks3343[[#This Row],[Player]],TE!B:O,11,FALSE)</f>
        <v>0</v>
      </c>
      <c r="AZ85" s="133">
        <f>IF(VLOOKUP(TableTERanks3343[[#This Row],[RK]],'Ranks w Proj'!AQ:AZ,10,FALSE)&lt;0,0,VLOOKUP(TableTERanks3343[[#This Row],[RK]],'Ranks w Proj'!AQ:AZ,10,FALSE))</f>
        <v>0</v>
      </c>
    </row>
    <row r="86" spans="16:52" x14ac:dyDescent="0.2">
      <c r="P86">
        <v>85</v>
      </c>
      <c r="Q86" t="str">
        <f>VLOOKUP(TableRBRanks3141[[#This Row],[RK]],Rankings!A:T,8,FALSE)</f>
        <v>Kenny McIntosh</v>
      </c>
      <c r="R86" t="str">
        <f>IFERROR(INDEX(TableRBCalcPts[TM],MATCH(TableRBRanks3141[[#This Row],[Player]],TableRBCalcPts[PLAYER],0)),"")</f>
        <v>SEA</v>
      </c>
      <c r="S86">
        <f>IFERROR(INDEX(TableRBCalcPts[BYE],MATCH(TableRBRanks3141[[#This Row],[Player]],TableRBCalcPts[PLAYER],0)),"")</f>
        <v>5</v>
      </c>
      <c r="T86" s="86">
        <f>VLOOKUP(TableRBRanks3141[[#This Row],[Player]],RB!B:O,4,FALSE)</f>
        <v>23.100003360000002</v>
      </c>
      <c r="U86" s="86">
        <f>VLOOKUP(TableRBRanks3141[[#This Row],[Player]],RB!B:O,5,FALSE)</f>
        <v>97.020014112000013</v>
      </c>
      <c r="V86" s="86">
        <f>VLOOKUP(TableRBRanks3141[[#This Row],[Player]],RB!B:O,6,FALSE)</f>
        <v>0.76230011088000016</v>
      </c>
      <c r="W86" s="86">
        <f>VLOOKUP(TableRBRanks3141[[#This Row],[Player]],RB!B:O,7,FALSE)</f>
        <v>18.20539728</v>
      </c>
      <c r="X86" s="86">
        <f>VLOOKUP(TableRBRanks3141[[#This Row],[Player]],RB!B:O,8,FALSE)</f>
        <v>13.54481557632</v>
      </c>
      <c r="Y86" s="86">
        <f>VLOOKUP(TableRBRanks3141[[#This Row],[Player]],RB!B:O,9,FALSE)</f>
        <v>103.48239100308479</v>
      </c>
      <c r="Z86" s="86">
        <f>VLOOKUP(TableRBRanks3141[[#This Row],[Player]],RB!B:O,10,FALSE)</f>
        <v>0.59597188535807999</v>
      </c>
      <c r="AA86" s="58">
        <f>VLOOKUP(TableRBRanks3141[[#This Row],[Player]],RB!B:O,14,FALSE)</f>
        <v>34.972280277096957</v>
      </c>
      <c r="AB86" s="133">
        <f>IF(VLOOKUP(TableRBRanks3141[[#This Row],[RK]],'Ranks w Proj'!$P:$AB,13,FALSE)&lt;0,0,VLOOKUP(TableRBRanks3141[[#This Row],[RK]],'Ranks w Proj'!$P:$AB,13,FALSE))</f>
        <v>0</v>
      </c>
      <c r="AD86">
        <v>85</v>
      </c>
      <c r="AE86" t="str">
        <f>VLOOKUP(TableWRRanks3242[[#This Row],[RK]],Rankings!A:T,13,FALSE)</f>
        <v>Laviska Shenault</v>
      </c>
      <c r="AF86" t="str">
        <f>IFERROR(INDEX(TableWRCalcPts[TM],MATCH(TableWRRanks3242[[#This Row],[Player]],TableWRCalcPts[PLAYER],0)),"")</f>
        <v>CAR</v>
      </c>
      <c r="AG86">
        <f>IFERROR(INDEX(TableWRCalcPts[BYE],MATCH(TableWRRanks3242[[#This Row],[Player]],TableWRCalcPts[PLAYER],0)),"")</f>
        <v>7</v>
      </c>
      <c r="AH86" s="86">
        <f>VLOOKUP(TableWRRanks3242[[#This Row],[Player]],WR!B:O,4,FALSE)</f>
        <v>364.58056684789727</v>
      </c>
      <c r="AI86" s="86">
        <f>VLOOKUP(TableWRRanks3242[[#This Row],[Player]],WR!B:O,5,FALSE)</f>
        <v>2.9811607820400003</v>
      </c>
      <c r="AJ86" s="86">
        <f>VLOOKUP(TableWRRanks3242[[#This Row],[Player]],WR!B:O,6,FALSE)</f>
        <v>27.068421239999996</v>
      </c>
      <c r="AK86" s="86">
        <f>VLOOKUP(TableWRRanks3242[[#This Row],[Player]],WR!B:O,7,FALSE)</f>
        <v>19.271287441701954</v>
      </c>
      <c r="AL86" s="86">
        <f>VLOOKUP(TableWRRanks3242[[#This Row],[Player]],WR!B:O,8,FALSE)</f>
        <v>200.65953977642488</v>
      </c>
      <c r="AM86" s="86">
        <f>VLOOKUP(TableWRRanks3242[[#This Row],[Player]],WR!B:O,9,FALSE)</f>
        <v>1.0406495218519056</v>
      </c>
      <c r="AN86" s="58">
        <f>VLOOKUP(TableWRRanks3242[[#This Row],[Player]],WR!B:O,13,FALSE)</f>
        <v>90.290516206634649</v>
      </c>
      <c r="AO86" s="133">
        <f>IF(VLOOKUP(TableWRRanks3242[[#This Row],[RK]],'Ranks w Proj'!AD:AO,12,FALSE)&lt;0,0,VLOOKUP(TableWRRanks3242[[#This Row],[RK]],'Ranks w Proj'!AD:AO,12,FALSE))</f>
        <v>0</v>
      </c>
      <c r="AQ86">
        <v>85</v>
      </c>
      <c r="AR86">
        <f>VLOOKUP(TableTERanks3343[[#This Row],[RK]],Rankings!A:T,18,FALSE)</f>
        <v>0</v>
      </c>
      <c r="AS86" t="str">
        <f>IFERROR(INDEX(TableTECalcPts[TM],MATCH(TableTERanks3343[[#This Row],[Player]],TableTECalcPts[PLAYER],0)),"")</f>
        <v/>
      </c>
      <c r="AT86" t="str">
        <f>IFERROR(INDEX(TableTECalcPts[BYE],MATCH(TableTERanks3343[[#This Row],[Player]],TableTECalcPts[PLAYER],0)),"")</f>
        <v/>
      </c>
      <c r="AU86" s="86">
        <f>VLOOKUP(TableTERanks3343[[#This Row],[Player]],TE!B:O,4,FALSE)</f>
        <v>0</v>
      </c>
      <c r="AV86" s="86">
        <f>VLOOKUP(TableTERanks3343[[#This Row],[Player]],TE!B:O,5,FALSE)</f>
        <v>0</v>
      </c>
      <c r="AW86" s="86">
        <f>VLOOKUP(TableTERanks3343[[#This Row],[Player]],TE!B:O,6,FALSE)</f>
        <v>0</v>
      </c>
      <c r="AX86" s="86">
        <f>VLOOKUP(TableTERanks3343[[#This Row],[Player]],TE!B:O,7,FALSE)</f>
        <v>0</v>
      </c>
      <c r="AY86" s="58">
        <f>VLOOKUP(TableTERanks3343[[#This Row],[Player]],TE!B:O,11,FALSE)</f>
        <v>0</v>
      </c>
      <c r="AZ86" s="133">
        <f>IF(VLOOKUP(TableTERanks3343[[#This Row],[RK]],'Ranks w Proj'!AQ:AZ,10,FALSE)&lt;0,0,VLOOKUP(TableTERanks3343[[#This Row],[RK]],'Ranks w Proj'!AQ:AZ,10,FALSE))</f>
        <v>0</v>
      </c>
    </row>
    <row r="87" spans="16:52" x14ac:dyDescent="0.2">
      <c r="P87">
        <v>86</v>
      </c>
      <c r="Q87" t="str">
        <f>VLOOKUP(TableRBRanks3141[[#This Row],[RK]],Rankings!A:T,8,FALSE)</f>
        <v>Ronnie Rivers</v>
      </c>
      <c r="R87" t="str">
        <f>IFERROR(INDEX(TableRBCalcPts[TM],MATCH(TableRBRanks3141[[#This Row],[Player]],TableRBCalcPts[PLAYER],0)),"")</f>
        <v>LAR</v>
      </c>
      <c r="S87">
        <f>IFERROR(INDEX(TableRBCalcPts[BYE],MATCH(TableRBRanks3141[[#This Row],[Player]],TableRBCalcPts[PLAYER],0)),"")</f>
        <v>10</v>
      </c>
      <c r="T87" s="86">
        <f>VLOOKUP(TableRBRanks3141[[#This Row],[Player]],RB!B:O,4,FALSE)</f>
        <v>20.435775360000001</v>
      </c>
      <c r="U87" s="86">
        <f>VLOOKUP(TableRBRanks3141[[#This Row],[Player]],RB!B:O,5,FALSE)</f>
        <v>84.308252000166959</v>
      </c>
      <c r="V87" s="86">
        <f>VLOOKUP(TableRBRanks3141[[#This Row],[Player]],RB!B:O,6,FALSE)</f>
        <v>0.65394481152000006</v>
      </c>
      <c r="W87" s="86">
        <f>VLOOKUP(TableRBRanks3141[[#This Row],[Player]],RB!B:O,7,FALSE)</f>
        <v>21.623817600000002</v>
      </c>
      <c r="X87" s="86">
        <f>VLOOKUP(TableRBRanks3141[[#This Row],[Player]],RB!B:O,8,FALSE)</f>
        <v>15.027952863108744</v>
      </c>
      <c r="Y87" s="86">
        <f>VLOOKUP(TableRBRanks3141[[#This Row],[Player]],RB!B:O,9,FALSE)</f>
        <v>117.81381505200257</v>
      </c>
      <c r="Z87" s="86">
        <f>VLOOKUP(TableRBRanks3141[[#This Row],[Player]],RB!B:O,10,FALSE)</f>
        <v>0.52597835020880612</v>
      </c>
      <c r="AA87" s="58">
        <f>VLOOKUP(TableRBRanks3141[[#This Row],[Player]],RB!B:O,14,FALSE)</f>
        <v>34.805722107144163</v>
      </c>
      <c r="AB87" s="133">
        <f>IF(VLOOKUP(TableRBRanks3141[[#This Row],[RK]],'Ranks w Proj'!$P:$AB,13,FALSE)&lt;0,0,VLOOKUP(TableRBRanks3141[[#This Row],[RK]],'Ranks w Proj'!$P:$AB,13,FALSE))</f>
        <v>0</v>
      </c>
      <c r="AD87">
        <v>86</v>
      </c>
      <c r="AE87" t="str">
        <f>VLOOKUP(TableWRRanks3242[[#This Row],[RK]],Rankings!A:T,13,FALSE)</f>
        <v>Isaiah Hodgins</v>
      </c>
      <c r="AF87" t="str">
        <f>IFERROR(INDEX(TableWRCalcPts[TM],MATCH(TableWRRanks3242[[#This Row],[Player]],TableWRCalcPts[PLAYER],0)),"")</f>
        <v>NYG</v>
      </c>
      <c r="AG87">
        <f>IFERROR(INDEX(TableWRCalcPts[BYE],MATCH(TableWRRanks3242[[#This Row],[Player]],TableWRCalcPts[PLAYER],0)),"")</f>
        <v>13</v>
      </c>
      <c r="AH87" s="86">
        <f>VLOOKUP(TableWRRanks3242[[#This Row],[Player]],WR!B:O,4,FALSE)</f>
        <v>0</v>
      </c>
      <c r="AI87" s="86">
        <f>VLOOKUP(TableWRRanks3242[[#This Row],[Player]],WR!B:O,5,FALSE)</f>
        <v>0</v>
      </c>
      <c r="AJ87" s="86">
        <f>VLOOKUP(TableWRRanks3242[[#This Row],[Player]],WR!B:O,6,FALSE)</f>
        <v>65.575085939999994</v>
      </c>
      <c r="AK87" s="86">
        <f>VLOOKUP(TableWRRanks3242[[#This Row],[Player]],WR!B:O,7,FALSE)</f>
        <v>43.484084845584277</v>
      </c>
      <c r="AL87" s="86">
        <f>VLOOKUP(TableWRRanks3242[[#This Row],[Player]],WR!B:O,8,FALSE)</f>
        <v>482.67334178598549</v>
      </c>
      <c r="AM87" s="86">
        <f>VLOOKUP(TableWRRanks3242[[#This Row],[Player]],WR!B:O,9,FALSE)</f>
        <v>3.1308541088820676</v>
      </c>
      <c r="AN87" s="58">
        <f>VLOOKUP(TableWRRanks3242[[#This Row],[Player]],WR!B:O,13,FALSE)</f>
        <v>88.794501254683098</v>
      </c>
      <c r="AO87" s="133">
        <f>IF(VLOOKUP(TableWRRanks3242[[#This Row],[RK]],'Ranks w Proj'!AD:AO,12,FALSE)&lt;0,0,VLOOKUP(TableWRRanks3242[[#This Row],[RK]],'Ranks w Proj'!AD:AO,12,FALSE))</f>
        <v>0</v>
      </c>
      <c r="AQ87">
        <v>86</v>
      </c>
      <c r="AR87">
        <f>VLOOKUP(TableTERanks3343[[#This Row],[RK]],Rankings!A:T,18,FALSE)</f>
        <v>0</v>
      </c>
      <c r="AS87" t="str">
        <f>IFERROR(INDEX(TableTECalcPts[TM],MATCH(TableTERanks3343[[#This Row],[Player]],TableTECalcPts[PLAYER],0)),"")</f>
        <v/>
      </c>
      <c r="AT87" t="str">
        <f>IFERROR(INDEX(TableTECalcPts[BYE],MATCH(TableTERanks3343[[#This Row],[Player]],TableTECalcPts[PLAYER],0)),"")</f>
        <v/>
      </c>
      <c r="AU87" s="86">
        <f>VLOOKUP(TableTERanks3343[[#This Row],[Player]],TE!B:O,4,FALSE)</f>
        <v>0</v>
      </c>
      <c r="AV87" s="86">
        <f>VLOOKUP(TableTERanks3343[[#This Row],[Player]],TE!B:O,5,FALSE)</f>
        <v>0</v>
      </c>
      <c r="AW87" s="86">
        <f>VLOOKUP(TableTERanks3343[[#This Row],[Player]],TE!B:O,6,FALSE)</f>
        <v>0</v>
      </c>
      <c r="AX87" s="86">
        <f>VLOOKUP(TableTERanks3343[[#This Row],[Player]],TE!B:O,7,FALSE)</f>
        <v>0</v>
      </c>
      <c r="AY87" s="58">
        <f>VLOOKUP(TableTERanks3343[[#This Row],[Player]],TE!B:O,11,FALSE)</f>
        <v>0</v>
      </c>
      <c r="AZ87" s="133">
        <f>IF(VLOOKUP(TableTERanks3343[[#This Row],[RK]],'Ranks w Proj'!AQ:AZ,10,FALSE)&lt;0,0,VLOOKUP(TableTERanks3343[[#This Row],[RK]],'Ranks w Proj'!AQ:AZ,10,FALSE))</f>
        <v>0</v>
      </c>
    </row>
    <row r="88" spans="16:52" x14ac:dyDescent="0.2">
      <c r="P88">
        <v>87</v>
      </c>
      <c r="Q88" t="str">
        <f>VLOOKUP(TableRBRanks3141[[#This Row],[RK]],Rankings!A:T,8,FALSE)</f>
        <v>Chris Rodriguez</v>
      </c>
      <c r="R88" t="str">
        <f>IFERROR(INDEX(TableRBCalcPts[TM],MATCH(TableRBRanks3141[[#This Row],[Player]],TableRBCalcPts[PLAYER],0)),"")</f>
        <v>WSH</v>
      </c>
      <c r="S88">
        <f>IFERROR(INDEX(TableRBCalcPts[BYE],MATCH(TableRBRanks3141[[#This Row],[Player]],TableRBCalcPts[PLAYER],0)),"")</f>
        <v>14</v>
      </c>
      <c r="T88" s="86">
        <f>VLOOKUP(TableRBRanks3141[[#This Row],[Player]],RB!B:O,4,FALSE)</f>
        <v>33.320679139999989</v>
      </c>
      <c r="U88" s="86">
        <f>VLOOKUP(TableRBRanks3141[[#This Row],[Player]],RB!B:O,5,FALSE)</f>
        <v>133.28271655999995</v>
      </c>
      <c r="V88" s="86">
        <f>VLOOKUP(TableRBRanks3141[[#This Row],[Player]],RB!B:O,6,FALSE)</f>
        <v>0.99962037419999961</v>
      </c>
      <c r="W88" s="86">
        <f>VLOOKUP(TableRBRanks3141[[#This Row],[Player]],RB!B:O,7,FALSE)</f>
        <v>15.341941160000001</v>
      </c>
      <c r="X88" s="86">
        <f>VLOOKUP(TableRBRanks3141[[#This Row],[Player]],RB!B:O,8,FALSE)</f>
        <v>10.283030914827611</v>
      </c>
      <c r="Y88" s="86">
        <f>VLOOKUP(TableRBRanks3141[[#This Row],[Player]],RB!B:O,9,FALSE)</f>
        <v>78.201592146741518</v>
      </c>
      <c r="Z88" s="86">
        <f>VLOOKUP(TableRBRanks3141[[#This Row],[Player]],RB!B:O,10,FALSE)</f>
        <v>0.3393400201893112</v>
      </c>
      <c r="AA88" s="58">
        <f>VLOOKUP(TableRBRanks3141[[#This Row],[Player]],RB!B:O,14,FALSE)</f>
        <v>34.323708694423821</v>
      </c>
      <c r="AB88" s="133">
        <f>IF(VLOOKUP(TableRBRanks3141[[#This Row],[RK]],'Ranks w Proj'!$P:$AB,13,FALSE)&lt;0,0,VLOOKUP(TableRBRanks3141[[#This Row],[RK]],'Ranks w Proj'!$P:$AB,13,FALSE))</f>
        <v>0</v>
      </c>
      <c r="AD88">
        <v>87</v>
      </c>
      <c r="AE88" t="str">
        <f>VLOOKUP(TableWRRanks3242[[#This Row],[RK]],Rankings!A:T,13,FALSE)</f>
        <v>Trey Palmer</v>
      </c>
      <c r="AF88" t="str">
        <f>IFERROR(INDEX(TableWRCalcPts[TM],MATCH(TableWRRanks3242[[#This Row],[Player]],TableWRCalcPts[PLAYER],0)),"")</f>
        <v>TB</v>
      </c>
      <c r="AG88">
        <f>IFERROR(INDEX(TableWRCalcPts[BYE],MATCH(TableWRRanks3242[[#This Row],[Player]],TableWRCalcPts[PLAYER],0)),"")</f>
        <v>5</v>
      </c>
      <c r="AH88" s="86">
        <f>VLOOKUP(TableWRRanks3242[[#This Row],[Player]],WR!B:O,4,FALSE)</f>
        <v>0</v>
      </c>
      <c r="AI88" s="86">
        <f>VLOOKUP(TableWRRanks3242[[#This Row],[Player]],WR!B:O,5,FALSE)</f>
        <v>0</v>
      </c>
      <c r="AJ88" s="86">
        <f>VLOOKUP(TableWRRanks3242[[#This Row],[Player]],WR!B:O,6,FALSE)</f>
        <v>73.211519359999983</v>
      </c>
      <c r="AK88" s="86">
        <f>VLOOKUP(TableWRRanks3242[[#This Row],[Player]],WR!B:O,7,FALSE)</f>
        <v>41.453279740262964</v>
      </c>
      <c r="AL88" s="86">
        <f>VLOOKUP(TableWRRanks3242[[#This Row],[Player]],WR!B:O,8,FALSE)</f>
        <v>509.46080800783182</v>
      </c>
      <c r="AM88" s="86">
        <f>VLOOKUP(TableWRRanks3242[[#This Row],[Player]],WR!B:O,9,FALSE)</f>
        <v>2.6115566236365666</v>
      </c>
      <c r="AN88" s="58">
        <f>VLOOKUP(TableWRRanks3242[[#This Row],[Player]],WR!B:O,13,FALSE)</f>
        <v>87.342060412734071</v>
      </c>
      <c r="AO88" s="133">
        <f>IF(VLOOKUP(TableWRRanks3242[[#This Row],[RK]],'Ranks w Proj'!AD:AO,12,FALSE)&lt;0,0,VLOOKUP(TableWRRanks3242[[#This Row],[RK]],'Ranks w Proj'!AD:AO,12,FALSE))</f>
        <v>0</v>
      </c>
      <c r="AQ88">
        <v>87</v>
      </c>
      <c r="AR88">
        <f>VLOOKUP(TableTERanks3343[[#This Row],[RK]],Rankings!A:T,18,FALSE)</f>
        <v>0</v>
      </c>
      <c r="AS88" t="str">
        <f>IFERROR(INDEX(TableTECalcPts[TM],MATCH(TableTERanks3343[[#This Row],[Player]],TableTECalcPts[PLAYER],0)),"")</f>
        <v/>
      </c>
      <c r="AT88" t="str">
        <f>IFERROR(INDEX(TableTECalcPts[BYE],MATCH(TableTERanks3343[[#This Row],[Player]],TableTECalcPts[PLAYER],0)),"")</f>
        <v/>
      </c>
      <c r="AU88" s="86">
        <f>VLOOKUP(TableTERanks3343[[#This Row],[Player]],TE!B:O,4,FALSE)</f>
        <v>0</v>
      </c>
      <c r="AV88" s="86">
        <f>VLOOKUP(TableTERanks3343[[#This Row],[Player]],TE!B:O,5,FALSE)</f>
        <v>0</v>
      </c>
      <c r="AW88" s="86">
        <f>VLOOKUP(TableTERanks3343[[#This Row],[Player]],TE!B:O,6,FALSE)</f>
        <v>0</v>
      </c>
      <c r="AX88" s="86">
        <f>VLOOKUP(TableTERanks3343[[#This Row],[Player]],TE!B:O,7,FALSE)</f>
        <v>0</v>
      </c>
      <c r="AY88" s="58">
        <f>VLOOKUP(TableTERanks3343[[#This Row],[Player]],TE!B:O,11,FALSE)</f>
        <v>0</v>
      </c>
      <c r="AZ88" s="133">
        <f>IF(VLOOKUP(TableTERanks3343[[#This Row],[RK]],'Ranks w Proj'!AQ:AZ,10,FALSE)&lt;0,0,VLOOKUP(TableTERanks3343[[#This Row],[RK]],'Ranks w Proj'!AQ:AZ,10,FALSE))</f>
        <v>0</v>
      </c>
    </row>
    <row r="89" spans="16:52" x14ac:dyDescent="0.2">
      <c r="P89">
        <v>88</v>
      </c>
      <c r="Q89" t="str">
        <f>VLOOKUP(TableRBRanks3141[[#This Row],[RK]],Rankings!A:T,8,FALSE)</f>
        <v>Trayveon Williams</v>
      </c>
      <c r="R89" t="str">
        <f>IFERROR(INDEX(TableRBCalcPts[TM],MATCH(TableRBRanks3141[[#This Row],[Player]],TableRBCalcPts[PLAYER],0)),"")</f>
        <v>CIN</v>
      </c>
      <c r="S89">
        <f>IFERROR(INDEX(TableRBCalcPts[BYE],MATCH(TableRBRanks3141[[#This Row],[Player]],TableRBCalcPts[PLAYER],0)),"")</f>
        <v>7</v>
      </c>
      <c r="T89" s="86">
        <f>VLOOKUP(TableRBRanks3141[[#This Row],[Player]],RB!B:O,4,FALSE)</f>
        <v>27.877920840000002</v>
      </c>
      <c r="U89" s="86">
        <f>VLOOKUP(TableRBRanks3141[[#This Row],[Player]],RB!B:O,5,FALSE)</f>
        <v>116.80848831960002</v>
      </c>
      <c r="V89" s="86">
        <f>VLOOKUP(TableRBRanks3141[[#This Row],[Player]],RB!B:O,6,FALSE)</f>
        <v>1.1708726752800001</v>
      </c>
      <c r="W89" s="86">
        <f>VLOOKUP(TableRBRanks3141[[#This Row],[Player]],RB!B:O,7,FALSE)</f>
        <v>9.2314088999999999</v>
      </c>
      <c r="X89" s="86">
        <f>VLOOKUP(TableRBRanks3141[[#This Row],[Player]],RB!B:O,8,FALSE)</f>
        <v>6.9050938571999998</v>
      </c>
      <c r="Y89" s="86">
        <f>VLOOKUP(TableRBRanks3141[[#This Row],[Player]],RB!B:O,9,FALSE)</f>
        <v>53.169222700440002</v>
      </c>
      <c r="Z89" s="86">
        <f>VLOOKUP(TableRBRanks3141[[#This Row],[Player]],RB!B:O,10,FALSE)</f>
        <v>0.38668525600319997</v>
      </c>
      <c r="AA89" s="58">
        <f>VLOOKUP(TableRBRanks3141[[#This Row],[Player]],RB!B:O,14,FALSE)</f>
        <v>29.795665618303204</v>
      </c>
      <c r="AB89" s="133">
        <f>IF(VLOOKUP(TableRBRanks3141[[#This Row],[RK]],'Ranks w Proj'!$P:$AB,13,FALSE)&lt;0,0,VLOOKUP(TableRBRanks3141[[#This Row],[RK]],'Ranks w Proj'!$P:$AB,13,FALSE))</f>
        <v>0</v>
      </c>
      <c r="AD89">
        <v>88</v>
      </c>
      <c r="AE89" t="str">
        <f>VLOOKUP(TableWRRanks3242[[#This Row],[RK]],Rankings!A:T,13,FALSE)</f>
        <v>Rashid Shaheed</v>
      </c>
      <c r="AF89" t="str">
        <f>IFERROR(INDEX(TableWRCalcPts[TM],MATCH(TableWRRanks3242[[#This Row],[Player]],TableWRCalcPts[PLAYER],0)),"")</f>
        <v>NO</v>
      </c>
      <c r="AG89">
        <f>IFERROR(INDEX(TableWRCalcPts[BYE],MATCH(TableWRRanks3242[[#This Row],[Player]],TableWRCalcPts[PLAYER],0)),"")</f>
        <v>11</v>
      </c>
      <c r="AH89" s="86">
        <f>VLOOKUP(TableWRRanks3242[[#This Row],[Player]],WR!B:O,4,FALSE)</f>
        <v>0</v>
      </c>
      <c r="AI89" s="86">
        <f>VLOOKUP(TableWRRanks3242[[#This Row],[Player]],WR!B:O,5,FALSE)</f>
        <v>0</v>
      </c>
      <c r="AJ89" s="86">
        <f>VLOOKUP(TableWRRanks3242[[#This Row],[Player]],WR!B:O,6,FALSE)</f>
        <v>60.809273615999999</v>
      </c>
      <c r="AK89" s="86">
        <f>VLOOKUP(TableWRRanks3242[[#This Row],[Player]],WR!B:O,7,FALSE)</f>
        <v>36.915353573899921</v>
      </c>
      <c r="AL89" s="86">
        <f>VLOOKUP(TableWRRanks3242[[#This Row],[Player]],WR!B:O,8,FALSE)</f>
        <v>472.51652574591901</v>
      </c>
      <c r="AM89" s="86">
        <f>VLOOKUP(TableWRRanks3242[[#This Row],[Player]],WR!B:O,9,FALSE)</f>
        <v>1.9195983858427959</v>
      </c>
      <c r="AN89" s="58">
        <f>VLOOKUP(TableWRRanks3242[[#This Row],[Player]],WR!B:O,13,FALSE)</f>
        <v>77.226919676598641</v>
      </c>
      <c r="AO89" s="133">
        <f>IF(VLOOKUP(TableWRRanks3242[[#This Row],[RK]],'Ranks w Proj'!AD:AO,12,FALSE)&lt;0,0,VLOOKUP(TableWRRanks3242[[#This Row],[RK]],'Ranks w Proj'!AD:AO,12,FALSE))</f>
        <v>0</v>
      </c>
      <c r="AQ89">
        <v>88</v>
      </c>
      <c r="AR89">
        <f>VLOOKUP(TableTERanks3343[[#This Row],[RK]],Rankings!A:T,18,FALSE)</f>
        <v>0</v>
      </c>
      <c r="AS89" t="str">
        <f>IFERROR(INDEX(TableTECalcPts[TM],MATCH(TableTERanks3343[[#This Row],[Player]],TableTECalcPts[PLAYER],0)),"")</f>
        <v/>
      </c>
      <c r="AT89" t="str">
        <f>IFERROR(INDEX(TableTECalcPts[BYE],MATCH(TableTERanks3343[[#This Row],[Player]],TableTECalcPts[PLAYER],0)),"")</f>
        <v/>
      </c>
      <c r="AU89" s="86">
        <f>VLOOKUP(TableTERanks3343[[#This Row],[Player]],TE!B:O,4,FALSE)</f>
        <v>0</v>
      </c>
      <c r="AV89" s="86">
        <f>VLOOKUP(TableTERanks3343[[#This Row],[Player]],TE!B:O,5,FALSE)</f>
        <v>0</v>
      </c>
      <c r="AW89" s="86">
        <f>VLOOKUP(TableTERanks3343[[#This Row],[Player]],TE!B:O,6,FALSE)</f>
        <v>0</v>
      </c>
      <c r="AX89" s="86">
        <f>VLOOKUP(TableTERanks3343[[#This Row],[Player]],TE!B:O,7,FALSE)</f>
        <v>0</v>
      </c>
      <c r="AY89" s="58">
        <f>VLOOKUP(TableTERanks3343[[#This Row],[Player]],TE!B:O,11,FALSE)</f>
        <v>0</v>
      </c>
      <c r="AZ89" s="133">
        <f>IF(VLOOKUP(TableTERanks3343[[#This Row],[RK]],'Ranks w Proj'!AQ:AZ,10,FALSE)&lt;0,0,VLOOKUP(TableTERanks3343[[#This Row],[RK]],'Ranks w Proj'!AQ:AZ,10,FALSE))</f>
        <v>0</v>
      </c>
    </row>
    <row r="90" spans="16:52" x14ac:dyDescent="0.2">
      <c r="P90">
        <v>89</v>
      </c>
      <c r="Q90" t="str">
        <f>VLOOKUP(TableRBRanks3141[[#This Row],[RK]],Rankings!A:T,8,FALSE)</f>
        <v>D'Onta Foreman</v>
      </c>
      <c r="R90" t="str">
        <f>IFERROR(INDEX(TableRBCalcPts[TM],MATCH(TableRBRanks3141[[#This Row],[Player]],TableRBCalcPts[PLAYER],0)),"")</f>
        <v>CHI</v>
      </c>
      <c r="S90">
        <f>IFERROR(INDEX(TableRBCalcPts[BYE],MATCH(TableRBRanks3141[[#This Row],[Player]],TableRBCalcPts[PLAYER],0)),"")</f>
        <v>13</v>
      </c>
      <c r="T90" s="86">
        <f>VLOOKUP(TableRBRanks3141[[#This Row],[Player]],RB!B:O,4,FALSE)</f>
        <v>20.881063839999999</v>
      </c>
      <c r="U90" s="86">
        <f>VLOOKUP(TableRBRanks3141[[#This Row],[Player]],RB!B:O,5,FALSE)</f>
        <v>89.162142596799995</v>
      </c>
      <c r="V90" s="86">
        <f>VLOOKUP(TableRBRanks3141[[#This Row],[Player]],RB!B:O,6,FALSE)</f>
        <v>0.79348042592000001</v>
      </c>
      <c r="W90" s="86">
        <f>VLOOKUP(TableRBRanks3141[[#This Row],[Player]],RB!B:O,7,FALSE)</f>
        <v>13.768372799999998</v>
      </c>
      <c r="X90" s="86">
        <f>VLOOKUP(TableRBRanks3141[[#This Row],[Player]],RB!B:O,8,FALSE)</f>
        <v>9.2439438794031439</v>
      </c>
      <c r="Y90" s="86">
        <f>VLOOKUP(TableRBRanks3141[[#This Row],[Player]],RB!B:O,9,FALSE)</f>
        <v>73.733399864192521</v>
      </c>
      <c r="Z90" s="86">
        <f>VLOOKUP(TableRBRanks3141[[#This Row],[Player]],RB!B:O,10,FALSE)</f>
        <v>0.37900169905552894</v>
      </c>
      <c r="AA90" s="58">
        <f>VLOOKUP(TableRBRanks3141[[#This Row],[Player]],RB!B:O,14,FALSE)</f>
        <v>27.946418935653998</v>
      </c>
      <c r="AB90" s="133">
        <f>IF(VLOOKUP(TableRBRanks3141[[#This Row],[RK]],'Ranks w Proj'!$P:$AB,13,FALSE)&lt;0,0,VLOOKUP(TableRBRanks3141[[#This Row],[RK]],'Ranks w Proj'!$P:$AB,13,FALSE))</f>
        <v>0</v>
      </c>
      <c r="AD90">
        <v>89</v>
      </c>
      <c r="AE90" t="str">
        <f>VLOOKUP(TableWRRanks3242[[#This Row],[RK]],Rankings!A:T,13,FALSE)</f>
        <v>Wan'Dale Robinson</v>
      </c>
      <c r="AF90" t="str">
        <f>IFERROR(INDEX(TableWRCalcPts[TM],MATCH(TableWRRanks3242[[#This Row],[Player]],TableWRCalcPts[PLAYER],0)),"")</f>
        <v>NYG</v>
      </c>
      <c r="AG90">
        <f>IFERROR(INDEX(TableWRCalcPts[BYE],MATCH(TableWRRanks3242[[#This Row],[Player]],TableWRCalcPts[PLAYER],0)),"")</f>
        <v>13</v>
      </c>
      <c r="AH90" s="86">
        <f>VLOOKUP(TableWRRanks3242[[#This Row],[Player]],WR!B:O,4,FALSE)</f>
        <v>73.660377000000011</v>
      </c>
      <c r="AI90" s="86">
        <f>VLOOKUP(TableWRRanks3242[[#This Row],[Player]],WR!B:O,5,FALSE)</f>
        <v>1.1662308598941786</v>
      </c>
      <c r="AJ90" s="86">
        <f>VLOOKUP(TableWRRanks3242[[#This Row],[Player]],WR!B:O,6,FALSE)</f>
        <v>34.749190839999997</v>
      </c>
      <c r="AK90" s="86">
        <f>VLOOKUP(TableWRRanks3242[[#This Row],[Player]],WR!B:O,7,FALSE)</f>
        <v>23.340354816046812</v>
      </c>
      <c r="AL90" s="86">
        <f>VLOOKUP(TableWRRanks3242[[#This Row],[Player]],WR!B:O,8,FALSE)</f>
        <v>250.20860362802185</v>
      </c>
      <c r="AM90" s="86">
        <f>VLOOKUP(TableWRRanks3242[[#This Row],[Player]],WR!B:O,9,FALSE)</f>
        <v>1.120337031170247</v>
      </c>
      <c r="AN90" s="58">
        <f>VLOOKUP(TableWRRanks3242[[#This Row],[Player]],WR!B:O,13,FALSE)</f>
        <v>57.776482817212141</v>
      </c>
      <c r="AO90" s="133">
        <f>IF(VLOOKUP(TableWRRanks3242[[#This Row],[RK]],'Ranks w Proj'!AD:AO,12,FALSE)&lt;0,0,VLOOKUP(TableWRRanks3242[[#This Row],[RK]],'Ranks w Proj'!AD:AO,12,FALSE))</f>
        <v>0</v>
      </c>
      <c r="AQ90">
        <v>89</v>
      </c>
      <c r="AR90">
        <f>VLOOKUP(TableTERanks3343[[#This Row],[RK]],Rankings!A:T,18,FALSE)</f>
        <v>0</v>
      </c>
      <c r="AS90" t="str">
        <f>IFERROR(INDEX(TableTECalcPts[TM],MATCH(TableTERanks3343[[#This Row],[Player]],TableTECalcPts[PLAYER],0)),"")</f>
        <v/>
      </c>
      <c r="AT90" t="str">
        <f>IFERROR(INDEX(TableTECalcPts[BYE],MATCH(TableTERanks3343[[#This Row],[Player]],TableTECalcPts[PLAYER],0)),"")</f>
        <v/>
      </c>
      <c r="AU90" s="86">
        <f>VLOOKUP(TableTERanks3343[[#This Row],[Player]],TE!B:O,4,FALSE)</f>
        <v>0</v>
      </c>
      <c r="AV90" s="86">
        <f>VLOOKUP(TableTERanks3343[[#This Row],[Player]],TE!B:O,5,FALSE)</f>
        <v>0</v>
      </c>
      <c r="AW90" s="86">
        <f>VLOOKUP(TableTERanks3343[[#This Row],[Player]],TE!B:O,6,FALSE)</f>
        <v>0</v>
      </c>
      <c r="AX90" s="86">
        <f>VLOOKUP(TableTERanks3343[[#This Row],[Player]],TE!B:O,7,FALSE)</f>
        <v>0</v>
      </c>
      <c r="AY90" s="58">
        <f>VLOOKUP(TableTERanks3343[[#This Row],[Player]],TE!B:O,11,FALSE)</f>
        <v>0</v>
      </c>
      <c r="AZ90" s="133">
        <f>IF(VLOOKUP(TableTERanks3343[[#This Row],[RK]],'Ranks w Proj'!AQ:AZ,10,FALSE)&lt;0,0,VLOOKUP(TableTERanks3343[[#This Row],[RK]],'Ranks w Proj'!AQ:AZ,10,FALSE))</f>
        <v>0</v>
      </c>
    </row>
    <row r="91" spans="16:52" x14ac:dyDescent="0.2">
      <c r="P91">
        <v>90</v>
      </c>
      <c r="Q91" t="str">
        <f>VLOOKUP(TableRBRanks3141[[#This Row],[RK]],Rankings!A:T,8,FALSE)</f>
        <v>Jaleel McLaughlin</v>
      </c>
      <c r="R91" t="str">
        <f>IFERROR(INDEX(TableRBCalcPts[TM],MATCH(TableRBRanks3141[[#This Row],[Player]],TableRBCalcPts[PLAYER],0)),"")</f>
        <v>DEN</v>
      </c>
      <c r="S91">
        <f>IFERROR(INDEX(TableRBCalcPts[BYE],MATCH(TableRBRanks3141[[#This Row],[Player]],TableRBCalcPts[PLAYER],0)),"")</f>
        <v>9</v>
      </c>
      <c r="T91" s="86">
        <f>VLOOKUP(TableRBRanks3141[[#This Row],[Player]],RB!B:O,4,FALSE)</f>
        <v>19.610250799999999</v>
      </c>
      <c r="U91" s="86">
        <f>VLOOKUP(TableRBRanks3141[[#This Row],[Player]],RB!B:O,5,FALSE)</f>
        <v>81.774745835999994</v>
      </c>
      <c r="V91" s="86">
        <f>VLOOKUP(TableRBRanks3141[[#This Row],[Player]],RB!B:O,6,FALSE)</f>
        <v>0.58830752399999997</v>
      </c>
      <c r="W91" s="86">
        <f>VLOOKUP(TableRBRanks3141[[#This Row],[Player]],RB!B:O,7,FALSE)</f>
        <v>11.229624000000001</v>
      </c>
      <c r="X91" s="86">
        <f>VLOOKUP(TableRBRanks3141[[#This Row],[Player]],RB!B:O,8,FALSE)</f>
        <v>8.4895957440000007</v>
      </c>
      <c r="Y91" s="86">
        <f>VLOOKUP(TableRBRanks3141[[#This Row],[Player]],RB!B:O,9,FALSE)</f>
        <v>61.125089356800004</v>
      </c>
      <c r="Z91" s="86">
        <f>VLOOKUP(TableRBRanks3141[[#This Row],[Player]],RB!B:O,10,FALSE)</f>
        <v>0.33958382976000001</v>
      </c>
      <c r="AA91" s="58">
        <f>VLOOKUP(TableRBRanks3141[[#This Row],[Player]],RB!B:O,14,FALSE)</f>
        <v>24.102129513840001</v>
      </c>
      <c r="AB91" s="133">
        <f>IF(VLOOKUP(TableRBRanks3141[[#This Row],[RK]],'Ranks w Proj'!$P:$AB,13,FALSE)&lt;0,0,VLOOKUP(TableRBRanks3141[[#This Row],[RK]],'Ranks w Proj'!$P:$AB,13,FALSE))</f>
        <v>0</v>
      </c>
      <c r="AD91">
        <v>90</v>
      </c>
      <c r="AE91" t="str">
        <f>VLOOKUP(TableWRRanks3242[[#This Row],[RK]],Rankings!A:T,13,FALSE)</f>
        <v>Rashee Rice</v>
      </c>
      <c r="AF91" t="str">
        <f>IFERROR(INDEX(TableWRCalcPts[TM],MATCH(TableWRRanks3242[[#This Row],[Player]],TableWRCalcPts[PLAYER],0)),"")</f>
        <v>KC</v>
      </c>
      <c r="AG91">
        <f>IFERROR(INDEX(TableWRCalcPts[BYE],MATCH(TableWRRanks3242[[#This Row],[Player]],TableWRCalcPts[PLAYER],0)),"")</f>
        <v>10</v>
      </c>
      <c r="AH91" s="86">
        <f>VLOOKUP(TableWRRanks3242[[#This Row],[Player]],WR!B:O,4,FALSE)</f>
        <v>0</v>
      </c>
      <c r="AI91" s="86">
        <f>VLOOKUP(TableWRRanks3242[[#This Row],[Player]],WR!B:O,5,FALSE)</f>
        <v>0</v>
      </c>
      <c r="AJ91" s="86">
        <f>VLOOKUP(TableWRRanks3242[[#This Row],[Player]],WR!B:O,6,FALSE)</f>
        <v>38.578197839999994</v>
      </c>
      <c r="AK91" s="86">
        <f>VLOOKUP(TableWRRanks3242[[#This Row],[Player]],WR!B:O,7,FALSE)</f>
        <v>24.666538407496827</v>
      </c>
      <c r="AL91" s="86">
        <f>VLOOKUP(TableWRRanks3242[[#This Row],[Player]],WR!B:O,8,FALSE)</f>
        <v>313.26503777520969</v>
      </c>
      <c r="AM91" s="86">
        <f>VLOOKUP(TableWRRanks3242[[#This Row],[Player]],WR!B:O,9,FALSE)</f>
        <v>2.1953219182672177</v>
      </c>
      <c r="AN91" s="58">
        <f>VLOOKUP(TableWRRanks3242[[#This Row],[Player]],WR!B:O,13,FALSE)</f>
        <v>56.831704490872688</v>
      </c>
      <c r="AO91" s="133">
        <f>IF(VLOOKUP(TableWRRanks3242[[#This Row],[RK]],'Ranks w Proj'!AD:AO,12,FALSE)&lt;0,0,VLOOKUP(TableWRRanks3242[[#This Row],[RK]],'Ranks w Proj'!AD:AO,12,FALSE))</f>
        <v>0</v>
      </c>
      <c r="AQ91">
        <v>90</v>
      </c>
      <c r="AR91">
        <f>VLOOKUP(TableTERanks3343[[#This Row],[RK]],Rankings!A:T,18,FALSE)</f>
        <v>0</v>
      </c>
      <c r="AS91" t="str">
        <f>IFERROR(INDEX(TableTECalcPts[TM],MATCH(TableTERanks3343[[#This Row],[Player]],TableTECalcPts[PLAYER],0)),"")</f>
        <v/>
      </c>
      <c r="AT91" t="str">
        <f>IFERROR(INDEX(TableTECalcPts[BYE],MATCH(TableTERanks3343[[#This Row],[Player]],TableTECalcPts[PLAYER],0)),"")</f>
        <v/>
      </c>
      <c r="AU91" s="86">
        <f>VLOOKUP(TableTERanks3343[[#This Row],[Player]],TE!B:O,4,FALSE)</f>
        <v>0</v>
      </c>
      <c r="AV91" s="86">
        <f>VLOOKUP(TableTERanks3343[[#This Row],[Player]],TE!B:O,5,FALSE)</f>
        <v>0</v>
      </c>
      <c r="AW91" s="86">
        <f>VLOOKUP(TableTERanks3343[[#This Row],[Player]],TE!B:O,6,FALSE)</f>
        <v>0</v>
      </c>
      <c r="AX91" s="86">
        <f>VLOOKUP(TableTERanks3343[[#This Row],[Player]],TE!B:O,7,FALSE)</f>
        <v>0</v>
      </c>
      <c r="AY91" s="58">
        <f>VLOOKUP(TableTERanks3343[[#This Row],[Player]],TE!B:O,11,FALSE)</f>
        <v>0</v>
      </c>
      <c r="AZ91" s="133">
        <f>IF(VLOOKUP(TableTERanks3343[[#This Row],[RK]],'Ranks w Proj'!AQ:AZ,10,FALSE)&lt;0,0,VLOOKUP(TableTERanks3343[[#This Row],[RK]],'Ranks w Proj'!AQ:AZ,10,FALSE))</f>
        <v>0</v>
      </c>
    </row>
    <row r="92" spans="16:52" x14ac:dyDescent="0.2">
      <c r="P92">
        <v>91</v>
      </c>
      <c r="Q92">
        <f>VLOOKUP(TableRBRanks3141[[#This Row],[RK]],Rankings!A:T,8,FALSE)</f>
        <v>0</v>
      </c>
      <c r="R92" t="str">
        <f>IFERROR(INDEX(TableRBCalcPts[TM],MATCH(TableRBRanks3141[[#This Row],[Player]],TableRBCalcPts[PLAYER],0)),"")</f>
        <v/>
      </c>
      <c r="S92" t="str">
        <f>IFERROR(INDEX(TableRBCalcPts[BYE],MATCH(TableRBRanks3141[[#This Row],[Player]],TableRBCalcPts[PLAYER],0)),"")</f>
        <v/>
      </c>
      <c r="T92" s="86">
        <f>VLOOKUP(TableRBRanks3141[[#This Row],[Player]],RB!B:O,4,FALSE)</f>
        <v>0</v>
      </c>
      <c r="U92" s="86">
        <f>VLOOKUP(TableRBRanks3141[[#This Row],[Player]],RB!B:O,5,FALSE)</f>
        <v>0</v>
      </c>
      <c r="V92" s="86">
        <f>VLOOKUP(TableRBRanks3141[[#This Row],[Player]],RB!B:O,6,FALSE)</f>
        <v>0</v>
      </c>
      <c r="W92" s="86">
        <f>VLOOKUP(TableRBRanks3141[[#This Row],[Player]],RB!B:O,7,FALSE)</f>
        <v>0</v>
      </c>
      <c r="X92" s="86">
        <f>VLOOKUP(TableRBRanks3141[[#This Row],[Player]],RB!B:O,8,FALSE)</f>
        <v>0</v>
      </c>
      <c r="Y92" s="86">
        <f>VLOOKUP(TableRBRanks3141[[#This Row],[Player]],RB!B:O,9,FALSE)</f>
        <v>0</v>
      </c>
      <c r="Z92" s="86">
        <f>VLOOKUP(TableRBRanks3141[[#This Row],[Player]],RB!B:O,10,FALSE)</f>
        <v>0</v>
      </c>
      <c r="AA92" s="58">
        <f>VLOOKUP(TableRBRanks3141[[#This Row],[Player]],RB!B:O,14,FALSE)</f>
        <v>0</v>
      </c>
      <c r="AB92" s="133">
        <f>IF(VLOOKUP(TableRBRanks3141[[#This Row],[RK]],'Ranks w Proj'!$P:$AB,13,FALSE)&lt;0,0,VLOOKUP(TableRBRanks3141[[#This Row],[RK]],'Ranks w Proj'!$P:$AB,13,FALSE))</f>
        <v>0</v>
      </c>
      <c r="AD92">
        <v>91</v>
      </c>
      <c r="AE92" t="str">
        <f>VLOOKUP(TableWRRanks3242[[#This Row],[RK]],Rankings!A:T,13,FALSE)</f>
        <v>Kendrick Bourne</v>
      </c>
      <c r="AF92" t="str">
        <f>IFERROR(INDEX(TableWRCalcPts[TM],MATCH(TableWRRanks3242[[#This Row],[Player]],TableWRCalcPts[PLAYER],0)),"")</f>
        <v>NE</v>
      </c>
      <c r="AG92">
        <f>IFERROR(INDEX(TableWRCalcPts[BYE],MATCH(TableWRRanks3242[[#This Row],[Player]],TableWRCalcPts[PLAYER],0)),"")</f>
        <v>11</v>
      </c>
      <c r="AH92" s="86">
        <f>VLOOKUP(TableWRRanks3242[[#This Row],[Player]],WR!B:O,4,FALSE)</f>
        <v>0</v>
      </c>
      <c r="AI92" s="86">
        <f>VLOOKUP(TableWRRanks3242[[#This Row],[Player]],WR!B:O,5,FALSE)</f>
        <v>0</v>
      </c>
      <c r="AJ92" s="86">
        <f>VLOOKUP(TableWRRanks3242[[#This Row],[Player]],WR!B:O,6,FALSE)</f>
        <v>60.898854239999984</v>
      </c>
      <c r="AK92" s="86">
        <f>VLOOKUP(TableWRRanks3242[[#This Row],[Player]],WR!B:O,7,FALSE)</f>
        <v>42.020209425599987</v>
      </c>
      <c r="AL92" s="86">
        <f>VLOOKUP(TableWRRanks3242[[#This Row],[Player]],WR!B:O,8,FALSE)</f>
        <v>505.92332148422378</v>
      </c>
      <c r="AM92" s="86">
        <f>VLOOKUP(TableWRRanks3242[[#This Row],[Player]],WR!B:O,9,FALSE)</f>
        <v>2.6472731938127994</v>
      </c>
      <c r="AN92" s="58">
        <f>VLOOKUP(TableWRRanks3242[[#This Row],[Player]],WR!B:O,13,FALSE)</f>
        <v>87.486076024099162</v>
      </c>
      <c r="AO92" s="133">
        <f>IF(VLOOKUP(TableWRRanks3242[[#This Row],[RK]],'Ranks w Proj'!AD:AO,12,FALSE)&lt;0,0,VLOOKUP(TableWRRanks3242[[#This Row],[RK]],'Ranks w Proj'!AD:AO,12,FALSE))</f>
        <v>0</v>
      </c>
      <c r="AQ92">
        <v>91</v>
      </c>
      <c r="AR92">
        <f>VLOOKUP(TableTERanks3343[[#This Row],[RK]],Rankings!A:T,18,FALSE)</f>
        <v>0</v>
      </c>
      <c r="AS92" t="str">
        <f>IFERROR(INDEX(TableTECalcPts[TM],MATCH(TableTERanks3343[[#This Row],[Player]],TableTECalcPts[PLAYER],0)),"")</f>
        <v/>
      </c>
      <c r="AT92" t="str">
        <f>IFERROR(INDEX(TableTECalcPts[BYE],MATCH(TableTERanks3343[[#This Row],[Player]],TableTECalcPts[PLAYER],0)),"")</f>
        <v/>
      </c>
      <c r="AU92" s="86">
        <f>VLOOKUP(TableTERanks3343[[#This Row],[Player]],TE!B:O,4,FALSE)</f>
        <v>0</v>
      </c>
      <c r="AV92" s="86">
        <f>VLOOKUP(TableTERanks3343[[#This Row],[Player]],TE!B:O,5,FALSE)</f>
        <v>0</v>
      </c>
      <c r="AW92" s="86">
        <f>VLOOKUP(TableTERanks3343[[#This Row],[Player]],TE!B:O,6,FALSE)</f>
        <v>0</v>
      </c>
      <c r="AX92" s="86">
        <f>VLOOKUP(TableTERanks3343[[#This Row],[Player]],TE!B:O,7,FALSE)</f>
        <v>0</v>
      </c>
      <c r="AY92" s="58">
        <f>VLOOKUP(TableTERanks3343[[#This Row],[Player]],TE!B:O,11,FALSE)</f>
        <v>0</v>
      </c>
      <c r="AZ92" s="133" t="e">
        <f>IF(VLOOKUP(TableTERanks3343[[#This Row],[RK]],'Ranks w Proj'!AQ:AZ,10,FALSE)&lt;0,0,VLOOKUP(TableTERanks3343[[#This Row],[RK]],'Ranks w Proj'!AQ:AZ,10,FALSE))</f>
        <v>#VALUE!</v>
      </c>
    </row>
    <row r="93" spans="16:52" x14ac:dyDescent="0.2">
      <c r="P93">
        <v>92</v>
      </c>
      <c r="Q93">
        <f>VLOOKUP(TableRBRanks3141[[#This Row],[RK]],Rankings!A:T,8,FALSE)</f>
        <v>0</v>
      </c>
      <c r="R93" t="str">
        <f>IFERROR(INDEX(TableRBCalcPts[TM],MATCH(TableRBRanks3141[[#This Row],[Player]],TableRBCalcPts[PLAYER],0)),"")</f>
        <v/>
      </c>
      <c r="S93" t="str">
        <f>IFERROR(INDEX(TableRBCalcPts[BYE],MATCH(TableRBRanks3141[[#This Row],[Player]],TableRBCalcPts[PLAYER],0)),"")</f>
        <v/>
      </c>
      <c r="T93" s="86">
        <f>VLOOKUP(TableRBRanks3141[[#This Row],[Player]],RB!B:O,4,FALSE)</f>
        <v>0</v>
      </c>
      <c r="U93" s="86">
        <f>VLOOKUP(TableRBRanks3141[[#This Row],[Player]],RB!B:O,5,FALSE)</f>
        <v>0</v>
      </c>
      <c r="V93" s="86">
        <f>VLOOKUP(TableRBRanks3141[[#This Row],[Player]],RB!B:O,6,FALSE)</f>
        <v>0</v>
      </c>
      <c r="W93" s="86">
        <f>VLOOKUP(TableRBRanks3141[[#This Row],[Player]],RB!B:O,7,FALSE)</f>
        <v>0</v>
      </c>
      <c r="X93" s="86">
        <f>VLOOKUP(TableRBRanks3141[[#This Row],[Player]],RB!B:O,8,FALSE)</f>
        <v>0</v>
      </c>
      <c r="Y93" s="86">
        <f>VLOOKUP(TableRBRanks3141[[#This Row],[Player]],RB!B:O,9,FALSE)</f>
        <v>0</v>
      </c>
      <c r="Z93" s="86">
        <f>VLOOKUP(TableRBRanks3141[[#This Row],[Player]],RB!B:O,10,FALSE)</f>
        <v>0</v>
      </c>
      <c r="AA93" s="58">
        <f>VLOOKUP(TableRBRanks3141[[#This Row],[Player]],RB!B:O,14,FALSE)</f>
        <v>0</v>
      </c>
      <c r="AB93" s="133">
        <f>IF(VLOOKUP(TableRBRanks3141[[#This Row],[RK]],'Ranks w Proj'!$P:$AB,13,FALSE)&lt;0,0,VLOOKUP(TableRBRanks3141[[#This Row],[RK]],'Ranks w Proj'!$P:$AB,13,FALSE))</f>
        <v>0</v>
      </c>
      <c r="AD93">
        <v>92</v>
      </c>
      <c r="AE93" t="str">
        <f>VLOOKUP(TableWRRanks3242[[#This Row],[RK]],Rankings!A:T,13,FALSE)</f>
        <v>Hunter Renfrow</v>
      </c>
      <c r="AF93" t="str">
        <f>IFERROR(INDEX(TableWRCalcPts[TM],MATCH(TableWRRanks3242[[#This Row],[Player]],TableWRCalcPts[PLAYER],0)),"")</f>
        <v>LV</v>
      </c>
      <c r="AG93">
        <f>IFERROR(INDEX(TableWRCalcPts[BYE],MATCH(TableWRRanks3242[[#This Row],[Player]],TableWRCalcPts[PLAYER],0)),"")</f>
        <v>13</v>
      </c>
      <c r="AH93" s="86">
        <f>VLOOKUP(TableWRRanks3242[[#This Row],[Player]],WR!B:O,4,FALSE)</f>
        <v>0</v>
      </c>
      <c r="AI93" s="86">
        <f>VLOOKUP(TableWRRanks3242[[#This Row],[Player]],WR!B:O,5,FALSE)</f>
        <v>0</v>
      </c>
      <c r="AJ93" s="86">
        <f>VLOOKUP(TableWRRanks3242[[#This Row],[Player]],WR!B:O,6,FALSE)</f>
        <v>60.230897999999989</v>
      </c>
      <c r="AK93" s="86">
        <f>VLOOKUP(TableWRRanks3242[[#This Row],[Player]],WR!B:O,7,FALSE)</f>
        <v>45.578120404055198</v>
      </c>
      <c r="AL93" s="86">
        <f>VLOOKUP(TableWRRanks3242[[#This Row],[Player]],WR!B:O,8,FALSE)</f>
        <v>467.24420400302046</v>
      </c>
      <c r="AM93" s="86">
        <f>VLOOKUP(TableWRRanks3242[[#This Row],[Player]],WR!B:O,9,FALSE)</f>
        <v>2.5067966222230358</v>
      </c>
      <c r="AN93" s="58">
        <f>VLOOKUP(TableWRRanks3242[[#This Row],[Player]],WR!B:O,13,FALSE)</f>
        <v>84.554260335667863</v>
      </c>
      <c r="AO93" s="133">
        <f>IF(VLOOKUP(TableWRRanks3242[[#This Row],[RK]],'Ranks w Proj'!AD:AO,12,FALSE)&lt;0,0,VLOOKUP(TableWRRanks3242[[#This Row],[RK]],'Ranks w Proj'!AD:AO,12,FALSE))</f>
        <v>0</v>
      </c>
      <c r="AQ93">
        <v>92</v>
      </c>
      <c r="AR93">
        <f>VLOOKUP(TableTERanks3343[[#This Row],[RK]],Rankings!A:T,18,FALSE)</f>
        <v>0</v>
      </c>
      <c r="AS93" t="str">
        <f>IFERROR(INDEX(TableTECalcPts[TM],MATCH(TableTERanks3343[[#This Row],[Player]],TableTECalcPts[PLAYER],0)),"")</f>
        <v/>
      </c>
      <c r="AT93" t="str">
        <f>IFERROR(INDEX(TableTECalcPts[BYE],MATCH(TableTERanks3343[[#This Row],[Player]],TableTECalcPts[PLAYER],0)),"")</f>
        <v/>
      </c>
      <c r="AU93" s="86">
        <f>VLOOKUP(TableTERanks3343[[#This Row],[Player]],TE!B:O,4,FALSE)</f>
        <v>0</v>
      </c>
      <c r="AV93" s="86">
        <f>VLOOKUP(TableTERanks3343[[#This Row],[Player]],TE!B:O,5,FALSE)</f>
        <v>0</v>
      </c>
      <c r="AW93" s="86">
        <f>VLOOKUP(TableTERanks3343[[#This Row],[Player]],TE!B:O,6,FALSE)</f>
        <v>0</v>
      </c>
      <c r="AX93" s="86">
        <f>VLOOKUP(TableTERanks3343[[#This Row],[Player]],TE!B:O,7,FALSE)</f>
        <v>0</v>
      </c>
      <c r="AY93" s="58">
        <f>VLOOKUP(TableTERanks3343[[#This Row],[Player]],TE!B:O,11,FALSE)</f>
        <v>0</v>
      </c>
      <c r="AZ93" s="133" t="e">
        <f>IF(VLOOKUP(TableTERanks3343[[#This Row],[RK]],'Ranks w Proj'!AQ:AZ,10,FALSE)&lt;0,0,VLOOKUP(TableTERanks3343[[#This Row],[RK]],'Ranks w Proj'!AQ:AZ,10,FALSE))</f>
        <v>#VALUE!</v>
      </c>
    </row>
    <row r="94" spans="16:52" x14ac:dyDescent="0.2">
      <c r="P94">
        <v>93</v>
      </c>
      <c r="Q94">
        <f>VLOOKUP(TableRBRanks3141[[#This Row],[RK]],Rankings!A:T,8,FALSE)</f>
        <v>0</v>
      </c>
      <c r="R94" t="str">
        <f>IFERROR(INDEX(TableRBCalcPts[TM],MATCH(TableRBRanks3141[[#This Row],[Player]],TableRBCalcPts[PLAYER],0)),"")</f>
        <v/>
      </c>
      <c r="S94" t="str">
        <f>IFERROR(INDEX(TableRBCalcPts[BYE],MATCH(TableRBRanks3141[[#This Row],[Player]],TableRBCalcPts[PLAYER],0)),"")</f>
        <v/>
      </c>
      <c r="T94" s="86">
        <f>VLOOKUP(TableRBRanks3141[[#This Row],[Player]],RB!B:O,4,FALSE)</f>
        <v>0</v>
      </c>
      <c r="U94" s="86">
        <f>VLOOKUP(TableRBRanks3141[[#This Row],[Player]],RB!B:O,5,FALSE)</f>
        <v>0</v>
      </c>
      <c r="V94" s="86">
        <f>VLOOKUP(TableRBRanks3141[[#This Row],[Player]],RB!B:O,6,FALSE)</f>
        <v>0</v>
      </c>
      <c r="W94" s="86">
        <f>VLOOKUP(TableRBRanks3141[[#This Row],[Player]],RB!B:O,7,FALSE)</f>
        <v>0</v>
      </c>
      <c r="X94" s="86">
        <f>VLOOKUP(TableRBRanks3141[[#This Row],[Player]],RB!B:O,8,FALSE)</f>
        <v>0</v>
      </c>
      <c r="Y94" s="86">
        <f>VLOOKUP(TableRBRanks3141[[#This Row],[Player]],RB!B:O,9,FALSE)</f>
        <v>0</v>
      </c>
      <c r="Z94" s="86">
        <f>VLOOKUP(TableRBRanks3141[[#This Row],[Player]],RB!B:O,10,FALSE)</f>
        <v>0</v>
      </c>
      <c r="AA94" s="58">
        <f>VLOOKUP(TableRBRanks3141[[#This Row],[Player]],RB!B:O,14,FALSE)</f>
        <v>0</v>
      </c>
      <c r="AB94" s="133">
        <f>IF(VLOOKUP(TableRBRanks3141[[#This Row],[RK]],'Ranks w Proj'!$P:$AB,13,FALSE)&lt;0,0,VLOOKUP(TableRBRanks3141[[#This Row],[RK]],'Ranks w Proj'!$P:$AB,13,FALSE))</f>
        <v>0</v>
      </c>
      <c r="AD94">
        <v>93</v>
      </c>
      <c r="AE94" t="str">
        <f>VLOOKUP(TableWRRanks3242[[#This Row],[RK]],Rankings!A:T,13,FALSE)</f>
        <v>Terrace Marshall</v>
      </c>
      <c r="AF94" t="str">
        <f>IFERROR(INDEX(TableWRCalcPts[TM],MATCH(TableWRRanks3242[[#This Row],[Player]],TableWRCalcPts[PLAYER],0)),"")</f>
        <v>CAR</v>
      </c>
      <c r="AG94">
        <f>IFERROR(INDEX(TableWRCalcPts[BYE],MATCH(TableWRRanks3242[[#This Row],[Player]],TableWRCalcPts[PLAYER],0)),"")</f>
        <v>7</v>
      </c>
      <c r="AH94" s="86">
        <f>VLOOKUP(TableWRRanks3242[[#This Row],[Player]],WR!B:O,4,FALSE)</f>
        <v>0</v>
      </c>
      <c r="AI94" s="86">
        <f>VLOOKUP(TableWRRanks3242[[#This Row],[Player]],WR!B:O,5,FALSE)</f>
        <v>0</v>
      </c>
      <c r="AJ94" s="86">
        <f>VLOOKUP(TableWRRanks3242[[#This Row],[Player]],WR!B:O,6,FALSE)</f>
        <v>61.78661369999999</v>
      </c>
      <c r="AK94" s="86">
        <f>VLOOKUP(TableWRRanks3242[[#This Row],[Player]],WR!B:O,7,FALSE)</f>
        <v>34.240131916239953</v>
      </c>
      <c r="AL94" s="86">
        <f>VLOOKUP(TableWRRanks3242[[#This Row],[Player]],WR!B:O,8,FALSE)</f>
        <v>486.55227452976976</v>
      </c>
      <c r="AM94" s="86">
        <f>VLOOKUP(TableWRRanks3242[[#This Row],[Player]],WR!B:O,9,FALSE)</f>
        <v>2.3283289703043168</v>
      </c>
      <c r="AN94" s="58">
        <f>VLOOKUP(TableWRRanks3242[[#This Row],[Player]],WR!B:O,13,FALSE)</f>
        <v>79.745267232922856</v>
      </c>
      <c r="AO94" s="133">
        <f>IF(VLOOKUP(TableWRRanks3242[[#This Row],[RK]],'Ranks w Proj'!AD:AO,12,FALSE)&lt;0,0,VLOOKUP(TableWRRanks3242[[#This Row],[RK]],'Ranks w Proj'!AD:AO,12,FALSE))</f>
        <v>0</v>
      </c>
      <c r="AQ94">
        <v>93</v>
      </c>
      <c r="AR94">
        <f>VLOOKUP(TableTERanks3343[[#This Row],[RK]],Rankings!A:T,18,FALSE)</f>
        <v>0</v>
      </c>
      <c r="AS94" t="str">
        <f>IFERROR(INDEX(TableTECalcPts[TM],MATCH(TableTERanks3343[[#This Row],[Player]],TableTECalcPts[PLAYER],0)),"")</f>
        <v/>
      </c>
      <c r="AT94" t="str">
        <f>IFERROR(INDEX(TableTECalcPts[BYE],MATCH(TableTERanks3343[[#This Row],[Player]],TableTECalcPts[PLAYER],0)),"")</f>
        <v/>
      </c>
      <c r="AU94" s="86">
        <f>VLOOKUP(TableTERanks3343[[#This Row],[Player]],TE!B:O,4,FALSE)</f>
        <v>0</v>
      </c>
      <c r="AV94" s="86">
        <f>VLOOKUP(TableTERanks3343[[#This Row],[Player]],TE!B:O,5,FALSE)</f>
        <v>0</v>
      </c>
      <c r="AW94" s="86">
        <f>VLOOKUP(TableTERanks3343[[#This Row],[Player]],TE!B:O,6,FALSE)</f>
        <v>0</v>
      </c>
      <c r="AX94" s="86">
        <f>VLOOKUP(TableTERanks3343[[#This Row],[Player]],TE!B:O,7,FALSE)</f>
        <v>0</v>
      </c>
      <c r="AY94" s="58">
        <f>VLOOKUP(TableTERanks3343[[#This Row],[Player]],TE!B:O,11,FALSE)</f>
        <v>0</v>
      </c>
      <c r="AZ94" s="133" t="e">
        <f>IF(VLOOKUP(TableTERanks3343[[#This Row],[RK]],'Ranks w Proj'!AQ:AZ,10,FALSE)&lt;0,0,VLOOKUP(TableTERanks3343[[#This Row],[RK]],'Ranks w Proj'!AQ:AZ,10,FALSE))</f>
        <v>#VALUE!</v>
      </c>
    </row>
    <row r="95" spans="16:52" x14ac:dyDescent="0.2">
      <c r="P95">
        <v>94</v>
      </c>
      <c r="Q95">
        <f>VLOOKUP(TableRBRanks3141[[#This Row],[RK]],Rankings!A:T,8,FALSE)</f>
        <v>0</v>
      </c>
      <c r="R95" t="str">
        <f>IFERROR(INDEX(TableRBCalcPts[TM],MATCH(TableRBRanks3141[[#This Row],[Player]],TableRBCalcPts[PLAYER],0)),"")</f>
        <v/>
      </c>
      <c r="S95" t="str">
        <f>IFERROR(INDEX(TableRBCalcPts[BYE],MATCH(TableRBRanks3141[[#This Row],[Player]],TableRBCalcPts[PLAYER],0)),"")</f>
        <v/>
      </c>
      <c r="T95" s="86">
        <f>VLOOKUP(TableRBRanks3141[[#This Row],[Player]],RB!B:O,4,FALSE)</f>
        <v>0</v>
      </c>
      <c r="U95" s="86">
        <f>VLOOKUP(TableRBRanks3141[[#This Row],[Player]],RB!B:O,5,FALSE)</f>
        <v>0</v>
      </c>
      <c r="V95" s="86">
        <f>VLOOKUP(TableRBRanks3141[[#This Row],[Player]],RB!B:O,6,FALSE)</f>
        <v>0</v>
      </c>
      <c r="W95" s="86">
        <f>VLOOKUP(TableRBRanks3141[[#This Row],[Player]],RB!B:O,7,FALSE)</f>
        <v>0</v>
      </c>
      <c r="X95" s="86">
        <f>VLOOKUP(TableRBRanks3141[[#This Row],[Player]],RB!B:O,8,FALSE)</f>
        <v>0</v>
      </c>
      <c r="Y95" s="86">
        <f>VLOOKUP(TableRBRanks3141[[#This Row],[Player]],RB!B:O,9,FALSE)</f>
        <v>0</v>
      </c>
      <c r="Z95" s="86">
        <f>VLOOKUP(TableRBRanks3141[[#This Row],[Player]],RB!B:O,10,FALSE)</f>
        <v>0</v>
      </c>
      <c r="AA95" s="58">
        <f>VLOOKUP(TableRBRanks3141[[#This Row],[Player]],RB!B:O,14,FALSE)</f>
        <v>0</v>
      </c>
      <c r="AB95" s="133">
        <f>IF(VLOOKUP(TableRBRanks3141[[#This Row],[RK]],'Ranks w Proj'!$P:$AB,13,FALSE)&lt;0,0,VLOOKUP(TableRBRanks3141[[#This Row],[RK]],'Ranks w Proj'!$P:$AB,13,FALSE))</f>
        <v>0</v>
      </c>
      <c r="AD95">
        <v>94</v>
      </c>
      <c r="AE95" t="str">
        <f>VLOOKUP(TableWRRanks3242[[#This Row],[RK]],Rankings!A:T,13,FALSE)</f>
        <v>Chase Claypool</v>
      </c>
      <c r="AF95" t="str">
        <f>IFERROR(INDEX(TableWRCalcPts[TM],MATCH(TableWRRanks3242[[#This Row],[Player]],TableWRCalcPts[PLAYER],0)),"")</f>
        <v>CHI</v>
      </c>
      <c r="AG95">
        <f>IFERROR(INDEX(TableWRCalcPts[BYE],MATCH(TableWRRanks3242[[#This Row],[Player]],TableWRCalcPts[PLAYER],0)),"")</f>
        <v>13</v>
      </c>
      <c r="AH95" s="86">
        <f>VLOOKUP(TableWRRanks3242[[#This Row],[Player]],WR!B:O,4,FALSE)</f>
        <v>0</v>
      </c>
      <c r="AI95" s="86">
        <f>VLOOKUP(TableWRRanks3242[[#This Row],[Player]],WR!B:O,5,FALSE)</f>
        <v>0</v>
      </c>
      <c r="AJ95" s="86">
        <f>VLOOKUP(TableWRRanks3242[[#This Row],[Player]],WR!B:O,6,FALSE)</f>
        <v>56.450328479999989</v>
      </c>
      <c r="AK95" s="86">
        <f>VLOOKUP(TableWRRanks3242[[#This Row],[Player]],WR!B:O,7,FALSE)</f>
        <v>32.947886867375303</v>
      </c>
      <c r="AL95" s="86">
        <f>VLOOKUP(TableWRRanks3242[[#This Row],[Player]],WR!B:O,8,FALSE)</f>
        <v>416.91079972049295</v>
      </c>
      <c r="AM95" s="86">
        <f>VLOOKUP(TableWRRanks3242[[#This Row],[Player]],WR!B:O,9,FALSE)</f>
        <v>3.3277365736049056</v>
      </c>
      <c r="AN95" s="58">
        <f>VLOOKUP(TableWRRanks3242[[#This Row],[Player]],WR!B:O,13,FALSE)</f>
        <v>78.131442847366372</v>
      </c>
      <c r="AO95" s="133">
        <f>IF(VLOOKUP(TableWRRanks3242[[#This Row],[RK]],'Ranks w Proj'!AD:AO,12,FALSE)&lt;0,0,VLOOKUP(TableWRRanks3242[[#This Row],[RK]],'Ranks w Proj'!AD:AO,12,FALSE))</f>
        <v>0</v>
      </c>
      <c r="AQ95">
        <v>94</v>
      </c>
      <c r="AR95">
        <f>VLOOKUP(TableTERanks3343[[#This Row],[RK]],Rankings!A:T,18,FALSE)</f>
        <v>0</v>
      </c>
      <c r="AS95" t="str">
        <f>IFERROR(INDEX(TableTECalcPts[TM],MATCH(TableTERanks3343[[#This Row],[Player]],TableTECalcPts[PLAYER],0)),"")</f>
        <v/>
      </c>
      <c r="AT95" t="str">
        <f>IFERROR(INDEX(TableTECalcPts[BYE],MATCH(TableTERanks3343[[#This Row],[Player]],TableTECalcPts[PLAYER],0)),"")</f>
        <v/>
      </c>
      <c r="AU95" s="86">
        <f>VLOOKUP(TableTERanks3343[[#This Row],[Player]],TE!B:O,4,FALSE)</f>
        <v>0</v>
      </c>
      <c r="AV95" s="86">
        <f>VLOOKUP(TableTERanks3343[[#This Row],[Player]],TE!B:O,5,FALSE)</f>
        <v>0</v>
      </c>
      <c r="AW95" s="86">
        <f>VLOOKUP(TableTERanks3343[[#This Row],[Player]],TE!B:O,6,FALSE)</f>
        <v>0</v>
      </c>
      <c r="AX95" s="86">
        <f>VLOOKUP(TableTERanks3343[[#This Row],[Player]],TE!B:O,7,FALSE)</f>
        <v>0</v>
      </c>
      <c r="AY95" s="58">
        <f>VLOOKUP(TableTERanks3343[[#This Row],[Player]],TE!B:O,11,FALSE)</f>
        <v>0</v>
      </c>
      <c r="AZ95" s="133" t="e">
        <f>IF(VLOOKUP(TableTERanks3343[[#This Row],[RK]],'Ranks w Proj'!AQ:AZ,10,FALSE)&lt;0,0,VLOOKUP(TableTERanks3343[[#This Row],[RK]],'Ranks w Proj'!AQ:AZ,10,FALSE))</f>
        <v>#VALUE!</v>
      </c>
    </row>
    <row r="96" spans="16:52" x14ac:dyDescent="0.2">
      <c r="P96">
        <v>95</v>
      </c>
      <c r="Q96">
        <f>VLOOKUP(TableRBRanks3141[[#This Row],[RK]],Rankings!A:T,8,FALSE)</f>
        <v>0</v>
      </c>
      <c r="R96" t="str">
        <f>IFERROR(INDEX(TableRBCalcPts[TM],MATCH(TableRBRanks3141[[#This Row],[Player]],TableRBCalcPts[PLAYER],0)),"")</f>
        <v/>
      </c>
      <c r="S96" t="str">
        <f>IFERROR(INDEX(TableRBCalcPts[BYE],MATCH(TableRBRanks3141[[#This Row],[Player]],TableRBCalcPts[PLAYER],0)),"")</f>
        <v/>
      </c>
      <c r="T96" s="86">
        <f>VLOOKUP(TableRBRanks3141[[#This Row],[Player]],RB!B:O,4,FALSE)</f>
        <v>0</v>
      </c>
      <c r="U96" s="86">
        <f>VLOOKUP(TableRBRanks3141[[#This Row],[Player]],RB!B:O,5,FALSE)</f>
        <v>0</v>
      </c>
      <c r="V96" s="86">
        <f>VLOOKUP(TableRBRanks3141[[#This Row],[Player]],RB!B:O,6,FALSE)</f>
        <v>0</v>
      </c>
      <c r="W96" s="86">
        <f>VLOOKUP(TableRBRanks3141[[#This Row],[Player]],RB!B:O,7,FALSE)</f>
        <v>0</v>
      </c>
      <c r="X96" s="86">
        <f>VLOOKUP(TableRBRanks3141[[#This Row],[Player]],RB!B:O,8,FALSE)</f>
        <v>0</v>
      </c>
      <c r="Y96" s="86">
        <f>VLOOKUP(TableRBRanks3141[[#This Row],[Player]],RB!B:O,9,FALSE)</f>
        <v>0</v>
      </c>
      <c r="Z96" s="86">
        <f>VLOOKUP(TableRBRanks3141[[#This Row],[Player]],RB!B:O,10,FALSE)</f>
        <v>0</v>
      </c>
      <c r="AA96" s="58">
        <f>VLOOKUP(TableRBRanks3141[[#This Row],[Player]],RB!B:O,14,FALSE)</f>
        <v>0</v>
      </c>
      <c r="AB96" s="133">
        <f>IF(VLOOKUP(TableRBRanks3141[[#This Row],[RK]],'Ranks w Proj'!$P:$AB,13,FALSE)&lt;0,0,VLOOKUP(TableRBRanks3141[[#This Row],[RK]],'Ranks w Proj'!$P:$AB,13,FALSE))</f>
        <v>0</v>
      </c>
      <c r="AD96">
        <v>95</v>
      </c>
      <c r="AE96" t="str">
        <f>VLOOKUP(TableWRRanks3242[[#This Row],[RK]],Rankings!A:T,13,FALSE)</f>
        <v>Mack Hollins</v>
      </c>
      <c r="AF96" t="str">
        <f>IFERROR(INDEX(TableWRCalcPts[TM],MATCH(TableWRRanks3242[[#This Row],[Player]],TableWRCalcPts[PLAYER],0)),"")</f>
        <v>ATL</v>
      </c>
      <c r="AG96">
        <f>IFERROR(INDEX(TableWRCalcPts[BYE],MATCH(TableWRRanks3242[[#This Row],[Player]],TableWRCalcPts[PLAYER],0)),"")</f>
        <v>11</v>
      </c>
      <c r="AH96" s="86">
        <f>VLOOKUP(TableWRRanks3242[[#This Row],[Player]],WR!B:O,4,FALSE)</f>
        <v>0</v>
      </c>
      <c r="AI96" s="86">
        <f>VLOOKUP(TableWRRanks3242[[#This Row],[Player]],WR!B:O,5,FALSE)</f>
        <v>0</v>
      </c>
      <c r="AJ96" s="86">
        <f>VLOOKUP(TableWRRanks3242[[#This Row],[Player]],WR!B:O,6,FALSE)</f>
        <v>60.187115519999978</v>
      </c>
      <c r="AK96" s="86">
        <f>VLOOKUP(TableWRRanks3242[[#This Row],[Player]],WR!B:O,7,FALSE)</f>
        <v>35.686350564995593</v>
      </c>
      <c r="AL96" s="86">
        <f>VLOOKUP(TableWRRanks3242[[#This Row],[Player]],WR!B:O,8,FALSE)</f>
        <v>426.45188925169731</v>
      </c>
      <c r="AM96" s="86">
        <f>VLOOKUP(TableWRRanks3242[[#This Row],[Player]],WR!B:O,9,FALSE)</f>
        <v>2.7835353440696564</v>
      </c>
      <c r="AN96" s="58">
        <f>VLOOKUP(TableWRRanks3242[[#This Row],[Player]],WR!B:O,13,FALSE)</f>
        <v>77.189576272085475</v>
      </c>
      <c r="AO96" s="133">
        <f>IF(VLOOKUP(TableWRRanks3242[[#This Row],[RK]],'Ranks w Proj'!AD:AO,12,FALSE)&lt;0,0,VLOOKUP(TableWRRanks3242[[#This Row],[RK]],'Ranks w Proj'!AD:AO,12,FALSE))</f>
        <v>0</v>
      </c>
      <c r="AQ96">
        <v>95</v>
      </c>
      <c r="AR96">
        <f>VLOOKUP(TableTERanks3343[[#This Row],[RK]],Rankings!A:T,18,FALSE)</f>
        <v>0</v>
      </c>
      <c r="AS96" t="str">
        <f>IFERROR(INDEX(TableTECalcPts[TM],MATCH(TableTERanks3343[[#This Row],[Player]],TableTECalcPts[PLAYER],0)),"")</f>
        <v/>
      </c>
      <c r="AT96" t="str">
        <f>IFERROR(INDEX(TableTECalcPts[BYE],MATCH(TableTERanks3343[[#This Row],[Player]],TableTECalcPts[PLAYER],0)),"")</f>
        <v/>
      </c>
      <c r="AU96" s="86">
        <f>VLOOKUP(TableTERanks3343[[#This Row],[Player]],TE!B:O,4,FALSE)</f>
        <v>0</v>
      </c>
      <c r="AV96" s="86">
        <f>VLOOKUP(TableTERanks3343[[#This Row],[Player]],TE!B:O,5,FALSE)</f>
        <v>0</v>
      </c>
      <c r="AW96" s="86">
        <f>VLOOKUP(TableTERanks3343[[#This Row],[Player]],TE!B:O,6,FALSE)</f>
        <v>0</v>
      </c>
      <c r="AX96" s="86">
        <f>VLOOKUP(TableTERanks3343[[#This Row],[Player]],TE!B:O,7,FALSE)</f>
        <v>0</v>
      </c>
      <c r="AY96" s="58">
        <f>VLOOKUP(TableTERanks3343[[#This Row],[Player]],TE!B:O,11,FALSE)</f>
        <v>0</v>
      </c>
      <c r="AZ96" s="133" t="e">
        <f>IF(VLOOKUP(TableTERanks3343[[#This Row],[RK]],'Ranks w Proj'!AQ:AZ,10,FALSE)&lt;0,0,VLOOKUP(TableTERanks3343[[#This Row],[RK]],'Ranks w Proj'!AQ:AZ,10,FALSE))</f>
        <v>#VALUE!</v>
      </c>
    </row>
    <row r="97" spans="16:52" x14ac:dyDescent="0.2">
      <c r="P97">
        <v>96</v>
      </c>
      <c r="Q97">
        <f>VLOOKUP(TableRBRanks3141[[#This Row],[RK]],Rankings!A:T,8,FALSE)</f>
        <v>0</v>
      </c>
      <c r="R97" t="str">
        <f>IFERROR(INDEX(TableRBCalcPts[TM],MATCH(TableRBRanks3141[[#This Row],[Player]],TableRBCalcPts[PLAYER],0)),"")</f>
        <v/>
      </c>
      <c r="S97" t="str">
        <f>IFERROR(INDEX(TableRBCalcPts[BYE],MATCH(TableRBRanks3141[[#This Row],[Player]],TableRBCalcPts[PLAYER],0)),"")</f>
        <v/>
      </c>
      <c r="T97" s="86">
        <f>VLOOKUP(TableRBRanks3141[[#This Row],[Player]],RB!B:O,4,FALSE)</f>
        <v>0</v>
      </c>
      <c r="U97" s="86">
        <f>VLOOKUP(TableRBRanks3141[[#This Row],[Player]],RB!B:O,5,FALSE)</f>
        <v>0</v>
      </c>
      <c r="V97" s="86">
        <f>VLOOKUP(TableRBRanks3141[[#This Row],[Player]],RB!B:O,6,FALSE)</f>
        <v>0</v>
      </c>
      <c r="W97" s="86">
        <f>VLOOKUP(TableRBRanks3141[[#This Row],[Player]],RB!B:O,7,FALSE)</f>
        <v>0</v>
      </c>
      <c r="X97" s="86">
        <f>VLOOKUP(TableRBRanks3141[[#This Row],[Player]],RB!B:O,8,FALSE)</f>
        <v>0</v>
      </c>
      <c r="Y97" s="86">
        <f>VLOOKUP(TableRBRanks3141[[#This Row],[Player]],RB!B:O,9,FALSE)</f>
        <v>0</v>
      </c>
      <c r="Z97" s="86">
        <f>VLOOKUP(TableRBRanks3141[[#This Row],[Player]],RB!B:O,10,FALSE)</f>
        <v>0</v>
      </c>
      <c r="AA97" s="58">
        <f>VLOOKUP(TableRBRanks3141[[#This Row],[Player]],RB!B:O,14,FALSE)</f>
        <v>0</v>
      </c>
      <c r="AB97" s="133">
        <f>IF(VLOOKUP(TableRBRanks3141[[#This Row],[RK]],'Ranks w Proj'!$P:$AB,13,FALSE)&lt;0,0,VLOOKUP(TableRBRanks3141[[#This Row],[RK]],'Ranks w Proj'!$P:$AB,13,FALSE))</f>
        <v>0</v>
      </c>
      <c r="AD97">
        <v>96</v>
      </c>
      <c r="AE97" t="str">
        <f>VLOOKUP(TableWRRanks3242[[#This Row],[RK]],Rankings!A:T,13,FALSE)</f>
        <v>John Metchie</v>
      </c>
      <c r="AF97" t="str">
        <f>IFERROR(INDEX(TableWRCalcPts[TM],MATCH(TableWRRanks3242[[#This Row],[Player]],TableWRCalcPts[PLAYER],0)),"")</f>
        <v>HOU</v>
      </c>
      <c r="AG97">
        <f>IFERROR(INDEX(TableWRCalcPts[BYE],MATCH(TableWRRanks3242[[#This Row],[Player]],TableWRCalcPts[PLAYER],0)),"")</f>
        <v>7</v>
      </c>
      <c r="AH97" s="86">
        <f>VLOOKUP(TableWRRanks3242[[#This Row],[Player]],WR!B:O,4,FALSE)</f>
        <v>0</v>
      </c>
      <c r="AI97" s="86">
        <f>VLOOKUP(TableWRRanks3242[[#This Row],[Player]],WR!B:O,5,FALSE)</f>
        <v>0</v>
      </c>
      <c r="AJ97" s="86">
        <f>VLOOKUP(TableWRRanks3242[[#This Row],[Player]],WR!B:O,6,FALSE)</f>
        <v>57.467403839999996</v>
      </c>
      <c r="AK97" s="86">
        <f>VLOOKUP(TableWRRanks3242[[#This Row],[Player]],WR!B:O,7,FALSE)</f>
        <v>34.325522061748764</v>
      </c>
      <c r="AL97" s="86">
        <f>VLOOKUP(TableWRRanks3242[[#This Row],[Player]],WR!B:O,8,FALSE)</f>
        <v>409.84673341728023</v>
      </c>
      <c r="AM97" s="86">
        <f>VLOOKUP(TableWRRanks3242[[#This Row],[Player]],WR!B:O,9,FALSE)</f>
        <v>2.5057631105076594</v>
      </c>
      <c r="AN97" s="58">
        <f>VLOOKUP(TableWRRanks3242[[#This Row],[Player]],WR!B:O,13,FALSE)</f>
        <v>73.182013035648367</v>
      </c>
      <c r="AO97" s="133">
        <f>IF(VLOOKUP(TableWRRanks3242[[#This Row],[RK]],'Ranks w Proj'!AD:AO,12,FALSE)&lt;0,0,VLOOKUP(TableWRRanks3242[[#This Row],[RK]],'Ranks w Proj'!AD:AO,12,FALSE))</f>
        <v>0</v>
      </c>
      <c r="AQ97">
        <v>96</v>
      </c>
      <c r="AR97">
        <f>VLOOKUP(TableTERanks3343[[#This Row],[RK]],Rankings!A:T,18,FALSE)</f>
        <v>0</v>
      </c>
      <c r="AS97" t="str">
        <f>IFERROR(INDEX(TableTECalcPts[TM],MATCH(TableTERanks3343[[#This Row],[Player]],TableTECalcPts[PLAYER],0)),"")</f>
        <v/>
      </c>
      <c r="AT97" t="str">
        <f>IFERROR(INDEX(TableTECalcPts[BYE],MATCH(TableTERanks3343[[#This Row],[Player]],TableTECalcPts[PLAYER],0)),"")</f>
        <v/>
      </c>
      <c r="AU97" s="86">
        <f>VLOOKUP(TableTERanks3343[[#This Row],[Player]],TE!B:O,4,FALSE)</f>
        <v>0</v>
      </c>
      <c r="AV97" s="86">
        <f>VLOOKUP(TableTERanks3343[[#This Row],[Player]],TE!B:O,5,FALSE)</f>
        <v>0</v>
      </c>
      <c r="AW97" s="86">
        <f>VLOOKUP(TableTERanks3343[[#This Row],[Player]],TE!B:O,6,FALSE)</f>
        <v>0</v>
      </c>
      <c r="AX97" s="86">
        <f>VLOOKUP(TableTERanks3343[[#This Row],[Player]],TE!B:O,7,FALSE)</f>
        <v>0</v>
      </c>
      <c r="AY97" s="58">
        <f>VLOOKUP(TableTERanks3343[[#This Row],[Player]],TE!B:O,11,FALSE)</f>
        <v>0</v>
      </c>
      <c r="AZ97" s="133" t="e">
        <f>IF(VLOOKUP(TableTERanks3343[[#This Row],[RK]],'Ranks w Proj'!AQ:AZ,10,FALSE)&lt;0,0,VLOOKUP(TableTERanks3343[[#This Row],[RK]],'Ranks w Proj'!AQ:AZ,10,FALSE))</f>
        <v>#VALUE!</v>
      </c>
    </row>
    <row r="98" spans="16:52" x14ac:dyDescent="0.2">
      <c r="P98">
        <v>97</v>
      </c>
      <c r="Q98">
        <f>VLOOKUP(TableRBRanks3141[[#This Row],[RK]],Rankings!A:T,8,FALSE)</f>
        <v>0</v>
      </c>
      <c r="R98" t="str">
        <f>IFERROR(INDEX(TableRBCalcPts[TM],MATCH(TableRBRanks3141[[#This Row],[Player]],TableRBCalcPts[PLAYER],0)),"")</f>
        <v/>
      </c>
      <c r="S98" t="str">
        <f>IFERROR(INDEX(TableRBCalcPts[BYE],MATCH(TableRBRanks3141[[#This Row],[Player]],TableRBCalcPts[PLAYER],0)),"")</f>
        <v/>
      </c>
      <c r="T98" s="86">
        <f>VLOOKUP(TableRBRanks3141[[#This Row],[Player]],RB!B:O,4,FALSE)</f>
        <v>0</v>
      </c>
      <c r="U98" s="86">
        <f>VLOOKUP(TableRBRanks3141[[#This Row],[Player]],RB!B:O,5,FALSE)</f>
        <v>0</v>
      </c>
      <c r="V98" s="86">
        <f>VLOOKUP(TableRBRanks3141[[#This Row],[Player]],RB!B:O,6,FALSE)</f>
        <v>0</v>
      </c>
      <c r="W98" s="86">
        <f>VLOOKUP(TableRBRanks3141[[#This Row],[Player]],RB!B:O,7,FALSE)</f>
        <v>0</v>
      </c>
      <c r="X98" s="86">
        <f>VLOOKUP(TableRBRanks3141[[#This Row],[Player]],RB!B:O,8,FALSE)</f>
        <v>0</v>
      </c>
      <c r="Y98" s="86">
        <f>VLOOKUP(TableRBRanks3141[[#This Row],[Player]],RB!B:O,9,FALSE)</f>
        <v>0</v>
      </c>
      <c r="Z98" s="86">
        <f>VLOOKUP(TableRBRanks3141[[#This Row],[Player]],RB!B:O,10,FALSE)</f>
        <v>0</v>
      </c>
      <c r="AA98" s="58">
        <f>VLOOKUP(TableRBRanks3141[[#This Row],[Player]],RB!B:O,14,FALSE)</f>
        <v>0</v>
      </c>
      <c r="AB98" s="133">
        <f>IF(VLOOKUP(TableRBRanks3141[[#This Row],[RK]],'Ranks w Proj'!$P:$AB,13,FALSE)&lt;0,0,VLOOKUP(TableRBRanks3141[[#This Row],[RK]],'Ranks w Proj'!$P:$AB,13,FALSE))</f>
        <v>0</v>
      </c>
      <c r="AD98">
        <v>97</v>
      </c>
      <c r="AE98" t="str">
        <f>VLOOKUP(TableWRRanks3242[[#This Row],[RK]],Rankings!A:T,13,FALSE)</f>
        <v>Randall Cobb</v>
      </c>
      <c r="AF98" t="str">
        <f>IFERROR(INDEX(TableWRCalcPts[TM],MATCH(TableWRRanks3242[[#This Row],[Player]],TableWRCalcPts[PLAYER],0)),"")</f>
        <v>NYJ</v>
      </c>
      <c r="AG98">
        <f>IFERROR(INDEX(TableWRCalcPts[BYE],MATCH(TableWRRanks3242[[#This Row],[Player]],TableWRCalcPts[PLAYER],0)),"")</f>
        <v>7</v>
      </c>
      <c r="AH98" s="86">
        <f>VLOOKUP(TableWRRanks3242[[#This Row],[Player]],WR!B:O,4,FALSE)</f>
        <v>0</v>
      </c>
      <c r="AI98" s="86">
        <f>VLOOKUP(TableWRRanks3242[[#This Row],[Player]],WR!B:O,5,FALSE)</f>
        <v>0</v>
      </c>
      <c r="AJ98" s="86">
        <f>VLOOKUP(TableWRRanks3242[[#This Row],[Player]],WR!B:O,6,FALSE)</f>
        <v>58.262185799999997</v>
      </c>
      <c r="AK98" s="86">
        <f>VLOOKUP(TableWRRanks3242[[#This Row],[Player]],WR!B:O,7,FALSE)</f>
        <v>36.23017611777351</v>
      </c>
      <c r="AL98" s="86">
        <f>VLOOKUP(TableWRRanks3242[[#This Row],[Player]],WR!B:O,8,FALSE)</f>
        <v>382.95296156486603</v>
      </c>
      <c r="AM98" s="86">
        <f>VLOOKUP(TableWRRanks3242[[#This Row],[Player]],WR!B:O,9,FALSE)</f>
        <v>2.5361123282441458</v>
      </c>
      <c r="AN98" s="58">
        <f>VLOOKUP(TableWRRanks3242[[#This Row],[Player]],WR!B:O,13,FALSE)</f>
        <v>71.627058184838234</v>
      </c>
      <c r="AO98" s="133">
        <f>IF(VLOOKUP(TableWRRanks3242[[#This Row],[RK]],'Ranks w Proj'!AD:AO,12,FALSE)&lt;0,0,VLOOKUP(TableWRRanks3242[[#This Row],[RK]],'Ranks w Proj'!AD:AO,12,FALSE))</f>
        <v>0</v>
      </c>
      <c r="AQ98">
        <v>97</v>
      </c>
      <c r="AR98">
        <f>VLOOKUP(TableTERanks3343[[#This Row],[RK]],Rankings!A:T,18,FALSE)</f>
        <v>0</v>
      </c>
      <c r="AS98" t="str">
        <f>IFERROR(INDEX(TableTECalcPts[TM],MATCH(TableTERanks3343[[#This Row],[Player]],TableTECalcPts[PLAYER],0)),"")</f>
        <v/>
      </c>
      <c r="AT98" t="str">
        <f>IFERROR(INDEX(TableTECalcPts[BYE],MATCH(TableTERanks3343[[#This Row],[Player]],TableTECalcPts[PLAYER],0)),"")</f>
        <v/>
      </c>
      <c r="AU98" s="86">
        <f>VLOOKUP(TableTERanks3343[[#This Row],[Player]],TE!B:O,4,FALSE)</f>
        <v>0</v>
      </c>
      <c r="AV98" s="86">
        <f>VLOOKUP(TableTERanks3343[[#This Row],[Player]],TE!B:O,5,FALSE)</f>
        <v>0</v>
      </c>
      <c r="AW98" s="86">
        <f>VLOOKUP(TableTERanks3343[[#This Row],[Player]],TE!B:O,6,FALSE)</f>
        <v>0</v>
      </c>
      <c r="AX98" s="86">
        <f>VLOOKUP(TableTERanks3343[[#This Row],[Player]],TE!B:O,7,FALSE)</f>
        <v>0</v>
      </c>
      <c r="AY98" s="58">
        <f>VLOOKUP(TableTERanks3343[[#This Row],[Player]],TE!B:O,11,FALSE)</f>
        <v>0</v>
      </c>
      <c r="AZ98" s="133" t="e">
        <f>IF(VLOOKUP(TableTERanks3343[[#This Row],[RK]],'Ranks w Proj'!AQ:AZ,10,FALSE)&lt;0,0,VLOOKUP(TableTERanks3343[[#This Row],[RK]],'Ranks w Proj'!AQ:AZ,10,FALSE))</f>
        <v>#VALUE!</v>
      </c>
    </row>
    <row r="99" spans="16:52" x14ac:dyDescent="0.2">
      <c r="P99">
        <v>98</v>
      </c>
      <c r="Q99">
        <f>VLOOKUP(TableRBRanks3141[[#This Row],[RK]],Rankings!A:T,8,FALSE)</f>
        <v>0</v>
      </c>
      <c r="R99" t="str">
        <f>IFERROR(INDEX(TableRBCalcPts[TM],MATCH(TableRBRanks3141[[#This Row],[Player]],TableRBCalcPts[PLAYER],0)),"")</f>
        <v/>
      </c>
      <c r="S99" t="str">
        <f>IFERROR(INDEX(TableRBCalcPts[BYE],MATCH(TableRBRanks3141[[#This Row],[Player]],TableRBCalcPts[PLAYER],0)),"")</f>
        <v/>
      </c>
      <c r="T99" s="86">
        <f>VLOOKUP(TableRBRanks3141[[#This Row],[Player]],RB!B:O,4,FALSE)</f>
        <v>0</v>
      </c>
      <c r="U99" s="86">
        <f>VLOOKUP(TableRBRanks3141[[#This Row],[Player]],RB!B:O,5,FALSE)</f>
        <v>0</v>
      </c>
      <c r="V99" s="86">
        <f>VLOOKUP(TableRBRanks3141[[#This Row],[Player]],RB!B:O,6,FALSE)</f>
        <v>0</v>
      </c>
      <c r="W99" s="86">
        <f>VLOOKUP(TableRBRanks3141[[#This Row],[Player]],RB!B:O,7,FALSE)</f>
        <v>0</v>
      </c>
      <c r="X99" s="86">
        <f>VLOOKUP(TableRBRanks3141[[#This Row],[Player]],RB!B:O,8,FALSE)</f>
        <v>0</v>
      </c>
      <c r="Y99" s="86">
        <f>VLOOKUP(TableRBRanks3141[[#This Row],[Player]],RB!B:O,9,FALSE)</f>
        <v>0</v>
      </c>
      <c r="Z99" s="86">
        <f>VLOOKUP(TableRBRanks3141[[#This Row],[Player]],RB!B:O,10,FALSE)</f>
        <v>0</v>
      </c>
      <c r="AA99" s="58">
        <f>VLOOKUP(TableRBRanks3141[[#This Row],[Player]],RB!B:O,14,FALSE)</f>
        <v>0</v>
      </c>
      <c r="AB99" s="133">
        <f>IF(VLOOKUP(TableRBRanks3141[[#This Row],[RK]],'Ranks w Proj'!$P:$AB,13,FALSE)&lt;0,0,VLOOKUP(TableRBRanks3141[[#This Row],[RK]],'Ranks w Proj'!$P:$AB,13,FALSE))</f>
        <v>0</v>
      </c>
      <c r="AD99">
        <v>98</v>
      </c>
      <c r="AE99" t="str">
        <f>VLOOKUP(TableWRRanks3242[[#This Row],[RK]],Rankings!A:T,13,FALSE)</f>
        <v>Nick Westbrook-Ikhine</v>
      </c>
      <c r="AF99" t="str">
        <f>IFERROR(INDEX(TableWRCalcPts[TM],MATCH(TableWRRanks3242[[#This Row],[Player]],TableWRCalcPts[PLAYER],0)),"")</f>
        <v>TEN</v>
      </c>
      <c r="AG99">
        <f>IFERROR(INDEX(TableWRCalcPts[BYE],MATCH(TableWRRanks3242[[#This Row],[Player]],TableWRCalcPts[PLAYER],0)),"")</f>
        <v>7</v>
      </c>
      <c r="AH99" s="86">
        <f>VLOOKUP(TableWRRanks3242[[#This Row],[Player]],WR!B:O,4,FALSE)</f>
        <v>0</v>
      </c>
      <c r="AI99" s="86">
        <f>VLOOKUP(TableWRRanks3242[[#This Row],[Player]],WR!B:O,5,FALSE)</f>
        <v>0</v>
      </c>
      <c r="AJ99" s="86">
        <f>VLOOKUP(TableWRRanks3242[[#This Row],[Player]],WR!B:O,6,FALSE)</f>
        <v>55.784995699999989</v>
      </c>
      <c r="AK99" s="86">
        <f>VLOOKUP(TableWRRanks3242[[#This Row],[Player]],WR!B:O,7,FALSE)</f>
        <v>32.657657317663329</v>
      </c>
      <c r="AL99" s="86">
        <f>VLOOKUP(TableWRRanks3242[[#This Row],[Player]],WR!B:O,8,FALSE)</f>
        <v>426.86754040600385</v>
      </c>
      <c r="AM99" s="86">
        <f>VLOOKUP(TableWRRanks3242[[#This Row],[Player]],WR!B:O,9,FALSE)</f>
        <v>1.6981981805184929</v>
      </c>
      <c r="AN99" s="58">
        <f>VLOOKUP(TableWRRanks3242[[#This Row],[Player]],WR!B:O,13,FALSE)</f>
        <v>69.20477178254302</v>
      </c>
      <c r="AO99" s="133">
        <f>IF(VLOOKUP(TableWRRanks3242[[#This Row],[RK]],'Ranks w Proj'!AD:AO,12,FALSE)&lt;0,0,VLOOKUP(TableWRRanks3242[[#This Row],[RK]],'Ranks w Proj'!AD:AO,12,FALSE))</f>
        <v>0</v>
      </c>
      <c r="AQ99">
        <v>98</v>
      </c>
      <c r="AR99">
        <f>VLOOKUP(TableTERanks3343[[#This Row],[RK]],Rankings!A:T,18,FALSE)</f>
        <v>0</v>
      </c>
      <c r="AS99" t="str">
        <f>IFERROR(INDEX(TableTECalcPts[TM],MATCH(TableTERanks3343[[#This Row],[Player]],TableTECalcPts[PLAYER],0)),"")</f>
        <v/>
      </c>
      <c r="AT99" t="str">
        <f>IFERROR(INDEX(TableTECalcPts[BYE],MATCH(TableTERanks3343[[#This Row],[Player]],TableTECalcPts[PLAYER],0)),"")</f>
        <v/>
      </c>
      <c r="AU99" s="86">
        <f>VLOOKUP(TableTERanks3343[[#This Row],[Player]],TE!B:O,4,FALSE)</f>
        <v>0</v>
      </c>
      <c r="AV99" s="86">
        <f>VLOOKUP(TableTERanks3343[[#This Row],[Player]],TE!B:O,5,FALSE)</f>
        <v>0</v>
      </c>
      <c r="AW99" s="86">
        <f>VLOOKUP(TableTERanks3343[[#This Row],[Player]],TE!B:O,6,FALSE)</f>
        <v>0</v>
      </c>
      <c r="AX99" s="86">
        <f>VLOOKUP(TableTERanks3343[[#This Row],[Player]],TE!B:O,7,FALSE)</f>
        <v>0</v>
      </c>
      <c r="AY99" s="58">
        <f>VLOOKUP(TableTERanks3343[[#This Row],[Player]],TE!B:O,11,FALSE)</f>
        <v>0</v>
      </c>
      <c r="AZ99" s="133" t="e">
        <f>IF(VLOOKUP(TableTERanks3343[[#This Row],[RK]],'Ranks w Proj'!AQ:AZ,10,FALSE)&lt;0,0,VLOOKUP(TableTERanks3343[[#This Row],[RK]],'Ranks w Proj'!AQ:AZ,10,FALSE))</f>
        <v>#VALUE!</v>
      </c>
    </row>
    <row r="100" spans="16:52" x14ac:dyDescent="0.2">
      <c r="P100">
        <v>99</v>
      </c>
      <c r="Q100">
        <f>VLOOKUP(TableRBRanks3141[[#This Row],[RK]],Rankings!A:T,8,FALSE)</f>
        <v>0</v>
      </c>
      <c r="R100" t="str">
        <f>IFERROR(INDEX(TableRBCalcPts[TM],MATCH(TableRBRanks3141[[#This Row],[Player]],TableRBCalcPts[PLAYER],0)),"")</f>
        <v/>
      </c>
      <c r="S100" t="str">
        <f>IFERROR(INDEX(TableRBCalcPts[BYE],MATCH(TableRBRanks3141[[#This Row],[Player]],TableRBCalcPts[PLAYER],0)),"")</f>
        <v/>
      </c>
      <c r="T100" s="86">
        <f>VLOOKUP(TableRBRanks3141[[#This Row],[Player]],RB!B:O,4,FALSE)</f>
        <v>0</v>
      </c>
      <c r="U100" s="86">
        <f>VLOOKUP(TableRBRanks3141[[#This Row],[Player]],RB!B:O,5,FALSE)</f>
        <v>0</v>
      </c>
      <c r="V100" s="86">
        <f>VLOOKUP(TableRBRanks3141[[#This Row],[Player]],RB!B:O,6,FALSE)</f>
        <v>0</v>
      </c>
      <c r="W100" s="86">
        <f>VLOOKUP(TableRBRanks3141[[#This Row],[Player]],RB!B:O,7,FALSE)</f>
        <v>0</v>
      </c>
      <c r="X100" s="86">
        <f>VLOOKUP(TableRBRanks3141[[#This Row],[Player]],RB!B:O,8,FALSE)</f>
        <v>0</v>
      </c>
      <c r="Y100" s="86">
        <f>VLOOKUP(TableRBRanks3141[[#This Row],[Player]],RB!B:O,9,FALSE)</f>
        <v>0</v>
      </c>
      <c r="Z100" s="86">
        <f>VLOOKUP(TableRBRanks3141[[#This Row],[Player]],RB!B:O,10,FALSE)</f>
        <v>0</v>
      </c>
      <c r="AA100" s="58">
        <f>VLOOKUP(TableRBRanks3141[[#This Row],[Player]],RB!B:O,14,FALSE)</f>
        <v>0</v>
      </c>
      <c r="AB100" s="133">
        <f>IF(VLOOKUP(TableRBRanks3141[[#This Row],[RK]],'Ranks w Proj'!$P:$AB,13,FALSE)&lt;0,0,VLOOKUP(TableRBRanks3141[[#This Row],[RK]],'Ranks w Proj'!$P:$AB,13,FALSE))</f>
        <v>0</v>
      </c>
      <c r="AD100">
        <v>99</v>
      </c>
      <c r="AE100" t="str">
        <f>VLOOKUP(TableWRRanks3242[[#This Row],[RK]],Rankings!A:T,13,FALSE)</f>
        <v>Josh Reynolds</v>
      </c>
      <c r="AF100" t="str">
        <f>IFERROR(INDEX(TableWRCalcPts[TM],MATCH(TableWRRanks3242[[#This Row],[Player]],TableWRCalcPts[PLAYER],0)),"")</f>
        <v>DET</v>
      </c>
      <c r="AG100">
        <f>IFERROR(INDEX(TableWRCalcPts[BYE],MATCH(TableWRRanks3242[[#This Row],[Player]],TableWRCalcPts[PLAYER],0)),"")</f>
        <v>9</v>
      </c>
      <c r="AH100" s="86">
        <f>VLOOKUP(TableWRRanks3242[[#This Row],[Player]],WR!B:O,4,FALSE)</f>
        <v>0</v>
      </c>
      <c r="AI100" s="86">
        <f>VLOOKUP(TableWRRanks3242[[#This Row],[Player]],WR!B:O,5,FALSE)</f>
        <v>0</v>
      </c>
      <c r="AJ100" s="86">
        <f>VLOOKUP(TableWRRanks3242[[#This Row],[Player]],WR!B:O,6,FALSE)</f>
        <v>43.523458159999997</v>
      </c>
      <c r="AK100" s="86">
        <f>VLOOKUP(TableWRRanks3242[[#This Row],[Player]],WR!B:O,7,FALSE)</f>
        <v>30.466420711999994</v>
      </c>
      <c r="AL100" s="86">
        <f>VLOOKUP(TableWRRanks3242[[#This Row],[Player]],WR!B:O,8,FALSE)</f>
        <v>399.11011132719989</v>
      </c>
      <c r="AM100" s="86">
        <f>VLOOKUP(TableWRRanks3242[[#This Row],[Player]],WR!B:O,9,FALSE)</f>
        <v>2.2545151326879993</v>
      </c>
      <c r="AN100" s="58">
        <f>VLOOKUP(TableWRRanks3242[[#This Row],[Player]],WR!B:O,13,FALSE)</f>
        <v>68.671312284847986</v>
      </c>
      <c r="AO100" s="133">
        <f>IF(VLOOKUP(TableWRRanks3242[[#This Row],[RK]],'Ranks w Proj'!AD:AO,12,FALSE)&lt;0,0,VLOOKUP(TableWRRanks3242[[#This Row],[RK]],'Ranks w Proj'!AD:AO,12,FALSE))</f>
        <v>0</v>
      </c>
      <c r="AQ100">
        <v>99</v>
      </c>
      <c r="AR100">
        <f>VLOOKUP(TableTERanks3343[[#This Row],[RK]],Rankings!A:T,18,FALSE)</f>
        <v>0</v>
      </c>
      <c r="AS100" t="str">
        <f>IFERROR(INDEX(TableTECalcPts[TM],MATCH(TableTERanks3343[[#This Row],[Player]],TableTECalcPts[PLAYER],0)),"")</f>
        <v/>
      </c>
      <c r="AT100" t="str">
        <f>IFERROR(INDEX(TableTECalcPts[BYE],MATCH(TableTERanks3343[[#This Row],[Player]],TableTECalcPts[PLAYER],0)),"")</f>
        <v/>
      </c>
      <c r="AU100" s="86">
        <f>VLOOKUP(TableTERanks3343[[#This Row],[Player]],TE!B:O,4,FALSE)</f>
        <v>0</v>
      </c>
      <c r="AV100" s="86">
        <f>VLOOKUP(TableTERanks3343[[#This Row],[Player]],TE!B:O,5,FALSE)</f>
        <v>0</v>
      </c>
      <c r="AW100" s="86">
        <f>VLOOKUP(TableTERanks3343[[#This Row],[Player]],TE!B:O,6,FALSE)</f>
        <v>0</v>
      </c>
      <c r="AX100" s="86">
        <f>VLOOKUP(TableTERanks3343[[#This Row],[Player]],TE!B:O,7,FALSE)</f>
        <v>0</v>
      </c>
      <c r="AY100" s="58">
        <f>VLOOKUP(TableTERanks3343[[#This Row],[Player]],TE!B:O,11,FALSE)</f>
        <v>0</v>
      </c>
      <c r="AZ100" s="133" t="e">
        <f>IF(VLOOKUP(TableTERanks3343[[#This Row],[RK]],'Ranks w Proj'!AQ:AZ,10,FALSE)&lt;0,0,VLOOKUP(TableTERanks3343[[#This Row],[RK]],'Ranks w Proj'!AQ:AZ,10,FALSE))</f>
        <v>#VALUE!</v>
      </c>
    </row>
    <row r="101" spans="16:52" x14ac:dyDescent="0.2">
      <c r="P101">
        <v>100</v>
      </c>
      <c r="Q101">
        <f>VLOOKUP(TableRBRanks3141[[#This Row],[RK]],Rankings!A:T,8,FALSE)</f>
        <v>0</v>
      </c>
      <c r="R101" t="str">
        <f>IFERROR(INDEX(TableRBCalcPts[TM],MATCH(TableRBRanks3141[[#This Row],[Player]],TableRBCalcPts[PLAYER],0)),"")</f>
        <v/>
      </c>
      <c r="S101" t="str">
        <f>IFERROR(INDEX(TableRBCalcPts[BYE],MATCH(TableRBRanks3141[[#This Row],[Player]],TableRBCalcPts[PLAYER],0)),"")</f>
        <v/>
      </c>
      <c r="T101" s="86">
        <f>VLOOKUP(TableRBRanks3141[[#This Row],[Player]],RB!B:O,4,FALSE)</f>
        <v>0</v>
      </c>
      <c r="U101" s="86">
        <f>VLOOKUP(TableRBRanks3141[[#This Row],[Player]],RB!B:O,5,FALSE)</f>
        <v>0</v>
      </c>
      <c r="V101" s="86">
        <f>VLOOKUP(TableRBRanks3141[[#This Row],[Player]],RB!B:O,6,FALSE)</f>
        <v>0</v>
      </c>
      <c r="W101" s="86">
        <f>VLOOKUP(TableRBRanks3141[[#This Row],[Player]],RB!B:O,7,FALSE)</f>
        <v>0</v>
      </c>
      <c r="X101" s="86">
        <f>VLOOKUP(TableRBRanks3141[[#This Row],[Player]],RB!B:O,8,FALSE)</f>
        <v>0</v>
      </c>
      <c r="Y101" s="86">
        <f>VLOOKUP(TableRBRanks3141[[#This Row],[Player]],RB!B:O,9,FALSE)</f>
        <v>0</v>
      </c>
      <c r="Z101" s="86">
        <f>VLOOKUP(TableRBRanks3141[[#This Row],[Player]],RB!B:O,10,FALSE)</f>
        <v>0</v>
      </c>
      <c r="AA101" s="58">
        <f>VLOOKUP(TableRBRanks3141[[#This Row],[Player]],RB!B:O,14,FALSE)</f>
        <v>0</v>
      </c>
      <c r="AB101" s="133">
        <f>IF(VLOOKUP(TableRBRanks3141[[#This Row],[RK]],'Ranks w Proj'!$P:$AB,13,FALSE)&lt;0,0,VLOOKUP(TableRBRanks3141[[#This Row],[RK]],'Ranks w Proj'!$P:$AB,13,FALSE))</f>
        <v>0</v>
      </c>
      <c r="AD101">
        <v>100</v>
      </c>
      <c r="AE101" t="str">
        <f>VLOOKUP(TableWRRanks3242[[#This Row],[RK]],Rankings!A:T,13,FALSE)</f>
        <v>Joshua Palmer</v>
      </c>
      <c r="AF101" t="str">
        <f>IFERROR(INDEX(TableWRCalcPts[TM],MATCH(TableWRRanks3242[[#This Row],[Player]],TableWRCalcPts[PLAYER],0)),"")</f>
        <v>LAC</v>
      </c>
      <c r="AG101">
        <f>IFERROR(INDEX(TableWRCalcPts[BYE],MATCH(TableWRRanks3242[[#This Row],[Player]],TableWRCalcPts[PLAYER],0)),"")</f>
        <v>5</v>
      </c>
      <c r="AH101" s="86">
        <f>VLOOKUP(TableWRRanks3242[[#This Row],[Player]],WR!B:O,4,FALSE)</f>
        <v>0</v>
      </c>
      <c r="AI101" s="86">
        <f>VLOOKUP(TableWRRanks3242[[#This Row],[Player]],WR!B:O,5,FALSE)</f>
        <v>0</v>
      </c>
      <c r="AJ101" s="86">
        <f>VLOOKUP(TableWRRanks3242[[#This Row],[Player]],WR!B:O,6,FALSE)</f>
        <v>55.464746400000003</v>
      </c>
      <c r="AK101" s="86">
        <f>VLOOKUP(TableWRRanks3242[[#This Row],[Player]],WR!B:O,7,FALSE)</f>
        <v>33.278847839999997</v>
      </c>
      <c r="AL101" s="86">
        <f>VLOOKUP(TableWRRanks3242[[#This Row],[Player]],WR!B:O,8,FALSE)</f>
        <v>359.41155667200002</v>
      </c>
      <c r="AM101" s="86">
        <f>VLOOKUP(TableWRRanks3242[[#This Row],[Player]],WR!B:O,9,FALSE)</f>
        <v>2.1631251095999997</v>
      </c>
      <c r="AN101" s="58">
        <f>VLOOKUP(TableWRRanks3242[[#This Row],[Player]],WR!B:O,13,FALSE)</f>
        <v>65.559330244799995</v>
      </c>
      <c r="AO101" s="133">
        <f>IF(VLOOKUP(TableWRRanks3242[[#This Row],[RK]],'Ranks w Proj'!AD:AO,12,FALSE)&lt;0,0,VLOOKUP(TableWRRanks3242[[#This Row],[RK]],'Ranks w Proj'!AD:AO,12,FALSE))</f>
        <v>0</v>
      </c>
      <c r="AQ101">
        <v>100</v>
      </c>
      <c r="AR101">
        <f>VLOOKUP(TableTERanks3343[[#This Row],[RK]],Rankings!A:T,18,FALSE)</f>
        <v>0</v>
      </c>
      <c r="AS101" t="str">
        <f>IFERROR(INDEX(TableTECalcPts[TM],MATCH(TableTERanks3343[[#This Row],[Player]],TableTECalcPts[PLAYER],0)),"")</f>
        <v/>
      </c>
      <c r="AT101" t="str">
        <f>IFERROR(INDEX(TableTECalcPts[BYE],MATCH(TableTERanks3343[[#This Row],[Player]],TableTECalcPts[PLAYER],0)),"")</f>
        <v/>
      </c>
      <c r="AU101" s="86">
        <f>VLOOKUP(TableTERanks3343[[#This Row],[Player]],TE!B:O,4,FALSE)</f>
        <v>0</v>
      </c>
      <c r="AV101" s="86">
        <f>VLOOKUP(TableTERanks3343[[#This Row],[Player]],TE!B:O,5,FALSE)</f>
        <v>0</v>
      </c>
      <c r="AW101" s="86">
        <f>VLOOKUP(TableTERanks3343[[#This Row],[Player]],TE!B:O,6,FALSE)</f>
        <v>0</v>
      </c>
      <c r="AX101" s="86">
        <f>VLOOKUP(TableTERanks3343[[#This Row],[Player]],TE!B:O,7,FALSE)</f>
        <v>0</v>
      </c>
      <c r="AY101" s="58">
        <f>VLOOKUP(TableTERanks3343[[#This Row],[Player]],TE!B:O,11,FALSE)</f>
        <v>0</v>
      </c>
      <c r="AZ101" s="133" t="e">
        <f>IF(VLOOKUP(TableTERanks3343[[#This Row],[RK]],'Ranks w Proj'!AQ:AZ,10,FALSE)&lt;0,0,VLOOKUP(TableTERanks3343[[#This Row],[RK]],'Ranks w Proj'!AQ:AZ,10,FALSE))</f>
        <v>#VALUE!</v>
      </c>
    </row>
    <row r="102" spans="16:52" x14ac:dyDescent="0.2">
      <c r="P102">
        <v>101</v>
      </c>
      <c r="Q102">
        <f>VLOOKUP(TableRBRanks3141[[#This Row],[RK]],Rankings!A:T,8,FALSE)</f>
        <v>0</v>
      </c>
      <c r="R102" t="str">
        <f>IFERROR(INDEX(TableRBCalcPts[TM],MATCH(TableRBRanks3141[[#This Row],[Player]],TableRBCalcPts[PLAYER],0)),"")</f>
        <v/>
      </c>
      <c r="S102" t="str">
        <f>IFERROR(INDEX(TableRBCalcPts[BYE],MATCH(TableRBRanks3141[[#This Row],[Player]],TableRBCalcPts[PLAYER],0)),"")</f>
        <v/>
      </c>
      <c r="T102" s="86">
        <f>VLOOKUP(TableRBRanks3141[[#This Row],[Player]],RB!B:O,4,FALSE)</f>
        <v>0</v>
      </c>
      <c r="U102" s="86">
        <f>VLOOKUP(TableRBRanks3141[[#This Row],[Player]],RB!B:O,5,FALSE)</f>
        <v>0</v>
      </c>
      <c r="V102" s="86">
        <f>VLOOKUP(TableRBRanks3141[[#This Row],[Player]],RB!B:O,6,FALSE)</f>
        <v>0</v>
      </c>
      <c r="W102" s="86">
        <f>VLOOKUP(TableRBRanks3141[[#This Row],[Player]],RB!B:O,7,FALSE)</f>
        <v>0</v>
      </c>
      <c r="X102" s="86">
        <f>VLOOKUP(TableRBRanks3141[[#This Row],[Player]],RB!B:O,8,FALSE)</f>
        <v>0</v>
      </c>
      <c r="Y102" s="86">
        <f>VLOOKUP(TableRBRanks3141[[#This Row],[Player]],RB!B:O,9,FALSE)</f>
        <v>0</v>
      </c>
      <c r="Z102" s="86">
        <f>VLOOKUP(TableRBRanks3141[[#This Row],[Player]],RB!B:O,10,FALSE)</f>
        <v>0</v>
      </c>
      <c r="AA102" s="58">
        <f>VLOOKUP(TableRBRanks3141[[#This Row],[Player]],RB!B:O,14,FALSE)</f>
        <v>0</v>
      </c>
      <c r="AB102" s="133">
        <f>IF(VLOOKUP(TableRBRanks3141[[#This Row],[RK]],'Ranks w Proj'!$P:$AB,13,FALSE)&lt;0,0,VLOOKUP(TableRBRanks3141[[#This Row],[RK]],'Ranks w Proj'!$P:$AB,13,FALSE))</f>
        <v>0</v>
      </c>
      <c r="AD102">
        <v>101</v>
      </c>
      <c r="AE102" t="str">
        <f>VLOOKUP(TableWRRanks3242[[#This Row],[RK]],Rankings!A:T,13,FALSE)</f>
        <v>Tutu Atwell</v>
      </c>
      <c r="AF102" t="str">
        <f>IFERROR(INDEX(TableWRCalcPts[TM],MATCH(TableWRRanks3242[[#This Row],[Player]],TableWRCalcPts[PLAYER],0)),"")</f>
        <v>LAR</v>
      </c>
      <c r="AG102">
        <f>IFERROR(INDEX(TableWRCalcPts[BYE],MATCH(TableWRRanks3242[[#This Row],[Player]],TableWRCalcPts[PLAYER],0)),"")</f>
        <v>10</v>
      </c>
      <c r="AH102" s="86">
        <f>VLOOKUP(TableWRRanks3242[[#This Row],[Player]],WR!B:O,4,FALSE)</f>
        <v>0</v>
      </c>
      <c r="AI102" s="86">
        <f>VLOOKUP(TableWRRanks3242[[#This Row],[Player]],WR!B:O,5,FALSE)</f>
        <v>0</v>
      </c>
      <c r="AJ102" s="86">
        <f>VLOOKUP(TableWRRanks3242[[#This Row],[Player]],WR!B:O,6,FALSE)</f>
        <v>52.514985600000003</v>
      </c>
      <c r="AK102" s="86">
        <f>VLOOKUP(TableWRRanks3242[[#This Row],[Player]],WR!B:O,7,FALSE)</f>
        <v>31.561506345600002</v>
      </c>
      <c r="AL102" s="86">
        <f>VLOOKUP(TableWRRanks3242[[#This Row],[Player]],WR!B:O,8,FALSE)</f>
        <v>379.36930627411198</v>
      </c>
      <c r="AM102" s="86">
        <f>VLOOKUP(TableWRRanks3242[[#This Row],[Player]],WR!B:O,9,FALSE)</f>
        <v>1.7674443553536001</v>
      </c>
      <c r="AN102" s="58">
        <f>VLOOKUP(TableWRRanks3242[[#This Row],[Player]],WR!B:O,13,FALSE)</f>
        <v>64.322349932332799</v>
      </c>
      <c r="AO102" s="133">
        <f>IF(VLOOKUP(TableWRRanks3242[[#This Row],[RK]],'Ranks w Proj'!AD:AO,12,FALSE)&lt;0,0,VLOOKUP(TableWRRanks3242[[#This Row],[RK]],'Ranks w Proj'!AD:AO,12,FALSE))</f>
        <v>0</v>
      </c>
    </row>
    <row r="103" spans="16:52" x14ac:dyDescent="0.2">
      <c r="P103">
        <v>102</v>
      </c>
      <c r="Q103">
        <f>VLOOKUP(TableRBRanks3141[[#This Row],[RK]],Rankings!A:T,8,FALSE)</f>
        <v>0</v>
      </c>
      <c r="R103" t="str">
        <f>IFERROR(INDEX(TableRBCalcPts[TM],MATCH(TableRBRanks3141[[#This Row],[Player]],TableRBCalcPts[PLAYER],0)),"")</f>
        <v/>
      </c>
      <c r="S103" t="str">
        <f>IFERROR(INDEX(TableRBCalcPts[BYE],MATCH(TableRBRanks3141[[#This Row],[Player]],TableRBCalcPts[PLAYER],0)),"")</f>
        <v/>
      </c>
      <c r="T103" s="86">
        <f>VLOOKUP(TableRBRanks3141[[#This Row],[Player]],RB!B:O,4,FALSE)</f>
        <v>0</v>
      </c>
      <c r="U103" s="86">
        <f>VLOOKUP(TableRBRanks3141[[#This Row],[Player]],RB!B:O,5,FALSE)</f>
        <v>0</v>
      </c>
      <c r="V103" s="86">
        <f>VLOOKUP(TableRBRanks3141[[#This Row],[Player]],RB!B:O,6,FALSE)</f>
        <v>0</v>
      </c>
      <c r="W103" s="86">
        <f>VLOOKUP(TableRBRanks3141[[#This Row],[Player]],RB!B:O,7,FALSE)</f>
        <v>0</v>
      </c>
      <c r="X103" s="86">
        <f>VLOOKUP(TableRBRanks3141[[#This Row],[Player]],RB!B:O,8,FALSE)</f>
        <v>0</v>
      </c>
      <c r="Y103" s="86">
        <f>VLOOKUP(TableRBRanks3141[[#This Row],[Player]],RB!B:O,9,FALSE)</f>
        <v>0</v>
      </c>
      <c r="Z103" s="86">
        <f>VLOOKUP(TableRBRanks3141[[#This Row],[Player]],RB!B:O,10,FALSE)</f>
        <v>0</v>
      </c>
      <c r="AA103" s="58">
        <f>VLOOKUP(TableRBRanks3141[[#This Row],[Player]],RB!B:O,14,FALSE)</f>
        <v>0</v>
      </c>
      <c r="AB103" s="133">
        <f>IF(VLOOKUP(TableRBRanks3141[[#This Row],[RK]],'Ranks w Proj'!$P:$AB,13,FALSE)&lt;0,0,VLOOKUP(TableRBRanks3141[[#This Row],[RK]],'Ranks w Proj'!$P:$AB,13,FALSE))</f>
        <v>0</v>
      </c>
      <c r="AD103">
        <v>102</v>
      </c>
      <c r="AE103" t="str">
        <f>VLOOKUP(TableWRRanks3242[[#This Row],[RK]],Rankings!A:T,13,FALSE)</f>
        <v>Trent Sherfield</v>
      </c>
      <c r="AF103" t="str">
        <f>IFERROR(INDEX(TableWRCalcPts[TM],MATCH(TableWRRanks3242[[#This Row],[Player]],TableWRCalcPts[PLAYER],0)),"")</f>
        <v>BUF</v>
      </c>
      <c r="AG103">
        <f>IFERROR(INDEX(TableWRCalcPts[BYE],MATCH(TableWRRanks3242[[#This Row],[Player]],TableWRCalcPts[PLAYER],0)),"")</f>
        <v>13</v>
      </c>
      <c r="AH103" s="86">
        <f>VLOOKUP(TableWRRanks3242[[#This Row],[Player]],WR!B:O,4,FALSE)</f>
        <v>0</v>
      </c>
      <c r="AI103" s="86">
        <f>VLOOKUP(TableWRRanks3242[[#This Row],[Player]],WR!B:O,5,FALSE)</f>
        <v>0</v>
      </c>
      <c r="AJ103" s="86">
        <f>VLOOKUP(TableWRRanks3242[[#This Row],[Player]],WR!B:O,6,FALSE)</f>
        <v>51.954210000000003</v>
      </c>
      <c r="AK103" s="86">
        <f>VLOOKUP(TableWRRanks3242[[#This Row],[Player]],WR!B:O,7,FALSE)</f>
        <v>27.978584843108639</v>
      </c>
      <c r="AL103" s="86">
        <f>VLOOKUP(TableWRRanks3242[[#This Row],[Player]],WR!B:O,8,FALSE)</f>
        <v>356.72695674963512</v>
      </c>
      <c r="AM103" s="86">
        <f>VLOOKUP(TableWRRanks3242[[#This Row],[Player]],WR!B:O,9,FALSE)</f>
        <v>1.695671808673251</v>
      </c>
      <c r="AN103" s="58">
        <f>VLOOKUP(TableWRRanks3242[[#This Row],[Player]],WR!B:O,13,FALSE)</f>
        <v>59.836018948557339</v>
      </c>
      <c r="AO103" s="133">
        <f>IF(VLOOKUP(TableWRRanks3242[[#This Row],[RK]],'Ranks w Proj'!AD:AO,12,FALSE)&lt;0,0,VLOOKUP(TableWRRanks3242[[#This Row],[RK]],'Ranks w Proj'!AD:AO,12,FALSE))</f>
        <v>0</v>
      </c>
    </row>
    <row r="104" spans="16:52" x14ac:dyDescent="0.2">
      <c r="P104">
        <v>103</v>
      </c>
      <c r="Q104">
        <f>VLOOKUP(TableRBRanks3141[[#This Row],[RK]],Rankings!A:T,8,FALSE)</f>
        <v>0</v>
      </c>
      <c r="R104" t="str">
        <f>IFERROR(INDEX(TableRBCalcPts[TM],MATCH(TableRBRanks3141[[#This Row],[Player]],TableRBCalcPts[PLAYER],0)),"")</f>
        <v/>
      </c>
      <c r="S104" t="str">
        <f>IFERROR(INDEX(TableRBCalcPts[BYE],MATCH(TableRBRanks3141[[#This Row],[Player]],TableRBCalcPts[PLAYER],0)),"")</f>
        <v/>
      </c>
      <c r="T104" s="86">
        <f>VLOOKUP(TableRBRanks3141[[#This Row],[Player]],RB!B:O,4,FALSE)</f>
        <v>0</v>
      </c>
      <c r="U104" s="86">
        <f>VLOOKUP(TableRBRanks3141[[#This Row],[Player]],RB!B:O,5,FALSE)</f>
        <v>0</v>
      </c>
      <c r="V104" s="86">
        <f>VLOOKUP(TableRBRanks3141[[#This Row],[Player]],RB!B:O,6,FALSE)</f>
        <v>0</v>
      </c>
      <c r="W104" s="86">
        <f>VLOOKUP(TableRBRanks3141[[#This Row],[Player]],RB!B:O,7,FALSE)</f>
        <v>0</v>
      </c>
      <c r="X104" s="86">
        <f>VLOOKUP(TableRBRanks3141[[#This Row],[Player]],RB!B:O,8,FALSE)</f>
        <v>0</v>
      </c>
      <c r="Y104" s="86">
        <f>VLOOKUP(TableRBRanks3141[[#This Row],[Player]],RB!B:O,9,FALSE)</f>
        <v>0</v>
      </c>
      <c r="Z104" s="86">
        <f>VLOOKUP(TableRBRanks3141[[#This Row],[Player]],RB!B:O,10,FALSE)</f>
        <v>0</v>
      </c>
      <c r="AA104" s="58">
        <f>VLOOKUP(TableRBRanks3141[[#This Row],[Player]],RB!B:O,14,FALSE)</f>
        <v>0</v>
      </c>
      <c r="AB104" s="133">
        <f>IF(VLOOKUP(TableRBRanks3141[[#This Row],[RK]],'Ranks w Proj'!$P:$AB,13,FALSE)&lt;0,0,VLOOKUP(TableRBRanks3141[[#This Row],[RK]],'Ranks w Proj'!$P:$AB,13,FALSE))</f>
        <v>0</v>
      </c>
      <c r="AD104">
        <v>103</v>
      </c>
      <c r="AE104" t="str">
        <f>VLOOKUP(TableWRRanks3242[[#This Row],[RK]],Rankings!A:T,13,FALSE)</f>
        <v>Tank Dell</v>
      </c>
      <c r="AF104" t="str">
        <f>IFERROR(INDEX(TableWRCalcPts[TM],MATCH(TableWRRanks3242[[#This Row],[Player]],TableWRCalcPts[PLAYER],0)),"")</f>
        <v>HOU</v>
      </c>
      <c r="AG104">
        <f>IFERROR(INDEX(TableWRCalcPts[BYE],MATCH(TableWRRanks3242[[#This Row],[Player]],TableWRCalcPts[PLAYER],0)),"")</f>
        <v>7</v>
      </c>
      <c r="AH104" s="86">
        <f>VLOOKUP(TableWRRanks3242[[#This Row],[Player]],WR!B:O,4,FALSE)</f>
        <v>0</v>
      </c>
      <c r="AI104" s="86">
        <f>VLOOKUP(TableWRRanks3242[[#This Row],[Player]],WR!B:O,5,FALSE)</f>
        <v>0</v>
      </c>
      <c r="AJ104" s="86">
        <f>VLOOKUP(TableWRRanks3242[[#This Row],[Player]],WR!B:O,6,FALSE)</f>
        <v>49.016315039999995</v>
      </c>
      <c r="AK104" s="86">
        <f>VLOOKUP(TableWRRanks3242[[#This Row],[Player]],WR!B:O,7,FALSE)</f>
        <v>28.208674713124026</v>
      </c>
      <c r="AL104" s="86">
        <f>VLOOKUP(TableWRRanks3242[[#This Row],[Player]],WR!B:O,8,FALSE)</f>
        <v>332.58027486773221</v>
      </c>
      <c r="AM104" s="86">
        <f>VLOOKUP(TableWRRanks3242[[#This Row],[Player]],WR!B:O,9,FALSE)</f>
        <v>1.9746072299186821</v>
      </c>
      <c r="AN104" s="58">
        <f>VLOOKUP(TableWRRanks3242[[#This Row],[Player]],WR!B:O,13,FALSE)</f>
        <v>59.210008222847328</v>
      </c>
      <c r="AO104" s="133">
        <f>IF(VLOOKUP(TableWRRanks3242[[#This Row],[RK]],'Ranks w Proj'!AD:AO,12,FALSE)&lt;0,0,VLOOKUP(TableWRRanks3242[[#This Row],[RK]],'Ranks w Proj'!AD:AO,12,FALSE))</f>
        <v>0</v>
      </c>
    </row>
    <row r="105" spans="16:52" x14ac:dyDescent="0.2">
      <c r="P105">
        <v>104</v>
      </c>
      <c r="Q105">
        <f>VLOOKUP(TableRBRanks3141[[#This Row],[RK]],Rankings!A:T,8,FALSE)</f>
        <v>0</v>
      </c>
      <c r="R105" t="str">
        <f>IFERROR(INDEX(TableRBCalcPts[TM],MATCH(TableRBRanks3141[[#This Row],[Player]],TableRBCalcPts[PLAYER],0)),"")</f>
        <v/>
      </c>
      <c r="S105" t="str">
        <f>IFERROR(INDEX(TableRBCalcPts[BYE],MATCH(TableRBRanks3141[[#This Row],[Player]],TableRBCalcPts[PLAYER],0)),"")</f>
        <v/>
      </c>
      <c r="T105" s="86">
        <f>VLOOKUP(TableRBRanks3141[[#This Row],[Player]],RB!B:O,4,FALSE)</f>
        <v>0</v>
      </c>
      <c r="U105" s="86">
        <f>VLOOKUP(TableRBRanks3141[[#This Row],[Player]],RB!B:O,5,FALSE)</f>
        <v>0</v>
      </c>
      <c r="V105" s="86">
        <f>VLOOKUP(TableRBRanks3141[[#This Row],[Player]],RB!B:O,6,FALSE)</f>
        <v>0</v>
      </c>
      <c r="W105" s="86">
        <f>VLOOKUP(TableRBRanks3141[[#This Row],[Player]],RB!B:O,7,FALSE)</f>
        <v>0</v>
      </c>
      <c r="X105" s="86">
        <f>VLOOKUP(TableRBRanks3141[[#This Row],[Player]],RB!B:O,8,FALSE)</f>
        <v>0</v>
      </c>
      <c r="Y105" s="86">
        <f>VLOOKUP(TableRBRanks3141[[#This Row],[Player]],RB!B:O,9,FALSE)</f>
        <v>0</v>
      </c>
      <c r="Z105" s="86">
        <f>VLOOKUP(TableRBRanks3141[[#This Row],[Player]],RB!B:O,10,FALSE)</f>
        <v>0</v>
      </c>
      <c r="AA105" s="58">
        <f>VLOOKUP(TableRBRanks3141[[#This Row],[Player]],RB!B:O,14,FALSE)</f>
        <v>0</v>
      </c>
      <c r="AB105" s="133">
        <f>IF(VLOOKUP(TableRBRanks3141[[#This Row],[RK]],'Ranks w Proj'!$P:$AB,13,FALSE)&lt;0,0,VLOOKUP(TableRBRanks3141[[#This Row],[RK]],'Ranks w Proj'!$P:$AB,13,FALSE))</f>
        <v>0</v>
      </c>
      <c r="AD105">
        <v>104</v>
      </c>
      <c r="AE105" t="str">
        <f>VLOOKUP(TableWRRanks3242[[#This Row],[RK]],Rankings!A:T,13,FALSE)</f>
        <v>Cedrick Wilson</v>
      </c>
      <c r="AF105" t="str">
        <f>IFERROR(INDEX(TableWRCalcPts[TM],MATCH(TableWRRanks3242[[#This Row],[Player]],TableWRCalcPts[PLAYER],0)),"")</f>
        <v>MIA</v>
      </c>
      <c r="AG105">
        <f>IFERROR(INDEX(TableWRCalcPts[BYE],MATCH(TableWRRanks3242[[#This Row],[Player]],TableWRCalcPts[PLAYER],0)),"")</f>
        <v>10</v>
      </c>
      <c r="AH105" s="86">
        <f>VLOOKUP(TableWRRanks3242[[#This Row],[Player]],WR!B:O,4,FALSE)</f>
        <v>0</v>
      </c>
      <c r="AI105" s="86">
        <f>VLOOKUP(TableWRRanks3242[[#This Row],[Player]],WR!B:O,5,FALSE)</f>
        <v>0</v>
      </c>
      <c r="AJ105" s="86">
        <f>VLOOKUP(TableWRRanks3242[[#This Row],[Player]],WR!B:O,6,FALSE)</f>
        <v>42.153602400000018</v>
      </c>
      <c r="AK105" s="86">
        <f>VLOOKUP(TableWRRanks3242[[#This Row],[Player]],WR!B:O,7,FALSE)</f>
        <v>29.04383205360001</v>
      </c>
      <c r="AL105" s="86">
        <f>VLOOKUP(TableWRRanks3242[[#This Row],[Player]],WR!B:O,8,FALSE)</f>
        <v>331.32626462693077</v>
      </c>
      <c r="AM105" s="86">
        <f>VLOOKUP(TableWRRanks3242[[#This Row],[Player]],WR!B:O,9,FALSE)</f>
        <v>1.9168929155376007</v>
      </c>
      <c r="AN105" s="58">
        <f>VLOOKUP(TableWRRanks3242[[#This Row],[Player]],WR!B:O,13,FALSE)</f>
        <v>59.155899982718687</v>
      </c>
      <c r="AO105" s="133">
        <f>IF(VLOOKUP(TableWRRanks3242[[#This Row],[RK]],'Ranks w Proj'!AD:AO,12,FALSE)&lt;0,0,VLOOKUP(TableWRRanks3242[[#This Row],[RK]],'Ranks w Proj'!AD:AO,12,FALSE))</f>
        <v>0</v>
      </c>
    </row>
    <row r="106" spans="16:52" x14ac:dyDescent="0.2">
      <c r="P106">
        <v>105</v>
      </c>
      <c r="Q106">
        <f>VLOOKUP(TableRBRanks3141[[#This Row],[RK]],Rankings!A:T,8,FALSE)</f>
        <v>0</v>
      </c>
      <c r="R106" t="str">
        <f>IFERROR(INDEX(TableRBCalcPts[TM],MATCH(TableRBRanks3141[[#This Row],[Player]],TableRBCalcPts[PLAYER],0)),"")</f>
        <v/>
      </c>
      <c r="S106" t="str">
        <f>IFERROR(INDEX(TableRBCalcPts[BYE],MATCH(TableRBRanks3141[[#This Row],[Player]],TableRBCalcPts[PLAYER],0)),"")</f>
        <v/>
      </c>
      <c r="T106" s="86">
        <f>VLOOKUP(TableRBRanks3141[[#This Row],[Player]],RB!B:O,4,FALSE)</f>
        <v>0</v>
      </c>
      <c r="U106" s="86">
        <f>VLOOKUP(TableRBRanks3141[[#This Row],[Player]],RB!B:O,5,FALSE)</f>
        <v>0</v>
      </c>
      <c r="V106" s="86">
        <f>VLOOKUP(TableRBRanks3141[[#This Row],[Player]],RB!B:O,6,FALSE)</f>
        <v>0</v>
      </c>
      <c r="W106" s="86">
        <f>VLOOKUP(TableRBRanks3141[[#This Row],[Player]],RB!B:O,7,FALSE)</f>
        <v>0</v>
      </c>
      <c r="X106" s="86">
        <f>VLOOKUP(TableRBRanks3141[[#This Row],[Player]],RB!B:O,8,FALSE)</f>
        <v>0</v>
      </c>
      <c r="Y106" s="86">
        <f>VLOOKUP(TableRBRanks3141[[#This Row],[Player]],RB!B:O,9,FALSE)</f>
        <v>0</v>
      </c>
      <c r="Z106" s="86">
        <f>VLOOKUP(TableRBRanks3141[[#This Row],[Player]],RB!B:O,10,FALSE)</f>
        <v>0</v>
      </c>
      <c r="AA106" s="58">
        <f>VLOOKUP(TableRBRanks3141[[#This Row],[Player]],RB!B:O,14,FALSE)</f>
        <v>0</v>
      </c>
      <c r="AB106" s="133">
        <f>IF(VLOOKUP(TableRBRanks3141[[#This Row],[RK]],'Ranks w Proj'!$P:$AB,13,FALSE)&lt;0,0,VLOOKUP(TableRBRanks3141[[#This Row],[RK]],'Ranks w Proj'!$P:$AB,13,FALSE))</f>
        <v>0</v>
      </c>
      <c r="AD106">
        <v>105</v>
      </c>
      <c r="AE106" t="str">
        <f>VLOOKUP(TableWRRanks3242[[#This Row],[RK]],Rankings!A:T,13,FALSE)</f>
        <v>Deonte Harty</v>
      </c>
      <c r="AF106" t="str">
        <f>IFERROR(INDEX(TableWRCalcPts[TM],MATCH(TableWRRanks3242[[#This Row],[Player]],TableWRCalcPts[PLAYER],0)),"")</f>
        <v>BUF</v>
      </c>
      <c r="AG106">
        <f>IFERROR(INDEX(TableWRCalcPts[BYE],MATCH(TableWRRanks3242[[#This Row],[Player]],TableWRCalcPts[PLAYER],0)),"")</f>
        <v>13</v>
      </c>
      <c r="AH106" s="86">
        <f>VLOOKUP(TableWRRanks3242[[#This Row],[Player]],WR!B:O,4,FALSE)</f>
        <v>11.088287437500004</v>
      </c>
      <c r="AI106" s="86">
        <f>VLOOKUP(TableWRRanks3242[[#This Row],[Player]],WR!B:O,5,FALSE)</f>
        <v>6.5281573350000024E-2</v>
      </c>
      <c r="AJ106" s="86">
        <f>VLOOKUP(TableWRRanks3242[[#This Row],[Player]],WR!B:O,6,FALSE)</f>
        <v>42.333060000000003</v>
      </c>
      <c r="AK106" s="86">
        <f>VLOOKUP(TableWRRanks3242[[#This Row],[Player]],WR!B:O,7,FALSE)</f>
        <v>26.51810311999764</v>
      </c>
      <c r="AL106" s="86">
        <f>VLOOKUP(TableWRRanks3242[[#This Row],[Player]],WR!B:O,8,FALSE)</f>
        <v>299.70842900588661</v>
      </c>
      <c r="AM106" s="86">
        <f>VLOOKUP(TableWRRanks3242[[#This Row],[Player]],WR!B:O,9,FALSE)</f>
        <v>2.0153758371198207</v>
      </c>
      <c r="AN106" s="58">
        <f>VLOOKUP(TableWRRanks3242[[#This Row],[Player]],WR!B:O,13,FALSE)</f>
        <v>56.822667667156409</v>
      </c>
      <c r="AO106" s="133">
        <f>IF(VLOOKUP(TableWRRanks3242[[#This Row],[RK]],'Ranks w Proj'!AD:AO,12,FALSE)&lt;0,0,VLOOKUP(TableWRRanks3242[[#This Row],[RK]],'Ranks w Proj'!AD:AO,12,FALSE))</f>
        <v>0</v>
      </c>
    </row>
    <row r="107" spans="16:52" x14ac:dyDescent="0.2">
      <c r="P107">
        <v>106</v>
      </c>
      <c r="Q107">
        <f>VLOOKUP(TableRBRanks3141[[#This Row],[RK]],Rankings!A:T,8,FALSE)</f>
        <v>0</v>
      </c>
      <c r="R107" t="str">
        <f>IFERROR(INDEX(TableRBCalcPts[TM],MATCH(TableRBRanks3141[[#This Row],[Player]],TableRBCalcPts[PLAYER],0)),"")</f>
        <v/>
      </c>
      <c r="S107" t="str">
        <f>IFERROR(INDEX(TableRBCalcPts[BYE],MATCH(TableRBRanks3141[[#This Row],[Player]],TableRBCalcPts[PLAYER],0)),"")</f>
        <v/>
      </c>
      <c r="T107" s="86">
        <f>VLOOKUP(TableRBRanks3141[[#This Row],[Player]],RB!B:O,4,FALSE)</f>
        <v>0</v>
      </c>
      <c r="U107" s="86">
        <f>VLOOKUP(TableRBRanks3141[[#This Row],[Player]],RB!B:O,5,FALSE)</f>
        <v>0</v>
      </c>
      <c r="V107" s="86">
        <f>VLOOKUP(TableRBRanks3141[[#This Row],[Player]],RB!B:O,6,FALSE)</f>
        <v>0</v>
      </c>
      <c r="W107" s="86">
        <f>VLOOKUP(TableRBRanks3141[[#This Row],[Player]],RB!B:O,7,FALSE)</f>
        <v>0</v>
      </c>
      <c r="X107" s="86">
        <f>VLOOKUP(TableRBRanks3141[[#This Row],[Player]],RB!B:O,8,FALSE)</f>
        <v>0</v>
      </c>
      <c r="Y107" s="86">
        <f>VLOOKUP(TableRBRanks3141[[#This Row],[Player]],RB!B:O,9,FALSE)</f>
        <v>0</v>
      </c>
      <c r="Z107" s="86">
        <f>VLOOKUP(TableRBRanks3141[[#This Row],[Player]],RB!B:O,10,FALSE)</f>
        <v>0</v>
      </c>
      <c r="AA107" s="58">
        <f>VLOOKUP(TableRBRanks3141[[#This Row],[Player]],RB!B:O,14,FALSE)</f>
        <v>0</v>
      </c>
      <c r="AB107" s="133">
        <f>IF(VLOOKUP(TableRBRanks3141[[#This Row],[RK]],'Ranks w Proj'!$P:$AB,13,FALSE)&lt;0,0,VLOOKUP(TableRBRanks3141[[#This Row],[RK]],'Ranks w Proj'!$P:$AB,13,FALSE))</f>
        <v>0</v>
      </c>
      <c r="AD107">
        <v>106</v>
      </c>
      <c r="AE107" t="str">
        <f>VLOOKUP(TableWRRanks3242[[#This Row],[RK]],Rankings!A:T,13,FALSE)</f>
        <v>Braxton Berrios</v>
      </c>
      <c r="AF107" t="str">
        <f>IFERROR(INDEX(TableWRCalcPts[TM],MATCH(TableWRRanks3242[[#This Row],[Player]],TableWRCalcPts[PLAYER],0)),"")</f>
        <v>MIA</v>
      </c>
      <c r="AG107">
        <f>IFERROR(INDEX(TableWRCalcPts[BYE],MATCH(TableWRRanks3242[[#This Row],[Player]],TableWRCalcPts[PLAYER],0)),"")</f>
        <v>10</v>
      </c>
      <c r="AH107" s="86">
        <f>VLOOKUP(TableWRRanks3242[[#This Row],[Player]],WR!B:O,4,FALSE)</f>
        <v>0</v>
      </c>
      <c r="AI107" s="86">
        <f>VLOOKUP(TableWRRanks3242[[#This Row],[Player]],WR!B:O,5,FALSE)</f>
        <v>0</v>
      </c>
      <c r="AJ107" s="86">
        <f>VLOOKUP(TableWRRanks3242[[#This Row],[Player]],WR!B:O,6,FALSE)</f>
        <v>45.766768320000004</v>
      </c>
      <c r="AK107" s="86">
        <f>VLOOKUP(TableWRRanks3242[[#This Row],[Player]],WR!B:O,7,FALSE)</f>
        <v>28.055028980160003</v>
      </c>
      <c r="AL107" s="86">
        <f>VLOOKUP(TableWRRanks3242[[#This Row],[Player]],WR!B:O,8,FALSE)</f>
        <v>303.71081896473197</v>
      </c>
      <c r="AM107" s="86">
        <f>VLOOKUP(TableWRRanks3242[[#This Row],[Player]],WR!B:O,9,FALSE)</f>
        <v>2.04801711555168</v>
      </c>
      <c r="AN107" s="58">
        <f>VLOOKUP(TableWRRanks3242[[#This Row],[Player]],WR!B:O,13,FALSE)</f>
        <v>56.686699079863281</v>
      </c>
      <c r="AO107" s="133">
        <f>IF(VLOOKUP(TableWRRanks3242[[#This Row],[RK]],'Ranks w Proj'!AD:AO,12,FALSE)&lt;0,0,VLOOKUP(TableWRRanks3242[[#This Row],[RK]],'Ranks w Proj'!AD:AO,12,FALSE))</f>
        <v>0</v>
      </c>
    </row>
    <row r="108" spans="16:52" x14ac:dyDescent="0.2">
      <c r="P108">
        <v>107</v>
      </c>
      <c r="Q108">
        <f>VLOOKUP(TableRBRanks3141[[#This Row],[RK]],Rankings!A:T,8,FALSE)</f>
        <v>0</v>
      </c>
      <c r="R108" t="str">
        <f>IFERROR(INDEX(TableRBCalcPts[TM],MATCH(TableRBRanks3141[[#This Row],[Player]],TableRBCalcPts[PLAYER],0)),"")</f>
        <v/>
      </c>
      <c r="S108" t="str">
        <f>IFERROR(INDEX(TableRBCalcPts[BYE],MATCH(TableRBRanks3141[[#This Row],[Player]],TableRBCalcPts[PLAYER],0)),"")</f>
        <v/>
      </c>
      <c r="T108" s="86">
        <f>VLOOKUP(TableRBRanks3141[[#This Row],[Player]],RB!B:O,4,FALSE)</f>
        <v>0</v>
      </c>
      <c r="U108" s="86">
        <f>VLOOKUP(TableRBRanks3141[[#This Row],[Player]],RB!B:O,5,FALSE)</f>
        <v>0</v>
      </c>
      <c r="V108" s="86">
        <f>VLOOKUP(TableRBRanks3141[[#This Row],[Player]],RB!B:O,6,FALSE)</f>
        <v>0</v>
      </c>
      <c r="W108" s="86">
        <f>VLOOKUP(TableRBRanks3141[[#This Row],[Player]],RB!B:O,7,FALSE)</f>
        <v>0</v>
      </c>
      <c r="X108" s="86">
        <f>VLOOKUP(TableRBRanks3141[[#This Row],[Player]],RB!B:O,8,FALSE)</f>
        <v>0</v>
      </c>
      <c r="Y108" s="86">
        <f>VLOOKUP(TableRBRanks3141[[#This Row],[Player]],RB!B:O,9,FALSE)</f>
        <v>0</v>
      </c>
      <c r="Z108" s="86">
        <f>VLOOKUP(TableRBRanks3141[[#This Row],[Player]],RB!B:O,10,FALSE)</f>
        <v>0</v>
      </c>
      <c r="AA108" s="58">
        <f>VLOOKUP(TableRBRanks3141[[#This Row],[Player]],RB!B:O,14,FALSE)</f>
        <v>0</v>
      </c>
      <c r="AB108" s="133">
        <f>IF(VLOOKUP(TableRBRanks3141[[#This Row],[RK]],'Ranks w Proj'!$P:$AB,13,FALSE)&lt;0,0,VLOOKUP(TableRBRanks3141[[#This Row],[RK]],'Ranks w Proj'!$P:$AB,13,FALSE))</f>
        <v>0</v>
      </c>
      <c r="AD108">
        <v>107</v>
      </c>
      <c r="AE108" t="str">
        <f>VLOOKUP(TableWRRanks3242[[#This Row],[RK]],Rankings!A:T,13,FALSE)</f>
        <v>Ben Skowronek</v>
      </c>
      <c r="AF108" t="str">
        <f>IFERROR(INDEX(TableWRCalcPts[TM],MATCH(TableWRRanks3242[[#This Row],[Player]],TableWRCalcPts[PLAYER],0)),"")</f>
        <v>LAR</v>
      </c>
      <c r="AG108">
        <f>IFERROR(INDEX(TableWRCalcPts[BYE],MATCH(TableWRRanks3242[[#This Row],[Player]],TableWRCalcPts[PLAYER],0)),"")</f>
        <v>10</v>
      </c>
      <c r="AH108" s="86">
        <f>VLOOKUP(TableWRRanks3242[[#This Row],[Player]],WR!B:O,4,FALSE)</f>
        <v>0</v>
      </c>
      <c r="AI108" s="86">
        <f>VLOOKUP(TableWRRanks3242[[#This Row],[Player]],WR!B:O,5,FALSE)</f>
        <v>0</v>
      </c>
      <c r="AJ108" s="86">
        <f>VLOOKUP(TableWRRanks3242[[#This Row],[Player]],WR!B:O,6,FALSE)</f>
        <v>43.865458559999993</v>
      </c>
      <c r="AK108" s="86">
        <f>VLOOKUP(TableWRRanks3242[[#This Row],[Player]],WR!B:O,7,FALSE)</f>
        <v>28.080836275187906</v>
      </c>
      <c r="AL108" s="86">
        <f>VLOOKUP(TableWRRanks3242[[#This Row],[Player]],WR!B:O,8,FALSE)</f>
        <v>331.3538680472173</v>
      </c>
      <c r="AM108" s="86">
        <f>VLOOKUP(TableWRRanks3242[[#This Row],[Player]],WR!B:O,9,FALSE)</f>
        <v>1.3478801412090196</v>
      </c>
      <c r="AN108" s="58">
        <f>VLOOKUP(TableWRRanks3242[[#This Row],[Player]],WR!B:O,13,FALSE)</f>
        <v>55.2630857895698</v>
      </c>
      <c r="AO108" s="133">
        <f>IF(VLOOKUP(TableWRRanks3242[[#This Row],[RK]],'Ranks w Proj'!AD:AO,12,FALSE)&lt;0,0,VLOOKUP(TableWRRanks3242[[#This Row],[RK]],'Ranks w Proj'!AD:AO,12,FALSE))</f>
        <v>0</v>
      </c>
    </row>
    <row r="109" spans="16:52" x14ac:dyDescent="0.2">
      <c r="P109">
        <v>108</v>
      </c>
      <c r="Q109">
        <f>VLOOKUP(TableRBRanks3141[[#This Row],[RK]],Rankings!A:T,8,FALSE)</f>
        <v>0</v>
      </c>
      <c r="R109" t="str">
        <f>IFERROR(INDEX(TableRBCalcPts[TM],MATCH(TableRBRanks3141[[#This Row],[Player]],TableRBCalcPts[PLAYER],0)),"")</f>
        <v/>
      </c>
      <c r="S109" t="str">
        <f>IFERROR(INDEX(TableRBCalcPts[BYE],MATCH(TableRBRanks3141[[#This Row],[Player]],TableRBCalcPts[PLAYER],0)),"")</f>
        <v/>
      </c>
      <c r="T109" s="86">
        <f>VLOOKUP(TableRBRanks3141[[#This Row],[Player]],RB!B:O,4,FALSE)</f>
        <v>0</v>
      </c>
      <c r="U109" s="86">
        <f>VLOOKUP(TableRBRanks3141[[#This Row],[Player]],RB!B:O,5,FALSE)</f>
        <v>0</v>
      </c>
      <c r="V109" s="86">
        <f>VLOOKUP(TableRBRanks3141[[#This Row],[Player]],RB!B:O,6,FALSE)</f>
        <v>0</v>
      </c>
      <c r="W109" s="86">
        <f>VLOOKUP(TableRBRanks3141[[#This Row],[Player]],RB!B:O,7,FALSE)</f>
        <v>0</v>
      </c>
      <c r="X109" s="86">
        <f>VLOOKUP(TableRBRanks3141[[#This Row],[Player]],RB!B:O,8,FALSE)</f>
        <v>0</v>
      </c>
      <c r="Y109" s="86">
        <f>VLOOKUP(TableRBRanks3141[[#This Row],[Player]],RB!B:O,9,FALSE)</f>
        <v>0</v>
      </c>
      <c r="Z109" s="86">
        <f>VLOOKUP(TableRBRanks3141[[#This Row],[Player]],RB!B:O,10,FALSE)</f>
        <v>0</v>
      </c>
      <c r="AA109" s="58">
        <f>VLOOKUP(TableRBRanks3141[[#This Row],[Player]],RB!B:O,14,FALSE)</f>
        <v>0</v>
      </c>
      <c r="AB109" s="133">
        <f>IF(VLOOKUP(TableRBRanks3141[[#This Row],[RK]],'Ranks w Proj'!$P:$AB,13,FALSE)&lt;0,0,VLOOKUP(TableRBRanks3141[[#This Row],[RK]],'Ranks w Proj'!$P:$AB,13,FALSE))</f>
        <v>0</v>
      </c>
      <c r="AD109">
        <v>108</v>
      </c>
      <c r="AE109" t="str">
        <f>VLOOKUP(TableWRRanks3242[[#This Row],[RK]],Rankings!A:T,13,FALSE)</f>
        <v>Richie James</v>
      </c>
      <c r="AF109" t="str">
        <f>IFERROR(INDEX(TableWRCalcPts[TM],MATCH(TableWRRanks3242[[#This Row],[Player]],TableWRCalcPts[PLAYER],0)),"")</f>
        <v>KC</v>
      </c>
      <c r="AG109">
        <f>IFERROR(INDEX(TableWRCalcPts[BYE],MATCH(TableWRRanks3242[[#This Row],[Player]],TableWRCalcPts[PLAYER],0)),"")</f>
        <v>10</v>
      </c>
      <c r="AH109" s="86">
        <f>VLOOKUP(TableWRRanks3242[[#This Row],[Player]],WR!B:O,4,FALSE)</f>
        <v>0</v>
      </c>
      <c r="AI109" s="86">
        <f>VLOOKUP(TableWRRanks3242[[#This Row],[Player]],WR!B:O,5,FALSE)</f>
        <v>0</v>
      </c>
      <c r="AJ109" s="86">
        <f>VLOOKUP(TableWRRanks3242[[#This Row],[Player]],WR!B:O,6,FALSE)</f>
        <v>36.616594559999996</v>
      </c>
      <c r="AK109" s="86">
        <f>VLOOKUP(TableWRRanks3242[[#This Row],[Player]],WR!B:O,7,FALSE)</f>
        <v>25.631616191999996</v>
      </c>
      <c r="AL109" s="86">
        <f>VLOOKUP(TableWRRanks3242[[#This Row],[Player]],WR!B:O,8,FALSE)</f>
        <v>287.07410135039993</v>
      </c>
      <c r="AM109" s="86">
        <f>VLOOKUP(TableWRRanks3242[[#This Row],[Player]],WR!B:O,9,FALSE)</f>
        <v>2.1786873763199996</v>
      </c>
      <c r="AN109" s="58">
        <f>VLOOKUP(TableWRRanks3242[[#This Row],[Player]],WR!B:O,13,FALSE)</f>
        <v>54.595342488959986</v>
      </c>
      <c r="AO109" s="133">
        <f>IF(VLOOKUP(TableWRRanks3242[[#This Row],[RK]],'Ranks w Proj'!AD:AO,12,FALSE)&lt;0,0,VLOOKUP(TableWRRanks3242[[#This Row],[RK]],'Ranks w Proj'!AD:AO,12,FALSE))</f>
        <v>0</v>
      </c>
    </row>
    <row r="110" spans="16:52" x14ac:dyDescent="0.2">
      <c r="P110">
        <v>109</v>
      </c>
      <c r="Q110">
        <f>VLOOKUP(TableRBRanks3141[[#This Row],[RK]],Rankings!A:T,8,FALSE)</f>
        <v>0</v>
      </c>
      <c r="R110" t="str">
        <f>IFERROR(INDEX(TableRBCalcPts[TM],MATCH(TableRBRanks3141[[#This Row],[Player]],TableRBCalcPts[PLAYER],0)),"")</f>
        <v/>
      </c>
      <c r="S110" t="str">
        <f>IFERROR(INDEX(TableRBCalcPts[BYE],MATCH(TableRBRanks3141[[#This Row],[Player]],TableRBCalcPts[PLAYER],0)),"")</f>
        <v/>
      </c>
      <c r="T110" s="86">
        <f>VLOOKUP(TableRBRanks3141[[#This Row],[Player]],RB!B:O,4,FALSE)</f>
        <v>0</v>
      </c>
      <c r="U110" s="86">
        <f>VLOOKUP(TableRBRanks3141[[#This Row],[Player]],RB!B:O,5,FALSE)</f>
        <v>0</v>
      </c>
      <c r="V110" s="86">
        <f>VLOOKUP(TableRBRanks3141[[#This Row],[Player]],RB!B:O,6,FALSE)</f>
        <v>0</v>
      </c>
      <c r="W110" s="86">
        <f>VLOOKUP(TableRBRanks3141[[#This Row],[Player]],RB!B:O,7,FALSE)</f>
        <v>0</v>
      </c>
      <c r="X110" s="86">
        <f>VLOOKUP(TableRBRanks3141[[#This Row],[Player]],RB!B:O,8,FALSE)</f>
        <v>0</v>
      </c>
      <c r="Y110" s="86">
        <f>VLOOKUP(TableRBRanks3141[[#This Row],[Player]],RB!B:O,9,FALSE)</f>
        <v>0</v>
      </c>
      <c r="Z110" s="86">
        <f>VLOOKUP(TableRBRanks3141[[#This Row],[Player]],RB!B:O,10,FALSE)</f>
        <v>0</v>
      </c>
      <c r="AA110" s="58">
        <f>VLOOKUP(TableRBRanks3141[[#This Row],[Player]],RB!B:O,14,FALSE)</f>
        <v>0</v>
      </c>
      <c r="AB110" s="133">
        <f>IF(VLOOKUP(TableRBRanks3141[[#This Row],[RK]],'Ranks w Proj'!$P:$AB,13,FALSE)&lt;0,0,VLOOKUP(TableRBRanks3141[[#This Row],[RK]],'Ranks w Proj'!$P:$AB,13,FALSE))</f>
        <v>0</v>
      </c>
      <c r="AD110">
        <v>109</v>
      </c>
      <c r="AE110" t="str">
        <f>VLOOKUP(TableWRRanks3242[[#This Row],[RK]],Rankings!A:T,13,FALSE)</f>
        <v>Kayshon Boutte</v>
      </c>
      <c r="AF110" t="str">
        <f>IFERROR(INDEX(TableWRCalcPts[TM],MATCH(TableWRRanks3242[[#This Row],[Player]],TableWRCalcPts[PLAYER],0)),"")</f>
        <v>NE</v>
      </c>
      <c r="AG110">
        <f>IFERROR(INDEX(TableWRCalcPts[BYE],MATCH(TableWRRanks3242[[#This Row],[Player]],TableWRCalcPts[PLAYER],0)),"")</f>
        <v>11</v>
      </c>
      <c r="AH110" s="86">
        <f>VLOOKUP(TableWRRanks3242[[#This Row],[Player]],WR!B:O,4,FALSE)</f>
        <v>0</v>
      </c>
      <c r="AI110" s="86">
        <f>VLOOKUP(TableWRRanks3242[[#This Row],[Player]],WR!B:O,5,FALSE)</f>
        <v>0</v>
      </c>
      <c r="AJ110" s="86">
        <f>VLOOKUP(TableWRRanks3242[[#This Row],[Player]],WR!B:O,6,FALSE)</f>
        <v>36.08820991999999</v>
      </c>
      <c r="AK110" s="86">
        <f>VLOOKUP(TableWRRanks3242[[#This Row],[Player]],WR!B:O,7,FALSE)</f>
        <v>21.436396692479992</v>
      </c>
      <c r="AL110" s="86">
        <f>VLOOKUP(TableWRRanks3242[[#This Row],[Player]],WR!B:O,8,FALSE)</f>
        <v>275.88642543221749</v>
      </c>
      <c r="AM110" s="86">
        <f>VLOOKUP(TableWRRanks3242[[#This Row],[Player]],WR!B:O,9,FALSE)</f>
        <v>1.4791113717811195</v>
      </c>
      <c r="AN110" s="58">
        <f>VLOOKUP(TableWRRanks3242[[#This Row],[Player]],WR!B:O,13,FALSE)</f>
        <v>47.181509120148462</v>
      </c>
      <c r="AO110" s="133">
        <f>IF(VLOOKUP(TableWRRanks3242[[#This Row],[RK]],'Ranks w Proj'!AD:AO,12,FALSE)&lt;0,0,VLOOKUP(TableWRRanks3242[[#This Row],[RK]],'Ranks w Proj'!AD:AO,12,FALSE))</f>
        <v>0</v>
      </c>
    </row>
    <row r="111" spans="16:52" x14ac:dyDescent="0.2">
      <c r="P111">
        <v>110</v>
      </c>
      <c r="Q111">
        <f>VLOOKUP(TableRBRanks3141[[#This Row],[RK]],Rankings!A:T,8,FALSE)</f>
        <v>0</v>
      </c>
      <c r="R111" t="str">
        <f>IFERROR(INDEX(TableRBCalcPts[TM],MATCH(TableRBRanks3141[[#This Row],[Player]],TableRBCalcPts[PLAYER],0)),"")</f>
        <v/>
      </c>
      <c r="S111" t="str">
        <f>IFERROR(INDEX(TableRBCalcPts[BYE],MATCH(TableRBRanks3141[[#This Row],[Player]],TableRBCalcPts[PLAYER],0)),"")</f>
        <v/>
      </c>
      <c r="T111" s="86">
        <f>VLOOKUP(TableRBRanks3141[[#This Row],[Player]],RB!B:O,4,FALSE)</f>
        <v>0</v>
      </c>
      <c r="U111" s="86">
        <f>VLOOKUP(TableRBRanks3141[[#This Row],[Player]],RB!B:O,5,FALSE)</f>
        <v>0</v>
      </c>
      <c r="V111" s="86">
        <f>VLOOKUP(TableRBRanks3141[[#This Row],[Player]],RB!B:O,6,FALSE)</f>
        <v>0</v>
      </c>
      <c r="W111" s="86">
        <f>VLOOKUP(TableRBRanks3141[[#This Row],[Player]],RB!B:O,7,FALSE)</f>
        <v>0</v>
      </c>
      <c r="X111" s="86">
        <f>VLOOKUP(TableRBRanks3141[[#This Row],[Player]],RB!B:O,8,FALSE)</f>
        <v>0</v>
      </c>
      <c r="Y111" s="86">
        <f>VLOOKUP(TableRBRanks3141[[#This Row],[Player]],RB!B:O,9,FALSE)</f>
        <v>0</v>
      </c>
      <c r="Z111" s="86">
        <f>VLOOKUP(TableRBRanks3141[[#This Row],[Player]],RB!B:O,10,FALSE)</f>
        <v>0</v>
      </c>
      <c r="AA111" s="58">
        <f>VLOOKUP(TableRBRanks3141[[#This Row],[Player]],RB!B:O,14,FALSE)</f>
        <v>0</v>
      </c>
      <c r="AB111" s="133">
        <f>IF(VLOOKUP(TableRBRanks3141[[#This Row],[RK]],'Ranks w Proj'!$P:$AB,13,FALSE)&lt;0,0,VLOOKUP(TableRBRanks3141[[#This Row],[RK]],'Ranks w Proj'!$P:$AB,13,FALSE))</f>
        <v>0</v>
      </c>
      <c r="AD111">
        <v>110</v>
      </c>
      <c r="AE111" t="str">
        <f>VLOOKUP(TableWRRanks3242[[#This Row],[RK]],Rankings!A:T,13,FALSE)</f>
        <v>KhaDarel Hodge</v>
      </c>
      <c r="AF111" t="str">
        <f>IFERROR(INDEX(TableWRCalcPts[TM],MATCH(TableWRRanks3242[[#This Row],[Player]],TableWRCalcPts[PLAYER],0)),"")</f>
        <v>ATL</v>
      </c>
      <c r="AG111">
        <f>IFERROR(INDEX(TableWRCalcPts[BYE],MATCH(TableWRRanks3242[[#This Row],[Player]],TableWRCalcPts[PLAYER],0)),"")</f>
        <v>11</v>
      </c>
      <c r="AH111" s="86">
        <f>VLOOKUP(TableWRRanks3242[[#This Row],[Player]],WR!B:O,4,FALSE)</f>
        <v>0</v>
      </c>
      <c r="AI111" s="86">
        <f>VLOOKUP(TableWRRanks3242[[#This Row],[Player]],WR!B:O,5,FALSE)</f>
        <v>0</v>
      </c>
      <c r="AJ111" s="86">
        <f>VLOOKUP(TableWRRanks3242[[#This Row],[Player]],WR!B:O,6,FALSE)</f>
        <v>39.450378239999992</v>
      </c>
      <c r="AK111" s="86">
        <f>VLOOKUP(TableWRRanks3242[[#This Row],[Player]],WR!B:O,7,FALSE)</f>
        <v>20.356879289535335</v>
      </c>
      <c r="AL111" s="86">
        <f>VLOOKUP(TableWRRanks3242[[#This Row],[Player]],WR!B:O,8,FALSE)</f>
        <v>266.67511869291286</v>
      </c>
      <c r="AM111" s="86">
        <f>VLOOKUP(TableWRRanks3242[[#This Row],[Player]],WR!B:O,9,FALSE)</f>
        <v>1.5471228260046854</v>
      </c>
      <c r="AN111" s="58">
        <f>VLOOKUP(TableWRRanks3242[[#This Row],[Player]],WR!B:O,13,FALSE)</f>
        <v>46.12868847008707</v>
      </c>
      <c r="AO111" s="133">
        <f>IF(VLOOKUP(TableWRRanks3242[[#This Row],[RK]],'Ranks w Proj'!AD:AO,12,FALSE)&lt;0,0,VLOOKUP(TableWRRanks3242[[#This Row],[RK]],'Ranks w Proj'!AD:AO,12,FALSE))</f>
        <v>0</v>
      </c>
    </row>
    <row r="112" spans="16:52" x14ac:dyDescent="0.2">
      <c r="P112">
        <v>111</v>
      </c>
      <c r="Q112">
        <f>VLOOKUP(TableRBRanks3141[[#This Row],[RK]],Rankings!A:T,8,FALSE)</f>
        <v>0</v>
      </c>
      <c r="R112" t="str">
        <f>IFERROR(INDEX(TableRBCalcPts[TM],MATCH(TableRBRanks3141[[#This Row],[Player]],TableRBCalcPts[PLAYER],0)),"")</f>
        <v/>
      </c>
      <c r="S112" t="str">
        <f>IFERROR(INDEX(TableRBCalcPts[BYE],MATCH(TableRBRanks3141[[#This Row],[Player]],TableRBCalcPts[PLAYER],0)),"")</f>
        <v/>
      </c>
      <c r="T112" s="86">
        <f>VLOOKUP(TableRBRanks3141[[#This Row],[Player]],RB!B:O,4,FALSE)</f>
        <v>0</v>
      </c>
      <c r="U112" s="86">
        <f>VLOOKUP(TableRBRanks3141[[#This Row],[Player]],RB!B:O,5,FALSE)</f>
        <v>0</v>
      </c>
      <c r="V112" s="86">
        <f>VLOOKUP(TableRBRanks3141[[#This Row],[Player]],RB!B:O,6,FALSE)</f>
        <v>0</v>
      </c>
      <c r="W112" s="86">
        <f>VLOOKUP(TableRBRanks3141[[#This Row],[Player]],RB!B:O,7,FALSE)</f>
        <v>0</v>
      </c>
      <c r="X112" s="86">
        <f>VLOOKUP(TableRBRanks3141[[#This Row],[Player]],RB!B:O,8,FALSE)</f>
        <v>0</v>
      </c>
      <c r="Y112" s="86">
        <f>VLOOKUP(TableRBRanks3141[[#This Row],[Player]],RB!B:O,9,FALSE)</f>
        <v>0</v>
      </c>
      <c r="Z112" s="86">
        <f>VLOOKUP(TableRBRanks3141[[#This Row],[Player]],RB!B:O,10,FALSE)</f>
        <v>0</v>
      </c>
      <c r="AA112" s="58">
        <f>VLOOKUP(TableRBRanks3141[[#This Row],[Player]],RB!B:O,14,FALSE)</f>
        <v>0</v>
      </c>
      <c r="AB112" s="133" t="e">
        <f>IF(VLOOKUP(TableRBRanks3141[[#This Row],[RK]],'Ranks w Proj'!$P:$AB,13,FALSE)&lt;0,0,VLOOKUP(TableRBRanks3141[[#This Row],[RK]],'Ranks w Proj'!$P:$AB,13,FALSE))</f>
        <v>#VALUE!</v>
      </c>
      <c r="AD112">
        <v>111</v>
      </c>
      <c r="AE112" t="str">
        <f>VLOOKUP(TableWRRanks3242[[#This Row],[RK]],Rankings!A:T,13,FALSE)</f>
        <v>Quez Watkins</v>
      </c>
      <c r="AF112" t="str">
        <f>IFERROR(INDEX(TableWRCalcPts[TM],MATCH(TableWRRanks3242[[#This Row],[Player]],TableWRCalcPts[PLAYER],0)),"")</f>
        <v>PHI</v>
      </c>
      <c r="AG112">
        <f>IFERROR(INDEX(TableWRCalcPts[BYE],MATCH(TableWRRanks3242[[#This Row],[Player]],TableWRCalcPts[PLAYER],0)),"")</f>
        <v>10</v>
      </c>
      <c r="AH112" s="86">
        <f>VLOOKUP(TableWRRanks3242[[#This Row],[Player]],WR!B:O,4,FALSE)</f>
        <v>0</v>
      </c>
      <c r="AI112" s="86">
        <f>VLOOKUP(TableWRRanks3242[[#This Row],[Player]],WR!B:O,5,FALSE)</f>
        <v>0</v>
      </c>
      <c r="AJ112" s="86">
        <f>VLOOKUP(TableWRRanks3242[[#This Row],[Player]],WR!B:O,6,FALSE)</f>
        <v>36.890437920000004</v>
      </c>
      <c r="AK112" s="86">
        <f>VLOOKUP(TableWRRanks3242[[#This Row],[Player]],WR!B:O,7,FALSE)</f>
        <v>23.40604935761209</v>
      </c>
      <c r="AL112" s="86">
        <f>VLOOKUP(TableWRRanks3242[[#This Row],[Player]],WR!B:O,8,FALSE)</f>
        <v>252.78533306221058</v>
      </c>
      <c r="AM112" s="86">
        <f>VLOOKUP(TableWRRanks3242[[#This Row],[Player]],WR!B:O,9,FALSE)</f>
        <v>1.4511750601719495</v>
      </c>
      <c r="AN112" s="58">
        <f>VLOOKUP(TableWRRanks3242[[#This Row],[Player]],WR!B:O,13,FALSE)</f>
        <v>45.688608346058807</v>
      </c>
      <c r="AO112" s="133">
        <f>IF(VLOOKUP(TableWRRanks3242[[#This Row],[RK]],'Ranks w Proj'!AD:AO,12,FALSE)&lt;0,0,VLOOKUP(TableWRRanks3242[[#This Row],[RK]],'Ranks w Proj'!AD:AO,12,FALSE))</f>
        <v>0</v>
      </c>
    </row>
    <row r="113" spans="16:41" x14ac:dyDescent="0.2">
      <c r="P113">
        <v>112</v>
      </c>
      <c r="Q113">
        <f>VLOOKUP(TableRBRanks3141[[#This Row],[RK]],Rankings!A:T,8,FALSE)</f>
        <v>0</v>
      </c>
      <c r="R113" t="str">
        <f>IFERROR(INDEX(TableRBCalcPts[TM],MATCH(TableRBRanks3141[[#This Row],[Player]],TableRBCalcPts[PLAYER],0)),"")</f>
        <v/>
      </c>
      <c r="S113" t="str">
        <f>IFERROR(INDEX(TableRBCalcPts[BYE],MATCH(TableRBRanks3141[[#This Row],[Player]],TableRBCalcPts[PLAYER],0)),"")</f>
        <v/>
      </c>
      <c r="T113" s="86">
        <f>VLOOKUP(TableRBRanks3141[[#This Row],[Player]],RB!B:O,4,FALSE)</f>
        <v>0</v>
      </c>
      <c r="U113" s="86">
        <f>VLOOKUP(TableRBRanks3141[[#This Row],[Player]],RB!B:O,5,FALSE)</f>
        <v>0</v>
      </c>
      <c r="V113" s="86">
        <f>VLOOKUP(TableRBRanks3141[[#This Row],[Player]],RB!B:O,6,FALSE)</f>
        <v>0</v>
      </c>
      <c r="W113" s="86">
        <f>VLOOKUP(TableRBRanks3141[[#This Row],[Player]],RB!B:O,7,FALSE)</f>
        <v>0</v>
      </c>
      <c r="X113" s="86">
        <f>VLOOKUP(TableRBRanks3141[[#This Row],[Player]],RB!B:O,8,FALSE)</f>
        <v>0</v>
      </c>
      <c r="Y113" s="86">
        <f>VLOOKUP(TableRBRanks3141[[#This Row],[Player]],RB!B:O,9,FALSE)</f>
        <v>0</v>
      </c>
      <c r="Z113" s="86">
        <f>VLOOKUP(TableRBRanks3141[[#This Row],[Player]],RB!B:O,10,FALSE)</f>
        <v>0</v>
      </c>
      <c r="AA113" s="58">
        <f>VLOOKUP(TableRBRanks3141[[#This Row],[Player]],RB!B:O,14,FALSE)</f>
        <v>0</v>
      </c>
      <c r="AB113" s="133" t="e">
        <f>IF(VLOOKUP(TableRBRanks3141[[#This Row],[RK]],'Ranks w Proj'!$P:$AB,13,FALSE)&lt;0,0,VLOOKUP(TableRBRanks3141[[#This Row],[RK]],'Ranks w Proj'!$P:$AB,13,FALSE))</f>
        <v>#VALUE!</v>
      </c>
      <c r="AD113">
        <v>112</v>
      </c>
      <c r="AE113" t="str">
        <f>VLOOKUP(TableWRRanks3242[[#This Row],[RK]],Rankings!A:T,13,FALSE)</f>
        <v>Jauan Jennings</v>
      </c>
      <c r="AF113" t="str">
        <f>IFERROR(INDEX(TableWRCalcPts[TM],MATCH(TableWRRanks3242[[#This Row],[Player]],TableWRCalcPts[PLAYER],0)),"")</f>
        <v>SF</v>
      </c>
      <c r="AG113">
        <f>IFERROR(INDEX(TableWRCalcPts[BYE],MATCH(TableWRRanks3242[[#This Row],[Player]],TableWRCalcPts[PLAYER],0)),"")</f>
        <v>9</v>
      </c>
      <c r="AH113" s="86">
        <f>VLOOKUP(TableWRRanks3242[[#This Row],[Player]],WR!B:O,4,FALSE)</f>
        <v>0</v>
      </c>
      <c r="AI113" s="86">
        <f>VLOOKUP(TableWRRanks3242[[#This Row],[Player]],WR!B:O,5,FALSE)</f>
        <v>0</v>
      </c>
      <c r="AJ113" s="86">
        <f>VLOOKUP(TableWRRanks3242[[#This Row],[Player]],WR!B:O,6,FALSE)</f>
        <v>31.41731922</v>
      </c>
      <c r="AK113" s="86">
        <f>VLOOKUP(TableWRRanks3242[[#This Row],[Player]],WR!B:O,7,FALSE)</f>
        <v>18.877697626551964</v>
      </c>
      <c r="AL113" s="86">
        <f>VLOOKUP(TableWRRanks3242[[#This Row],[Player]],WR!B:O,8,FALSE)</f>
        <v>224.92718631083955</v>
      </c>
      <c r="AM113" s="86">
        <f>VLOOKUP(TableWRRanks3242[[#This Row],[Player]],WR!B:O,9,FALSE)</f>
        <v>1.3969496243648452</v>
      </c>
      <c r="AN113" s="58">
        <f>VLOOKUP(TableWRRanks3242[[#This Row],[Player]],WR!B:O,13,FALSE)</f>
        <v>40.313265190549011</v>
      </c>
      <c r="AO113" s="133">
        <f>IF(VLOOKUP(TableWRRanks3242[[#This Row],[RK]],'Ranks w Proj'!AD:AO,12,FALSE)&lt;0,0,VLOOKUP(TableWRRanks3242[[#This Row],[RK]],'Ranks w Proj'!AD:AO,12,FALSE))</f>
        <v>0</v>
      </c>
    </row>
    <row r="114" spans="16:41" x14ac:dyDescent="0.2">
      <c r="P114">
        <v>113</v>
      </c>
      <c r="Q114">
        <f>VLOOKUP(TableRBRanks3141[[#This Row],[RK]],Rankings!A:T,8,FALSE)</f>
        <v>0</v>
      </c>
      <c r="R114" t="str">
        <f>IFERROR(INDEX(TableRBCalcPts[TM],MATCH(TableRBRanks3141[[#This Row],[Player]],TableRBCalcPts[PLAYER],0)),"")</f>
        <v/>
      </c>
      <c r="S114" t="str">
        <f>IFERROR(INDEX(TableRBCalcPts[BYE],MATCH(TableRBRanks3141[[#This Row],[Player]],TableRBCalcPts[PLAYER],0)),"")</f>
        <v/>
      </c>
      <c r="T114" s="86">
        <f>VLOOKUP(TableRBRanks3141[[#This Row],[Player]],RB!B:O,4,FALSE)</f>
        <v>0</v>
      </c>
      <c r="U114" s="86">
        <f>VLOOKUP(TableRBRanks3141[[#This Row],[Player]],RB!B:O,5,FALSE)</f>
        <v>0</v>
      </c>
      <c r="V114" s="86">
        <f>VLOOKUP(TableRBRanks3141[[#This Row],[Player]],RB!B:O,6,FALSE)</f>
        <v>0</v>
      </c>
      <c r="W114" s="86">
        <f>VLOOKUP(TableRBRanks3141[[#This Row],[Player]],RB!B:O,7,FALSE)</f>
        <v>0</v>
      </c>
      <c r="X114" s="86">
        <f>VLOOKUP(TableRBRanks3141[[#This Row],[Player]],RB!B:O,8,FALSE)</f>
        <v>0</v>
      </c>
      <c r="Y114" s="86">
        <f>VLOOKUP(TableRBRanks3141[[#This Row],[Player]],RB!B:O,9,FALSE)</f>
        <v>0</v>
      </c>
      <c r="Z114" s="86">
        <f>VLOOKUP(TableRBRanks3141[[#This Row],[Player]],RB!B:O,10,FALSE)</f>
        <v>0</v>
      </c>
      <c r="AA114" s="58">
        <f>VLOOKUP(TableRBRanks3141[[#This Row],[Player]],RB!B:O,14,FALSE)</f>
        <v>0</v>
      </c>
      <c r="AB114" s="133" t="e">
        <f>IF(VLOOKUP(TableRBRanks3141[[#This Row],[RK]],'Ranks w Proj'!$P:$AB,13,FALSE)&lt;0,0,VLOOKUP(TableRBRanks3141[[#This Row],[RK]],'Ranks w Proj'!$P:$AB,13,FALSE))</f>
        <v>#VALUE!</v>
      </c>
      <c r="AD114">
        <v>113</v>
      </c>
      <c r="AE114" t="str">
        <f>VLOOKUP(TableWRRanks3242[[#This Row],[RK]],Rankings!A:T,13,FALSE)</f>
        <v>Isaiah McKenzie</v>
      </c>
      <c r="AF114" t="str">
        <f>IFERROR(INDEX(TableWRCalcPts[TM],MATCH(TableWRRanks3242[[#This Row],[Player]],TableWRCalcPts[PLAYER],0)),"")</f>
        <v>IND</v>
      </c>
      <c r="AG114">
        <f>IFERROR(INDEX(TableWRCalcPts[BYE],MATCH(TableWRRanks3242[[#This Row],[Player]],TableWRCalcPts[PLAYER],0)),"")</f>
        <v>11</v>
      </c>
      <c r="AH114" s="86">
        <f>VLOOKUP(TableWRRanks3242[[#This Row],[Player]],WR!B:O,4,FALSE)</f>
        <v>0</v>
      </c>
      <c r="AI114" s="86">
        <f>VLOOKUP(TableWRRanks3242[[#This Row],[Player]],WR!B:O,5,FALSE)</f>
        <v>0</v>
      </c>
      <c r="AJ114" s="86">
        <f>VLOOKUP(TableWRRanks3242[[#This Row],[Player]],WR!B:O,6,FALSE)</f>
        <v>33.143972400000003</v>
      </c>
      <c r="AK114" s="86">
        <f>VLOOKUP(TableWRRanks3242[[#This Row],[Player]],WR!B:O,7,FALSE)</f>
        <v>21.444150142800002</v>
      </c>
      <c r="AL114" s="86">
        <f>VLOOKUP(TableWRRanks3242[[#This Row],[Player]],WR!B:O,8,FALSE)</f>
        <v>223.01916148512004</v>
      </c>
      <c r="AM114" s="86">
        <f>VLOOKUP(TableWRRanks3242[[#This Row],[Player]],WR!B:O,9,FALSE)</f>
        <v>1.0507633569972001</v>
      </c>
      <c r="AN114" s="58">
        <f>VLOOKUP(TableWRRanks3242[[#This Row],[Player]],WR!B:O,13,FALSE)</f>
        <v>39.328571361895207</v>
      </c>
      <c r="AO114" s="133">
        <f>IF(VLOOKUP(TableWRRanks3242[[#This Row],[RK]],'Ranks w Proj'!AD:AO,12,FALSE)&lt;0,0,VLOOKUP(TableWRRanks3242[[#This Row],[RK]],'Ranks w Proj'!AD:AO,12,FALSE))</f>
        <v>0</v>
      </c>
    </row>
    <row r="115" spans="16:41" x14ac:dyDescent="0.2">
      <c r="P115">
        <v>114</v>
      </c>
      <c r="Q115">
        <f>VLOOKUP(TableRBRanks3141[[#This Row],[RK]],Rankings!A:T,8,FALSE)</f>
        <v>0</v>
      </c>
      <c r="R115" t="str">
        <f>IFERROR(INDEX(TableRBCalcPts[TM],MATCH(TableRBRanks3141[[#This Row],[Player]],TableRBCalcPts[PLAYER],0)),"")</f>
        <v/>
      </c>
      <c r="S115" t="str">
        <f>IFERROR(INDEX(TableRBCalcPts[BYE],MATCH(TableRBRanks3141[[#This Row],[Player]],TableRBCalcPts[PLAYER],0)),"")</f>
        <v/>
      </c>
      <c r="T115" s="86">
        <f>VLOOKUP(TableRBRanks3141[[#This Row],[Player]],RB!B:O,4,FALSE)</f>
        <v>0</v>
      </c>
      <c r="U115" s="86">
        <f>VLOOKUP(TableRBRanks3141[[#This Row],[Player]],RB!B:O,5,FALSE)</f>
        <v>0</v>
      </c>
      <c r="V115" s="86">
        <f>VLOOKUP(TableRBRanks3141[[#This Row],[Player]],RB!B:O,6,FALSE)</f>
        <v>0</v>
      </c>
      <c r="W115" s="86">
        <f>VLOOKUP(TableRBRanks3141[[#This Row],[Player]],RB!B:O,7,FALSE)</f>
        <v>0</v>
      </c>
      <c r="X115" s="86">
        <f>VLOOKUP(TableRBRanks3141[[#This Row],[Player]],RB!B:O,8,FALSE)</f>
        <v>0</v>
      </c>
      <c r="Y115" s="86">
        <f>VLOOKUP(TableRBRanks3141[[#This Row],[Player]],RB!B:O,9,FALSE)</f>
        <v>0</v>
      </c>
      <c r="Z115" s="86">
        <f>VLOOKUP(TableRBRanks3141[[#This Row],[Player]],RB!B:O,10,FALSE)</f>
        <v>0</v>
      </c>
      <c r="AA115" s="58">
        <f>VLOOKUP(TableRBRanks3141[[#This Row],[Player]],RB!B:O,14,FALSE)</f>
        <v>0</v>
      </c>
      <c r="AB115" s="133" t="e">
        <f>IF(VLOOKUP(TableRBRanks3141[[#This Row],[RK]],'Ranks w Proj'!$P:$AB,13,FALSE)&lt;0,0,VLOOKUP(TableRBRanks3141[[#This Row],[RK]],'Ranks w Proj'!$P:$AB,13,FALSE))</f>
        <v>#VALUE!</v>
      </c>
      <c r="AD115">
        <v>114</v>
      </c>
      <c r="AE115" t="str">
        <f>VLOOKUP(TableWRRanks3242[[#This Row],[RK]],Rankings!A:T,13,FALSE)</f>
        <v>Jalin Hyatt</v>
      </c>
      <c r="AF115" t="str">
        <f>IFERROR(INDEX(TableWRCalcPts[TM],MATCH(TableWRRanks3242[[#This Row],[Player]],TableWRCalcPts[PLAYER],0)),"")</f>
        <v>NYG</v>
      </c>
      <c r="AG115">
        <f>IFERROR(INDEX(TableWRCalcPts[BYE],MATCH(TableWRRanks3242[[#This Row],[Player]],TableWRCalcPts[PLAYER],0)),"")</f>
        <v>13</v>
      </c>
      <c r="AH115" s="86">
        <f>VLOOKUP(TableWRRanks3242[[#This Row],[Player]],WR!B:O,4,FALSE)</f>
        <v>0</v>
      </c>
      <c r="AI115" s="86">
        <f>VLOOKUP(TableWRRanks3242[[#This Row],[Player]],WR!B:O,5,FALSE)</f>
        <v>0</v>
      </c>
      <c r="AJ115" s="86">
        <f>VLOOKUP(TableWRRanks3242[[#This Row],[Player]],WR!B:O,6,FALSE)</f>
        <v>28.023541000000002</v>
      </c>
      <c r="AK115" s="86">
        <f>VLOOKUP(TableWRRanks3242[[#This Row],[Player]],WR!B:O,7,FALSE)</f>
        <v>18.054814166380091</v>
      </c>
      <c r="AL115" s="86">
        <f>VLOOKUP(TableWRRanks3242[[#This Row],[Player]],WR!B:O,8,FALSE)</f>
        <v>220.81037725482852</v>
      </c>
      <c r="AM115" s="86">
        <f>VLOOKUP(TableWRRanks3242[[#This Row],[Player]],WR!B:O,9,FALSE)</f>
        <v>1.3180014341457464</v>
      </c>
      <c r="AN115" s="58">
        <f>VLOOKUP(TableWRRanks3242[[#This Row],[Player]],WR!B:O,13,FALSE)</f>
        <v>39.016453413547382</v>
      </c>
      <c r="AO115" s="133">
        <f>IF(VLOOKUP(TableWRRanks3242[[#This Row],[RK]],'Ranks w Proj'!AD:AO,12,FALSE)&lt;0,0,VLOOKUP(TableWRRanks3242[[#This Row],[RK]],'Ranks w Proj'!AD:AO,12,FALSE))</f>
        <v>0</v>
      </c>
    </row>
    <row r="116" spans="16:41" x14ac:dyDescent="0.2">
      <c r="P116">
        <v>115</v>
      </c>
      <c r="Q116">
        <f>VLOOKUP(TableRBRanks3141[[#This Row],[RK]],Rankings!A:T,8,FALSE)</f>
        <v>0</v>
      </c>
      <c r="R116" t="str">
        <f>IFERROR(INDEX(TableRBCalcPts[TM],MATCH(TableRBRanks3141[[#This Row],[Player]],TableRBCalcPts[PLAYER],0)),"")</f>
        <v/>
      </c>
      <c r="S116" t="str">
        <f>IFERROR(INDEX(TableRBCalcPts[BYE],MATCH(TableRBRanks3141[[#This Row],[Player]],TableRBCalcPts[PLAYER],0)),"")</f>
        <v/>
      </c>
      <c r="T116" s="86">
        <f>VLOOKUP(TableRBRanks3141[[#This Row],[Player]],RB!B:O,4,FALSE)</f>
        <v>0</v>
      </c>
      <c r="U116" s="86">
        <f>VLOOKUP(TableRBRanks3141[[#This Row],[Player]],RB!B:O,5,FALSE)</f>
        <v>0</v>
      </c>
      <c r="V116" s="86">
        <f>VLOOKUP(TableRBRanks3141[[#This Row],[Player]],RB!B:O,6,FALSE)</f>
        <v>0</v>
      </c>
      <c r="W116" s="86">
        <f>VLOOKUP(TableRBRanks3141[[#This Row],[Player]],RB!B:O,7,FALSE)</f>
        <v>0</v>
      </c>
      <c r="X116" s="86">
        <f>VLOOKUP(TableRBRanks3141[[#This Row],[Player]],RB!B:O,8,FALSE)</f>
        <v>0</v>
      </c>
      <c r="Y116" s="86">
        <f>VLOOKUP(TableRBRanks3141[[#This Row],[Player]],RB!B:O,9,FALSE)</f>
        <v>0</v>
      </c>
      <c r="Z116" s="86">
        <f>VLOOKUP(TableRBRanks3141[[#This Row],[Player]],RB!B:O,10,FALSE)</f>
        <v>0</v>
      </c>
      <c r="AA116" s="58">
        <f>VLOOKUP(TableRBRanks3141[[#This Row],[Player]],RB!B:O,14,FALSE)</f>
        <v>0</v>
      </c>
      <c r="AB116" s="133" t="e">
        <f>IF(VLOOKUP(TableRBRanks3141[[#This Row],[RK]],'Ranks w Proj'!$P:$AB,13,FALSE)&lt;0,0,VLOOKUP(TableRBRanks3141[[#This Row],[RK]],'Ranks w Proj'!$P:$AB,13,FALSE))</f>
        <v>#VALUE!</v>
      </c>
      <c r="AD116">
        <v>115</v>
      </c>
      <c r="AE116" t="str">
        <f>VLOOKUP(TableWRRanks3242[[#This Row],[RK]],Rankings!A:T,13,FALSE)</f>
        <v>Khalil Shakir</v>
      </c>
      <c r="AF116" t="str">
        <f>IFERROR(INDEX(TableWRCalcPts[TM],MATCH(TableWRRanks3242[[#This Row],[Player]],TableWRCalcPts[PLAYER],0)),"")</f>
        <v>BUF</v>
      </c>
      <c r="AG116">
        <f>IFERROR(INDEX(TableWRCalcPts[BYE],MATCH(TableWRRanks3242[[#This Row],[Player]],TableWRCalcPts[PLAYER],0)),"")</f>
        <v>13</v>
      </c>
      <c r="AH116" s="86">
        <f>VLOOKUP(TableWRRanks3242[[#This Row],[Player]],WR!B:O,4,FALSE)</f>
        <v>0</v>
      </c>
      <c r="AI116" s="86">
        <f>VLOOKUP(TableWRRanks3242[[#This Row],[Player]],WR!B:O,5,FALSE)</f>
        <v>0</v>
      </c>
      <c r="AJ116" s="86">
        <f>VLOOKUP(TableWRRanks3242[[#This Row],[Player]],WR!B:O,6,FALSE)</f>
        <v>31.429089999999999</v>
      </c>
      <c r="AK116" s="86">
        <f>VLOOKUP(TableWRRanks3242[[#This Row],[Player]],WR!B:O,7,FALSE)</f>
        <v>18.62431366668449</v>
      </c>
      <c r="AL116" s="86">
        <f>VLOOKUP(TableWRRanks3242[[#This Row],[Player]],WR!B:O,8,FALSE)</f>
        <v>222.00181890687912</v>
      </c>
      <c r="AM116" s="86">
        <f>VLOOKUP(TableWRRanks3242[[#This Row],[Player]],WR!B:O,9,FALSE)</f>
        <v>1.1461116102575071</v>
      </c>
      <c r="AN116" s="58">
        <f>VLOOKUP(TableWRRanks3242[[#This Row],[Player]],WR!B:O,13,FALSE)</f>
        <v>38.389008385575202</v>
      </c>
      <c r="AO116" s="133">
        <f>IF(VLOOKUP(TableWRRanks3242[[#This Row],[RK]],'Ranks w Proj'!AD:AO,12,FALSE)&lt;0,0,VLOOKUP(TableWRRanks3242[[#This Row],[RK]],'Ranks w Proj'!AD:AO,12,FALSE))</f>
        <v>0</v>
      </c>
    </row>
    <row r="117" spans="16:41" x14ac:dyDescent="0.2">
      <c r="P117">
        <v>116</v>
      </c>
      <c r="Q117">
        <f>VLOOKUP(TableRBRanks3141[[#This Row],[RK]],Rankings!A:T,8,FALSE)</f>
        <v>0</v>
      </c>
      <c r="R117" t="str">
        <f>IFERROR(INDEX(TableRBCalcPts[TM],MATCH(TableRBRanks3141[[#This Row],[Player]],TableRBCalcPts[PLAYER],0)),"")</f>
        <v/>
      </c>
      <c r="S117" t="str">
        <f>IFERROR(INDEX(TableRBCalcPts[BYE],MATCH(TableRBRanks3141[[#This Row],[Player]],TableRBCalcPts[PLAYER],0)),"")</f>
        <v/>
      </c>
      <c r="T117" s="86">
        <f>VLOOKUP(TableRBRanks3141[[#This Row],[Player]],RB!B:O,4,FALSE)</f>
        <v>0</v>
      </c>
      <c r="U117" s="86">
        <f>VLOOKUP(TableRBRanks3141[[#This Row],[Player]],RB!B:O,5,FALSE)</f>
        <v>0</v>
      </c>
      <c r="V117" s="86">
        <f>VLOOKUP(TableRBRanks3141[[#This Row],[Player]],RB!B:O,6,FALSE)</f>
        <v>0</v>
      </c>
      <c r="W117" s="86">
        <f>VLOOKUP(TableRBRanks3141[[#This Row],[Player]],RB!B:O,7,FALSE)</f>
        <v>0</v>
      </c>
      <c r="X117" s="86">
        <f>VLOOKUP(TableRBRanks3141[[#This Row],[Player]],RB!B:O,8,FALSE)</f>
        <v>0</v>
      </c>
      <c r="Y117" s="86">
        <f>VLOOKUP(TableRBRanks3141[[#This Row],[Player]],RB!B:O,9,FALSE)</f>
        <v>0</v>
      </c>
      <c r="Z117" s="86">
        <f>VLOOKUP(TableRBRanks3141[[#This Row],[Player]],RB!B:O,10,FALSE)</f>
        <v>0</v>
      </c>
      <c r="AA117" s="58">
        <f>VLOOKUP(TableRBRanks3141[[#This Row],[Player]],RB!B:O,14,FALSE)</f>
        <v>0</v>
      </c>
      <c r="AB117" s="133" t="e">
        <f>IF(VLOOKUP(TableRBRanks3141[[#This Row],[RK]],'Ranks w Proj'!$P:$AB,13,FALSE)&lt;0,0,VLOOKUP(TableRBRanks3141[[#This Row],[RK]],'Ranks w Proj'!$P:$AB,13,FALSE))</f>
        <v>#VALUE!</v>
      </c>
      <c r="AD117">
        <v>116</v>
      </c>
      <c r="AE117" t="str">
        <f>VLOOKUP(TableWRRanks3242[[#This Row],[RK]],Rankings!A:T,13,FALSE)</f>
        <v>Demario Douglas</v>
      </c>
      <c r="AF117" t="str">
        <f>IFERROR(INDEX(TableWRCalcPts[TM],MATCH(TableWRRanks3242[[#This Row],[Player]],TableWRCalcPts[PLAYER],0)),"")</f>
        <v>NE</v>
      </c>
      <c r="AG117">
        <f>IFERROR(INDEX(TableWRCalcPts[BYE],MATCH(TableWRRanks3242[[#This Row],[Player]],TableWRCalcPts[PLAYER],0)),"")</f>
        <v>11</v>
      </c>
      <c r="AH117" s="86">
        <f>VLOOKUP(TableWRRanks3242[[#This Row],[Player]],WR!B:O,4,FALSE)</f>
        <v>0</v>
      </c>
      <c r="AI117" s="86">
        <f>VLOOKUP(TableWRRanks3242[[#This Row],[Player]],WR!B:O,5,FALSE)</f>
        <v>0</v>
      </c>
      <c r="AJ117" s="86">
        <f>VLOOKUP(TableWRRanks3242[[#This Row],[Player]],WR!B:O,6,FALSE)</f>
        <v>29.321670559999991</v>
      </c>
      <c r="AK117" s="86">
        <f>VLOOKUP(TableWRRanks3242[[#This Row],[Player]],WR!B:O,7,FALSE)</f>
        <v>16.830638901439993</v>
      </c>
      <c r="AL117" s="86">
        <f>VLOOKUP(TableWRRanks3242[[#This Row],[Player]],WR!B:O,8,FALSE)</f>
        <v>227.21362516943992</v>
      </c>
      <c r="AM117" s="86">
        <f>VLOOKUP(TableWRRanks3242[[#This Row],[Player]],WR!B:O,9,FALSE)</f>
        <v>1.0098383340863997</v>
      </c>
      <c r="AN117" s="58">
        <f>VLOOKUP(TableWRRanks3242[[#This Row],[Player]],WR!B:O,13,FALSE)</f>
        <v>37.195711972182387</v>
      </c>
      <c r="AO117" s="133">
        <f>IF(VLOOKUP(TableWRRanks3242[[#This Row],[RK]],'Ranks w Proj'!AD:AO,12,FALSE)&lt;0,0,VLOOKUP(TableWRRanks3242[[#This Row],[RK]],'Ranks w Proj'!AD:AO,12,FALSE))</f>
        <v>0</v>
      </c>
    </row>
    <row r="118" spans="16:41" x14ac:dyDescent="0.2">
      <c r="P118">
        <v>117</v>
      </c>
      <c r="Q118">
        <f>VLOOKUP(TableRBRanks3141[[#This Row],[RK]],Rankings!A:T,8,FALSE)</f>
        <v>0</v>
      </c>
      <c r="R118" t="str">
        <f>IFERROR(INDEX(TableRBCalcPts[TM],MATCH(TableRBRanks3141[[#This Row],[Player]],TableRBCalcPts[PLAYER],0)),"")</f>
        <v/>
      </c>
      <c r="S118" t="str">
        <f>IFERROR(INDEX(TableRBCalcPts[BYE],MATCH(TableRBRanks3141[[#This Row],[Player]],TableRBCalcPts[PLAYER],0)),"")</f>
        <v/>
      </c>
      <c r="T118" s="86">
        <f>VLOOKUP(TableRBRanks3141[[#This Row],[Player]],RB!B:O,4,FALSE)</f>
        <v>0</v>
      </c>
      <c r="U118" s="86">
        <f>VLOOKUP(TableRBRanks3141[[#This Row],[Player]],RB!B:O,5,FALSE)</f>
        <v>0</v>
      </c>
      <c r="V118" s="86">
        <f>VLOOKUP(TableRBRanks3141[[#This Row],[Player]],RB!B:O,6,FALSE)</f>
        <v>0</v>
      </c>
      <c r="W118" s="86">
        <f>VLOOKUP(TableRBRanks3141[[#This Row],[Player]],RB!B:O,7,FALSE)</f>
        <v>0</v>
      </c>
      <c r="X118" s="86">
        <f>VLOOKUP(TableRBRanks3141[[#This Row],[Player]],RB!B:O,8,FALSE)</f>
        <v>0</v>
      </c>
      <c r="Y118" s="86">
        <f>VLOOKUP(TableRBRanks3141[[#This Row],[Player]],RB!B:O,9,FALSE)</f>
        <v>0</v>
      </c>
      <c r="Z118" s="86">
        <f>VLOOKUP(TableRBRanks3141[[#This Row],[Player]],RB!B:O,10,FALSE)</f>
        <v>0</v>
      </c>
      <c r="AA118" s="58">
        <f>VLOOKUP(TableRBRanks3141[[#This Row],[Player]],RB!B:O,14,FALSE)</f>
        <v>0</v>
      </c>
      <c r="AB118" s="133" t="e">
        <f>IF(VLOOKUP(TableRBRanks3141[[#This Row],[RK]],'Ranks w Proj'!$P:$AB,13,FALSE)&lt;0,0,VLOOKUP(TableRBRanks3141[[#This Row],[RK]],'Ranks w Proj'!$P:$AB,13,FALSE))</f>
        <v>#VALUE!</v>
      </c>
      <c r="AD118">
        <v>117</v>
      </c>
      <c r="AE118" t="str">
        <f>VLOOKUP(TableWRRanks3242[[#This Row],[RK]],Rankings!A:T,13,FALSE)</f>
        <v>Kyle Philips</v>
      </c>
      <c r="AF118" t="str">
        <f>IFERROR(INDEX(TableWRCalcPts[TM],MATCH(TableWRRanks3242[[#This Row],[Player]],TableWRCalcPts[PLAYER],0)),"")</f>
        <v>TEN</v>
      </c>
      <c r="AG118">
        <f>IFERROR(INDEX(TableWRCalcPts[BYE],MATCH(TableWRRanks3242[[#This Row],[Player]],TableWRCalcPts[PLAYER],0)),"")</f>
        <v>7</v>
      </c>
      <c r="AH118" s="86">
        <f>VLOOKUP(TableWRRanks3242[[#This Row],[Player]],WR!B:O,4,FALSE)</f>
        <v>0</v>
      </c>
      <c r="AI118" s="86">
        <f>VLOOKUP(TableWRRanks3242[[#This Row],[Player]],WR!B:O,5,FALSE)</f>
        <v>0</v>
      </c>
      <c r="AJ118" s="86">
        <f>VLOOKUP(TableWRRanks3242[[#This Row],[Player]],WR!B:O,6,FALSE)</f>
        <v>28.704900699999996</v>
      </c>
      <c r="AK118" s="86">
        <f>VLOOKUP(TableWRRanks3242[[#This Row],[Player]],WR!B:O,7,FALSE)</f>
        <v>18.861777643343569</v>
      </c>
      <c r="AL118" s="86">
        <f>VLOOKUP(TableWRRanks3242[[#This Row],[Player]],WR!B:O,8,FALSE)</f>
        <v>205.59337631244492</v>
      </c>
      <c r="AM118" s="86">
        <f>VLOOKUP(TableWRRanks3242[[#This Row],[Player]],WR!B:O,9,FALSE)</f>
        <v>1.1317066586006141</v>
      </c>
      <c r="AN118" s="58">
        <f>VLOOKUP(TableWRRanks3242[[#This Row],[Player]],WR!B:O,13,FALSE)</f>
        <v>36.780466404519956</v>
      </c>
      <c r="AO118" s="133">
        <f>IF(VLOOKUP(TableWRRanks3242[[#This Row],[RK]],'Ranks w Proj'!AD:AO,12,FALSE)&lt;0,0,VLOOKUP(TableWRRanks3242[[#This Row],[RK]],'Ranks w Proj'!AD:AO,12,FALSE))</f>
        <v>0</v>
      </c>
    </row>
    <row r="119" spans="16:41" x14ac:dyDescent="0.2">
      <c r="P119">
        <v>118</v>
      </c>
      <c r="Q119">
        <f>VLOOKUP(TableRBRanks3141[[#This Row],[RK]],Rankings!A:T,8,FALSE)</f>
        <v>0</v>
      </c>
      <c r="R119" t="str">
        <f>IFERROR(INDEX(TableRBCalcPts[TM],MATCH(TableRBRanks3141[[#This Row],[Player]],TableRBCalcPts[PLAYER],0)),"")</f>
        <v/>
      </c>
      <c r="S119" t="str">
        <f>IFERROR(INDEX(TableRBCalcPts[BYE],MATCH(TableRBRanks3141[[#This Row],[Player]],TableRBCalcPts[PLAYER],0)),"")</f>
        <v/>
      </c>
      <c r="T119" s="86">
        <f>VLOOKUP(TableRBRanks3141[[#This Row],[Player]],RB!B:O,4,FALSE)</f>
        <v>0</v>
      </c>
      <c r="U119" s="86">
        <f>VLOOKUP(TableRBRanks3141[[#This Row],[Player]],RB!B:O,5,FALSE)</f>
        <v>0</v>
      </c>
      <c r="V119" s="86">
        <f>VLOOKUP(TableRBRanks3141[[#This Row],[Player]],RB!B:O,6,FALSE)</f>
        <v>0</v>
      </c>
      <c r="W119" s="86">
        <f>VLOOKUP(TableRBRanks3141[[#This Row],[Player]],RB!B:O,7,FALSE)</f>
        <v>0</v>
      </c>
      <c r="X119" s="86">
        <f>VLOOKUP(TableRBRanks3141[[#This Row],[Player]],RB!B:O,8,FALSE)</f>
        <v>0</v>
      </c>
      <c r="Y119" s="86">
        <f>VLOOKUP(TableRBRanks3141[[#This Row],[Player]],RB!B:O,9,FALSE)</f>
        <v>0</v>
      </c>
      <c r="Z119" s="86">
        <f>VLOOKUP(TableRBRanks3141[[#This Row],[Player]],RB!B:O,10,FALSE)</f>
        <v>0</v>
      </c>
      <c r="AA119" s="58">
        <f>VLOOKUP(TableRBRanks3141[[#This Row],[Player]],RB!B:O,14,FALSE)</f>
        <v>0</v>
      </c>
      <c r="AB119" s="133" t="e">
        <f>IF(VLOOKUP(TableRBRanks3141[[#This Row],[RK]],'Ranks w Proj'!$P:$AB,13,FALSE)&lt;0,0,VLOOKUP(TableRBRanks3141[[#This Row],[RK]],'Ranks w Proj'!$P:$AB,13,FALSE))</f>
        <v>#VALUE!</v>
      </c>
      <c r="AD119">
        <v>118</v>
      </c>
      <c r="AE119" t="str">
        <f>VLOOKUP(TableWRRanks3242[[#This Row],[RK]],Rankings!A:T,13,FALSE)</f>
        <v>Sterling Shepard</v>
      </c>
      <c r="AF119" t="str">
        <f>IFERROR(INDEX(TableWRCalcPts[TM],MATCH(TableWRRanks3242[[#This Row],[Player]],TableWRCalcPts[PLAYER],0)),"")</f>
        <v>NYG</v>
      </c>
      <c r="AG119">
        <f>IFERROR(INDEX(TableWRCalcPts[BYE],MATCH(TableWRRanks3242[[#This Row],[Player]],TableWRCalcPts[PLAYER],0)),"")</f>
        <v>13</v>
      </c>
      <c r="AH119" s="86">
        <f>VLOOKUP(TableWRRanks3242[[#This Row],[Player]],WR!B:O,4,FALSE)</f>
        <v>0</v>
      </c>
      <c r="AI119" s="86">
        <f>VLOOKUP(TableWRRanks3242[[#This Row],[Player]],WR!B:O,5,FALSE)</f>
        <v>0</v>
      </c>
      <c r="AJ119" s="86">
        <f>VLOOKUP(TableWRRanks3242[[#This Row],[Player]],WR!B:O,6,FALSE)</f>
        <v>30.265424280000001</v>
      </c>
      <c r="AK119" s="86">
        <f>VLOOKUP(TableWRRanks3242[[#This Row],[Player]],WR!B:O,7,FALSE)</f>
        <v>20.241711463807505</v>
      </c>
      <c r="AL119" s="86">
        <f>VLOOKUP(TableWRRanks3242[[#This Row],[Player]],WR!B:O,8,FALSE)</f>
        <v>204.4412857844558</v>
      </c>
      <c r="AM119" s="86">
        <f>VLOOKUP(TableWRRanks3242[[#This Row],[Player]],WR!B:O,9,FALSE)</f>
        <v>0.85015188147991527</v>
      </c>
      <c r="AN119" s="58">
        <f>VLOOKUP(TableWRRanks3242[[#This Row],[Player]],WR!B:O,13,FALSE)</f>
        <v>35.665895599228826</v>
      </c>
      <c r="AO119" s="133">
        <f>IF(VLOOKUP(TableWRRanks3242[[#This Row],[RK]],'Ranks w Proj'!AD:AO,12,FALSE)&lt;0,0,VLOOKUP(TableWRRanks3242[[#This Row],[RK]],'Ranks w Proj'!AD:AO,12,FALSE))</f>
        <v>0</v>
      </c>
    </row>
    <row r="120" spans="16:41" x14ac:dyDescent="0.2">
      <c r="P120">
        <v>119</v>
      </c>
      <c r="Q120">
        <f>VLOOKUP(TableRBRanks3141[[#This Row],[RK]],Rankings!A:T,8,FALSE)</f>
        <v>0</v>
      </c>
      <c r="R120" t="str">
        <f>IFERROR(INDEX(TableRBCalcPts[TM],MATCH(TableRBRanks3141[[#This Row],[Player]],TableRBCalcPts[PLAYER],0)),"")</f>
        <v/>
      </c>
      <c r="S120" t="str">
        <f>IFERROR(INDEX(TableRBCalcPts[BYE],MATCH(TableRBRanks3141[[#This Row],[Player]],TableRBCalcPts[PLAYER],0)),"")</f>
        <v/>
      </c>
      <c r="T120" s="86">
        <f>VLOOKUP(TableRBRanks3141[[#This Row],[Player]],RB!B:O,4,FALSE)</f>
        <v>0</v>
      </c>
      <c r="U120" s="86">
        <f>VLOOKUP(TableRBRanks3141[[#This Row],[Player]],RB!B:O,5,FALSE)</f>
        <v>0</v>
      </c>
      <c r="V120" s="86">
        <f>VLOOKUP(TableRBRanks3141[[#This Row],[Player]],RB!B:O,6,FALSE)</f>
        <v>0</v>
      </c>
      <c r="W120" s="86">
        <f>VLOOKUP(TableRBRanks3141[[#This Row],[Player]],RB!B:O,7,FALSE)</f>
        <v>0</v>
      </c>
      <c r="X120" s="86">
        <f>VLOOKUP(TableRBRanks3141[[#This Row],[Player]],RB!B:O,8,FALSE)</f>
        <v>0</v>
      </c>
      <c r="Y120" s="86">
        <f>VLOOKUP(TableRBRanks3141[[#This Row],[Player]],RB!B:O,9,FALSE)</f>
        <v>0</v>
      </c>
      <c r="Z120" s="86">
        <f>VLOOKUP(TableRBRanks3141[[#This Row],[Player]],RB!B:O,10,FALSE)</f>
        <v>0</v>
      </c>
      <c r="AA120" s="58">
        <f>VLOOKUP(TableRBRanks3141[[#This Row],[Player]],RB!B:O,14,FALSE)</f>
        <v>0</v>
      </c>
      <c r="AB120" s="133" t="e">
        <f>IF(VLOOKUP(TableRBRanks3141[[#This Row],[RK]],'Ranks w Proj'!$P:$AB,13,FALSE)&lt;0,0,VLOOKUP(TableRBRanks3141[[#This Row],[RK]],'Ranks w Proj'!$P:$AB,13,FALSE))</f>
        <v>#VALUE!</v>
      </c>
      <c r="AD120">
        <v>119</v>
      </c>
      <c r="AE120" t="str">
        <f>VLOOKUP(TableWRRanks3242[[#This Row],[RK]],Rankings!A:T,13,FALSE)</f>
        <v>Charlie Jones</v>
      </c>
      <c r="AF120" t="str">
        <f>IFERROR(INDEX(TableWRCalcPts[TM],MATCH(TableWRRanks3242[[#This Row],[Player]],TableWRCalcPts[PLAYER],0)),"")</f>
        <v>CIN</v>
      </c>
      <c r="AG120">
        <f>IFERROR(INDEX(TableWRCalcPts[BYE],MATCH(TableWRRanks3242[[#This Row],[Player]],TableWRCalcPts[PLAYER],0)),"")</f>
        <v>7</v>
      </c>
      <c r="AH120" s="86">
        <f>VLOOKUP(TableWRRanks3242[[#This Row],[Player]],WR!B:O,4,FALSE)</f>
        <v>0</v>
      </c>
      <c r="AI120" s="86">
        <f>VLOOKUP(TableWRRanks3242[[#This Row],[Player]],WR!B:O,5,FALSE)</f>
        <v>0</v>
      </c>
      <c r="AJ120" s="86">
        <f>VLOOKUP(TableWRRanks3242[[#This Row],[Player]],WR!B:O,6,FALSE)</f>
        <v>26.463372179999997</v>
      </c>
      <c r="AK120" s="86">
        <f>VLOOKUP(TableWRRanks3242[[#This Row],[Player]],WR!B:O,7,FALSE)</f>
        <v>17.31956823776633</v>
      </c>
      <c r="AL120" s="86">
        <f>VLOOKUP(TableWRRanks3242[[#This Row],[Player]],WR!B:O,8,FALSE)</f>
        <v>194.31528442811873</v>
      </c>
      <c r="AM120" s="86">
        <f>VLOOKUP(TableWRRanks3242[[#This Row],[Player]],WR!B:O,9,FALSE)</f>
        <v>1.1777306401681105</v>
      </c>
      <c r="AN120" s="58">
        <f>VLOOKUP(TableWRRanks3242[[#This Row],[Player]],WR!B:O,13,FALSE)</f>
        <v>35.157696402703706</v>
      </c>
      <c r="AO120" s="133">
        <f>IF(VLOOKUP(TableWRRanks3242[[#This Row],[RK]],'Ranks w Proj'!AD:AO,12,FALSE)&lt;0,0,VLOOKUP(TableWRRanks3242[[#This Row],[RK]],'Ranks w Proj'!AD:AO,12,FALSE))</f>
        <v>0</v>
      </c>
    </row>
    <row r="121" spans="16:41" x14ac:dyDescent="0.2">
      <c r="P121">
        <v>120</v>
      </c>
      <c r="Q121">
        <f>VLOOKUP(TableRBRanks3141[[#This Row],[RK]],Rankings!A:T,8,FALSE)</f>
        <v>0</v>
      </c>
      <c r="R121" t="str">
        <f>IFERROR(INDEX(TableRBCalcPts[TM],MATCH(TableRBRanks3141[[#This Row],[Player]],TableRBCalcPts[PLAYER],0)),"")</f>
        <v/>
      </c>
      <c r="S121" t="str">
        <f>IFERROR(INDEX(TableRBCalcPts[BYE],MATCH(TableRBRanks3141[[#This Row],[Player]],TableRBCalcPts[PLAYER],0)),"")</f>
        <v/>
      </c>
      <c r="T121" s="86">
        <f>VLOOKUP(TableRBRanks3141[[#This Row],[Player]],RB!B:O,4,FALSE)</f>
        <v>0</v>
      </c>
      <c r="U121" s="86">
        <f>VLOOKUP(TableRBRanks3141[[#This Row],[Player]],RB!B:O,5,FALSE)</f>
        <v>0</v>
      </c>
      <c r="V121" s="86">
        <f>VLOOKUP(TableRBRanks3141[[#This Row],[Player]],RB!B:O,6,FALSE)</f>
        <v>0</v>
      </c>
      <c r="W121" s="86">
        <f>VLOOKUP(TableRBRanks3141[[#This Row],[Player]],RB!B:O,7,FALSE)</f>
        <v>0</v>
      </c>
      <c r="X121" s="86">
        <f>VLOOKUP(TableRBRanks3141[[#This Row],[Player]],RB!B:O,8,FALSE)</f>
        <v>0</v>
      </c>
      <c r="Y121" s="86">
        <f>VLOOKUP(TableRBRanks3141[[#This Row],[Player]],RB!B:O,9,FALSE)</f>
        <v>0</v>
      </c>
      <c r="Z121" s="86">
        <f>VLOOKUP(TableRBRanks3141[[#This Row],[Player]],RB!B:O,10,FALSE)</f>
        <v>0</v>
      </c>
      <c r="AA121" s="58">
        <f>VLOOKUP(TableRBRanks3141[[#This Row],[Player]],RB!B:O,14,FALSE)</f>
        <v>0</v>
      </c>
      <c r="AB121" s="133" t="e">
        <f>IF(VLOOKUP(TableRBRanks3141[[#This Row],[RK]],'Ranks w Proj'!$P:$AB,13,FALSE)&lt;0,0,VLOOKUP(TableRBRanks3141[[#This Row],[RK]],'Ranks w Proj'!$P:$AB,13,FALSE))</f>
        <v>#VALUE!</v>
      </c>
      <c r="AD121">
        <v>120</v>
      </c>
      <c r="AE121" t="str">
        <f>VLOOKUP(TableWRRanks3242[[#This Row],[RK]],Rankings!A:T,13,FALSE)</f>
        <v>Antoine Green</v>
      </c>
      <c r="AF121" t="str">
        <f>IFERROR(INDEX(TableWRCalcPts[TM],MATCH(TableWRRanks3242[[#This Row],[Player]],TableWRCalcPts[PLAYER],0)),"")</f>
        <v>DET</v>
      </c>
      <c r="AG121">
        <f>IFERROR(INDEX(TableWRCalcPts[BYE],MATCH(TableWRRanks3242[[#This Row],[Player]],TableWRCalcPts[PLAYER],0)),"")</f>
        <v>9</v>
      </c>
      <c r="AH121" s="86">
        <f>VLOOKUP(TableWRRanks3242[[#This Row],[Player]],WR!B:O,4,FALSE)</f>
        <v>0</v>
      </c>
      <c r="AI121" s="86">
        <f>VLOOKUP(TableWRRanks3242[[#This Row],[Player]],WR!B:O,5,FALSE)</f>
        <v>0</v>
      </c>
      <c r="AJ121" s="86">
        <f>VLOOKUP(TableWRRanks3242[[#This Row],[Player]],WR!B:O,6,FALSE)</f>
        <v>25.878812959999994</v>
      </c>
      <c r="AK121" s="86">
        <f>VLOOKUP(TableWRRanks3242[[#This Row],[Player]],WR!B:O,7,FALSE)</f>
        <v>15.630803027839995</v>
      </c>
      <c r="AL121" s="86">
        <f>VLOOKUP(TableWRRanks3242[[#This Row],[Player]],WR!B:O,8,FALSE)</f>
        <v>198.51119845356794</v>
      </c>
      <c r="AM121" s="86">
        <f>VLOOKUP(TableWRRanks3242[[#This Row],[Player]],WR!B:O,9,FALSE)</f>
        <v>1.2192026361715196</v>
      </c>
      <c r="AN121" s="58">
        <f>VLOOKUP(TableWRRanks3242[[#This Row],[Player]],WR!B:O,13,FALSE)</f>
        <v>34.981737176305913</v>
      </c>
      <c r="AO121" s="133">
        <f>IF(VLOOKUP(TableWRRanks3242[[#This Row],[RK]],'Ranks w Proj'!AD:AO,12,FALSE)&lt;0,0,VLOOKUP(TableWRRanks3242[[#This Row],[RK]],'Ranks w Proj'!AD:AO,12,FALSE))</f>
        <v>0</v>
      </c>
    </row>
    <row r="122" spans="16:41" x14ac:dyDescent="0.2">
      <c r="P122">
        <v>121</v>
      </c>
      <c r="Q122">
        <f>VLOOKUP(TableRBRanks3141[[#This Row],[RK]],Rankings!A:T,8,FALSE)</f>
        <v>0</v>
      </c>
      <c r="R122" t="str">
        <f>IFERROR(INDEX(TableRBCalcPts[TM],MATCH(TableRBRanks3141[[#This Row],[Player]],TableRBCalcPts[PLAYER],0)),"")</f>
        <v/>
      </c>
      <c r="S122" t="str">
        <f>IFERROR(INDEX(TableRBCalcPts[BYE],MATCH(TableRBRanks3141[[#This Row],[Player]],TableRBCalcPts[PLAYER],0)),"")</f>
        <v/>
      </c>
      <c r="T122" s="86">
        <f>VLOOKUP(TableRBRanks3141[[#This Row],[Player]],RB!B:O,4,FALSE)</f>
        <v>0</v>
      </c>
      <c r="U122" s="86">
        <f>VLOOKUP(TableRBRanks3141[[#This Row],[Player]],RB!B:O,5,FALSE)</f>
        <v>0</v>
      </c>
      <c r="V122" s="86">
        <f>VLOOKUP(TableRBRanks3141[[#This Row],[Player]],RB!B:O,6,FALSE)</f>
        <v>0</v>
      </c>
      <c r="W122" s="86">
        <f>VLOOKUP(TableRBRanks3141[[#This Row],[Player]],RB!B:O,7,FALSE)</f>
        <v>0</v>
      </c>
      <c r="X122" s="86">
        <f>VLOOKUP(TableRBRanks3141[[#This Row],[Player]],RB!B:O,8,FALSE)</f>
        <v>0</v>
      </c>
      <c r="Y122" s="86">
        <f>VLOOKUP(TableRBRanks3141[[#This Row],[Player]],RB!B:O,9,FALSE)</f>
        <v>0</v>
      </c>
      <c r="Z122" s="86">
        <f>VLOOKUP(TableRBRanks3141[[#This Row],[Player]],RB!B:O,10,FALSE)</f>
        <v>0</v>
      </c>
      <c r="AA122" s="58">
        <f>VLOOKUP(TableRBRanks3141[[#This Row],[Player]],RB!B:O,14,FALSE)</f>
        <v>0</v>
      </c>
      <c r="AB122" s="133" t="e">
        <f>IF(VLOOKUP(TableRBRanks3141[[#This Row],[RK]],'Ranks w Proj'!$P:$AB,13,FALSE)&lt;0,0,VLOOKUP(TableRBRanks3141[[#This Row],[RK]],'Ranks w Proj'!$P:$AB,13,FALSE))</f>
        <v>#VALUE!</v>
      </c>
      <c r="AD122">
        <v>121</v>
      </c>
      <c r="AE122" t="str">
        <f>VLOOKUP(TableWRRanks3242[[#This Row],[RK]],Rankings!A:T,13,FALSE)</f>
        <v>Brandon Johnson</v>
      </c>
      <c r="AF122" t="str">
        <f>IFERROR(INDEX(TableWRCalcPts[TM],MATCH(TableWRRanks3242[[#This Row],[Player]],TableWRCalcPts[PLAYER],0)),"")</f>
        <v>DEN</v>
      </c>
      <c r="AG122">
        <f>IFERROR(INDEX(TableWRCalcPts[BYE],MATCH(TableWRRanks3242[[#This Row],[Player]],TableWRCalcPts[PLAYER],0)),"")</f>
        <v>9</v>
      </c>
      <c r="AH122" s="86">
        <f>VLOOKUP(TableWRRanks3242[[#This Row],[Player]],WR!B:O,4,FALSE)</f>
        <v>0</v>
      </c>
      <c r="AI122" s="86">
        <f>VLOOKUP(TableWRRanks3242[[#This Row],[Player]],WR!B:O,5,FALSE)</f>
        <v>0</v>
      </c>
      <c r="AJ122" s="86">
        <f>VLOOKUP(TableWRRanks3242[[#This Row],[Player]],WR!B:O,6,FALSE)</f>
        <v>27.512578800000004</v>
      </c>
      <c r="AK122" s="86">
        <f>VLOOKUP(TableWRRanks3242[[#This Row],[Player]],WR!B:O,7,FALSE)</f>
        <v>15.214456076400003</v>
      </c>
      <c r="AL122" s="86">
        <f>VLOOKUP(TableWRRanks3242[[#This Row],[Player]],WR!B:O,8,FALSE)</f>
        <v>190.33284551576403</v>
      </c>
      <c r="AM122" s="86">
        <f>VLOOKUP(TableWRRanks3242[[#This Row],[Player]],WR!B:O,9,FALSE)</f>
        <v>1.2627998543412002</v>
      </c>
      <c r="AN122" s="58">
        <f>VLOOKUP(TableWRRanks3242[[#This Row],[Player]],WR!B:O,13,FALSE)</f>
        <v>34.217311715823605</v>
      </c>
      <c r="AO122" s="133">
        <f>IF(VLOOKUP(TableWRRanks3242[[#This Row],[RK]],'Ranks w Proj'!AD:AO,12,FALSE)&lt;0,0,VLOOKUP(TableWRRanks3242[[#This Row],[RK]],'Ranks w Proj'!AD:AO,12,FALSE))</f>
        <v>0</v>
      </c>
    </row>
    <row r="123" spans="16:41" x14ac:dyDescent="0.2">
      <c r="P123">
        <v>122</v>
      </c>
      <c r="Q123">
        <f>VLOOKUP(TableRBRanks3141[[#This Row],[RK]],Rankings!A:T,8,FALSE)</f>
        <v>0</v>
      </c>
      <c r="R123" t="str">
        <f>IFERROR(INDEX(TableRBCalcPts[TM],MATCH(TableRBRanks3141[[#This Row],[Player]],TableRBCalcPts[PLAYER],0)),"")</f>
        <v/>
      </c>
      <c r="S123" t="str">
        <f>IFERROR(INDEX(TableRBCalcPts[BYE],MATCH(TableRBRanks3141[[#This Row],[Player]],TableRBCalcPts[PLAYER],0)),"")</f>
        <v/>
      </c>
      <c r="T123" s="86">
        <f>VLOOKUP(TableRBRanks3141[[#This Row],[Player]],RB!B:O,4,FALSE)</f>
        <v>0</v>
      </c>
      <c r="U123" s="86">
        <f>VLOOKUP(TableRBRanks3141[[#This Row],[Player]],RB!B:O,5,FALSE)</f>
        <v>0</v>
      </c>
      <c r="V123" s="86">
        <f>VLOOKUP(TableRBRanks3141[[#This Row],[Player]],RB!B:O,6,FALSE)</f>
        <v>0</v>
      </c>
      <c r="W123" s="86">
        <f>VLOOKUP(TableRBRanks3141[[#This Row],[Player]],RB!B:O,7,FALSE)</f>
        <v>0</v>
      </c>
      <c r="X123" s="86">
        <f>VLOOKUP(TableRBRanks3141[[#This Row],[Player]],RB!B:O,8,FALSE)</f>
        <v>0</v>
      </c>
      <c r="Y123" s="86">
        <f>VLOOKUP(TableRBRanks3141[[#This Row],[Player]],RB!B:O,9,FALSE)</f>
        <v>0</v>
      </c>
      <c r="Z123" s="86">
        <f>VLOOKUP(TableRBRanks3141[[#This Row],[Player]],RB!B:O,10,FALSE)</f>
        <v>0</v>
      </c>
      <c r="AA123" s="58">
        <f>VLOOKUP(TableRBRanks3141[[#This Row],[Player]],RB!B:O,14,FALSE)</f>
        <v>0</v>
      </c>
      <c r="AB123" s="133" t="e">
        <f>IF(VLOOKUP(TableRBRanks3141[[#This Row],[RK]],'Ranks w Proj'!$P:$AB,13,FALSE)&lt;0,0,VLOOKUP(TableRBRanks3141[[#This Row],[RK]],'Ranks w Proj'!$P:$AB,13,FALSE))</f>
        <v>#VALUE!</v>
      </c>
      <c r="AD123">
        <v>122</v>
      </c>
      <c r="AE123" t="str">
        <f>VLOOKUP(TableWRRanks3242[[#This Row],[RK]],Rankings!A:T,13,FALSE)</f>
        <v>Deven Thompkins</v>
      </c>
      <c r="AF123" t="str">
        <f>IFERROR(INDEX(TableWRCalcPts[TM],MATCH(TableWRRanks3242[[#This Row],[Player]],TableWRCalcPts[PLAYER],0)),"")</f>
        <v>TB</v>
      </c>
      <c r="AG123">
        <f>IFERROR(INDEX(TableWRCalcPts[BYE],MATCH(TableWRRanks3242[[#This Row],[Player]],TableWRCalcPts[PLAYER],0)),"")</f>
        <v>5</v>
      </c>
      <c r="AH123" s="86">
        <f>VLOOKUP(TableWRRanks3242[[#This Row],[Player]],WR!B:O,4,FALSE)</f>
        <v>0</v>
      </c>
      <c r="AI123" s="86">
        <f>VLOOKUP(TableWRRanks3242[[#This Row],[Player]],WR!B:O,5,FALSE)</f>
        <v>0</v>
      </c>
      <c r="AJ123" s="86">
        <f>VLOOKUP(TableWRRanks3242[[#This Row],[Player]],WR!B:O,6,FALSE)</f>
        <v>29.061061119999994</v>
      </c>
      <c r="AK123" s="86">
        <f>VLOOKUP(TableWRRanks3242[[#This Row],[Player]],WR!B:O,7,FALSE)</f>
        <v>15.925461493759999</v>
      </c>
      <c r="AL123" s="86">
        <f>VLOOKUP(TableWRRanks3242[[#This Row],[Player]],WR!B:O,8,FALSE)</f>
        <v>202.73112481556478</v>
      </c>
      <c r="AM123" s="86">
        <f>VLOOKUP(TableWRRanks3242[[#This Row],[Player]],WR!B:O,9,FALSE)</f>
        <v>0.95552768962559986</v>
      </c>
      <c r="AN123" s="58">
        <f>VLOOKUP(TableWRRanks3242[[#This Row],[Player]],WR!B:O,13,FALSE)</f>
        <v>33.969009366190079</v>
      </c>
      <c r="AO123" s="133">
        <f>IF(VLOOKUP(TableWRRanks3242[[#This Row],[RK]],'Ranks w Proj'!AD:AO,12,FALSE)&lt;0,0,VLOOKUP(TableWRRanks3242[[#This Row],[RK]],'Ranks w Proj'!AD:AO,12,FALSE))</f>
        <v>0</v>
      </c>
    </row>
    <row r="124" spans="16:41" x14ac:dyDescent="0.2">
      <c r="P124">
        <v>123</v>
      </c>
      <c r="Q124">
        <f>VLOOKUP(TableRBRanks3141[[#This Row],[RK]],Rankings!A:T,8,FALSE)</f>
        <v>0</v>
      </c>
      <c r="R124" t="str">
        <f>IFERROR(INDEX(TableRBCalcPts[TM],MATCH(TableRBRanks3141[[#This Row],[Player]],TableRBCalcPts[PLAYER],0)),"")</f>
        <v/>
      </c>
      <c r="S124" t="str">
        <f>IFERROR(INDEX(TableRBCalcPts[BYE],MATCH(TableRBRanks3141[[#This Row],[Player]],TableRBCalcPts[PLAYER],0)),"")</f>
        <v/>
      </c>
      <c r="T124" s="86">
        <f>VLOOKUP(TableRBRanks3141[[#This Row],[Player]],RB!B:O,4,FALSE)</f>
        <v>0</v>
      </c>
      <c r="U124" s="86">
        <f>VLOOKUP(TableRBRanks3141[[#This Row],[Player]],RB!B:O,5,FALSE)</f>
        <v>0</v>
      </c>
      <c r="V124" s="86">
        <f>VLOOKUP(TableRBRanks3141[[#This Row],[Player]],RB!B:O,6,FALSE)</f>
        <v>0</v>
      </c>
      <c r="W124" s="86">
        <f>VLOOKUP(TableRBRanks3141[[#This Row],[Player]],RB!B:O,7,FALSE)</f>
        <v>0</v>
      </c>
      <c r="X124" s="86">
        <f>VLOOKUP(TableRBRanks3141[[#This Row],[Player]],RB!B:O,8,FALSE)</f>
        <v>0</v>
      </c>
      <c r="Y124" s="86">
        <f>VLOOKUP(TableRBRanks3141[[#This Row],[Player]],RB!B:O,9,FALSE)</f>
        <v>0</v>
      </c>
      <c r="Z124" s="86">
        <f>VLOOKUP(TableRBRanks3141[[#This Row],[Player]],RB!B:O,10,FALSE)</f>
        <v>0</v>
      </c>
      <c r="AA124" s="58">
        <f>VLOOKUP(TableRBRanks3141[[#This Row],[Player]],RB!B:O,14,FALSE)</f>
        <v>0</v>
      </c>
      <c r="AB124" s="133" t="e">
        <f>IF(VLOOKUP(TableRBRanks3141[[#This Row],[RK]],'Ranks w Proj'!$P:$AB,13,FALSE)&lt;0,0,VLOOKUP(TableRBRanks3141[[#This Row],[RK]],'Ranks w Proj'!$P:$AB,13,FALSE))</f>
        <v>#VALUE!</v>
      </c>
      <c r="AD124">
        <v>123</v>
      </c>
      <c r="AE124" t="str">
        <f>VLOOKUP(TableWRRanks3242[[#This Row],[RK]],Rankings!A:T,13,FALSE)</f>
        <v>Cedric Tillman</v>
      </c>
      <c r="AF124" t="str">
        <f>IFERROR(INDEX(TableWRCalcPts[TM],MATCH(TableWRRanks3242[[#This Row],[Player]],TableWRCalcPts[PLAYER],0)),"")</f>
        <v>CLE</v>
      </c>
      <c r="AG124">
        <f>IFERROR(INDEX(TableWRCalcPts[BYE],MATCH(TableWRRanks3242[[#This Row],[Player]],TableWRCalcPts[PLAYER],0)),"")</f>
        <v>5</v>
      </c>
      <c r="AH124" s="86">
        <f>VLOOKUP(TableWRRanks3242[[#This Row],[Player]],WR!B:O,4,FALSE)</f>
        <v>0</v>
      </c>
      <c r="AI124" s="86">
        <f>VLOOKUP(TableWRRanks3242[[#This Row],[Player]],WR!B:O,5,FALSE)</f>
        <v>0</v>
      </c>
      <c r="AJ124" s="86">
        <f>VLOOKUP(TableWRRanks3242[[#This Row],[Player]],WR!B:O,6,FALSE)</f>
        <v>27.335561399999992</v>
      </c>
      <c r="AK124" s="86">
        <f>VLOOKUP(TableWRRanks3242[[#This Row],[Player]],WR!B:O,7,FALSE)</f>
        <v>14.627987476215029</v>
      </c>
      <c r="AL124" s="86">
        <f>VLOOKUP(TableWRRanks3242[[#This Row],[Player]],WR!B:O,8,FALSE)</f>
        <v>200.40342842414589</v>
      </c>
      <c r="AM124" s="86">
        <f>VLOOKUP(TableWRRanks3242[[#This Row],[Player]],WR!B:O,9,FALSE)</f>
        <v>1.0970990607161271</v>
      </c>
      <c r="AN124" s="58">
        <f>VLOOKUP(TableWRRanks3242[[#This Row],[Player]],WR!B:O,13,FALSE)</f>
        <v>33.936930944818862</v>
      </c>
      <c r="AO124" s="133">
        <f>IF(VLOOKUP(TableWRRanks3242[[#This Row],[RK]],'Ranks w Proj'!AD:AO,12,FALSE)&lt;0,0,VLOOKUP(TableWRRanks3242[[#This Row],[RK]],'Ranks w Proj'!AD:AO,12,FALSE))</f>
        <v>0</v>
      </c>
    </row>
    <row r="125" spans="16:41" x14ac:dyDescent="0.2">
      <c r="P125">
        <v>124</v>
      </c>
      <c r="Q125">
        <f>VLOOKUP(TableRBRanks3141[[#This Row],[RK]],Rankings!A:T,8,FALSE)</f>
        <v>0</v>
      </c>
      <c r="R125" t="str">
        <f>IFERROR(INDEX(TableRBCalcPts[TM],MATCH(TableRBRanks3141[[#This Row],[Player]],TableRBCalcPts[PLAYER],0)),"")</f>
        <v/>
      </c>
      <c r="S125" t="str">
        <f>IFERROR(INDEX(TableRBCalcPts[BYE],MATCH(TableRBRanks3141[[#This Row],[Player]],TableRBCalcPts[PLAYER],0)),"")</f>
        <v/>
      </c>
      <c r="T125" s="86">
        <f>VLOOKUP(TableRBRanks3141[[#This Row],[Player]],RB!B:O,4,FALSE)</f>
        <v>0</v>
      </c>
      <c r="U125" s="86">
        <f>VLOOKUP(TableRBRanks3141[[#This Row],[Player]],RB!B:O,5,FALSE)</f>
        <v>0</v>
      </c>
      <c r="V125" s="86">
        <f>VLOOKUP(TableRBRanks3141[[#This Row],[Player]],RB!B:O,6,FALSE)</f>
        <v>0</v>
      </c>
      <c r="W125" s="86">
        <f>VLOOKUP(TableRBRanks3141[[#This Row],[Player]],RB!B:O,7,FALSE)</f>
        <v>0</v>
      </c>
      <c r="X125" s="86">
        <f>VLOOKUP(TableRBRanks3141[[#This Row],[Player]],RB!B:O,8,FALSE)</f>
        <v>0</v>
      </c>
      <c r="Y125" s="86">
        <f>VLOOKUP(TableRBRanks3141[[#This Row],[Player]],RB!B:O,9,FALSE)</f>
        <v>0</v>
      </c>
      <c r="Z125" s="86">
        <f>VLOOKUP(TableRBRanks3141[[#This Row],[Player]],RB!B:O,10,FALSE)</f>
        <v>0</v>
      </c>
      <c r="AA125" s="58">
        <f>VLOOKUP(TableRBRanks3141[[#This Row],[Player]],RB!B:O,14,FALSE)</f>
        <v>0</v>
      </c>
      <c r="AB125" s="133" t="e">
        <f>IF(VLOOKUP(TableRBRanks3141[[#This Row],[RK]],'Ranks w Proj'!$P:$AB,13,FALSE)&lt;0,0,VLOOKUP(TableRBRanks3141[[#This Row],[RK]],'Ranks w Proj'!$P:$AB,13,FALSE))</f>
        <v>#VALUE!</v>
      </c>
      <c r="AD125">
        <v>124</v>
      </c>
      <c r="AE125" t="str">
        <f>VLOOKUP(TableWRRanks3242[[#This Row],[RK]],Rankings!A:T,13,FALSE)</f>
        <v>Greg Dortch</v>
      </c>
      <c r="AF125" t="str">
        <f>IFERROR(INDEX(TableWRCalcPts[TM],MATCH(TableWRRanks3242[[#This Row],[Player]],TableWRCalcPts[PLAYER],0)),"")</f>
        <v>ARI</v>
      </c>
      <c r="AG125">
        <f>IFERROR(INDEX(TableWRCalcPts[BYE],MATCH(TableWRRanks3242[[#This Row],[Player]],TableWRCalcPts[PLAYER],0)),"")</f>
        <v>14</v>
      </c>
      <c r="AH125" s="86">
        <f>VLOOKUP(TableWRRanks3242[[#This Row],[Player]],WR!B:O,4,FALSE)</f>
        <v>0</v>
      </c>
      <c r="AI125" s="86">
        <f>VLOOKUP(TableWRRanks3242[[#This Row],[Player]],WR!B:O,5,FALSE)</f>
        <v>0</v>
      </c>
      <c r="AJ125" s="86">
        <f>VLOOKUP(TableWRRanks3242[[#This Row],[Player]],WR!B:O,6,FALSE)</f>
        <v>29.424254999999999</v>
      </c>
      <c r="AK125" s="86">
        <f>VLOOKUP(TableWRRanks3242[[#This Row],[Player]],WR!B:O,7,FALSE)</f>
        <v>19.567129574999999</v>
      </c>
      <c r="AL125" s="86">
        <f>VLOOKUP(TableWRRanks3242[[#This Row],[Player]],WR!B:O,8,FALSE)</f>
        <v>184.71370318799998</v>
      </c>
      <c r="AM125" s="86">
        <f>VLOOKUP(TableWRRanks3242[[#This Row],[Player]],WR!B:O,9,FALSE)</f>
        <v>0.93922221959999996</v>
      </c>
      <c r="AN125" s="58">
        <f>VLOOKUP(TableWRRanks3242[[#This Row],[Player]],WR!B:O,13,FALSE)</f>
        <v>33.890268423899997</v>
      </c>
      <c r="AO125" s="133">
        <f>IF(VLOOKUP(TableWRRanks3242[[#This Row],[RK]],'Ranks w Proj'!AD:AO,12,FALSE)&lt;0,0,VLOOKUP(TableWRRanks3242[[#This Row],[RK]],'Ranks w Proj'!AD:AO,12,FALSE))</f>
        <v>0</v>
      </c>
    </row>
    <row r="126" spans="16:41" x14ac:dyDescent="0.2">
      <c r="P126">
        <v>125</v>
      </c>
      <c r="Q126">
        <f>VLOOKUP(TableRBRanks3141[[#This Row],[RK]],Rankings!A:T,8,FALSE)</f>
        <v>0</v>
      </c>
      <c r="R126" t="str">
        <f>IFERROR(INDEX(TableRBCalcPts[TM],MATCH(TableRBRanks3141[[#This Row],[Player]],TableRBCalcPts[PLAYER],0)),"")</f>
        <v/>
      </c>
      <c r="S126" t="str">
        <f>IFERROR(INDEX(TableRBCalcPts[BYE],MATCH(TableRBRanks3141[[#This Row],[Player]],TableRBCalcPts[PLAYER],0)),"")</f>
        <v/>
      </c>
      <c r="T126" s="86">
        <f>VLOOKUP(TableRBRanks3141[[#This Row],[Player]],RB!B:O,4,FALSE)</f>
        <v>0</v>
      </c>
      <c r="U126" s="86">
        <f>VLOOKUP(TableRBRanks3141[[#This Row],[Player]],RB!B:O,5,FALSE)</f>
        <v>0</v>
      </c>
      <c r="V126" s="86">
        <f>VLOOKUP(TableRBRanks3141[[#This Row],[Player]],RB!B:O,6,FALSE)</f>
        <v>0</v>
      </c>
      <c r="W126" s="86">
        <f>VLOOKUP(TableRBRanks3141[[#This Row],[Player]],RB!B:O,7,FALSE)</f>
        <v>0</v>
      </c>
      <c r="X126" s="86">
        <f>VLOOKUP(TableRBRanks3141[[#This Row],[Player]],RB!B:O,8,FALSE)</f>
        <v>0</v>
      </c>
      <c r="Y126" s="86">
        <f>VLOOKUP(TableRBRanks3141[[#This Row],[Player]],RB!B:O,9,FALSE)</f>
        <v>0</v>
      </c>
      <c r="Z126" s="86">
        <f>VLOOKUP(TableRBRanks3141[[#This Row],[Player]],RB!B:O,10,FALSE)</f>
        <v>0</v>
      </c>
      <c r="AA126" s="58">
        <f>VLOOKUP(TableRBRanks3141[[#This Row],[Player]],RB!B:O,14,FALSE)</f>
        <v>0</v>
      </c>
      <c r="AB126" s="133" t="e">
        <f>IF(VLOOKUP(TableRBRanks3141[[#This Row],[RK]],'Ranks w Proj'!$P:$AB,13,FALSE)&lt;0,0,VLOOKUP(TableRBRanks3141[[#This Row],[RK]],'Ranks w Proj'!$P:$AB,13,FALSE))</f>
        <v>#VALUE!</v>
      </c>
      <c r="AD126">
        <v>125</v>
      </c>
      <c r="AE126" t="str">
        <f>VLOOKUP(TableWRRanks3242[[#This Row],[RK]],Rankings!A:T,13,FALSE)</f>
        <v>Jamal Agnew</v>
      </c>
      <c r="AF126" t="str">
        <f>IFERROR(INDEX(TableWRCalcPts[TM],MATCH(TableWRRanks3242[[#This Row],[Player]],TableWRCalcPts[PLAYER],0)),"")</f>
        <v>JAX</v>
      </c>
      <c r="AG126">
        <f>IFERROR(INDEX(TableWRCalcPts[BYE],MATCH(TableWRRanks3242[[#This Row],[Player]],TableWRCalcPts[PLAYER],0)),"")</f>
        <v>9</v>
      </c>
      <c r="AH126" s="86">
        <f>VLOOKUP(TableWRRanks3242[[#This Row],[Player]],WR!B:O,4,FALSE)</f>
        <v>44.588742341925034</v>
      </c>
      <c r="AI126" s="86">
        <f>VLOOKUP(TableWRRanks3242[[#This Row],[Player]],WR!B:O,5,FALSE)</f>
        <v>0.33533646220945618</v>
      </c>
      <c r="AJ126" s="86">
        <f>VLOOKUP(TableWRRanks3242[[#This Row],[Player]],WR!B:O,6,FALSE)</f>
        <v>22.869544599999998</v>
      </c>
      <c r="AK126" s="86">
        <f>VLOOKUP(TableWRRanks3242[[#This Row],[Player]],WR!B:O,7,FALSE)</f>
        <v>14.599334398252845</v>
      </c>
      <c r="AL126" s="86">
        <f>VLOOKUP(TableWRRanks3242[[#This Row],[Player]],WR!B:O,8,FALSE)</f>
        <v>128.60373070278661</v>
      </c>
      <c r="AM126" s="86">
        <f>VLOOKUP(TableWRRanks3242[[#This Row],[Player]],WR!B:O,9,FALSE)</f>
        <v>1.1679467518602276</v>
      </c>
      <c r="AN126" s="58">
        <f>VLOOKUP(TableWRRanks3242[[#This Row],[Player]],WR!B:O,13,FALSE)</f>
        <v>33.638613788015689</v>
      </c>
      <c r="AO126" s="133">
        <f>IF(VLOOKUP(TableWRRanks3242[[#This Row],[RK]],'Ranks w Proj'!AD:AO,12,FALSE)&lt;0,0,VLOOKUP(TableWRRanks3242[[#This Row],[RK]],'Ranks w Proj'!AD:AO,12,FALSE))</f>
        <v>0</v>
      </c>
    </row>
    <row r="127" spans="16:41" x14ac:dyDescent="0.2">
      <c r="P127">
        <v>126</v>
      </c>
      <c r="Q127">
        <f>VLOOKUP(TableRBRanks3141[[#This Row],[RK]],Rankings!A:T,8,FALSE)</f>
        <v>0</v>
      </c>
      <c r="R127" t="str">
        <f>IFERROR(INDEX(TableRBCalcPts[TM],MATCH(TableRBRanks3141[[#This Row],[Player]],TableRBCalcPts[PLAYER],0)),"")</f>
        <v/>
      </c>
      <c r="S127" t="str">
        <f>IFERROR(INDEX(TableRBCalcPts[BYE],MATCH(TableRBRanks3141[[#This Row],[Player]],TableRBCalcPts[PLAYER],0)),"")</f>
        <v/>
      </c>
      <c r="T127" s="86">
        <f>VLOOKUP(TableRBRanks3141[[#This Row],[Player]],RB!B:O,4,FALSE)</f>
        <v>0</v>
      </c>
      <c r="U127" s="86">
        <f>VLOOKUP(TableRBRanks3141[[#This Row],[Player]],RB!B:O,5,FALSE)</f>
        <v>0</v>
      </c>
      <c r="V127" s="86">
        <f>VLOOKUP(TableRBRanks3141[[#This Row],[Player]],RB!B:O,6,FALSE)</f>
        <v>0</v>
      </c>
      <c r="W127" s="86">
        <f>VLOOKUP(TableRBRanks3141[[#This Row],[Player]],RB!B:O,7,FALSE)</f>
        <v>0</v>
      </c>
      <c r="X127" s="86">
        <f>VLOOKUP(TableRBRanks3141[[#This Row],[Player]],RB!B:O,8,FALSE)</f>
        <v>0</v>
      </c>
      <c r="Y127" s="86">
        <f>VLOOKUP(TableRBRanks3141[[#This Row],[Player]],RB!B:O,9,FALSE)</f>
        <v>0</v>
      </c>
      <c r="Z127" s="86">
        <f>VLOOKUP(TableRBRanks3141[[#This Row],[Player]],RB!B:O,10,FALSE)</f>
        <v>0</v>
      </c>
      <c r="AA127" s="58">
        <f>VLOOKUP(TableRBRanks3141[[#This Row],[Player]],RB!B:O,14,FALSE)</f>
        <v>0</v>
      </c>
      <c r="AB127" s="133" t="e">
        <f>IF(VLOOKUP(TableRBRanks3141[[#This Row],[RK]],'Ranks w Proj'!$P:$AB,13,FALSE)&lt;0,0,VLOOKUP(TableRBRanks3141[[#This Row],[RK]],'Ranks w Proj'!$P:$AB,13,FALSE))</f>
        <v>#VALUE!</v>
      </c>
      <c r="AD127">
        <v>126</v>
      </c>
      <c r="AE127" t="str">
        <f>VLOOKUP(TableWRRanks3242[[#This Row],[RK]],Rankings!A:T,13,FALSE)</f>
        <v>Scott Miller</v>
      </c>
      <c r="AF127" t="str">
        <f>IFERROR(INDEX(TableWRCalcPts[TM],MATCH(TableWRRanks3242[[#This Row],[Player]],TableWRCalcPts[PLAYER],0)),"")</f>
        <v>ATL</v>
      </c>
      <c r="AG127">
        <f>IFERROR(INDEX(TableWRCalcPts[BYE],MATCH(TableWRRanks3242[[#This Row],[Player]],TableWRCalcPts[PLAYER],0)),"")</f>
        <v>11</v>
      </c>
      <c r="AH127" s="86">
        <f>VLOOKUP(TableWRRanks3242[[#This Row],[Player]],WR!B:O,4,FALSE)</f>
        <v>0</v>
      </c>
      <c r="AI127" s="86">
        <f>VLOOKUP(TableWRRanks3242[[#This Row],[Player]],WR!B:O,5,FALSE)</f>
        <v>0</v>
      </c>
      <c r="AJ127" s="86">
        <f>VLOOKUP(TableWRRanks3242[[#This Row],[Player]],WR!B:O,6,FALSE)</f>
        <v>25.79447807999999</v>
      </c>
      <c r="AK127" s="86">
        <f>VLOOKUP(TableWRRanks3242[[#This Row],[Player]],WR!B:O,7,FALSE)</f>
        <v>14.48358448003961</v>
      </c>
      <c r="AL127" s="86">
        <f>VLOOKUP(TableWRRanks3242[[#This Row],[Player]],WR!B:O,8,FALSE)</f>
        <v>168.86476278993538</v>
      </c>
      <c r="AM127" s="86">
        <f>VLOOKUP(TableWRRanks3242[[#This Row],[Player]],WR!B:O,9,FALSE)</f>
        <v>0.98488374464269357</v>
      </c>
      <c r="AN127" s="58">
        <f>VLOOKUP(TableWRRanks3242[[#This Row],[Player]],WR!B:O,13,FALSE)</f>
        <v>30.037570986869504</v>
      </c>
      <c r="AO127" s="133">
        <f>IF(VLOOKUP(TableWRRanks3242[[#This Row],[RK]],'Ranks w Proj'!AD:AO,12,FALSE)&lt;0,0,VLOOKUP(TableWRRanks3242[[#This Row],[RK]],'Ranks w Proj'!AD:AO,12,FALSE))</f>
        <v>0</v>
      </c>
    </row>
    <row r="128" spans="16:41" x14ac:dyDescent="0.2">
      <c r="P128">
        <v>127</v>
      </c>
      <c r="Q128">
        <f>VLOOKUP(TableRBRanks3141[[#This Row],[RK]],Rankings!A:T,8,FALSE)</f>
        <v>0</v>
      </c>
      <c r="R128" t="str">
        <f>IFERROR(INDEX(TableRBCalcPts[TM],MATCH(TableRBRanks3141[[#This Row],[Player]],TableRBCalcPts[PLAYER],0)),"")</f>
        <v/>
      </c>
      <c r="S128" t="str">
        <f>IFERROR(INDEX(TableRBCalcPts[BYE],MATCH(TableRBRanks3141[[#This Row],[Player]],TableRBCalcPts[PLAYER],0)),"")</f>
        <v/>
      </c>
      <c r="T128" s="86">
        <f>VLOOKUP(TableRBRanks3141[[#This Row],[Player]],RB!B:O,4,FALSE)</f>
        <v>0</v>
      </c>
      <c r="U128" s="86">
        <f>VLOOKUP(TableRBRanks3141[[#This Row],[Player]],RB!B:O,5,FALSE)</f>
        <v>0</v>
      </c>
      <c r="V128" s="86">
        <f>VLOOKUP(TableRBRanks3141[[#This Row],[Player]],RB!B:O,6,FALSE)</f>
        <v>0</v>
      </c>
      <c r="W128" s="86">
        <f>VLOOKUP(TableRBRanks3141[[#This Row],[Player]],RB!B:O,7,FALSE)</f>
        <v>0</v>
      </c>
      <c r="X128" s="86">
        <f>VLOOKUP(TableRBRanks3141[[#This Row],[Player]],RB!B:O,8,FALSE)</f>
        <v>0</v>
      </c>
      <c r="Y128" s="86">
        <f>VLOOKUP(TableRBRanks3141[[#This Row],[Player]],RB!B:O,9,FALSE)</f>
        <v>0</v>
      </c>
      <c r="Z128" s="86">
        <f>VLOOKUP(TableRBRanks3141[[#This Row],[Player]],RB!B:O,10,FALSE)</f>
        <v>0</v>
      </c>
      <c r="AA128" s="58">
        <f>VLOOKUP(TableRBRanks3141[[#This Row],[Player]],RB!B:O,14,FALSE)</f>
        <v>0</v>
      </c>
      <c r="AB128" s="133" t="e">
        <f>IF(VLOOKUP(TableRBRanks3141[[#This Row],[RK]],'Ranks w Proj'!$P:$AB,13,FALSE)&lt;0,0,VLOOKUP(TableRBRanks3141[[#This Row],[RK]],'Ranks w Proj'!$P:$AB,13,FALSE))</f>
        <v>#VALUE!</v>
      </c>
      <c r="AD128">
        <v>127</v>
      </c>
      <c r="AE128" t="str">
        <f>VLOOKUP(TableWRRanks3242[[#This Row],[RK]],Rankings!A:T,13,FALSE)</f>
        <v>Jalen Tolbert</v>
      </c>
      <c r="AF128" t="str">
        <f>IFERROR(INDEX(TableWRCalcPts[TM],MATCH(TableWRRanks3242[[#This Row],[Player]],TableWRCalcPts[PLAYER],0)),"")</f>
        <v>DAL</v>
      </c>
      <c r="AG128">
        <f>IFERROR(INDEX(TableWRCalcPts[BYE],MATCH(TableWRRanks3242[[#This Row],[Player]],TableWRCalcPts[PLAYER],0)),"")</f>
        <v>7</v>
      </c>
      <c r="AH128" s="86">
        <f>VLOOKUP(TableWRRanks3242[[#This Row],[Player]],WR!B:O,4,FALSE)</f>
        <v>0</v>
      </c>
      <c r="AI128" s="86">
        <f>VLOOKUP(TableWRRanks3242[[#This Row],[Player]],WR!B:O,5,FALSE)</f>
        <v>0</v>
      </c>
      <c r="AJ128" s="86">
        <f>VLOOKUP(TableWRRanks3242[[#This Row],[Player]],WR!B:O,6,FALSE)</f>
        <v>25.706419200000003</v>
      </c>
      <c r="AK128" s="86">
        <f>VLOOKUP(TableWRRanks3242[[#This Row],[Player]],WR!B:O,7,FALSE)</f>
        <v>14.047465550191733</v>
      </c>
      <c r="AL128" s="86">
        <f>VLOOKUP(TableWRRanks3242[[#This Row],[Player]],WR!B:O,8,FALSE)</f>
        <v>176.43616731040817</v>
      </c>
      <c r="AM128" s="86">
        <f>VLOOKUP(TableWRRanks3242[[#This Row],[Player]],WR!B:O,9,FALSE)</f>
        <v>0.84284793301150396</v>
      </c>
      <c r="AN128" s="58">
        <f>VLOOKUP(TableWRRanks3242[[#This Row],[Player]],WR!B:O,13,FALSE)</f>
        <v>29.724437104205709</v>
      </c>
      <c r="AO128" s="133">
        <f>IF(VLOOKUP(TableWRRanks3242[[#This Row],[RK]],'Ranks w Proj'!AD:AO,12,FALSE)&lt;0,0,VLOOKUP(TableWRRanks3242[[#This Row],[RK]],'Ranks w Proj'!AD:AO,12,FALSE))</f>
        <v>0</v>
      </c>
    </row>
    <row r="129" spans="16:41" x14ac:dyDescent="0.2">
      <c r="P129">
        <v>128</v>
      </c>
      <c r="Q129">
        <f>VLOOKUP(TableRBRanks3141[[#This Row],[RK]],Rankings!A:T,8,FALSE)</f>
        <v>0</v>
      </c>
      <c r="R129" t="str">
        <f>IFERROR(INDEX(TableRBCalcPts[TM],MATCH(TableRBRanks3141[[#This Row],[Player]],TableRBCalcPts[PLAYER],0)),"")</f>
        <v/>
      </c>
      <c r="S129" t="str">
        <f>IFERROR(INDEX(TableRBCalcPts[BYE],MATCH(TableRBRanks3141[[#This Row],[Player]],TableRBCalcPts[PLAYER],0)),"")</f>
        <v/>
      </c>
      <c r="T129" s="86">
        <f>VLOOKUP(TableRBRanks3141[[#This Row],[Player]],RB!B:O,4,FALSE)</f>
        <v>0</v>
      </c>
      <c r="U129" s="86">
        <f>VLOOKUP(TableRBRanks3141[[#This Row],[Player]],RB!B:O,5,FALSE)</f>
        <v>0</v>
      </c>
      <c r="V129" s="86">
        <f>VLOOKUP(TableRBRanks3141[[#This Row],[Player]],RB!B:O,6,FALSE)</f>
        <v>0</v>
      </c>
      <c r="W129" s="86">
        <f>VLOOKUP(TableRBRanks3141[[#This Row],[Player]],RB!B:O,7,FALSE)</f>
        <v>0</v>
      </c>
      <c r="X129" s="86">
        <f>VLOOKUP(TableRBRanks3141[[#This Row],[Player]],RB!B:O,8,FALSE)</f>
        <v>0</v>
      </c>
      <c r="Y129" s="86">
        <f>VLOOKUP(TableRBRanks3141[[#This Row],[Player]],RB!B:O,9,FALSE)</f>
        <v>0</v>
      </c>
      <c r="Z129" s="86">
        <f>VLOOKUP(TableRBRanks3141[[#This Row],[Player]],RB!B:O,10,FALSE)</f>
        <v>0</v>
      </c>
      <c r="AA129" s="58">
        <f>VLOOKUP(TableRBRanks3141[[#This Row],[Player]],RB!B:O,14,FALSE)</f>
        <v>0</v>
      </c>
      <c r="AB129" s="133" t="e">
        <f>IF(VLOOKUP(TableRBRanks3141[[#This Row],[RK]],'Ranks w Proj'!$P:$AB,13,FALSE)&lt;0,0,VLOOKUP(TableRBRanks3141[[#This Row],[RK]],'Ranks w Proj'!$P:$AB,13,FALSE))</f>
        <v>#VALUE!</v>
      </c>
      <c r="AD129">
        <v>128</v>
      </c>
      <c r="AE129" t="str">
        <f>VLOOKUP(TableWRRanks3242[[#This Row],[RK]],Rankings!A:T,13,FALSE)</f>
        <v>Zach Pascal</v>
      </c>
      <c r="AF129" t="str">
        <f>IFERROR(INDEX(TableWRCalcPts[TM],MATCH(TableWRRanks3242[[#This Row],[Player]],TableWRCalcPts[PLAYER],0)),"")</f>
        <v>ARI</v>
      </c>
      <c r="AG129">
        <f>IFERROR(INDEX(TableWRCalcPts[BYE],MATCH(TableWRRanks3242[[#This Row],[Player]],TableWRCalcPts[PLAYER],0)),"")</f>
        <v>14</v>
      </c>
      <c r="AH129" s="86">
        <f>VLOOKUP(TableWRRanks3242[[#This Row],[Player]],WR!B:O,4,FALSE)</f>
        <v>0</v>
      </c>
      <c r="AI129" s="86">
        <f>VLOOKUP(TableWRRanks3242[[#This Row],[Player]],WR!B:O,5,FALSE)</f>
        <v>0</v>
      </c>
      <c r="AJ129" s="86">
        <f>VLOOKUP(TableWRRanks3242[[#This Row],[Player]],WR!B:O,6,FALSE)</f>
        <v>25.220790000000001</v>
      </c>
      <c r="AK129" s="86">
        <f>VLOOKUP(TableWRRanks3242[[#This Row],[Player]],WR!B:O,7,FALSE)</f>
        <v>15.485565060000001</v>
      </c>
      <c r="AL129" s="86">
        <f>VLOOKUP(TableWRRanks3242[[#This Row],[Player]],WR!B:O,8,FALSE)</f>
        <v>149.12599152780001</v>
      </c>
      <c r="AM129" s="86">
        <f>VLOOKUP(TableWRRanks3242[[#This Row],[Player]],WR!B:O,9,FALSE)</f>
        <v>0.8517060783</v>
      </c>
      <c r="AN129" s="58">
        <f>VLOOKUP(TableWRRanks3242[[#This Row],[Player]],WR!B:O,13,FALSE)</f>
        <v>27.765618152580004</v>
      </c>
      <c r="AO129" s="133">
        <f>IF(VLOOKUP(TableWRRanks3242[[#This Row],[RK]],'Ranks w Proj'!AD:AO,12,FALSE)&lt;0,0,VLOOKUP(TableWRRanks3242[[#This Row],[RK]],'Ranks w Proj'!AD:AO,12,FALSE))</f>
        <v>0</v>
      </c>
    </row>
    <row r="130" spans="16:41" x14ac:dyDescent="0.2">
      <c r="P130">
        <v>129</v>
      </c>
      <c r="Q130">
        <f>VLOOKUP(TableRBRanks3141[[#This Row],[RK]],Rankings!A:T,8,FALSE)</f>
        <v>0</v>
      </c>
      <c r="R130" t="str">
        <f>IFERROR(INDEX(TableRBCalcPts[TM],MATCH(TableRBRanks3141[[#This Row],[Player]],TableRBCalcPts[PLAYER],0)),"")</f>
        <v/>
      </c>
      <c r="S130" t="str">
        <f>IFERROR(INDEX(TableRBCalcPts[BYE],MATCH(TableRBRanks3141[[#This Row],[Player]],TableRBCalcPts[PLAYER],0)),"")</f>
        <v/>
      </c>
      <c r="T130" s="86">
        <f>VLOOKUP(TableRBRanks3141[[#This Row],[Player]],RB!B:O,4,FALSE)</f>
        <v>0</v>
      </c>
      <c r="U130" s="86">
        <f>VLOOKUP(TableRBRanks3141[[#This Row],[Player]],RB!B:O,5,FALSE)</f>
        <v>0</v>
      </c>
      <c r="V130" s="86">
        <f>VLOOKUP(TableRBRanks3141[[#This Row],[Player]],RB!B:O,6,FALSE)</f>
        <v>0</v>
      </c>
      <c r="W130" s="86">
        <f>VLOOKUP(TableRBRanks3141[[#This Row],[Player]],RB!B:O,7,FALSE)</f>
        <v>0</v>
      </c>
      <c r="X130" s="86">
        <f>VLOOKUP(TableRBRanks3141[[#This Row],[Player]],RB!B:O,8,FALSE)</f>
        <v>0</v>
      </c>
      <c r="Y130" s="86">
        <f>VLOOKUP(TableRBRanks3141[[#This Row],[Player]],RB!B:O,9,FALSE)</f>
        <v>0</v>
      </c>
      <c r="Z130" s="86">
        <f>VLOOKUP(TableRBRanks3141[[#This Row],[Player]],RB!B:O,10,FALSE)</f>
        <v>0</v>
      </c>
      <c r="AA130" s="58">
        <f>VLOOKUP(TableRBRanks3141[[#This Row],[Player]],RB!B:O,14,FALSE)</f>
        <v>0</v>
      </c>
      <c r="AB130" s="133" t="e">
        <f>IF(VLOOKUP(TableRBRanks3141[[#This Row],[RK]],'Ranks w Proj'!$P:$AB,13,FALSE)&lt;0,0,VLOOKUP(TableRBRanks3141[[#This Row],[RK]],'Ranks w Proj'!$P:$AB,13,FALSE))</f>
        <v>#VALUE!</v>
      </c>
      <c r="AD130">
        <v>129</v>
      </c>
      <c r="AE130" t="str">
        <f>VLOOKUP(TableWRRanks3242[[#This Row],[RK]],Rankings!A:T,13,FALSE)</f>
        <v>Jason Brownlee</v>
      </c>
      <c r="AF130" t="str">
        <f>IFERROR(INDEX(TableWRCalcPts[TM],MATCH(TableWRRanks3242[[#This Row],[Player]],TableWRCalcPts[PLAYER],0)),"")</f>
        <v>NYJ</v>
      </c>
      <c r="AG130">
        <f>IFERROR(INDEX(TableWRCalcPts[BYE],MATCH(TableWRRanks3242[[#This Row],[Player]],TableWRCalcPts[PLAYER],0)),"")</f>
        <v>7</v>
      </c>
      <c r="AH130" s="86">
        <f>VLOOKUP(TableWRRanks3242[[#This Row],[Player]],WR!B:O,4,FALSE)</f>
        <v>0</v>
      </c>
      <c r="AI130" s="86">
        <f>VLOOKUP(TableWRRanks3242[[#This Row],[Player]],WR!B:O,5,FALSE)</f>
        <v>0</v>
      </c>
      <c r="AJ130" s="86">
        <f>VLOOKUP(TableWRRanks3242[[#This Row],[Player]],WR!B:O,6,FALSE)</f>
        <v>19.618899299999999</v>
      </c>
      <c r="AK130" s="86">
        <f>VLOOKUP(TableWRRanks3242[[#This Row],[Player]],WR!B:O,7,FALSE)</f>
        <v>11.869434076499999</v>
      </c>
      <c r="AL130" s="86">
        <f>VLOOKUP(TableWRRanks3242[[#This Row],[Player]],WR!B:O,8,FALSE)</f>
        <v>155.37089206138498</v>
      </c>
      <c r="AM130" s="86">
        <f>VLOOKUP(TableWRRanks3242[[#This Row],[Player]],WR!B:O,9,FALSE)</f>
        <v>0.80712151720199998</v>
      </c>
      <c r="AN130" s="58">
        <f>VLOOKUP(TableWRRanks3242[[#This Row],[Player]],WR!B:O,13,FALSE)</f>
        <v>26.314535347600497</v>
      </c>
      <c r="AO130" s="133">
        <f>IF(VLOOKUP(TableWRRanks3242[[#This Row],[RK]],'Ranks w Proj'!AD:AO,12,FALSE)&lt;0,0,VLOOKUP(TableWRRanks3242[[#This Row],[RK]],'Ranks w Proj'!AD:AO,12,FALSE))</f>
        <v>0</v>
      </c>
    </row>
    <row r="131" spans="16:41" x14ac:dyDescent="0.2">
      <c r="P131">
        <v>130</v>
      </c>
      <c r="Q131">
        <f>VLOOKUP(TableRBRanks3141[[#This Row],[RK]],Rankings!A:T,8,FALSE)</f>
        <v>0</v>
      </c>
      <c r="R131" t="str">
        <f>IFERROR(INDEX(TableRBCalcPts[TM],MATCH(TableRBRanks3141[[#This Row],[Player]],TableRBCalcPts[PLAYER],0)),"")</f>
        <v/>
      </c>
      <c r="S131" t="str">
        <f>IFERROR(INDEX(TableRBCalcPts[BYE],MATCH(TableRBRanks3141[[#This Row],[Player]],TableRBCalcPts[PLAYER],0)),"")</f>
        <v/>
      </c>
      <c r="T131" s="86">
        <f>VLOOKUP(TableRBRanks3141[[#This Row],[Player]],RB!B:O,4,FALSE)</f>
        <v>0</v>
      </c>
      <c r="U131" s="86">
        <f>VLOOKUP(TableRBRanks3141[[#This Row],[Player]],RB!B:O,5,FALSE)</f>
        <v>0</v>
      </c>
      <c r="V131" s="86">
        <f>VLOOKUP(TableRBRanks3141[[#This Row],[Player]],RB!B:O,6,FALSE)</f>
        <v>0</v>
      </c>
      <c r="W131" s="86">
        <f>VLOOKUP(TableRBRanks3141[[#This Row],[Player]],RB!B:O,7,FALSE)</f>
        <v>0</v>
      </c>
      <c r="X131" s="86">
        <f>VLOOKUP(TableRBRanks3141[[#This Row],[Player]],RB!B:O,8,FALSE)</f>
        <v>0</v>
      </c>
      <c r="Y131" s="86">
        <f>VLOOKUP(TableRBRanks3141[[#This Row],[Player]],RB!B:O,9,FALSE)</f>
        <v>0</v>
      </c>
      <c r="Z131" s="86">
        <f>VLOOKUP(TableRBRanks3141[[#This Row],[Player]],RB!B:O,10,FALSE)</f>
        <v>0</v>
      </c>
      <c r="AA131" s="58">
        <f>VLOOKUP(TableRBRanks3141[[#This Row],[Player]],RB!B:O,14,FALSE)</f>
        <v>0</v>
      </c>
      <c r="AB131" s="133" t="e">
        <f>IF(VLOOKUP(TableRBRanks3141[[#This Row],[RK]],'Ranks w Proj'!$P:$AB,13,FALSE)&lt;0,0,VLOOKUP(TableRBRanks3141[[#This Row],[RK]],'Ranks w Proj'!$P:$AB,13,FALSE))</f>
        <v>#VALUE!</v>
      </c>
      <c r="AD131">
        <v>130</v>
      </c>
      <c r="AE131" t="str">
        <f>VLOOKUP(TableWRRanks3242[[#This Row],[RK]],Rankings!A:T,13,FALSE)</f>
        <v>A.T. Perry</v>
      </c>
      <c r="AF131" t="str">
        <f>IFERROR(INDEX(TableWRCalcPts[TM],MATCH(TableWRRanks3242[[#This Row],[Player]],TableWRCalcPts[PLAYER],0)),"")</f>
        <v>NO</v>
      </c>
      <c r="AG131">
        <f>IFERROR(INDEX(TableWRCalcPts[BYE],MATCH(TableWRRanks3242[[#This Row],[Player]],TableWRCalcPts[PLAYER],0)),"")</f>
        <v>11</v>
      </c>
      <c r="AH131" s="86">
        <f>VLOOKUP(TableWRRanks3242[[#This Row],[Player]],WR!B:O,4,FALSE)</f>
        <v>0</v>
      </c>
      <c r="AI131" s="86">
        <f>VLOOKUP(TableWRRanks3242[[#This Row],[Player]],WR!B:O,5,FALSE)</f>
        <v>0</v>
      </c>
      <c r="AJ131" s="86">
        <f>VLOOKUP(TableWRRanks3242[[#This Row],[Player]],WR!B:O,6,FALSE)</f>
        <v>20.444497163999998</v>
      </c>
      <c r="AK131" s="86">
        <f>VLOOKUP(TableWRRanks3242[[#This Row],[Player]],WR!B:O,7,FALSE)</f>
        <v>11.089302089134792</v>
      </c>
      <c r="AL131" s="86">
        <f>VLOOKUP(TableWRRanks3242[[#This Row],[Player]],WR!B:O,8,FALSE)</f>
        <v>146.37878757657924</v>
      </c>
      <c r="AM131" s="86">
        <f>VLOOKUP(TableWRRanks3242[[#This Row],[Player]],WR!B:O,9,FALSE)</f>
        <v>0.72080463579376153</v>
      </c>
      <c r="AN131" s="58">
        <f>VLOOKUP(TableWRRanks3242[[#This Row],[Player]],WR!B:O,13,FALSE)</f>
        <v>24.507357616987889</v>
      </c>
      <c r="AO131" s="133">
        <f>IF(VLOOKUP(TableWRRanks3242[[#This Row],[RK]],'Ranks w Proj'!AD:AO,12,FALSE)&lt;0,0,VLOOKUP(TableWRRanks3242[[#This Row],[RK]],'Ranks w Proj'!AD:AO,12,FALSE))</f>
        <v>0</v>
      </c>
    </row>
    <row r="132" spans="16:41" x14ac:dyDescent="0.2">
      <c r="P132">
        <v>131</v>
      </c>
      <c r="Q132">
        <f>VLOOKUP(TableRBRanks3141[[#This Row],[RK]],Rankings!A:T,8,FALSE)</f>
        <v>0</v>
      </c>
      <c r="R132" t="str">
        <f>IFERROR(INDEX(TableRBCalcPts[TM],MATCH(TableRBRanks3141[[#This Row],[Player]],TableRBCalcPts[PLAYER],0)),"")</f>
        <v/>
      </c>
      <c r="S132" t="str">
        <f>IFERROR(INDEX(TableRBCalcPts[BYE],MATCH(TableRBRanks3141[[#This Row],[Player]],TableRBCalcPts[PLAYER],0)),"")</f>
        <v/>
      </c>
      <c r="T132" s="86">
        <f>VLOOKUP(TableRBRanks3141[[#This Row],[Player]],RB!B:O,4,FALSE)</f>
        <v>0</v>
      </c>
      <c r="U132" s="86">
        <f>VLOOKUP(TableRBRanks3141[[#This Row],[Player]],RB!B:O,5,FALSE)</f>
        <v>0</v>
      </c>
      <c r="V132" s="86">
        <f>VLOOKUP(TableRBRanks3141[[#This Row],[Player]],RB!B:O,6,FALSE)</f>
        <v>0</v>
      </c>
      <c r="W132" s="86">
        <f>VLOOKUP(TableRBRanks3141[[#This Row],[Player]],RB!B:O,7,FALSE)</f>
        <v>0</v>
      </c>
      <c r="X132" s="86">
        <f>VLOOKUP(TableRBRanks3141[[#This Row],[Player]],RB!B:O,8,FALSE)</f>
        <v>0</v>
      </c>
      <c r="Y132" s="86">
        <f>VLOOKUP(TableRBRanks3141[[#This Row],[Player]],RB!B:O,9,FALSE)</f>
        <v>0</v>
      </c>
      <c r="Z132" s="86">
        <f>VLOOKUP(TableRBRanks3141[[#This Row],[Player]],RB!B:O,10,FALSE)</f>
        <v>0</v>
      </c>
      <c r="AA132" s="58">
        <f>VLOOKUP(TableRBRanks3141[[#This Row],[Player]],RB!B:O,14,FALSE)</f>
        <v>0</v>
      </c>
      <c r="AB132" s="133" t="e">
        <f>IF(VLOOKUP(TableRBRanks3141[[#This Row],[RK]],'Ranks w Proj'!$P:$AB,13,FALSE)&lt;0,0,VLOOKUP(TableRBRanks3141[[#This Row],[RK]],'Ranks w Proj'!$P:$AB,13,FALSE))</f>
        <v>#VALUE!</v>
      </c>
      <c r="AD132">
        <v>131</v>
      </c>
      <c r="AE132">
        <f>VLOOKUP(TableWRRanks3242[[#This Row],[RK]],Rankings!A:T,13,FALSE)</f>
        <v>0</v>
      </c>
      <c r="AF132" t="str">
        <f>IFERROR(INDEX(TableWRCalcPts[TM],MATCH(TableWRRanks3242[[#This Row],[Player]],TableWRCalcPts[PLAYER],0)),"")</f>
        <v/>
      </c>
      <c r="AG132" t="str">
        <f>IFERROR(INDEX(TableWRCalcPts[BYE],MATCH(TableWRRanks3242[[#This Row],[Player]],TableWRCalcPts[PLAYER],0)),"")</f>
        <v/>
      </c>
      <c r="AH132" s="86">
        <f>VLOOKUP(TableWRRanks3242[[#This Row],[Player]],WR!B:O,4,FALSE)</f>
        <v>0</v>
      </c>
      <c r="AI132" s="86">
        <f>VLOOKUP(TableWRRanks3242[[#This Row],[Player]],WR!B:O,5,FALSE)</f>
        <v>0</v>
      </c>
      <c r="AJ132" s="86">
        <f>VLOOKUP(TableWRRanks3242[[#This Row],[Player]],WR!B:O,6,FALSE)</f>
        <v>0</v>
      </c>
      <c r="AK132" s="86">
        <f>VLOOKUP(TableWRRanks3242[[#This Row],[Player]],WR!B:O,7,FALSE)</f>
        <v>0</v>
      </c>
      <c r="AL132" s="86">
        <f>VLOOKUP(TableWRRanks3242[[#This Row],[Player]],WR!B:O,8,FALSE)</f>
        <v>0</v>
      </c>
      <c r="AM132" s="86">
        <f>VLOOKUP(TableWRRanks3242[[#This Row],[Player]],WR!B:O,9,FALSE)</f>
        <v>0</v>
      </c>
      <c r="AN132" s="58">
        <f>VLOOKUP(TableWRRanks3242[[#This Row],[Player]],WR!B:O,13,FALSE)</f>
        <v>0</v>
      </c>
      <c r="AO132" s="133">
        <f>IF(VLOOKUP(TableWRRanks3242[[#This Row],[RK]],'Ranks w Proj'!AD:AO,12,FALSE)&lt;0,0,VLOOKUP(TableWRRanks3242[[#This Row],[RK]],'Ranks w Proj'!AD:AO,12,FALSE))</f>
        <v>0</v>
      </c>
    </row>
    <row r="133" spans="16:41" x14ac:dyDescent="0.2">
      <c r="P133">
        <v>132</v>
      </c>
      <c r="Q133">
        <f>VLOOKUP(TableRBRanks3141[[#This Row],[RK]],Rankings!A:T,8,FALSE)</f>
        <v>0</v>
      </c>
      <c r="R133" t="str">
        <f>IFERROR(INDEX(TableRBCalcPts[TM],MATCH(TableRBRanks3141[[#This Row],[Player]],TableRBCalcPts[PLAYER],0)),"")</f>
        <v/>
      </c>
      <c r="S133" t="str">
        <f>IFERROR(INDEX(TableRBCalcPts[BYE],MATCH(TableRBRanks3141[[#This Row],[Player]],TableRBCalcPts[PLAYER],0)),"")</f>
        <v/>
      </c>
      <c r="T133" s="86">
        <f>VLOOKUP(TableRBRanks3141[[#This Row],[Player]],RB!B:O,4,FALSE)</f>
        <v>0</v>
      </c>
      <c r="U133" s="86">
        <f>VLOOKUP(TableRBRanks3141[[#This Row],[Player]],RB!B:O,5,FALSE)</f>
        <v>0</v>
      </c>
      <c r="V133" s="86">
        <f>VLOOKUP(TableRBRanks3141[[#This Row],[Player]],RB!B:O,6,FALSE)</f>
        <v>0</v>
      </c>
      <c r="W133" s="86">
        <f>VLOOKUP(TableRBRanks3141[[#This Row],[Player]],RB!B:O,7,FALSE)</f>
        <v>0</v>
      </c>
      <c r="X133" s="86">
        <f>VLOOKUP(TableRBRanks3141[[#This Row],[Player]],RB!B:O,8,FALSE)</f>
        <v>0</v>
      </c>
      <c r="Y133" s="86">
        <f>VLOOKUP(TableRBRanks3141[[#This Row],[Player]],RB!B:O,9,FALSE)</f>
        <v>0</v>
      </c>
      <c r="Z133" s="86">
        <f>VLOOKUP(TableRBRanks3141[[#This Row],[Player]],RB!B:O,10,FALSE)</f>
        <v>0</v>
      </c>
      <c r="AA133" s="58">
        <f>VLOOKUP(TableRBRanks3141[[#This Row],[Player]],RB!B:O,14,FALSE)</f>
        <v>0</v>
      </c>
      <c r="AB133" s="133" t="e">
        <f>IF(VLOOKUP(TableRBRanks3141[[#This Row],[RK]],'Ranks w Proj'!$P:$AB,13,FALSE)&lt;0,0,VLOOKUP(TableRBRanks3141[[#This Row],[RK]],'Ranks w Proj'!$P:$AB,13,FALSE))</f>
        <v>#VALUE!</v>
      </c>
      <c r="AD133">
        <v>132</v>
      </c>
      <c r="AE133">
        <f>VLOOKUP(TableWRRanks3242[[#This Row],[RK]],Rankings!A:T,13,FALSE)</f>
        <v>0</v>
      </c>
      <c r="AF133" t="str">
        <f>IFERROR(INDEX(TableWRCalcPts[TM],MATCH(TableWRRanks3242[[#This Row],[Player]],TableWRCalcPts[PLAYER],0)),"")</f>
        <v/>
      </c>
      <c r="AG133" t="str">
        <f>IFERROR(INDEX(TableWRCalcPts[BYE],MATCH(TableWRRanks3242[[#This Row],[Player]],TableWRCalcPts[PLAYER],0)),"")</f>
        <v/>
      </c>
      <c r="AH133" s="86">
        <f>VLOOKUP(TableWRRanks3242[[#This Row],[Player]],WR!B:O,4,FALSE)</f>
        <v>0</v>
      </c>
      <c r="AI133" s="86">
        <f>VLOOKUP(TableWRRanks3242[[#This Row],[Player]],WR!B:O,5,FALSE)</f>
        <v>0</v>
      </c>
      <c r="AJ133" s="86">
        <f>VLOOKUP(TableWRRanks3242[[#This Row],[Player]],WR!B:O,6,FALSE)</f>
        <v>0</v>
      </c>
      <c r="AK133" s="86">
        <f>VLOOKUP(TableWRRanks3242[[#This Row],[Player]],WR!B:O,7,FALSE)</f>
        <v>0</v>
      </c>
      <c r="AL133" s="86">
        <f>VLOOKUP(TableWRRanks3242[[#This Row],[Player]],WR!B:O,8,FALSE)</f>
        <v>0</v>
      </c>
      <c r="AM133" s="86">
        <f>VLOOKUP(TableWRRanks3242[[#This Row],[Player]],WR!B:O,9,FALSE)</f>
        <v>0</v>
      </c>
      <c r="AN133" s="58">
        <f>VLOOKUP(TableWRRanks3242[[#This Row],[Player]],WR!B:O,13,FALSE)</f>
        <v>0</v>
      </c>
      <c r="AO133" s="133">
        <f>IF(VLOOKUP(TableWRRanks3242[[#This Row],[RK]],'Ranks w Proj'!AD:AO,12,FALSE)&lt;0,0,VLOOKUP(TableWRRanks3242[[#This Row],[RK]],'Ranks w Proj'!AD:AO,12,FALSE))</f>
        <v>0</v>
      </c>
    </row>
    <row r="134" spans="16:41" x14ac:dyDescent="0.2">
      <c r="P134">
        <v>133</v>
      </c>
      <c r="Q134">
        <f>VLOOKUP(TableRBRanks3141[[#This Row],[RK]],Rankings!A:T,8,FALSE)</f>
        <v>0</v>
      </c>
      <c r="R134" t="str">
        <f>IFERROR(INDEX(TableRBCalcPts[TM],MATCH(TableRBRanks3141[[#This Row],[Player]],TableRBCalcPts[PLAYER],0)),"")</f>
        <v/>
      </c>
      <c r="S134" t="str">
        <f>IFERROR(INDEX(TableRBCalcPts[BYE],MATCH(TableRBRanks3141[[#This Row],[Player]],TableRBCalcPts[PLAYER],0)),"")</f>
        <v/>
      </c>
      <c r="T134" s="86">
        <f>VLOOKUP(TableRBRanks3141[[#This Row],[Player]],RB!B:O,4,FALSE)</f>
        <v>0</v>
      </c>
      <c r="U134" s="86">
        <f>VLOOKUP(TableRBRanks3141[[#This Row],[Player]],RB!B:O,5,FALSE)</f>
        <v>0</v>
      </c>
      <c r="V134" s="86">
        <f>VLOOKUP(TableRBRanks3141[[#This Row],[Player]],RB!B:O,6,FALSE)</f>
        <v>0</v>
      </c>
      <c r="W134" s="86">
        <f>VLOOKUP(TableRBRanks3141[[#This Row],[Player]],RB!B:O,7,FALSE)</f>
        <v>0</v>
      </c>
      <c r="X134" s="86">
        <f>VLOOKUP(TableRBRanks3141[[#This Row],[Player]],RB!B:O,8,FALSE)</f>
        <v>0</v>
      </c>
      <c r="Y134" s="86">
        <f>VLOOKUP(TableRBRanks3141[[#This Row],[Player]],RB!B:O,9,FALSE)</f>
        <v>0</v>
      </c>
      <c r="Z134" s="86">
        <f>VLOOKUP(TableRBRanks3141[[#This Row],[Player]],RB!B:O,10,FALSE)</f>
        <v>0</v>
      </c>
      <c r="AA134" s="58">
        <f>VLOOKUP(TableRBRanks3141[[#This Row],[Player]],RB!B:O,14,FALSE)</f>
        <v>0</v>
      </c>
      <c r="AB134" s="133" t="e">
        <f>IF(VLOOKUP(TableRBRanks3141[[#This Row],[RK]],'Ranks w Proj'!$P:$AB,13,FALSE)&lt;0,0,VLOOKUP(TableRBRanks3141[[#This Row],[RK]],'Ranks w Proj'!$P:$AB,13,FALSE))</f>
        <v>#VALUE!</v>
      </c>
      <c r="AD134">
        <v>133</v>
      </c>
      <c r="AE134">
        <f>VLOOKUP(TableWRRanks3242[[#This Row],[RK]],Rankings!A:T,13,FALSE)</f>
        <v>0</v>
      </c>
      <c r="AF134" t="str">
        <f>IFERROR(INDEX(TableWRCalcPts[TM],MATCH(TableWRRanks3242[[#This Row],[Player]],TableWRCalcPts[PLAYER],0)),"")</f>
        <v/>
      </c>
      <c r="AG134" t="str">
        <f>IFERROR(INDEX(TableWRCalcPts[BYE],MATCH(TableWRRanks3242[[#This Row],[Player]],TableWRCalcPts[PLAYER],0)),"")</f>
        <v/>
      </c>
      <c r="AH134" s="86">
        <f>VLOOKUP(TableWRRanks3242[[#This Row],[Player]],WR!B:O,4,FALSE)</f>
        <v>0</v>
      </c>
      <c r="AI134" s="86">
        <f>VLOOKUP(TableWRRanks3242[[#This Row],[Player]],WR!B:O,5,FALSE)</f>
        <v>0</v>
      </c>
      <c r="AJ134" s="86">
        <f>VLOOKUP(TableWRRanks3242[[#This Row],[Player]],WR!B:O,6,FALSE)</f>
        <v>0</v>
      </c>
      <c r="AK134" s="86">
        <f>VLOOKUP(TableWRRanks3242[[#This Row],[Player]],WR!B:O,7,FALSE)</f>
        <v>0</v>
      </c>
      <c r="AL134" s="86">
        <f>VLOOKUP(TableWRRanks3242[[#This Row],[Player]],WR!B:O,8,FALSE)</f>
        <v>0</v>
      </c>
      <c r="AM134" s="86">
        <f>VLOOKUP(TableWRRanks3242[[#This Row],[Player]],WR!B:O,9,FALSE)</f>
        <v>0</v>
      </c>
      <c r="AN134" s="58">
        <f>VLOOKUP(TableWRRanks3242[[#This Row],[Player]],WR!B:O,13,FALSE)</f>
        <v>0</v>
      </c>
      <c r="AO134" s="133">
        <f>IF(VLOOKUP(TableWRRanks3242[[#This Row],[RK]],'Ranks w Proj'!AD:AO,12,FALSE)&lt;0,0,VLOOKUP(TableWRRanks3242[[#This Row],[RK]],'Ranks w Proj'!AD:AO,12,FALSE))</f>
        <v>0</v>
      </c>
    </row>
    <row r="135" spans="16:41" x14ac:dyDescent="0.2">
      <c r="P135">
        <v>134</v>
      </c>
      <c r="Q135">
        <f>VLOOKUP(TableRBRanks3141[[#This Row],[RK]],Rankings!A:T,8,FALSE)</f>
        <v>0</v>
      </c>
      <c r="R135" t="str">
        <f>IFERROR(INDEX(TableRBCalcPts[TM],MATCH(TableRBRanks3141[[#This Row],[Player]],TableRBCalcPts[PLAYER],0)),"")</f>
        <v/>
      </c>
      <c r="S135" t="str">
        <f>IFERROR(INDEX(TableRBCalcPts[BYE],MATCH(TableRBRanks3141[[#This Row],[Player]],TableRBCalcPts[PLAYER],0)),"")</f>
        <v/>
      </c>
      <c r="T135" s="86">
        <f>VLOOKUP(TableRBRanks3141[[#This Row],[Player]],RB!B:O,4,FALSE)</f>
        <v>0</v>
      </c>
      <c r="U135" s="86">
        <f>VLOOKUP(TableRBRanks3141[[#This Row],[Player]],RB!B:O,5,FALSE)</f>
        <v>0</v>
      </c>
      <c r="V135" s="86">
        <f>VLOOKUP(TableRBRanks3141[[#This Row],[Player]],RB!B:O,6,FALSE)</f>
        <v>0</v>
      </c>
      <c r="W135" s="86">
        <f>VLOOKUP(TableRBRanks3141[[#This Row],[Player]],RB!B:O,7,FALSE)</f>
        <v>0</v>
      </c>
      <c r="X135" s="86">
        <f>VLOOKUP(TableRBRanks3141[[#This Row],[Player]],RB!B:O,8,FALSE)</f>
        <v>0</v>
      </c>
      <c r="Y135" s="86">
        <f>VLOOKUP(TableRBRanks3141[[#This Row],[Player]],RB!B:O,9,FALSE)</f>
        <v>0</v>
      </c>
      <c r="Z135" s="86">
        <f>VLOOKUP(TableRBRanks3141[[#This Row],[Player]],RB!B:O,10,FALSE)</f>
        <v>0</v>
      </c>
      <c r="AA135" s="58">
        <f>VLOOKUP(TableRBRanks3141[[#This Row],[Player]],RB!B:O,14,FALSE)</f>
        <v>0</v>
      </c>
      <c r="AB135" s="133" t="e">
        <f>IF(VLOOKUP(TableRBRanks3141[[#This Row],[RK]],'Ranks w Proj'!$P:$AB,13,FALSE)&lt;0,0,VLOOKUP(TableRBRanks3141[[#This Row],[RK]],'Ranks w Proj'!$P:$AB,13,FALSE))</f>
        <v>#VALUE!</v>
      </c>
      <c r="AD135">
        <v>134</v>
      </c>
      <c r="AE135">
        <f>VLOOKUP(TableWRRanks3242[[#This Row],[RK]],Rankings!A:T,13,FALSE)</f>
        <v>0</v>
      </c>
      <c r="AF135" t="str">
        <f>IFERROR(INDEX(TableWRCalcPts[TM],MATCH(TableWRRanks3242[[#This Row],[Player]],TableWRCalcPts[PLAYER],0)),"")</f>
        <v/>
      </c>
      <c r="AG135" t="str">
        <f>IFERROR(INDEX(TableWRCalcPts[BYE],MATCH(TableWRRanks3242[[#This Row],[Player]],TableWRCalcPts[PLAYER],0)),"")</f>
        <v/>
      </c>
      <c r="AH135" s="86">
        <f>VLOOKUP(TableWRRanks3242[[#This Row],[Player]],WR!B:O,4,FALSE)</f>
        <v>0</v>
      </c>
      <c r="AI135" s="86">
        <f>VLOOKUP(TableWRRanks3242[[#This Row],[Player]],WR!B:O,5,FALSE)</f>
        <v>0</v>
      </c>
      <c r="AJ135" s="86">
        <f>VLOOKUP(TableWRRanks3242[[#This Row],[Player]],WR!B:O,6,FALSE)</f>
        <v>0</v>
      </c>
      <c r="AK135" s="86">
        <f>VLOOKUP(TableWRRanks3242[[#This Row],[Player]],WR!B:O,7,FALSE)</f>
        <v>0</v>
      </c>
      <c r="AL135" s="86">
        <f>VLOOKUP(TableWRRanks3242[[#This Row],[Player]],WR!B:O,8,FALSE)</f>
        <v>0</v>
      </c>
      <c r="AM135" s="86">
        <f>VLOOKUP(TableWRRanks3242[[#This Row],[Player]],WR!B:O,9,FALSE)</f>
        <v>0</v>
      </c>
      <c r="AN135" s="58">
        <f>VLOOKUP(TableWRRanks3242[[#This Row],[Player]],WR!B:O,13,FALSE)</f>
        <v>0</v>
      </c>
      <c r="AO135" s="133">
        <f>IF(VLOOKUP(TableWRRanks3242[[#This Row],[RK]],'Ranks w Proj'!AD:AO,12,FALSE)&lt;0,0,VLOOKUP(TableWRRanks3242[[#This Row],[RK]],'Ranks w Proj'!AD:AO,12,FALSE))</f>
        <v>0</v>
      </c>
    </row>
    <row r="136" spans="16:41" x14ac:dyDescent="0.2">
      <c r="P136">
        <v>135</v>
      </c>
      <c r="Q136">
        <f>VLOOKUP(TableRBRanks3141[[#This Row],[RK]],Rankings!A:T,8,FALSE)</f>
        <v>0</v>
      </c>
      <c r="R136" t="str">
        <f>IFERROR(INDEX(TableRBCalcPts[TM],MATCH(TableRBRanks3141[[#This Row],[Player]],TableRBCalcPts[PLAYER],0)),"")</f>
        <v/>
      </c>
      <c r="S136" t="str">
        <f>IFERROR(INDEX(TableRBCalcPts[BYE],MATCH(TableRBRanks3141[[#This Row],[Player]],TableRBCalcPts[PLAYER],0)),"")</f>
        <v/>
      </c>
      <c r="T136" s="86">
        <f>VLOOKUP(TableRBRanks3141[[#This Row],[Player]],RB!B:O,4,FALSE)</f>
        <v>0</v>
      </c>
      <c r="U136" s="86">
        <f>VLOOKUP(TableRBRanks3141[[#This Row],[Player]],RB!B:O,5,FALSE)</f>
        <v>0</v>
      </c>
      <c r="V136" s="86">
        <f>VLOOKUP(TableRBRanks3141[[#This Row],[Player]],RB!B:O,6,FALSE)</f>
        <v>0</v>
      </c>
      <c r="W136" s="86">
        <f>VLOOKUP(TableRBRanks3141[[#This Row],[Player]],RB!B:O,7,FALSE)</f>
        <v>0</v>
      </c>
      <c r="X136" s="86">
        <f>VLOOKUP(TableRBRanks3141[[#This Row],[Player]],RB!B:O,8,FALSE)</f>
        <v>0</v>
      </c>
      <c r="Y136" s="86">
        <f>VLOOKUP(TableRBRanks3141[[#This Row],[Player]],RB!B:O,9,FALSE)</f>
        <v>0</v>
      </c>
      <c r="Z136" s="86">
        <f>VLOOKUP(TableRBRanks3141[[#This Row],[Player]],RB!B:O,10,FALSE)</f>
        <v>0</v>
      </c>
      <c r="AA136" s="58">
        <f>VLOOKUP(TableRBRanks3141[[#This Row],[Player]],RB!B:O,14,FALSE)</f>
        <v>0</v>
      </c>
      <c r="AB136" s="133" t="e">
        <f>IF(VLOOKUP(TableRBRanks3141[[#This Row],[RK]],'Ranks w Proj'!$P:$AB,13,FALSE)&lt;0,0,VLOOKUP(TableRBRanks3141[[#This Row],[RK]],'Ranks w Proj'!$P:$AB,13,FALSE))</f>
        <v>#VALUE!</v>
      </c>
      <c r="AD136">
        <v>135</v>
      </c>
      <c r="AE136">
        <f>VLOOKUP(TableWRRanks3242[[#This Row],[RK]],Rankings!A:T,13,FALSE)</f>
        <v>0</v>
      </c>
      <c r="AF136" t="str">
        <f>IFERROR(INDEX(TableWRCalcPts[TM],MATCH(TableWRRanks3242[[#This Row],[Player]],TableWRCalcPts[PLAYER],0)),"")</f>
        <v/>
      </c>
      <c r="AG136" t="str">
        <f>IFERROR(INDEX(TableWRCalcPts[BYE],MATCH(TableWRRanks3242[[#This Row],[Player]],TableWRCalcPts[PLAYER],0)),"")</f>
        <v/>
      </c>
      <c r="AH136" s="86">
        <f>VLOOKUP(TableWRRanks3242[[#This Row],[Player]],WR!B:O,4,FALSE)</f>
        <v>0</v>
      </c>
      <c r="AI136" s="86">
        <f>VLOOKUP(TableWRRanks3242[[#This Row],[Player]],WR!B:O,5,FALSE)</f>
        <v>0</v>
      </c>
      <c r="AJ136" s="86">
        <f>VLOOKUP(TableWRRanks3242[[#This Row],[Player]],WR!B:O,6,FALSE)</f>
        <v>0</v>
      </c>
      <c r="AK136" s="86">
        <f>VLOOKUP(TableWRRanks3242[[#This Row],[Player]],WR!B:O,7,FALSE)</f>
        <v>0</v>
      </c>
      <c r="AL136" s="86">
        <f>VLOOKUP(TableWRRanks3242[[#This Row],[Player]],WR!B:O,8,FALSE)</f>
        <v>0</v>
      </c>
      <c r="AM136" s="86">
        <f>VLOOKUP(TableWRRanks3242[[#This Row],[Player]],WR!B:O,9,FALSE)</f>
        <v>0</v>
      </c>
      <c r="AN136" s="58">
        <f>VLOOKUP(TableWRRanks3242[[#This Row],[Player]],WR!B:O,13,FALSE)</f>
        <v>0</v>
      </c>
      <c r="AO136" s="133">
        <f>IF(VLOOKUP(TableWRRanks3242[[#This Row],[RK]],'Ranks w Proj'!AD:AO,12,FALSE)&lt;0,0,VLOOKUP(TableWRRanks3242[[#This Row],[RK]],'Ranks w Proj'!AD:AO,12,FALSE))</f>
        <v>0</v>
      </c>
    </row>
    <row r="137" spans="16:41" x14ac:dyDescent="0.2">
      <c r="P137">
        <v>136</v>
      </c>
      <c r="Q137">
        <f>VLOOKUP(TableRBRanks3141[[#This Row],[RK]],Rankings!A:T,8,FALSE)</f>
        <v>0</v>
      </c>
      <c r="R137" t="str">
        <f>IFERROR(INDEX(TableRBCalcPts[TM],MATCH(TableRBRanks3141[[#This Row],[Player]],TableRBCalcPts[PLAYER],0)),"")</f>
        <v/>
      </c>
      <c r="S137" t="str">
        <f>IFERROR(INDEX(TableRBCalcPts[BYE],MATCH(TableRBRanks3141[[#This Row],[Player]],TableRBCalcPts[PLAYER],0)),"")</f>
        <v/>
      </c>
      <c r="T137" s="86">
        <f>VLOOKUP(TableRBRanks3141[[#This Row],[Player]],RB!B:O,4,FALSE)</f>
        <v>0</v>
      </c>
      <c r="U137" s="86">
        <f>VLOOKUP(TableRBRanks3141[[#This Row],[Player]],RB!B:O,5,FALSE)</f>
        <v>0</v>
      </c>
      <c r="V137" s="86">
        <f>VLOOKUP(TableRBRanks3141[[#This Row],[Player]],RB!B:O,6,FALSE)</f>
        <v>0</v>
      </c>
      <c r="W137" s="86">
        <f>VLOOKUP(TableRBRanks3141[[#This Row],[Player]],RB!B:O,7,FALSE)</f>
        <v>0</v>
      </c>
      <c r="X137" s="86">
        <f>VLOOKUP(TableRBRanks3141[[#This Row],[Player]],RB!B:O,8,FALSE)</f>
        <v>0</v>
      </c>
      <c r="Y137" s="86">
        <f>VLOOKUP(TableRBRanks3141[[#This Row],[Player]],RB!B:O,9,FALSE)</f>
        <v>0</v>
      </c>
      <c r="Z137" s="86">
        <f>VLOOKUP(TableRBRanks3141[[#This Row],[Player]],RB!B:O,10,FALSE)</f>
        <v>0</v>
      </c>
      <c r="AA137" s="58">
        <f>VLOOKUP(TableRBRanks3141[[#This Row],[Player]],RB!B:O,14,FALSE)</f>
        <v>0</v>
      </c>
      <c r="AB137" s="133" t="e">
        <f>IF(VLOOKUP(TableRBRanks3141[[#This Row],[RK]],'Ranks w Proj'!$P:$AB,13,FALSE)&lt;0,0,VLOOKUP(TableRBRanks3141[[#This Row],[RK]],'Ranks w Proj'!$P:$AB,13,FALSE))</f>
        <v>#VALUE!</v>
      </c>
      <c r="AD137">
        <v>136</v>
      </c>
      <c r="AE137">
        <f>VLOOKUP(TableWRRanks3242[[#This Row],[RK]],Rankings!A:T,13,FALSE)</f>
        <v>0</v>
      </c>
      <c r="AF137" t="str">
        <f>IFERROR(INDEX(TableWRCalcPts[TM],MATCH(TableWRRanks3242[[#This Row],[Player]],TableWRCalcPts[PLAYER],0)),"")</f>
        <v/>
      </c>
      <c r="AG137" t="str">
        <f>IFERROR(INDEX(TableWRCalcPts[BYE],MATCH(TableWRRanks3242[[#This Row],[Player]],TableWRCalcPts[PLAYER],0)),"")</f>
        <v/>
      </c>
      <c r="AH137" s="86">
        <f>VLOOKUP(TableWRRanks3242[[#This Row],[Player]],WR!B:O,4,FALSE)</f>
        <v>0</v>
      </c>
      <c r="AI137" s="86">
        <f>VLOOKUP(TableWRRanks3242[[#This Row],[Player]],WR!B:O,5,FALSE)</f>
        <v>0</v>
      </c>
      <c r="AJ137" s="86">
        <f>VLOOKUP(TableWRRanks3242[[#This Row],[Player]],WR!B:O,6,FALSE)</f>
        <v>0</v>
      </c>
      <c r="AK137" s="86">
        <f>VLOOKUP(TableWRRanks3242[[#This Row],[Player]],WR!B:O,7,FALSE)</f>
        <v>0</v>
      </c>
      <c r="AL137" s="86">
        <f>VLOOKUP(TableWRRanks3242[[#This Row],[Player]],WR!B:O,8,FALSE)</f>
        <v>0</v>
      </c>
      <c r="AM137" s="86">
        <f>VLOOKUP(TableWRRanks3242[[#This Row],[Player]],WR!B:O,9,FALSE)</f>
        <v>0</v>
      </c>
      <c r="AN137" s="58">
        <f>VLOOKUP(TableWRRanks3242[[#This Row],[Player]],WR!B:O,13,FALSE)</f>
        <v>0</v>
      </c>
      <c r="AO137" s="133">
        <f>IF(VLOOKUP(TableWRRanks3242[[#This Row],[RK]],'Ranks w Proj'!AD:AO,12,FALSE)&lt;0,0,VLOOKUP(TableWRRanks3242[[#This Row],[RK]],'Ranks w Proj'!AD:AO,12,FALSE))</f>
        <v>0</v>
      </c>
    </row>
    <row r="138" spans="16:41" x14ac:dyDescent="0.2">
      <c r="P138">
        <v>137</v>
      </c>
      <c r="Q138">
        <f>VLOOKUP(TableRBRanks3141[[#This Row],[RK]],Rankings!A:T,8,FALSE)</f>
        <v>0</v>
      </c>
      <c r="R138" t="str">
        <f>IFERROR(INDEX(TableRBCalcPts[TM],MATCH(TableRBRanks3141[[#This Row],[Player]],TableRBCalcPts[PLAYER],0)),"")</f>
        <v/>
      </c>
      <c r="S138" t="str">
        <f>IFERROR(INDEX(TableRBCalcPts[BYE],MATCH(TableRBRanks3141[[#This Row],[Player]],TableRBCalcPts[PLAYER],0)),"")</f>
        <v/>
      </c>
      <c r="T138" s="86">
        <f>VLOOKUP(TableRBRanks3141[[#This Row],[Player]],RB!B:O,4,FALSE)</f>
        <v>0</v>
      </c>
      <c r="U138" s="86">
        <f>VLOOKUP(TableRBRanks3141[[#This Row],[Player]],RB!B:O,5,FALSE)</f>
        <v>0</v>
      </c>
      <c r="V138" s="86">
        <f>VLOOKUP(TableRBRanks3141[[#This Row],[Player]],RB!B:O,6,FALSE)</f>
        <v>0</v>
      </c>
      <c r="W138" s="86">
        <f>VLOOKUP(TableRBRanks3141[[#This Row],[Player]],RB!B:O,7,FALSE)</f>
        <v>0</v>
      </c>
      <c r="X138" s="86">
        <f>VLOOKUP(TableRBRanks3141[[#This Row],[Player]],RB!B:O,8,FALSE)</f>
        <v>0</v>
      </c>
      <c r="Y138" s="86">
        <f>VLOOKUP(TableRBRanks3141[[#This Row],[Player]],RB!B:O,9,FALSE)</f>
        <v>0</v>
      </c>
      <c r="Z138" s="86">
        <f>VLOOKUP(TableRBRanks3141[[#This Row],[Player]],RB!B:O,10,FALSE)</f>
        <v>0</v>
      </c>
      <c r="AA138" s="58">
        <f>VLOOKUP(TableRBRanks3141[[#This Row],[Player]],RB!B:O,14,FALSE)</f>
        <v>0</v>
      </c>
      <c r="AB138" s="133" t="e">
        <f>IF(VLOOKUP(TableRBRanks3141[[#This Row],[RK]],'Ranks w Proj'!$P:$AB,13,FALSE)&lt;0,0,VLOOKUP(TableRBRanks3141[[#This Row],[RK]],'Ranks w Proj'!$P:$AB,13,FALSE))</f>
        <v>#VALUE!</v>
      </c>
      <c r="AD138">
        <v>137</v>
      </c>
      <c r="AE138">
        <f>VLOOKUP(TableWRRanks3242[[#This Row],[RK]],Rankings!A:T,13,FALSE)</f>
        <v>0</v>
      </c>
      <c r="AF138" t="str">
        <f>IFERROR(INDEX(TableWRCalcPts[TM],MATCH(TableWRRanks3242[[#This Row],[Player]],TableWRCalcPts[PLAYER],0)),"")</f>
        <v/>
      </c>
      <c r="AG138" t="str">
        <f>IFERROR(INDEX(TableWRCalcPts[BYE],MATCH(TableWRRanks3242[[#This Row],[Player]],TableWRCalcPts[PLAYER],0)),"")</f>
        <v/>
      </c>
      <c r="AH138" s="86">
        <f>VLOOKUP(TableWRRanks3242[[#This Row],[Player]],WR!B:O,4,FALSE)</f>
        <v>0</v>
      </c>
      <c r="AI138" s="86">
        <f>VLOOKUP(TableWRRanks3242[[#This Row],[Player]],WR!B:O,5,FALSE)</f>
        <v>0</v>
      </c>
      <c r="AJ138" s="86">
        <f>VLOOKUP(TableWRRanks3242[[#This Row],[Player]],WR!B:O,6,FALSE)</f>
        <v>0</v>
      </c>
      <c r="AK138" s="86">
        <f>VLOOKUP(TableWRRanks3242[[#This Row],[Player]],WR!B:O,7,FALSE)</f>
        <v>0</v>
      </c>
      <c r="AL138" s="86">
        <f>VLOOKUP(TableWRRanks3242[[#This Row],[Player]],WR!B:O,8,FALSE)</f>
        <v>0</v>
      </c>
      <c r="AM138" s="86">
        <f>VLOOKUP(TableWRRanks3242[[#This Row],[Player]],WR!B:O,9,FALSE)</f>
        <v>0</v>
      </c>
      <c r="AN138" s="58">
        <f>VLOOKUP(TableWRRanks3242[[#This Row],[Player]],WR!B:O,13,FALSE)</f>
        <v>0</v>
      </c>
      <c r="AO138" s="133">
        <f>IF(VLOOKUP(TableWRRanks3242[[#This Row],[RK]],'Ranks w Proj'!AD:AO,12,FALSE)&lt;0,0,VLOOKUP(TableWRRanks3242[[#This Row],[RK]],'Ranks w Proj'!AD:AO,12,FALSE))</f>
        <v>0</v>
      </c>
    </row>
    <row r="139" spans="16:41" x14ac:dyDescent="0.2">
      <c r="P139">
        <v>138</v>
      </c>
      <c r="Q139">
        <f>VLOOKUP(TableRBRanks3141[[#This Row],[RK]],Rankings!A:T,8,FALSE)</f>
        <v>0</v>
      </c>
      <c r="R139" t="str">
        <f>IFERROR(INDEX(TableRBCalcPts[TM],MATCH(TableRBRanks3141[[#This Row],[Player]],TableRBCalcPts[PLAYER],0)),"")</f>
        <v/>
      </c>
      <c r="S139" t="str">
        <f>IFERROR(INDEX(TableRBCalcPts[BYE],MATCH(TableRBRanks3141[[#This Row],[Player]],TableRBCalcPts[PLAYER],0)),"")</f>
        <v/>
      </c>
      <c r="T139" s="86">
        <f>VLOOKUP(TableRBRanks3141[[#This Row],[Player]],RB!B:O,4,FALSE)</f>
        <v>0</v>
      </c>
      <c r="U139" s="86">
        <f>VLOOKUP(TableRBRanks3141[[#This Row],[Player]],RB!B:O,5,FALSE)</f>
        <v>0</v>
      </c>
      <c r="V139" s="86">
        <f>VLOOKUP(TableRBRanks3141[[#This Row],[Player]],RB!B:O,6,FALSE)</f>
        <v>0</v>
      </c>
      <c r="W139" s="86">
        <f>VLOOKUP(TableRBRanks3141[[#This Row],[Player]],RB!B:O,7,FALSE)</f>
        <v>0</v>
      </c>
      <c r="X139" s="86">
        <f>VLOOKUP(TableRBRanks3141[[#This Row],[Player]],RB!B:O,8,FALSE)</f>
        <v>0</v>
      </c>
      <c r="Y139" s="86">
        <f>VLOOKUP(TableRBRanks3141[[#This Row],[Player]],RB!B:O,9,FALSE)</f>
        <v>0</v>
      </c>
      <c r="Z139" s="86">
        <f>VLOOKUP(TableRBRanks3141[[#This Row],[Player]],RB!B:O,10,FALSE)</f>
        <v>0</v>
      </c>
      <c r="AA139" s="58">
        <f>VLOOKUP(TableRBRanks3141[[#This Row],[Player]],RB!B:O,14,FALSE)</f>
        <v>0</v>
      </c>
      <c r="AB139" s="133" t="e">
        <f>IF(VLOOKUP(TableRBRanks3141[[#This Row],[RK]],'Ranks w Proj'!$P:$AB,13,FALSE)&lt;0,0,VLOOKUP(TableRBRanks3141[[#This Row],[RK]],'Ranks w Proj'!$P:$AB,13,FALSE))</f>
        <v>#VALUE!</v>
      </c>
      <c r="AD139">
        <v>138</v>
      </c>
      <c r="AE139">
        <f>VLOOKUP(TableWRRanks3242[[#This Row],[RK]],Rankings!A:T,13,FALSE)</f>
        <v>0</v>
      </c>
      <c r="AF139" t="str">
        <f>IFERROR(INDEX(TableWRCalcPts[TM],MATCH(TableWRRanks3242[[#This Row],[Player]],TableWRCalcPts[PLAYER],0)),"")</f>
        <v/>
      </c>
      <c r="AG139" t="str">
        <f>IFERROR(INDEX(TableWRCalcPts[BYE],MATCH(TableWRRanks3242[[#This Row],[Player]],TableWRCalcPts[PLAYER],0)),"")</f>
        <v/>
      </c>
      <c r="AH139" s="86">
        <f>VLOOKUP(TableWRRanks3242[[#This Row],[Player]],WR!B:O,4,FALSE)</f>
        <v>0</v>
      </c>
      <c r="AI139" s="86">
        <f>VLOOKUP(TableWRRanks3242[[#This Row],[Player]],WR!B:O,5,FALSE)</f>
        <v>0</v>
      </c>
      <c r="AJ139" s="86">
        <f>VLOOKUP(TableWRRanks3242[[#This Row],[Player]],WR!B:O,6,FALSE)</f>
        <v>0</v>
      </c>
      <c r="AK139" s="86">
        <f>VLOOKUP(TableWRRanks3242[[#This Row],[Player]],WR!B:O,7,FALSE)</f>
        <v>0</v>
      </c>
      <c r="AL139" s="86">
        <f>VLOOKUP(TableWRRanks3242[[#This Row],[Player]],WR!B:O,8,FALSE)</f>
        <v>0</v>
      </c>
      <c r="AM139" s="86">
        <f>VLOOKUP(TableWRRanks3242[[#This Row],[Player]],WR!B:O,9,FALSE)</f>
        <v>0</v>
      </c>
      <c r="AN139" s="58">
        <f>VLOOKUP(TableWRRanks3242[[#This Row],[Player]],WR!B:O,13,FALSE)</f>
        <v>0</v>
      </c>
      <c r="AO139" s="133">
        <f>IF(VLOOKUP(TableWRRanks3242[[#This Row],[RK]],'Ranks w Proj'!AD:AO,12,FALSE)&lt;0,0,VLOOKUP(TableWRRanks3242[[#This Row],[RK]],'Ranks w Proj'!AD:AO,12,FALSE))</f>
        <v>0</v>
      </c>
    </row>
    <row r="140" spans="16:41" x14ac:dyDescent="0.2">
      <c r="P140">
        <v>139</v>
      </c>
      <c r="Q140">
        <f>VLOOKUP(TableRBRanks3141[[#This Row],[RK]],Rankings!A:T,8,FALSE)</f>
        <v>0</v>
      </c>
      <c r="R140" t="str">
        <f>IFERROR(INDEX(TableRBCalcPts[TM],MATCH(TableRBRanks3141[[#This Row],[Player]],TableRBCalcPts[PLAYER],0)),"")</f>
        <v/>
      </c>
      <c r="S140" t="str">
        <f>IFERROR(INDEX(TableRBCalcPts[BYE],MATCH(TableRBRanks3141[[#This Row],[Player]],TableRBCalcPts[PLAYER],0)),"")</f>
        <v/>
      </c>
      <c r="T140" s="86">
        <f>VLOOKUP(TableRBRanks3141[[#This Row],[Player]],RB!B:O,4,FALSE)</f>
        <v>0</v>
      </c>
      <c r="U140" s="86">
        <f>VLOOKUP(TableRBRanks3141[[#This Row],[Player]],RB!B:O,5,FALSE)</f>
        <v>0</v>
      </c>
      <c r="V140" s="86">
        <f>VLOOKUP(TableRBRanks3141[[#This Row],[Player]],RB!B:O,6,FALSE)</f>
        <v>0</v>
      </c>
      <c r="W140" s="86">
        <f>VLOOKUP(TableRBRanks3141[[#This Row],[Player]],RB!B:O,7,FALSE)</f>
        <v>0</v>
      </c>
      <c r="X140" s="86">
        <f>VLOOKUP(TableRBRanks3141[[#This Row],[Player]],RB!B:O,8,FALSE)</f>
        <v>0</v>
      </c>
      <c r="Y140" s="86">
        <f>VLOOKUP(TableRBRanks3141[[#This Row],[Player]],RB!B:O,9,FALSE)</f>
        <v>0</v>
      </c>
      <c r="Z140" s="86">
        <f>VLOOKUP(TableRBRanks3141[[#This Row],[Player]],RB!B:O,10,FALSE)</f>
        <v>0</v>
      </c>
      <c r="AA140" s="58">
        <f>VLOOKUP(TableRBRanks3141[[#This Row],[Player]],RB!B:O,14,FALSE)</f>
        <v>0</v>
      </c>
      <c r="AB140" s="133" t="e">
        <f>IF(VLOOKUP(TableRBRanks3141[[#This Row],[RK]],'Ranks w Proj'!$P:$AB,13,FALSE)&lt;0,0,VLOOKUP(TableRBRanks3141[[#This Row],[RK]],'Ranks w Proj'!$P:$AB,13,FALSE))</f>
        <v>#VALUE!</v>
      </c>
      <c r="AD140">
        <v>139</v>
      </c>
      <c r="AE140">
        <f>VLOOKUP(TableWRRanks3242[[#This Row],[RK]],Rankings!A:T,13,FALSE)</f>
        <v>0</v>
      </c>
      <c r="AF140" t="str">
        <f>IFERROR(INDEX(TableWRCalcPts[TM],MATCH(TableWRRanks3242[[#This Row],[Player]],TableWRCalcPts[PLAYER],0)),"")</f>
        <v/>
      </c>
      <c r="AG140" t="str">
        <f>IFERROR(INDEX(TableWRCalcPts[BYE],MATCH(TableWRRanks3242[[#This Row],[Player]],TableWRCalcPts[PLAYER],0)),"")</f>
        <v/>
      </c>
      <c r="AH140" s="86">
        <f>VLOOKUP(TableWRRanks3242[[#This Row],[Player]],WR!B:O,4,FALSE)</f>
        <v>0</v>
      </c>
      <c r="AI140" s="86">
        <f>VLOOKUP(TableWRRanks3242[[#This Row],[Player]],WR!B:O,5,FALSE)</f>
        <v>0</v>
      </c>
      <c r="AJ140" s="86">
        <f>VLOOKUP(TableWRRanks3242[[#This Row],[Player]],WR!B:O,6,FALSE)</f>
        <v>0</v>
      </c>
      <c r="AK140" s="86">
        <f>VLOOKUP(TableWRRanks3242[[#This Row],[Player]],WR!B:O,7,FALSE)</f>
        <v>0</v>
      </c>
      <c r="AL140" s="86">
        <f>VLOOKUP(TableWRRanks3242[[#This Row],[Player]],WR!B:O,8,FALSE)</f>
        <v>0</v>
      </c>
      <c r="AM140" s="86">
        <f>VLOOKUP(TableWRRanks3242[[#This Row],[Player]],WR!B:O,9,FALSE)</f>
        <v>0</v>
      </c>
      <c r="AN140" s="58">
        <f>VLOOKUP(TableWRRanks3242[[#This Row],[Player]],WR!B:O,13,FALSE)</f>
        <v>0</v>
      </c>
      <c r="AO140" s="133">
        <f>IF(VLOOKUP(TableWRRanks3242[[#This Row],[RK]],'Ranks w Proj'!AD:AO,12,FALSE)&lt;0,0,VLOOKUP(TableWRRanks3242[[#This Row],[RK]],'Ranks w Proj'!AD:AO,12,FALSE))</f>
        <v>0</v>
      </c>
    </row>
    <row r="141" spans="16:41" x14ac:dyDescent="0.2">
      <c r="P141">
        <v>140</v>
      </c>
      <c r="Q141">
        <f>VLOOKUP(TableRBRanks3141[[#This Row],[RK]],Rankings!A:T,8,FALSE)</f>
        <v>0</v>
      </c>
      <c r="R141" t="str">
        <f>IFERROR(INDEX(TableRBCalcPts[TM],MATCH(TableRBRanks3141[[#This Row],[Player]],TableRBCalcPts[PLAYER],0)),"")</f>
        <v/>
      </c>
      <c r="S141" t="str">
        <f>IFERROR(INDEX(TableRBCalcPts[BYE],MATCH(TableRBRanks3141[[#This Row],[Player]],TableRBCalcPts[PLAYER],0)),"")</f>
        <v/>
      </c>
      <c r="T141" s="86">
        <f>VLOOKUP(TableRBRanks3141[[#This Row],[Player]],RB!B:O,4,FALSE)</f>
        <v>0</v>
      </c>
      <c r="U141" s="86">
        <f>VLOOKUP(TableRBRanks3141[[#This Row],[Player]],RB!B:O,5,FALSE)</f>
        <v>0</v>
      </c>
      <c r="V141" s="86">
        <f>VLOOKUP(TableRBRanks3141[[#This Row],[Player]],RB!B:O,6,FALSE)</f>
        <v>0</v>
      </c>
      <c r="W141" s="86">
        <f>VLOOKUP(TableRBRanks3141[[#This Row],[Player]],RB!B:O,7,FALSE)</f>
        <v>0</v>
      </c>
      <c r="X141" s="86">
        <f>VLOOKUP(TableRBRanks3141[[#This Row],[Player]],RB!B:O,8,FALSE)</f>
        <v>0</v>
      </c>
      <c r="Y141" s="86">
        <f>VLOOKUP(TableRBRanks3141[[#This Row],[Player]],RB!B:O,9,FALSE)</f>
        <v>0</v>
      </c>
      <c r="Z141" s="86">
        <f>VLOOKUP(TableRBRanks3141[[#This Row],[Player]],RB!B:O,10,FALSE)</f>
        <v>0</v>
      </c>
      <c r="AA141" s="58">
        <f>VLOOKUP(TableRBRanks3141[[#This Row],[Player]],RB!B:O,14,FALSE)</f>
        <v>0</v>
      </c>
      <c r="AB141" s="133" t="e">
        <f>IF(VLOOKUP(TableRBRanks3141[[#This Row],[RK]],'Ranks w Proj'!$P:$AB,13,FALSE)&lt;0,0,VLOOKUP(TableRBRanks3141[[#This Row],[RK]],'Ranks w Proj'!$P:$AB,13,FALSE))</f>
        <v>#VALUE!</v>
      </c>
      <c r="AD141">
        <v>140</v>
      </c>
      <c r="AE141">
        <f>VLOOKUP(TableWRRanks3242[[#This Row],[RK]],Rankings!A:T,13,FALSE)</f>
        <v>0</v>
      </c>
      <c r="AF141" t="str">
        <f>IFERROR(INDEX(TableWRCalcPts[TM],MATCH(TableWRRanks3242[[#This Row],[Player]],TableWRCalcPts[PLAYER],0)),"")</f>
        <v/>
      </c>
      <c r="AG141" t="str">
        <f>IFERROR(INDEX(TableWRCalcPts[BYE],MATCH(TableWRRanks3242[[#This Row],[Player]],TableWRCalcPts[PLAYER],0)),"")</f>
        <v/>
      </c>
      <c r="AH141" s="86">
        <f>VLOOKUP(TableWRRanks3242[[#This Row],[Player]],WR!B:O,4,FALSE)</f>
        <v>0</v>
      </c>
      <c r="AI141" s="86">
        <f>VLOOKUP(TableWRRanks3242[[#This Row],[Player]],WR!B:O,5,FALSE)</f>
        <v>0</v>
      </c>
      <c r="AJ141" s="86">
        <f>VLOOKUP(TableWRRanks3242[[#This Row],[Player]],WR!B:O,6,FALSE)</f>
        <v>0</v>
      </c>
      <c r="AK141" s="86">
        <f>VLOOKUP(TableWRRanks3242[[#This Row],[Player]],WR!B:O,7,FALSE)</f>
        <v>0</v>
      </c>
      <c r="AL141" s="86">
        <f>VLOOKUP(TableWRRanks3242[[#This Row],[Player]],WR!B:O,8,FALSE)</f>
        <v>0</v>
      </c>
      <c r="AM141" s="86">
        <f>VLOOKUP(TableWRRanks3242[[#This Row],[Player]],WR!B:O,9,FALSE)</f>
        <v>0</v>
      </c>
      <c r="AN141" s="58">
        <f>VLOOKUP(TableWRRanks3242[[#This Row],[Player]],WR!B:O,13,FALSE)</f>
        <v>0</v>
      </c>
      <c r="AO141" s="133">
        <f>IF(VLOOKUP(TableWRRanks3242[[#This Row],[RK]],'Ranks w Proj'!AD:AO,12,FALSE)&lt;0,0,VLOOKUP(TableWRRanks3242[[#This Row],[RK]],'Ranks w Proj'!AD:AO,12,FALSE))</f>
        <v>0</v>
      </c>
    </row>
    <row r="142" spans="16:41" x14ac:dyDescent="0.2">
      <c r="P142">
        <v>141</v>
      </c>
      <c r="Q142">
        <f>VLOOKUP(TableRBRanks3141[[#This Row],[RK]],Rankings!A:T,8,FALSE)</f>
        <v>0</v>
      </c>
      <c r="R142" t="str">
        <f>IFERROR(INDEX(TableRBCalcPts[TM],MATCH(TableRBRanks3141[[#This Row],[Player]],TableRBCalcPts[PLAYER],0)),"")</f>
        <v/>
      </c>
      <c r="S142" t="str">
        <f>IFERROR(INDEX(TableRBCalcPts[BYE],MATCH(TableRBRanks3141[[#This Row],[Player]],TableRBCalcPts[PLAYER],0)),"")</f>
        <v/>
      </c>
      <c r="T142" s="86">
        <f>VLOOKUP(TableRBRanks3141[[#This Row],[Player]],RB!B:O,4,FALSE)</f>
        <v>0</v>
      </c>
      <c r="U142" s="86">
        <f>VLOOKUP(TableRBRanks3141[[#This Row],[Player]],RB!B:O,5,FALSE)</f>
        <v>0</v>
      </c>
      <c r="V142" s="86">
        <f>VLOOKUP(TableRBRanks3141[[#This Row],[Player]],RB!B:O,6,FALSE)</f>
        <v>0</v>
      </c>
      <c r="W142" s="86">
        <f>VLOOKUP(TableRBRanks3141[[#This Row],[Player]],RB!B:O,7,FALSE)</f>
        <v>0</v>
      </c>
      <c r="X142" s="86">
        <f>VLOOKUP(TableRBRanks3141[[#This Row],[Player]],RB!B:O,8,FALSE)</f>
        <v>0</v>
      </c>
      <c r="Y142" s="86">
        <f>VLOOKUP(TableRBRanks3141[[#This Row],[Player]],RB!B:O,9,FALSE)</f>
        <v>0</v>
      </c>
      <c r="Z142" s="86">
        <f>VLOOKUP(TableRBRanks3141[[#This Row],[Player]],RB!B:O,10,FALSE)</f>
        <v>0</v>
      </c>
      <c r="AA142" s="58">
        <f>VLOOKUP(TableRBRanks3141[[#This Row],[Player]],RB!B:O,14,FALSE)</f>
        <v>0</v>
      </c>
      <c r="AB142" s="133" t="e">
        <f>IF(VLOOKUP(TableRBRanks3141[[#This Row],[RK]],'Ranks w Proj'!$P:$AB,13,FALSE)&lt;0,0,VLOOKUP(TableRBRanks3141[[#This Row],[RK]],'Ranks w Proj'!$P:$AB,13,FALSE))</f>
        <v>#VALUE!</v>
      </c>
      <c r="AD142">
        <v>141</v>
      </c>
      <c r="AE142">
        <f>VLOOKUP(TableWRRanks3242[[#This Row],[RK]],Rankings!A:T,13,FALSE)</f>
        <v>0</v>
      </c>
      <c r="AF142" t="str">
        <f>IFERROR(INDEX(TableWRCalcPts[TM],MATCH(TableWRRanks3242[[#This Row],[Player]],TableWRCalcPts[PLAYER],0)),"")</f>
        <v/>
      </c>
      <c r="AG142" t="str">
        <f>IFERROR(INDEX(TableWRCalcPts[BYE],MATCH(TableWRRanks3242[[#This Row],[Player]],TableWRCalcPts[PLAYER],0)),"")</f>
        <v/>
      </c>
      <c r="AH142" s="86">
        <f>VLOOKUP(TableWRRanks3242[[#This Row],[Player]],WR!B:O,4,FALSE)</f>
        <v>0</v>
      </c>
      <c r="AI142" s="86">
        <f>VLOOKUP(TableWRRanks3242[[#This Row],[Player]],WR!B:O,5,FALSE)</f>
        <v>0</v>
      </c>
      <c r="AJ142" s="86">
        <f>VLOOKUP(TableWRRanks3242[[#This Row],[Player]],WR!B:O,6,FALSE)</f>
        <v>0</v>
      </c>
      <c r="AK142" s="86">
        <f>VLOOKUP(TableWRRanks3242[[#This Row],[Player]],WR!B:O,7,FALSE)</f>
        <v>0</v>
      </c>
      <c r="AL142" s="86">
        <f>VLOOKUP(TableWRRanks3242[[#This Row],[Player]],WR!B:O,8,FALSE)</f>
        <v>0</v>
      </c>
      <c r="AM142" s="86">
        <f>VLOOKUP(TableWRRanks3242[[#This Row],[Player]],WR!B:O,9,FALSE)</f>
        <v>0</v>
      </c>
      <c r="AN142" s="58">
        <f>VLOOKUP(TableWRRanks3242[[#This Row],[Player]],WR!B:O,13,FALSE)</f>
        <v>0</v>
      </c>
      <c r="AO142" s="133">
        <f>IF(VLOOKUP(TableWRRanks3242[[#This Row],[RK]],'Ranks w Proj'!AD:AO,12,FALSE)&lt;0,0,VLOOKUP(TableWRRanks3242[[#This Row],[RK]],'Ranks w Proj'!AD:AO,12,FALSE))</f>
        <v>0</v>
      </c>
    </row>
    <row r="143" spans="16:41" x14ac:dyDescent="0.2">
      <c r="P143">
        <v>142</v>
      </c>
      <c r="Q143">
        <f>VLOOKUP(TableRBRanks3141[[#This Row],[RK]],Rankings!A:T,8,FALSE)</f>
        <v>0</v>
      </c>
      <c r="R143" t="str">
        <f>IFERROR(INDEX(TableRBCalcPts[TM],MATCH(TableRBRanks3141[[#This Row],[Player]],TableRBCalcPts[PLAYER],0)),"")</f>
        <v/>
      </c>
      <c r="S143" t="str">
        <f>IFERROR(INDEX(TableRBCalcPts[BYE],MATCH(TableRBRanks3141[[#This Row],[Player]],TableRBCalcPts[PLAYER],0)),"")</f>
        <v/>
      </c>
      <c r="T143" s="86">
        <f>VLOOKUP(TableRBRanks3141[[#This Row],[Player]],RB!B:O,4,FALSE)</f>
        <v>0</v>
      </c>
      <c r="U143" s="86">
        <f>VLOOKUP(TableRBRanks3141[[#This Row],[Player]],RB!B:O,5,FALSE)</f>
        <v>0</v>
      </c>
      <c r="V143" s="86">
        <f>VLOOKUP(TableRBRanks3141[[#This Row],[Player]],RB!B:O,6,FALSE)</f>
        <v>0</v>
      </c>
      <c r="W143" s="86">
        <f>VLOOKUP(TableRBRanks3141[[#This Row],[Player]],RB!B:O,7,FALSE)</f>
        <v>0</v>
      </c>
      <c r="X143" s="86">
        <f>VLOOKUP(TableRBRanks3141[[#This Row],[Player]],RB!B:O,8,FALSE)</f>
        <v>0</v>
      </c>
      <c r="Y143" s="86">
        <f>VLOOKUP(TableRBRanks3141[[#This Row],[Player]],RB!B:O,9,FALSE)</f>
        <v>0</v>
      </c>
      <c r="Z143" s="86">
        <f>VLOOKUP(TableRBRanks3141[[#This Row],[Player]],RB!B:O,10,FALSE)</f>
        <v>0</v>
      </c>
      <c r="AA143" s="58">
        <f>VLOOKUP(TableRBRanks3141[[#This Row],[Player]],RB!B:O,14,FALSE)</f>
        <v>0</v>
      </c>
      <c r="AB143" s="133" t="e">
        <f>IF(VLOOKUP(TableRBRanks3141[[#This Row],[RK]],'Ranks w Proj'!$P:$AB,13,FALSE)&lt;0,0,VLOOKUP(TableRBRanks3141[[#This Row],[RK]],'Ranks w Proj'!$P:$AB,13,FALSE))</f>
        <v>#VALUE!</v>
      </c>
      <c r="AD143">
        <v>142</v>
      </c>
      <c r="AE143">
        <f>VLOOKUP(TableWRRanks3242[[#This Row],[RK]],Rankings!A:T,13,FALSE)</f>
        <v>0</v>
      </c>
      <c r="AF143" t="str">
        <f>IFERROR(INDEX(TableWRCalcPts[TM],MATCH(TableWRRanks3242[[#This Row],[Player]],TableWRCalcPts[PLAYER],0)),"")</f>
        <v/>
      </c>
      <c r="AG143" t="str">
        <f>IFERROR(INDEX(TableWRCalcPts[BYE],MATCH(TableWRRanks3242[[#This Row],[Player]],TableWRCalcPts[PLAYER],0)),"")</f>
        <v/>
      </c>
      <c r="AH143" s="86">
        <f>VLOOKUP(TableWRRanks3242[[#This Row],[Player]],WR!B:O,4,FALSE)</f>
        <v>0</v>
      </c>
      <c r="AI143" s="86">
        <f>VLOOKUP(TableWRRanks3242[[#This Row],[Player]],WR!B:O,5,FALSE)</f>
        <v>0</v>
      </c>
      <c r="AJ143" s="86">
        <f>VLOOKUP(TableWRRanks3242[[#This Row],[Player]],WR!B:O,6,FALSE)</f>
        <v>0</v>
      </c>
      <c r="AK143" s="86">
        <f>VLOOKUP(TableWRRanks3242[[#This Row],[Player]],WR!B:O,7,FALSE)</f>
        <v>0</v>
      </c>
      <c r="AL143" s="86">
        <f>VLOOKUP(TableWRRanks3242[[#This Row],[Player]],WR!B:O,8,FALSE)</f>
        <v>0</v>
      </c>
      <c r="AM143" s="86">
        <f>VLOOKUP(TableWRRanks3242[[#This Row],[Player]],WR!B:O,9,FALSE)</f>
        <v>0</v>
      </c>
      <c r="AN143" s="58">
        <f>VLOOKUP(TableWRRanks3242[[#This Row],[Player]],WR!B:O,13,FALSE)</f>
        <v>0</v>
      </c>
      <c r="AO143" s="133">
        <f>IF(VLOOKUP(TableWRRanks3242[[#This Row],[RK]],'Ranks w Proj'!AD:AO,12,FALSE)&lt;0,0,VLOOKUP(TableWRRanks3242[[#This Row],[RK]],'Ranks w Proj'!AD:AO,12,FALSE))</f>
        <v>0</v>
      </c>
    </row>
    <row r="144" spans="16:41" x14ac:dyDescent="0.2">
      <c r="P144">
        <v>143</v>
      </c>
      <c r="Q144">
        <f>VLOOKUP(TableRBRanks3141[[#This Row],[RK]],Rankings!A:T,8,FALSE)</f>
        <v>0</v>
      </c>
      <c r="R144" t="str">
        <f>IFERROR(INDEX(TableRBCalcPts[TM],MATCH(TableRBRanks3141[[#This Row],[Player]],TableRBCalcPts[PLAYER],0)),"")</f>
        <v/>
      </c>
      <c r="S144" t="str">
        <f>IFERROR(INDEX(TableRBCalcPts[BYE],MATCH(TableRBRanks3141[[#This Row],[Player]],TableRBCalcPts[PLAYER],0)),"")</f>
        <v/>
      </c>
      <c r="T144" s="86">
        <f>VLOOKUP(TableRBRanks3141[[#This Row],[Player]],RB!B:O,4,FALSE)</f>
        <v>0</v>
      </c>
      <c r="U144" s="86">
        <f>VLOOKUP(TableRBRanks3141[[#This Row],[Player]],RB!B:O,5,FALSE)</f>
        <v>0</v>
      </c>
      <c r="V144" s="86">
        <f>VLOOKUP(TableRBRanks3141[[#This Row],[Player]],RB!B:O,6,FALSE)</f>
        <v>0</v>
      </c>
      <c r="W144" s="86">
        <f>VLOOKUP(TableRBRanks3141[[#This Row],[Player]],RB!B:O,7,FALSE)</f>
        <v>0</v>
      </c>
      <c r="X144" s="86">
        <f>VLOOKUP(TableRBRanks3141[[#This Row],[Player]],RB!B:O,8,FALSE)</f>
        <v>0</v>
      </c>
      <c r="Y144" s="86">
        <f>VLOOKUP(TableRBRanks3141[[#This Row],[Player]],RB!B:O,9,FALSE)</f>
        <v>0</v>
      </c>
      <c r="Z144" s="86">
        <f>VLOOKUP(TableRBRanks3141[[#This Row],[Player]],RB!B:O,10,FALSE)</f>
        <v>0</v>
      </c>
      <c r="AA144" s="58">
        <f>VLOOKUP(TableRBRanks3141[[#This Row],[Player]],RB!B:O,14,FALSE)</f>
        <v>0</v>
      </c>
      <c r="AB144" s="133" t="e">
        <f>IF(VLOOKUP(TableRBRanks3141[[#This Row],[RK]],'Ranks w Proj'!$P:$AB,13,FALSE)&lt;0,0,VLOOKUP(TableRBRanks3141[[#This Row],[RK]],'Ranks w Proj'!$P:$AB,13,FALSE))</f>
        <v>#VALUE!</v>
      </c>
      <c r="AD144">
        <v>143</v>
      </c>
      <c r="AE144">
        <f>VLOOKUP(TableWRRanks3242[[#This Row],[RK]],Rankings!A:T,13,FALSE)</f>
        <v>0</v>
      </c>
      <c r="AF144" t="str">
        <f>IFERROR(INDEX(TableWRCalcPts[TM],MATCH(TableWRRanks3242[[#This Row],[Player]],TableWRCalcPts[PLAYER],0)),"")</f>
        <v/>
      </c>
      <c r="AG144" t="str">
        <f>IFERROR(INDEX(TableWRCalcPts[BYE],MATCH(TableWRRanks3242[[#This Row],[Player]],TableWRCalcPts[PLAYER],0)),"")</f>
        <v/>
      </c>
      <c r="AH144" s="86">
        <f>VLOOKUP(TableWRRanks3242[[#This Row],[Player]],WR!B:O,4,FALSE)</f>
        <v>0</v>
      </c>
      <c r="AI144" s="86">
        <f>VLOOKUP(TableWRRanks3242[[#This Row],[Player]],WR!B:O,5,FALSE)</f>
        <v>0</v>
      </c>
      <c r="AJ144" s="86">
        <f>VLOOKUP(TableWRRanks3242[[#This Row],[Player]],WR!B:O,6,FALSE)</f>
        <v>0</v>
      </c>
      <c r="AK144" s="86">
        <f>VLOOKUP(TableWRRanks3242[[#This Row],[Player]],WR!B:O,7,FALSE)</f>
        <v>0</v>
      </c>
      <c r="AL144" s="86">
        <f>VLOOKUP(TableWRRanks3242[[#This Row],[Player]],WR!B:O,8,FALSE)</f>
        <v>0</v>
      </c>
      <c r="AM144" s="86">
        <f>VLOOKUP(TableWRRanks3242[[#This Row],[Player]],WR!B:O,9,FALSE)</f>
        <v>0</v>
      </c>
      <c r="AN144" s="58">
        <f>VLOOKUP(TableWRRanks3242[[#This Row],[Player]],WR!B:O,13,FALSE)</f>
        <v>0</v>
      </c>
      <c r="AO144" s="133">
        <f>IF(VLOOKUP(TableWRRanks3242[[#This Row],[RK]],'Ranks w Proj'!AD:AO,12,FALSE)&lt;0,0,VLOOKUP(TableWRRanks3242[[#This Row],[RK]],'Ranks w Proj'!AD:AO,12,FALSE))</f>
        <v>0</v>
      </c>
    </row>
    <row r="145" spans="16:41" x14ac:dyDescent="0.2">
      <c r="P145">
        <v>144</v>
      </c>
      <c r="Q145">
        <f>VLOOKUP(TableRBRanks3141[[#This Row],[RK]],Rankings!A:T,8,FALSE)</f>
        <v>0</v>
      </c>
      <c r="R145" t="str">
        <f>IFERROR(INDEX(TableRBCalcPts[TM],MATCH(TableRBRanks3141[[#This Row],[Player]],TableRBCalcPts[PLAYER],0)),"")</f>
        <v/>
      </c>
      <c r="S145" t="str">
        <f>IFERROR(INDEX(TableRBCalcPts[BYE],MATCH(TableRBRanks3141[[#This Row],[Player]],TableRBCalcPts[PLAYER],0)),"")</f>
        <v/>
      </c>
      <c r="T145" s="86">
        <f>VLOOKUP(TableRBRanks3141[[#This Row],[Player]],RB!B:O,4,FALSE)</f>
        <v>0</v>
      </c>
      <c r="U145" s="86">
        <f>VLOOKUP(TableRBRanks3141[[#This Row],[Player]],RB!B:O,5,FALSE)</f>
        <v>0</v>
      </c>
      <c r="V145" s="86">
        <f>VLOOKUP(TableRBRanks3141[[#This Row],[Player]],RB!B:O,6,FALSE)</f>
        <v>0</v>
      </c>
      <c r="W145" s="86">
        <f>VLOOKUP(TableRBRanks3141[[#This Row],[Player]],RB!B:O,7,FALSE)</f>
        <v>0</v>
      </c>
      <c r="X145" s="86">
        <f>VLOOKUP(TableRBRanks3141[[#This Row],[Player]],RB!B:O,8,FALSE)</f>
        <v>0</v>
      </c>
      <c r="Y145" s="86">
        <f>VLOOKUP(TableRBRanks3141[[#This Row],[Player]],RB!B:O,9,FALSE)</f>
        <v>0</v>
      </c>
      <c r="Z145" s="86">
        <f>VLOOKUP(TableRBRanks3141[[#This Row],[Player]],RB!B:O,10,FALSE)</f>
        <v>0</v>
      </c>
      <c r="AA145" s="58">
        <f>VLOOKUP(TableRBRanks3141[[#This Row],[Player]],RB!B:O,14,FALSE)</f>
        <v>0</v>
      </c>
      <c r="AB145" s="133" t="e">
        <f>IF(VLOOKUP(TableRBRanks3141[[#This Row],[RK]],'Ranks w Proj'!$P:$AB,13,FALSE)&lt;0,0,VLOOKUP(TableRBRanks3141[[#This Row],[RK]],'Ranks w Proj'!$P:$AB,13,FALSE))</f>
        <v>#VALUE!</v>
      </c>
      <c r="AD145">
        <v>144</v>
      </c>
      <c r="AE145">
        <f>VLOOKUP(TableWRRanks3242[[#This Row],[RK]],Rankings!A:T,13,FALSE)</f>
        <v>0</v>
      </c>
      <c r="AF145" t="str">
        <f>IFERROR(INDEX(TableWRCalcPts[TM],MATCH(TableWRRanks3242[[#This Row],[Player]],TableWRCalcPts[PLAYER],0)),"")</f>
        <v/>
      </c>
      <c r="AG145" t="str">
        <f>IFERROR(INDEX(TableWRCalcPts[BYE],MATCH(TableWRRanks3242[[#This Row],[Player]],TableWRCalcPts[PLAYER],0)),"")</f>
        <v/>
      </c>
      <c r="AH145" s="86">
        <f>VLOOKUP(TableWRRanks3242[[#This Row],[Player]],WR!B:O,4,FALSE)</f>
        <v>0</v>
      </c>
      <c r="AI145" s="86">
        <f>VLOOKUP(TableWRRanks3242[[#This Row],[Player]],WR!B:O,5,FALSE)</f>
        <v>0</v>
      </c>
      <c r="AJ145" s="86">
        <f>VLOOKUP(TableWRRanks3242[[#This Row],[Player]],WR!B:O,6,FALSE)</f>
        <v>0</v>
      </c>
      <c r="AK145" s="86">
        <f>VLOOKUP(TableWRRanks3242[[#This Row],[Player]],WR!B:O,7,FALSE)</f>
        <v>0</v>
      </c>
      <c r="AL145" s="86">
        <f>VLOOKUP(TableWRRanks3242[[#This Row],[Player]],WR!B:O,8,FALSE)</f>
        <v>0</v>
      </c>
      <c r="AM145" s="86">
        <f>VLOOKUP(TableWRRanks3242[[#This Row],[Player]],WR!B:O,9,FALSE)</f>
        <v>0</v>
      </c>
      <c r="AN145" s="58">
        <f>VLOOKUP(TableWRRanks3242[[#This Row],[Player]],WR!B:O,13,FALSE)</f>
        <v>0</v>
      </c>
      <c r="AO145" s="133">
        <f>IF(VLOOKUP(TableWRRanks3242[[#This Row],[RK]],'Ranks w Proj'!AD:AO,12,FALSE)&lt;0,0,VLOOKUP(TableWRRanks3242[[#This Row],[RK]],'Ranks w Proj'!AD:AO,12,FALSE))</f>
        <v>0</v>
      </c>
    </row>
    <row r="146" spans="16:41" x14ac:dyDescent="0.2">
      <c r="P146">
        <v>145</v>
      </c>
      <c r="Q146">
        <f>VLOOKUP(TableRBRanks3141[[#This Row],[RK]],Rankings!A:T,8,FALSE)</f>
        <v>0</v>
      </c>
      <c r="R146" t="str">
        <f>IFERROR(INDEX(TableRBCalcPts[TM],MATCH(TableRBRanks3141[[#This Row],[Player]],TableRBCalcPts[PLAYER],0)),"")</f>
        <v/>
      </c>
      <c r="S146" t="str">
        <f>IFERROR(INDEX(TableRBCalcPts[BYE],MATCH(TableRBRanks3141[[#This Row],[Player]],TableRBCalcPts[PLAYER],0)),"")</f>
        <v/>
      </c>
      <c r="T146" s="86">
        <f>VLOOKUP(TableRBRanks3141[[#This Row],[Player]],RB!B:O,4,FALSE)</f>
        <v>0</v>
      </c>
      <c r="U146" s="86">
        <f>VLOOKUP(TableRBRanks3141[[#This Row],[Player]],RB!B:O,5,FALSE)</f>
        <v>0</v>
      </c>
      <c r="V146" s="86">
        <f>VLOOKUP(TableRBRanks3141[[#This Row],[Player]],RB!B:O,6,FALSE)</f>
        <v>0</v>
      </c>
      <c r="W146" s="86">
        <f>VLOOKUP(TableRBRanks3141[[#This Row],[Player]],RB!B:O,7,FALSE)</f>
        <v>0</v>
      </c>
      <c r="X146" s="86">
        <f>VLOOKUP(TableRBRanks3141[[#This Row],[Player]],RB!B:O,8,FALSE)</f>
        <v>0</v>
      </c>
      <c r="Y146" s="86">
        <f>VLOOKUP(TableRBRanks3141[[#This Row],[Player]],RB!B:O,9,FALSE)</f>
        <v>0</v>
      </c>
      <c r="Z146" s="86">
        <f>VLOOKUP(TableRBRanks3141[[#This Row],[Player]],RB!B:O,10,FALSE)</f>
        <v>0</v>
      </c>
      <c r="AA146" s="58">
        <f>VLOOKUP(TableRBRanks3141[[#This Row],[Player]],RB!B:O,14,FALSE)</f>
        <v>0</v>
      </c>
      <c r="AB146" s="133" t="e">
        <f>IF(VLOOKUP(TableRBRanks3141[[#This Row],[RK]],'Ranks w Proj'!$P:$AB,13,FALSE)&lt;0,0,VLOOKUP(TableRBRanks3141[[#This Row],[RK]],'Ranks w Proj'!$P:$AB,13,FALSE))</f>
        <v>#VALUE!</v>
      </c>
      <c r="AD146">
        <v>145</v>
      </c>
      <c r="AE146">
        <f>VLOOKUP(TableWRRanks3242[[#This Row],[RK]],Rankings!A:T,13,FALSE)</f>
        <v>0</v>
      </c>
      <c r="AF146" t="str">
        <f>IFERROR(INDEX(TableWRCalcPts[TM],MATCH(TableWRRanks3242[[#This Row],[Player]],TableWRCalcPts[PLAYER],0)),"")</f>
        <v/>
      </c>
      <c r="AG146" t="str">
        <f>IFERROR(INDEX(TableWRCalcPts[BYE],MATCH(TableWRRanks3242[[#This Row],[Player]],TableWRCalcPts[PLAYER],0)),"")</f>
        <v/>
      </c>
      <c r="AH146" s="86">
        <f>VLOOKUP(TableWRRanks3242[[#This Row],[Player]],WR!B:O,4,FALSE)</f>
        <v>0</v>
      </c>
      <c r="AI146" s="86">
        <f>VLOOKUP(TableWRRanks3242[[#This Row],[Player]],WR!B:O,5,FALSE)</f>
        <v>0</v>
      </c>
      <c r="AJ146" s="86">
        <f>VLOOKUP(TableWRRanks3242[[#This Row],[Player]],WR!B:O,6,FALSE)</f>
        <v>0</v>
      </c>
      <c r="AK146" s="86">
        <f>VLOOKUP(TableWRRanks3242[[#This Row],[Player]],WR!B:O,7,FALSE)</f>
        <v>0</v>
      </c>
      <c r="AL146" s="86">
        <f>VLOOKUP(TableWRRanks3242[[#This Row],[Player]],WR!B:O,8,FALSE)</f>
        <v>0</v>
      </c>
      <c r="AM146" s="86">
        <f>VLOOKUP(TableWRRanks3242[[#This Row],[Player]],WR!B:O,9,FALSE)</f>
        <v>0</v>
      </c>
      <c r="AN146" s="58">
        <f>VLOOKUP(TableWRRanks3242[[#This Row],[Player]],WR!B:O,13,FALSE)</f>
        <v>0</v>
      </c>
      <c r="AO146" s="133">
        <f>IF(VLOOKUP(TableWRRanks3242[[#This Row],[RK]],'Ranks w Proj'!AD:AO,12,FALSE)&lt;0,0,VLOOKUP(TableWRRanks3242[[#This Row],[RK]],'Ranks w Proj'!AD:AO,12,FALSE))</f>
        <v>0</v>
      </c>
    </row>
    <row r="147" spans="16:41" x14ac:dyDescent="0.2">
      <c r="P147">
        <v>146</v>
      </c>
      <c r="Q147">
        <f>VLOOKUP(TableRBRanks3141[[#This Row],[RK]],Rankings!A:T,8,FALSE)</f>
        <v>0</v>
      </c>
      <c r="R147" t="str">
        <f>IFERROR(INDEX(TableRBCalcPts[TM],MATCH(TableRBRanks3141[[#This Row],[Player]],TableRBCalcPts[PLAYER],0)),"")</f>
        <v/>
      </c>
      <c r="S147" t="str">
        <f>IFERROR(INDEX(TableRBCalcPts[BYE],MATCH(TableRBRanks3141[[#This Row],[Player]],TableRBCalcPts[PLAYER],0)),"")</f>
        <v/>
      </c>
      <c r="T147" s="86">
        <f>VLOOKUP(TableRBRanks3141[[#This Row],[Player]],RB!B:O,4,FALSE)</f>
        <v>0</v>
      </c>
      <c r="U147" s="86">
        <f>VLOOKUP(TableRBRanks3141[[#This Row],[Player]],RB!B:O,5,FALSE)</f>
        <v>0</v>
      </c>
      <c r="V147" s="86">
        <f>VLOOKUP(TableRBRanks3141[[#This Row],[Player]],RB!B:O,6,FALSE)</f>
        <v>0</v>
      </c>
      <c r="W147" s="86">
        <f>VLOOKUP(TableRBRanks3141[[#This Row],[Player]],RB!B:O,7,FALSE)</f>
        <v>0</v>
      </c>
      <c r="X147" s="86">
        <f>VLOOKUP(TableRBRanks3141[[#This Row],[Player]],RB!B:O,8,FALSE)</f>
        <v>0</v>
      </c>
      <c r="Y147" s="86">
        <f>VLOOKUP(TableRBRanks3141[[#This Row],[Player]],RB!B:O,9,FALSE)</f>
        <v>0</v>
      </c>
      <c r="Z147" s="86">
        <f>VLOOKUP(TableRBRanks3141[[#This Row],[Player]],RB!B:O,10,FALSE)</f>
        <v>0</v>
      </c>
      <c r="AA147" s="58">
        <f>VLOOKUP(TableRBRanks3141[[#This Row],[Player]],RB!B:O,14,FALSE)</f>
        <v>0</v>
      </c>
      <c r="AB147" s="133" t="e">
        <f>IF(VLOOKUP(TableRBRanks3141[[#This Row],[RK]],'Ranks w Proj'!$P:$AB,13,FALSE)&lt;0,0,VLOOKUP(TableRBRanks3141[[#This Row],[RK]],'Ranks w Proj'!$P:$AB,13,FALSE))</f>
        <v>#VALUE!</v>
      </c>
      <c r="AD147">
        <v>146</v>
      </c>
      <c r="AE147">
        <f>VLOOKUP(TableWRRanks3242[[#This Row],[RK]],Rankings!A:T,13,FALSE)</f>
        <v>0</v>
      </c>
      <c r="AF147" t="str">
        <f>IFERROR(INDEX(TableWRCalcPts[TM],MATCH(TableWRRanks3242[[#This Row],[Player]],TableWRCalcPts[PLAYER],0)),"")</f>
        <v/>
      </c>
      <c r="AG147" t="str">
        <f>IFERROR(INDEX(TableWRCalcPts[BYE],MATCH(TableWRRanks3242[[#This Row],[Player]],TableWRCalcPts[PLAYER],0)),"")</f>
        <v/>
      </c>
      <c r="AH147" s="86">
        <f>VLOOKUP(TableWRRanks3242[[#This Row],[Player]],WR!B:O,4,FALSE)</f>
        <v>0</v>
      </c>
      <c r="AI147" s="86">
        <f>VLOOKUP(TableWRRanks3242[[#This Row],[Player]],WR!B:O,5,FALSE)</f>
        <v>0</v>
      </c>
      <c r="AJ147" s="86">
        <f>VLOOKUP(TableWRRanks3242[[#This Row],[Player]],WR!B:O,6,FALSE)</f>
        <v>0</v>
      </c>
      <c r="AK147" s="86">
        <f>VLOOKUP(TableWRRanks3242[[#This Row],[Player]],WR!B:O,7,FALSE)</f>
        <v>0</v>
      </c>
      <c r="AL147" s="86">
        <f>VLOOKUP(TableWRRanks3242[[#This Row],[Player]],WR!B:O,8,FALSE)</f>
        <v>0</v>
      </c>
      <c r="AM147" s="86">
        <f>VLOOKUP(TableWRRanks3242[[#This Row],[Player]],WR!B:O,9,FALSE)</f>
        <v>0</v>
      </c>
      <c r="AN147" s="58">
        <f>VLOOKUP(TableWRRanks3242[[#This Row],[Player]],WR!B:O,13,FALSE)</f>
        <v>0</v>
      </c>
      <c r="AO147" s="133">
        <f>IF(VLOOKUP(TableWRRanks3242[[#This Row],[RK]],'Ranks w Proj'!AD:AO,12,FALSE)&lt;0,0,VLOOKUP(TableWRRanks3242[[#This Row],[RK]],'Ranks w Proj'!AD:AO,12,FALSE))</f>
        <v>0</v>
      </c>
    </row>
    <row r="148" spans="16:41" x14ac:dyDescent="0.2">
      <c r="P148">
        <v>147</v>
      </c>
      <c r="Q148">
        <f>VLOOKUP(TableRBRanks3141[[#This Row],[RK]],Rankings!A:T,8,FALSE)</f>
        <v>0</v>
      </c>
      <c r="R148" t="str">
        <f>IFERROR(INDEX(TableRBCalcPts[TM],MATCH(TableRBRanks3141[[#This Row],[Player]],TableRBCalcPts[PLAYER],0)),"")</f>
        <v/>
      </c>
      <c r="S148" t="str">
        <f>IFERROR(INDEX(TableRBCalcPts[BYE],MATCH(TableRBRanks3141[[#This Row],[Player]],TableRBCalcPts[PLAYER],0)),"")</f>
        <v/>
      </c>
      <c r="T148" s="86">
        <f>VLOOKUP(TableRBRanks3141[[#This Row],[Player]],RB!B:O,4,FALSE)</f>
        <v>0</v>
      </c>
      <c r="U148" s="86">
        <f>VLOOKUP(TableRBRanks3141[[#This Row],[Player]],RB!B:O,5,FALSE)</f>
        <v>0</v>
      </c>
      <c r="V148" s="86">
        <f>VLOOKUP(TableRBRanks3141[[#This Row],[Player]],RB!B:O,6,FALSE)</f>
        <v>0</v>
      </c>
      <c r="W148" s="86">
        <f>VLOOKUP(TableRBRanks3141[[#This Row],[Player]],RB!B:O,7,FALSE)</f>
        <v>0</v>
      </c>
      <c r="X148" s="86">
        <f>VLOOKUP(TableRBRanks3141[[#This Row],[Player]],RB!B:O,8,FALSE)</f>
        <v>0</v>
      </c>
      <c r="Y148" s="86">
        <f>VLOOKUP(TableRBRanks3141[[#This Row],[Player]],RB!B:O,9,FALSE)</f>
        <v>0</v>
      </c>
      <c r="Z148" s="86">
        <f>VLOOKUP(TableRBRanks3141[[#This Row],[Player]],RB!B:O,10,FALSE)</f>
        <v>0</v>
      </c>
      <c r="AA148" s="58">
        <f>VLOOKUP(TableRBRanks3141[[#This Row],[Player]],RB!B:O,14,FALSE)</f>
        <v>0</v>
      </c>
      <c r="AB148" s="133" t="e">
        <f>IF(VLOOKUP(TableRBRanks3141[[#This Row],[RK]],'Ranks w Proj'!$P:$AB,13,FALSE)&lt;0,0,VLOOKUP(TableRBRanks3141[[#This Row],[RK]],'Ranks w Proj'!$P:$AB,13,FALSE))</f>
        <v>#VALUE!</v>
      </c>
      <c r="AD148">
        <v>147</v>
      </c>
      <c r="AE148">
        <f>VLOOKUP(TableWRRanks3242[[#This Row],[RK]],Rankings!A:T,13,FALSE)</f>
        <v>0</v>
      </c>
      <c r="AF148" t="str">
        <f>IFERROR(INDEX(TableWRCalcPts[TM],MATCH(TableWRRanks3242[[#This Row],[Player]],TableWRCalcPts[PLAYER],0)),"")</f>
        <v/>
      </c>
      <c r="AG148" t="str">
        <f>IFERROR(INDEX(TableWRCalcPts[BYE],MATCH(TableWRRanks3242[[#This Row],[Player]],TableWRCalcPts[PLAYER],0)),"")</f>
        <v/>
      </c>
      <c r="AH148" s="86">
        <f>VLOOKUP(TableWRRanks3242[[#This Row],[Player]],WR!B:O,4,FALSE)</f>
        <v>0</v>
      </c>
      <c r="AI148" s="86">
        <f>VLOOKUP(TableWRRanks3242[[#This Row],[Player]],WR!B:O,5,FALSE)</f>
        <v>0</v>
      </c>
      <c r="AJ148" s="86">
        <f>VLOOKUP(TableWRRanks3242[[#This Row],[Player]],WR!B:O,6,FALSE)</f>
        <v>0</v>
      </c>
      <c r="AK148" s="86">
        <f>VLOOKUP(TableWRRanks3242[[#This Row],[Player]],WR!B:O,7,FALSE)</f>
        <v>0</v>
      </c>
      <c r="AL148" s="86">
        <f>VLOOKUP(TableWRRanks3242[[#This Row],[Player]],WR!B:O,8,FALSE)</f>
        <v>0</v>
      </c>
      <c r="AM148" s="86">
        <f>VLOOKUP(TableWRRanks3242[[#This Row],[Player]],WR!B:O,9,FALSE)</f>
        <v>0</v>
      </c>
      <c r="AN148" s="58">
        <f>VLOOKUP(TableWRRanks3242[[#This Row],[Player]],WR!B:O,13,FALSE)</f>
        <v>0</v>
      </c>
      <c r="AO148" s="133">
        <f>IF(VLOOKUP(TableWRRanks3242[[#This Row],[RK]],'Ranks w Proj'!AD:AO,12,FALSE)&lt;0,0,VLOOKUP(TableWRRanks3242[[#This Row],[RK]],'Ranks w Proj'!AD:AO,12,FALSE))</f>
        <v>0</v>
      </c>
    </row>
    <row r="149" spans="16:41" x14ac:dyDescent="0.2">
      <c r="P149">
        <v>148</v>
      </c>
      <c r="Q149">
        <f>VLOOKUP(TableRBRanks3141[[#This Row],[RK]],Rankings!A:T,8,FALSE)</f>
        <v>0</v>
      </c>
      <c r="R149" t="str">
        <f>IFERROR(INDEX(TableRBCalcPts[TM],MATCH(TableRBRanks3141[[#This Row],[Player]],TableRBCalcPts[PLAYER],0)),"")</f>
        <v/>
      </c>
      <c r="S149" t="str">
        <f>IFERROR(INDEX(TableRBCalcPts[BYE],MATCH(TableRBRanks3141[[#This Row],[Player]],TableRBCalcPts[PLAYER],0)),"")</f>
        <v/>
      </c>
      <c r="T149" s="86">
        <f>VLOOKUP(TableRBRanks3141[[#This Row],[Player]],RB!B:O,4,FALSE)</f>
        <v>0</v>
      </c>
      <c r="U149" s="86">
        <f>VLOOKUP(TableRBRanks3141[[#This Row],[Player]],RB!B:O,5,FALSE)</f>
        <v>0</v>
      </c>
      <c r="V149" s="86">
        <f>VLOOKUP(TableRBRanks3141[[#This Row],[Player]],RB!B:O,6,FALSE)</f>
        <v>0</v>
      </c>
      <c r="W149" s="86">
        <f>VLOOKUP(TableRBRanks3141[[#This Row],[Player]],RB!B:O,7,FALSE)</f>
        <v>0</v>
      </c>
      <c r="X149" s="86">
        <f>VLOOKUP(TableRBRanks3141[[#This Row],[Player]],RB!B:O,8,FALSE)</f>
        <v>0</v>
      </c>
      <c r="Y149" s="86">
        <f>VLOOKUP(TableRBRanks3141[[#This Row],[Player]],RB!B:O,9,FALSE)</f>
        <v>0</v>
      </c>
      <c r="Z149" s="86">
        <f>VLOOKUP(TableRBRanks3141[[#This Row],[Player]],RB!B:O,10,FALSE)</f>
        <v>0</v>
      </c>
      <c r="AA149" s="58">
        <f>VLOOKUP(TableRBRanks3141[[#This Row],[Player]],RB!B:O,14,FALSE)</f>
        <v>0</v>
      </c>
      <c r="AB149" s="133" t="e">
        <f>IF(VLOOKUP(TableRBRanks3141[[#This Row],[RK]],'Ranks w Proj'!$P:$AB,13,FALSE)&lt;0,0,VLOOKUP(TableRBRanks3141[[#This Row],[RK]],'Ranks w Proj'!$P:$AB,13,FALSE))</f>
        <v>#VALUE!</v>
      </c>
      <c r="AD149">
        <v>148</v>
      </c>
      <c r="AE149">
        <f>VLOOKUP(TableWRRanks3242[[#This Row],[RK]],Rankings!A:T,13,FALSE)</f>
        <v>0</v>
      </c>
      <c r="AF149" t="str">
        <f>IFERROR(INDEX(TableWRCalcPts[TM],MATCH(TableWRRanks3242[[#This Row],[Player]],TableWRCalcPts[PLAYER],0)),"")</f>
        <v/>
      </c>
      <c r="AG149" t="str">
        <f>IFERROR(INDEX(TableWRCalcPts[BYE],MATCH(TableWRRanks3242[[#This Row],[Player]],TableWRCalcPts[PLAYER],0)),"")</f>
        <v/>
      </c>
      <c r="AH149" s="86">
        <f>VLOOKUP(TableWRRanks3242[[#This Row],[Player]],WR!B:O,4,FALSE)</f>
        <v>0</v>
      </c>
      <c r="AI149" s="86">
        <f>VLOOKUP(TableWRRanks3242[[#This Row],[Player]],WR!B:O,5,FALSE)</f>
        <v>0</v>
      </c>
      <c r="AJ149" s="86">
        <f>VLOOKUP(TableWRRanks3242[[#This Row],[Player]],WR!B:O,6,FALSE)</f>
        <v>0</v>
      </c>
      <c r="AK149" s="86">
        <f>VLOOKUP(TableWRRanks3242[[#This Row],[Player]],WR!B:O,7,FALSE)</f>
        <v>0</v>
      </c>
      <c r="AL149" s="86">
        <f>VLOOKUP(TableWRRanks3242[[#This Row],[Player]],WR!B:O,8,FALSE)</f>
        <v>0</v>
      </c>
      <c r="AM149" s="86">
        <f>VLOOKUP(TableWRRanks3242[[#This Row],[Player]],WR!B:O,9,FALSE)</f>
        <v>0</v>
      </c>
      <c r="AN149" s="58">
        <f>VLOOKUP(TableWRRanks3242[[#This Row],[Player]],WR!B:O,13,FALSE)</f>
        <v>0</v>
      </c>
      <c r="AO149" s="133">
        <f>IF(VLOOKUP(TableWRRanks3242[[#This Row],[RK]],'Ranks w Proj'!AD:AO,12,FALSE)&lt;0,0,VLOOKUP(TableWRRanks3242[[#This Row],[RK]],'Ranks w Proj'!AD:AO,12,FALSE))</f>
        <v>0</v>
      </c>
    </row>
    <row r="150" spans="16:41" x14ac:dyDescent="0.2">
      <c r="P150">
        <v>149</v>
      </c>
      <c r="Q150">
        <f>VLOOKUP(TableRBRanks3141[[#This Row],[RK]],Rankings!A:T,8,FALSE)</f>
        <v>0</v>
      </c>
      <c r="R150" t="str">
        <f>IFERROR(INDEX(TableRBCalcPts[TM],MATCH(TableRBRanks3141[[#This Row],[Player]],TableRBCalcPts[PLAYER],0)),"")</f>
        <v/>
      </c>
      <c r="S150" t="str">
        <f>IFERROR(INDEX(TableRBCalcPts[BYE],MATCH(TableRBRanks3141[[#This Row],[Player]],TableRBCalcPts[PLAYER],0)),"")</f>
        <v/>
      </c>
      <c r="T150" s="86">
        <f>VLOOKUP(TableRBRanks3141[[#This Row],[Player]],RB!B:O,4,FALSE)</f>
        <v>0</v>
      </c>
      <c r="U150" s="86">
        <f>VLOOKUP(TableRBRanks3141[[#This Row],[Player]],RB!B:O,5,FALSE)</f>
        <v>0</v>
      </c>
      <c r="V150" s="86">
        <f>VLOOKUP(TableRBRanks3141[[#This Row],[Player]],RB!B:O,6,FALSE)</f>
        <v>0</v>
      </c>
      <c r="W150" s="86">
        <f>VLOOKUP(TableRBRanks3141[[#This Row],[Player]],RB!B:O,7,FALSE)</f>
        <v>0</v>
      </c>
      <c r="X150" s="86">
        <f>VLOOKUP(TableRBRanks3141[[#This Row],[Player]],RB!B:O,8,FALSE)</f>
        <v>0</v>
      </c>
      <c r="Y150" s="86">
        <f>VLOOKUP(TableRBRanks3141[[#This Row],[Player]],RB!B:O,9,FALSE)</f>
        <v>0</v>
      </c>
      <c r="Z150" s="86">
        <f>VLOOKUP(TableRBRanks3141[[#This Row],[Player]],RB!B:O,10,FALSE)</f>
        <v>0</v>
      </c>
      <c r="AA150" s="58">
        <f>VLOOKUP(TableRBRanks3141[[#This Row],[Player]],RB!B:O,14,FALSE)</f>
        <v>0</v>
      </c>
      <c r="AB150" s="133" t="e">
        <f>IF(VLOOKUP(TableRBRanks3141[[#This Row],[RK]],'Ranks w Proj'!$P:$AB,13,FALSE)&lt;0,0,VLOOKUP(TableRBRanks3141[[#This Row],[RK]],'Ranks w Proj'!$P:$AB,13,FALSE))</f>
        <v>#VALUE!</v>
      </c>
      <c r="AD150">
        <v>149</v>
      </c>
      <c r="AE150">
        <f>VLOOKUP(TableWRRanks3242[[#This Row],[RK]],Rankings!A:T,13,FALSE)</f>
        <v>0</v>
      </c>
      <c r="AF150" t="str">
        <f>IFERROR(INDEX(TableWRCalcPts[TM],MATCH(TableWRRanks3242[[#This Row],[Player]],TableWRCalcPts[PLAYER],0)),"")</f>
        <v/>
      </c>
      <c r="AG150" t="str">
        <f>IFERROR(INDEX(TableWRCalcPts[BYE],MATCH(TableWRRanks3242[[#This Row],[Player]],TableWRCalcPts[PLAYER],0)),"")</f>
        <v/>
      </c>
      <c r="AH150" s="86">
        <f>VLOOKUP(TableWRRanks3242[[#This Row],[Player]],WR!B:O,4,FALSE)</f>
        <v>0</v>
      </c>
      <c r="AI150" s="86">
        <f>VLOOKUP(TableWRRanks3242[[#This Row],[Player]],WR!B:O,5,FALSE)</f>
        <v>0</v>
      </c>
      <c r="AJ150" s="86">
        <f>VLOOKUP(TableWRRanks3242[[#This Row],[Player]],WR!B:O,6,FALSE)</f>
        <v>0</v>
      </c>
      <c r="AK150" s="86">
        <f>VLOOKUP(TableWRRanks3242[[#This Row],[Player]],WR!B:O,7,FALSE)</f>
        <v>0</v>
      </c>
      <c r="AL150" s="86">
        <f>VLOOKUP(TableWRRanks3242[[#This Row],[Player]],WR!B:O,8,FALSE)</f>
        <v>0</v>
      </c>
      <c r="AM150" s="86">
        <f>VLOOKUP(TableWRRanks3242[[#This Row],[Player]],WR!B:O,9,FALSE)</f>
        <v>0</v>
      </c>
      <c r="AN150" s="58">
        <f>VLOOKUP(TableWRRanks3242[[#This Row],[Player]],WR!B:O,13,FALSE)</f>
        <v>0</v>
      </c>
      <c r="AO150" s="133">
        <f>IF(VLOOKUP(TableWRRanks3242[[#This Row],[RK]],'Ranks w Proj'!AD:AO,12,FALSE)&lt;0,0,VLOOKUP(TableWRRanks3242[[#This Row],[RK]],'Ranks w Proj'!AD:AO,12,FALSE))</f>
        <v>0</v>
      </c>
    </row>
    <row r="151" spans="16:41" x14ac:dyDescent="0.2">
      <c r="P151">
        <v>150</v>
      </c>
      <c r="Q151">
        <f>VLOOKUP(TableRBRanks3141[[#This Row],[RK]],Rankings!A:T,8,FALSE)</f>
        <v>0</v>
      </c>
      <c r="R151" t="str">
        <f>IFERROR(INDEX(TableRBCalcPts[TM],MATCH(TableRBRanks3141[[#This Row],[Player]],TableRBCalcPts[PLAYER],0)),"")</f>
        <v/>
      </c>
      <c r="S151" t="str">
        <f>IFERROR(INDEX(TableRBCalcPts[BYE],MATCH(TableRBRanks3141[[#This Row],[Player]],TableRBCalcPts[PLAYER],0)),"")</f>
        <v/>
      </c>
      <c r="T151" s="86">
        <f>VLOOKUP(TableRBRanks3141[[#This Row],[Player]],RB!B:O,4,FALSE)</f>
        <v>0</v>
      </c>
      <c r="U151" s="86">
        <f>VLOOKUP(TableRBRanks3141[[#This Row],[Player]],RB!B:O,5,FALSE)</f>
        <v>0</v>
      </c>
      <c r="V151" s="86">
        <f>VLOOKUP(TableRBRanks3141[[#This Row],[Player]],RB!B:O,6,FALSE)</f>
        <v>0</v>
      </c>
      <c r="W151" s="86">
        <f>VLOOKUP(TableRBRanks3141[[#This Row],[Player]],RB!B:O,7,FALSE)</f>
        <v>0</v>
      </c>
      <c r="X151" s="86">
        <f>VLOOKUP(TableRBRanks3141[[#This Row],[Player]],RB!B:O,8,FALSE)</f>
        <v>0</v>
      </c>
      <c r="Y151" s="86">
        <f>VLOOKUP(TableRBRanks3141[[#This Row],[Player]],RB!B:O,9,FALSE)</f>
        <v>0</v>
      </c>
      <c r="Z151" s="86">
        <f>VLOOKUP(TableRBRanks3141[[#This Row],[Player]],RB!B:O,10,FALSE)</f>
        <v>0</v>
      </c>
      <c r="AA151" s="58">
        <f>VLOOKUP(TableRBRanks3141[[#This Row],[Player]],RB!B:O,14,FALSE)</f>
        <v>0</v>
      </c>
      <c r="AB151" s="133" t="e">
        <f>IF(VLOOKUP(TableRBRanks3141[[#This Row],[RK]],'Ranks w Proj'!$P:$AB,13,FALSE)&lt;0,0,VLOOKUP(TableRBRanks3141[[#This Row],[RK]],'Ranks w Proj'!$P:$AB,13,FALSE))</f>
        <v>#VALUE!</v>
      </c>
      <c r="AD151">
        <v>150</v>
      </c>
      <c r="AE151">
        <f>VLOOKUP(TableWRRanks3242[[#This Row],[RK]],Rankings!A:T,13,FALSE)</f>
        <v>0</v>
      </c>
      <c r="AF151" t="str">
        <f>IFERROR(INDEX(TableWRCalcPts[TM],MATCH(TableWRRanks3242[[#This Row],[Player]],TableWRCalcPts[PLAYER],0)),"")</f>
        <v/>
      </c>
      <c r="AG151" t="str">
        <f>IFERROR(INDEX(TableWRCalcPts[BYE],MATCH(TableWRRanks3242[[#This Row],[Player]],TableWRCalcPts[PLAYER],0)),"")</f>
        <v/>
      </c>
      <c r="AH151" s="86">
        <f>VLOOKUP(TableWRRanks3242[[#This Row],[Player]],WR!B:O,4,FALSE)</f>
        <v>0</v>
      </c>
      <c r="AI151" s="86">
        <f>VLOOKUP(TableWRRanks3242[[#This Row],[Player]],WR!B:O,5,FALSE)</f>
        <v>0</v>
      </c>
      <c r="AJ151" s="86">
        <f>VLOOKUP(TableWRRanks3242[[#This Row],[Player]],WR!B:O,6,FALSE)</f>
        <v>0</v>
      </c>
      <c r="AK151" s="86">
        <f>VLOOKUP(TableWRRanks3242[[#This Row],[Player]],WR!B:O,7,FALSE)</f>
        <v>0</v>
      </c>
      <c r="AL151" s="86">
        <f>VLOOKUP(TableWRRanks3242[[#This Row],[Player]],WR!B:O,8,FALSE)</f>
        <v>0</v>
      </c>
      <c r="AM151" s="86">
        <f>VLOOKUP(TableWRRanks3242[[#This Row],[Player]],WR!B:O,9,FALSE)</f>
        <v>0</v>
      </c>
      <c r="AN151" s="58">
        <f>VLOOKUP(TableWRRanks3242[[#This Row],[Player]],WR!B:O,13,FALSE)</f>
        <v>0</v>
      </c>
      <c r="AO151" s="133">
        <f>IF(VLOOKUP(TableWRRanks3242[[#This Row],[RK]],'Ranks w Proj'!AD:AO,12,FALSE)&lt;0,0,VLOOKUP(TableWRRanks3242[[#This Row],[RK]],'Ranks w Proj'!AD:AO,12,FALSE))</f>
        <v>0</v>
      </c>
    </row>
    <row r="152" spans="16:41" x14ac:dyDescent="0.2">
      <c r="P152">
        <v>151</v>
      </c>
      <c r="Q152">
        <f>VLOOKUP(TableRBRanks3141[[#This Row],[RK]],Rankings!A:T,8,FALSE)</f>
        <v>0</v>
      </c>
      <c r="R152" t="str">
        <f>IFERROR(INDEX(TableRBCalcPts[TM],MATCH(TableRBRanks3141[[#This Row],[Player]],TableRBCalcPts[PLAYER],0)),"")</f>
        <v/>
      </c>
      <c r="S152" t="str">
        <f>IFERROR(INDEX(TableRBCalcPts[BYE],MATCH(TableRBRanks3141[[#This Row],[Player]],TableRBCalcPts[PLAYER],0)),"")</f>
        <v/>
      </c>
      <c r="T152" s="86">
        <f>VLOOKUP(TableRBRanks3141[[#This Row],[Player]],RB!B:O,4,FALSE)</f>
        <v>0</v>
      </c>
      <c r="U152" s="86">
        <f>VLOOKUP(TableRBRanks3141[[#This Row],[Player]],RB!B:O,5,FALSE)</f>
        <v>0</v>
      </c>
      <c r="V152" s="86">
        <f>VLOOKUP(TableRBRanks3141[[#This Row],[Player]],RB!B:O,6,FALSE)</f>
        <v>0</v>
      </c>
      <c r="W152" s="86">
        <f>VLOOKUP(TableRBRanks3141[[#This Row],[Player]],RB!B:O,7,FALSE)</f>
        <v>0</v>
      </c>
      <c r="X152" s="86">
        <f>VLOOKUP(TableRBRanks3141[[#This Row],[Player]],RB!B:O,8,FALSE)</f>
        <v>0</v>
      </c>
      <c r="Y152" s="86">
        <f>VLOOKUP(TableRBRanks3141[[#This Row],[Player]],RB!B:O,9,FALSE)</f>
        <v>0</v>
      </c>
      <c r="Z152" s="86">
        <f>VLOOKUP(TableRBRanks3141[[#This Row],[Player]],RB!B:O,10,FALSE)</f>
        <v>0</v>
      </c>
      <c r="AA152" s="58">
        <f>VLOOKUP(TableRBRanks3141[[#This Row],[Player]],RB!B:O,14,FALSE)</f>
        <v>0</v>
      </c>
      <c r="AB152" s="133" t="e">
        <f>IF(VLOOKUP(TableRBRanks3141[[#This Row],[RK]],'Ranks w Proj'!$P:$AB,13,FALSE)&lt;0,0,VLOOKUP(TableRBRanks3141[[#This Row],[RK]],'Ranks w Proj'!$P:$AB,13,FALSE))</f>
        <v>#VALUE!</v>
      </c>
      <c r="AD152">
        <v>151</v>
      </c>
      <c r="AE152">
        <f>VLOOKUP(TableWRRanks3242[[#This Row],[RK]],Rankings!A:T,13,FALSE)</f>
        <v>0</v>
      </c>
      <c r="AF152" t="str">
        <f>IFERROR(INDEX(TableWRCalcPts[TM],MATCH(TableWRRanks3242[[#This Row],[Player]],TableWRCalcPts[PLAYER],0)),"")</f>
        <v/>
      </c>
      <c r="AG152" t="str">
        <f>IFERROR(INDEX(TableWRCalcPts[BYE],MATCH(TableWRRanks3242[[#This Row],[Player]],TableWRCalcPts[PLAYER],0)),"")</f>
        <v/>
      </c>
      <c r="AH152" s="86">
        <f>VLOOKUP(TableWRRanks3242[[#This Row],[Player]],WR!B:O,4,FALSE)</f>
        <v>0</v>
      </c>
      <c r="AI152" s="86">
        <f>VLOOKUP(TableWRRanks3242[[#This Row],[Player]],WR!B:O,5,FALSE)</f>
        <v>0</v>
      </c>
      <c r="AJ152" s="86">
        <f>VLOOKUP(TableWRRanks3242[[#This Row],[Player]],WR!B:O,6,FALSE)</f>
        <v>0</v>
      </c>
      <c r="AK152" s="86">
        <f>VLOOKUP(TableWRRanks3242[[#This Row],[Player]],WR!B:O,7,FALSE)</f>
        <v>0</v>
      </c>
      <c r="AL152" s="86">
        <f>VLOOKUP(TableWRRanks3242[[#This Row],[Player]],WR!B:O,8,FALSE)</f>
        <v>0</v>
      </c>
      <c r="AM152" s="86">
        <f>VLOOKUP(TableWRRanks3242[[#This Row],[Player]],WR!B:O,9,FALSE)</f>
        <v>0</v>
      </c>
      <c r="AN152" s="58">
        <f>VLOOKUP(TableWRRanks3242[[#This Row],[Player]],WR!B:O,13,FALSE)</f>
        <v>0</v>
      </c>
      <c r="AO152" s="133">
        <f>IF(VLOOKUP(TableWRRanks3242[[#This Row],[RK]],'Ranks w Proj'!AD:AO,12,FALSE)&lt;0,0,VLOOKUP(TableWRRanks3242[[#This Row],[RK]],'Ranks w Proj'!AD:AO,12,FALSE))</f>
        <v>0</v>
      </c>
    </row>
    <row r="153" spans="16:41" x14ac:dyDescent="0.2">
      <c r="P153">
        <v>152</v>
      </c>
      <c r="Q153">
        <f>VLOOKUP(TableRBRanks3141[[#This Row],[RK]],Rankings!A:T,8,FALSE)</f>
        <v>0</v>
      </c>
      <c r="R153" t="str">
        <f>IFERROR(INDEX(TableRBCalcPts[TM],MATCH(TableRBRanks3141[[#This Row],[Player]],TableRBCalcPts[PLAYER],0)),"")</f>
        <v/>
      </c>
      <c r="S153" t="str">
        <f>IFERROR(INDEX(TableRBCalcPts[BYE],MATCH(TableRBRanks3141[[#This Row],[Player]],TableRBCalcPts[PLAYER],0)),"")</f>
        <v/>
      </c>
      <c r="T153" s="86">
        <f>VLOOKUP(TableRBRanks3141[[#This Row],[Player]],RB!B:O,4,FALSE)</f>
        <v>0</v>
      </c>
      <c r="U153" s="86">
        <f>VLOOKUP(TableRBRanks3141[[#This Row],[Player]],RB!B:O,5,FALSE)</f>
        <v>0</v>
      </c>
      <c r="V153" s="86">
        <f>VLOOKUP(TableRBRanks3141[[#This Row],[Player]],RB!B:O,6,FALSE)</f>
        <v>0</v>
      </c>
      <c r="W153" s="86">
        <f>VLOOKUP(TableRBRanks3141[[#This Row],[Player]],RB!B:O,7,FALSE)</f>
        <v>0</v>
      </c>
      <c r="X153" s="86">
        <f>VLOOKUP(TableRBRanks3141[[#This Row],[Player]],RB!B:O,8,FALSE)</f>
        <v>0</v>
      </c>
      <c r="Y153" s="86">
        <f>VLOOKUP(TableRBRanks3141[[#This Row],[Player]],RB!B:O,9,FALSE)</f>
        <v>0</v>
      </c>
      <c r="Z153" s="86">
        <f>VLOOKUP(TableRBRanks3141[[#This Row],[Player]],RB!B:O,10,FALSE)</f>
        <v>0</v>
      </c>
      <c r="AA153" s="58">
        <f>VLOOKUP(TableRBRanks3141[[#This Row],[Player]],RB!B:O,14,FALSE)</f>
        <v>0</v>
      </c>
      <c r="AB153" s="133" t="e">
        <f>IF(VLOOKUP(TableRBRanks3141[[#This Row],[RK]],'Ranks w Proj'!$P:$AB,13,FALSE)&lt;0,0,VLOOKUP(TableRBRanks3141[[#This Row],[RK]],'Ranks w Proj'!$P:$AB,13,FALSE))</f>
        <v>#VALUE!</v>
      </c>
      <c r="AD153">
        <v>152</v>
      </c>
      <c r="AE153">
        <f>VLOOKUP(TableWRRanks3242[[#This Row],[RK]],Rankings!A:T,13,FALSE)</f>
        <v>0</v>
      </c>
      <c r="AF153" t="str">
        <f>IFERROR(INDEX(TableWRCalcPts[TM],MATCH(TableWRRanks3242[[#This Row],[Player]],TableWRCalcPts[PLAYER],0)),"")</f>
        <v/>
      </c>
      <c r="AG153" t="str">
        <f>IFERROR(INDEX(TableWRCalcPts[BYE],MATCH(TableWRRanks3242[[#This Row],[Player]],TableWRCalcPts[PLAYER],0)),"")</f>
        <v/>
      </c>
      <c r="AH153" s="86">
        <f>VLOOKUP(TableWRRanks3242[[#This Row],[Player]],WR!B:O,4,FALSE)</f>
        <v>0</v>
      </c>
      <c r="AI153" s="86">
        <f>VLOOKUP(TableWRRanks3242[[#This Row],[Player]],WR!B:O,5,FALSE)</f>
        <v>0</v>
      </c>
      <c r="AJ153" s="86">
        <f>VLOOKUP(TableWRRanks3242[[#This Row],[Player]],WR!B:O,6,FALSE)</f>
        <v>0</v>
      </c>
      <c r="AK153" s="86">
        <f>VLOOKUP(TableWRRanks3242[[#This Row],[Player]],WR!B:O,7,FALSE)</f>
        <v>0</v>
      </c>
      <c r="AL153" s="86">
        <f>VLOOKUP(TableWRRanks3242[[#This Row],[Player]],WR!B:O,8,FALSE)</f>
        <v>0</v>
      </c>
      <c r="AM153" s="86">
        <f>VLOOKUP(TableWRRanks3242[[#This Row],[Player]],WR!B:O,9,FALSE)</f>
        <v>0</v>
      </c>
      <c r="AN153" s="58">
        <f>VLOOKUP(TableWRRanks3242[[#This Row],[Player]],WR!B:O,13,FALSE)</f>
        <v>0</v>
      </c>
      <c r="AO153" s="133">
        <f>IF(VLOOKUP(TableWRRanks3242[[#This Row],[RK]],'Ranks w Proj'!AD:AO,12,FALSE)&lt;0,0,VLOOKUP(TableWRRanks3242[[#This Row],[RK]],'Ranks w Proj'!AD:AO,12,FALSE))</f>
        <v>0</v>
      </c>
    </row>
    <row r="154" spans="16:41" x14ac:dyDescent="0.2">
      <c r="P154">
        <v>153</v>
      </c>
      <c r="Q154">
        <f>VLOOKUP(TableRBRanks3141[[#This Row],[RK]],Rankings!A:T,8,FALSE)</f>
        <v>0</v>
      </c>
      <c r="R154" t="str">
        <f>IFERROR(INDEX(TableRBCalcPts[TM],MATCH(TableRBRanks3141[[#This Row],[Player]],TableRBCalcPts[PLAYER],0)),"")</f>
        <v/>
      </c>
      <c r="S154" t="str">
        <f>IFERROR(INDEX(TableRBCalcPts[BYE],MATCH(TableRBRanks3141[[#This Row],[Player]],TableRBCalcPts[PLAYER],0)),"")</f>
        <v/>
      </c>
      <c r="T154" s="86">
        <f>VLOOKUP(TableRBRanks3141[[#This Row],[Player]],RB!B:O,4,FALSE)</f>
        <v>0</v>
      </c>
      <c r="U154" s="86">
        <f>VLOOKUP(TableRBRanks3141[[#This Row],[Player]],RB!B:O,5,FALSE)</f>
        <v>0</v>
      </c>
      <c r="V154" s="86">
        <f>VLOOKUP(TableRBRanks3141[[#This Row],[Player]],RB!B:O,6,FALSE)</f>
        <v>0</v>
      </c>
      <c r="W154" s="86">
        <f>VLOOKUP(TableRBRanks3141[[#This Row],[Player]],RB!B:O,7,FALSE)</f>
        <v>0</v>
      </c>
      <c r="X154" s="86">
        <f>VLOOKUP(TableRBRanks3141[[#This Row],[Player]],RB!B:O,8,FALSE)</f>
        <v>0</v>
      </c>
      <c r="Y154" s="86">
        <f>VLOOKUP(TableRBRanks3141[[#This Row],[Player]],RB!B:O,9,FALSE)</f>
        <v>0</v>
      </c>
      <c r="Z154" s="86">
        <f>VLOOKUP(TableRBRanks3141[[#This Row],[Player]],RB!B:O,10,FALSE)</f>
        <v>0</v>
      </c>
      <c r="AA154" s="58">
        <f>VLOOKUP(TableRBRanks3141[[#This Row],[Player]],RB!B:O,14,FALSE)</f>
        <v>0</v>
      </c>
      <c r="AB154" s="133" t="e">
        <f>IF(VLOOKUP(TableRBRanks3141[[#This Row],[RK]],'Ranks w Proj'!$P:$AB,13,FALSE)&lt;0,0,VLOOKUP(TableRBRanks3141[[#This Row],[RK]],'Ranks w Proj'!$P:$AB,13,FALSE))</f>
        <v>#VALUE!</v>
      </c>
      <c r="AD154">
        <v>153</v>
      </c>
      <c r="AE154">
        <f>VLOOKUP(TableWRRanks3242[[#This Row],[RK]],Rankings!A:T,13,FALSE)</f>
        <v>0</v>
      </c>
      <c r="AF154" t="str">
        <f>IFERROR(INDEX(TableWRCalcPts[TM],MATCH(TableWRRanks3242[[#This Row],[Player]],TableWRCalcPts[PLAYER],0)),"")</f>
        <v/>
      </c>
      <c r="AG154" t="str">
        <f>IFERROR(INDEX(TableWRCalcPts[BYE],MATCH(TableWRRanks3242[[#This Row],[Player]],TableWRCalcPts[PLAYER],0)),"")</f>
        <v/>
      </c>
      <c r="AH154" s="86">
        <f>VLOOKUP(TableWRRanks3242[[#This Row],[Player]],WR!B:O,4,FALSE)</f>
        <v>0</v>
      </c>
      <c r="AI154" s="86">
        <f>VLOOKUP(TableWRRanks3242[[#This Row],[Player]],WR!B:O,5,FALSE)</f>
        <v>0</v>
      </c>
      <c r="AJ154" s="86">
        <f>VLOOKUP(TableWRRanks3242[[#This Row],[Player]],WR!B:O,6,FALSE)</f>
        <v>0</v>
      </c>
      <c r="AK154" s="86">
        <f>VLOOKUP(TableWRRanks3242[[#This Row],[Player]],WR!B:O,7,FALSE)</f>
        <v>0</v>
      </c>
      <c r="AL154" s="86">
        <f>VLOOKUP(TableWRRanks3242[[#This Row],[Player]],WR!B:O,8,FALSE)</f>
        <v>0</v>
      </c>
      <c r="AM154" s="86">
        <f>VLOOKUP(TableWRRanks3242[[#This Row],[Player]],WR!B:O,9,FALSE)</f>
        <v>0</v>
      </c>
      <c r="AN154" s="58">
        <f>VLOOKUP(TableWRRanks3242[[#This Row],[Player]],WR!B:O,13,FALSE)</f>
        <v>0</v>
      </c>
      <c r="AO154" s="133">
        <f>IF(VLOOKUP(TableWRRanks3242[[#This Row],[RK]],'Ranks w Proj'!AD:AO,12,FALSE)&lt;0,0,VLOOKUP(TableWRRanks3242[[#This Row],[RK]],'Ranks w Proj'!AD:AO,12,FALSE))</f>
        <v>0</v>
      </c>
    </row>
    <row r="155" spans="16:41" x14ac:dyDescent="0.2">
      <c r="P155">
        <v>154</v>
      </c>
      <c r="Q155">
        <f>VLOOKUP(TableRBRanks3141[[#This Row],[RK]],Rankings!A:T,8,FALSE)</f>
        <v>0</v>
      </c>
      <c r="R155" t="str">
        <f>IFERROR(INDEX(TableRBCalcPts[TM],MATCH(TableRBRanks3141[[#This Row],[Player]],TableRBCalcPts[PLAYER],0)),"")</f>
        <v/>
      </c>
      <c r="S155" t="str">
        <f>IFERROR(INDEX(TableRBCalcPts[BYE],MATCH(TableRBRanks3141[[#This Row],[Player]],TableRBCalcPts[PLAYER],0)),"")</f>
        <v/>
      </c>
      <c r="T155" s="86">
        <f>VLOOKUP(TableRBRanks3141[[#This Row],[Player]],RB!B:O,4,FALSE)</f>
        <v>0</v>
      </c>
      <c r="U155" s="86">
        <f>VLOOKUP(TableRBRanks3141[[#This Row],[Player]],RB!B:O,5,FALSE)</f>
        <v>0</v>
      </c>
      <c r="V155" s="86">
        <f>VLOOKUP(TableRBRanks3141[[#This Row],[Player]],RB!B:O,6,FALSE)</f>
        <v>0</v>
      </c>
      <c r="W155" s="86">
        <f>VLOOKUP(TableRBRanks3141[[#This Row],[Player]],RB!B:O,7,FALSE)</f>
        <v>0</v>
      </c>
      <c r="X155" s="86">
        <f>VLOOKUP(TableRBRanks3141[[#This Row],[Player]],RB!B:O,8,FALSE)</f>
        <v>0</v>
      </c>
      <c r="Y155" s="86">
        <f>VLOOKUP(TableRBRanks3141[[#This Row],[Player]],RB!B:O,9,FALSE)</f>
        <v>0</v>
      </c>
      <c r="Z155" s="86">
        <f>VLOOKUP(TableRBRanks3141[[#This Row],[Player]],RB!B:O,10,FALSE)</f>
        <v>0</v>
      </c>
      <c r="AA155" s="58">
        <f>VLOOKUP(TableRBRanks3141[[#This Row],[Player]],RB!B:O,14,FALSE)</f>
        <v>0</v>
      </c>
      <c r="AB155" s="133" t="e">
        <f>IF(VLOOKUP(TableRBRanks3141[[#This Row],[RK]],'Ranks w Proj'!$P:$AB,13,FALSE)&lt;0,0,VLOOKUP(TableRBRanks3141[[#This Row],[RK]],'Ranks w Proj'!$P:$AB,13,FALSE))</f>
        <v>#VALUE!</v>
      </c>
      <c r="AD155">
        <v>154</v>
      </c>
      <c r="AE155">
        <f>VLOOKUP(TableWRRanks3242[[#This Row],[RK]],Rankings!A:T,13,FALSE)</f>
        <v>0</v>
      </c>
      <c r="AF155" t="str">
        <f>IFERROR(INDEX(TableWRCalcPts[TM],MATCH(TableWRRanks3242[[#This Row],[Player]],TableWRCalcPts[PLAYER],0)),"")</f>
        <v/>
      </c>
      <c r="AG155" t="str">
        <f>IFERROR(INDEX(TableWRCalcPts[BYE],MATCH(TableWRRanks3242[[#This Row],[Player]],TableWRCalcPts[PLAYER],0)),"")</f>
        <v/>
      </c>
      <c r="AH155" s="86">
        <f>VLOOKUP(TableWRRanks3242[[#This Row],[Player]],WR!B:O,4,FALSE)</f>
        <v>0</v>
      </c>
      <c r="AI155" s="86">
        <f>VLOOKUP(TableWRRanks3242[[#This Row],[Player]],WR!B:O,5,FALSE)</f>
        <v>0</v>
      </c>
      <c r="AJ155" s="86">
        <f>VLOOKUP(TableWRRanks3242[[#This Row],[Player]],WR!B:O,6,FALSE)</f>
        <v>0</v>
      </c>
      <c r="AK155" s="86">
        <f>VLOOKUP(TableWRRanks3242[[#This Row],[Player]],WR!B:O,7,FALSE)</f>
        <v>0</v>
      </c>
      <c r="AL155" s="86">
        <f>VLOOKUP(TableWRRanks3242[[#This Row],[Player]],WR!B:O,8,FALSE)</f>
        <v>0</v>
      </c>
      <c r="AM155" s="86">
        <f>VLOOKUP(TableWRRanks3242[[#This Row],[Player]],WR!B:O,9,FALSE)</f>
        <v>0</v>
      </c>
      <c r="AN155" s="58">
        <f>VLOOKUP(TableWRRanks3242[[#This Row],[Player]],WR!B:O,13,FALSE)</f>
        <v>0</v>
      </c>
      <c r="AO155" s="133">
        <f>IF(VLOOKUP(TableWRRanks3242[[#This Row],[RK]],'Ranks w Proj'!AD:AO,12,FALSE)&lt;0,0,VLOOKUP(TableWRRanks3242[[#This Row],[RK]],'Ranks w Proj'!AD:AO,12,FALSE))</f>
        <v>0</v>
      </c>
    </row>
    <row r="156" spans="16:41" x14ac:dyDescent="0.2">
      <c r="P156">
        <v>155</v>
      </c>
      <c r="Q156">
        <f>VLOOKUP(TableRBRanks3141[[#This Row],[RK]],Rankings!A:T,8,FALSE)</f>
        <v>0</v>
      </c>
      <c r="R156" t="str">
        <f>IFERROR(INDEX(TableRBCalcPts[TM],MATCH(TableRBRanks3141[[#This Row],[Player]],TableRBCalcPts[PLAYER],0)),"")</f>
        <v/>
      </c>
      <c r="S156" t="str">
        <f>IFERROR(INDEX(TableRBCalcPts[BYE],MATCH(TableRBRanks3141[[#This Row],[Player]],TableRBCalcPts[PLAYER],0)),"")</f>
        <v/>
      </c>
      <c r="T156" s="86">
        <f>VLOOKUP(TableRBRanks3141[[#This Row],[Player]],RB!B:O,4,FALSE)</f>
        <v>0</v>
      </c>
      <c r="U156" s="86">
        <f>VLOOKUP(TableRBRanks3141[[#This Row],[Player]],RB!B:O,5,FALSE)</f>
        <v>0</v>
      </c>
      <c r="V156" s="86">
        <f>VLOOKUP(TableRBRanks3141[[#This Row],[Player]],RB!B:O,6,FALSE)</f>
        <v>0</v>
      </c>
      <c r="W156" s="86">
        <f>VLOOKUP(TableRBRanks3141[[#This Row],[Player]],RB!B:O,7,FALSE)</f>
        <v>0</v>
      </c>
      <c r="X156" s="86">
        <f>VLOOKUP(TableRBRanks3141[[#This Row],[Player]],RB!B:O,8,FALSE)</f>
        <v>0</v>
      </c>
      <c r="Y156" s="86">
        <f>VLOOKUP(TableRBRanks3141[[#This Row],[Player]],RB!B:O,9,FALSE)</f>
        <v>0</v>
      </c>
      <c r="Z156" s="86">
        <f>VLOOKUP(TableRBRanks3141[[#This Row],[Player]],RB!B:O,10,FALSE)</f>
        <v>0</v>
      </c>
      <c r="AA156" s="58">
        <f>VLOOKUP(TableRBRanks3141[[#This Row],[Player]],RB!B:O,14,FALSE)</f>
        <v>0</v>
      </c>
      <c r="AB156" s="133" t="e">
        <f>IF(VLOOKUP(TableRBRanks3141[[#This Row],[RK]],'Ranks w Proj'!$P:$AB,13,FALSE)&lt;0,0,VLOOKUP(TableRBRanks3141[[#This Row],[RK]],'Ranks w Proj'!$P:$AB,13,FALSE))</f>
        <v>#VALUE!</v>
      </c>
      <c r="AD156">
        <v>155</v>
      </c>
      <c r="AE156">
        <f>VLOOKUP(TableWRRanks3242[[#This Row],[RK]],Rankings!A:T,13,FALSE)</f>
        <v>0</v>
      </c>
      <c r="AF156" t="str">
        <f>IFERROR(INDEX(TableWRCalcPts[TM],MATCH(TableWRRanks3242[[#This Row],[Player]],TableWRCalcPts[PLAYER],0)),"")</f>
        <v/>
      </c>
      <c r="AG156" t="str">
        <f>IFERROR(INDEX(TableWRCalcPts[BYE],MATCH(TableWRRanks3242[[#This Row],[Player]],TableWRCalcPts[PLAYER],0)),"")</f>
        <v/>
      </c>
      <c r="AH156" s="86">
        <f>VLOOKUP(TableWRRanks3242[[#This Row],[Player]],WR!B:O,4,FALSE)</f>
        <v>0</v>
      </c>
      <c r="AI156" s="86">
        <f>VLOOKUP(TableWRRanks3242[[#This Row],[Player]],WR!B:O,5,FALSE)</f>
        <v>0</v>
      </c>
      <c r="AJ156" s="86">
        <f>VLOOKUP(TableWRRanks3242[[#This Row],[Player]],WR!B:O,6,FALSE)</f>
        <v>0</v>
      </c>
      <c r="AK156" s="86">
        <f>VLOOKUP(TableWRRanks3242[[#This Row],[Player]],WR!B:O,7,FALSE)</f>
        <v>0</v>
      </c>
      <c r="AL156" s="86">
        <f>VLOOKUP(TableWRRanks3242[[#This Row],[Player]],WR!B:O,8,FALSE)</f>
        <v>0</v>
      </c>
      <c r="AM156" s="86">
        <f>VLOOKUP(TableWRRanks3242[[#This Row],[Player]],WR!B:O,9,FALSE)</f>
        <v>0</v>
      </c>
      <c r="AN156" s="58">
        <f>VLOOKUP(TableWRRanks3242[[#This Row],[Player]],WR!B:O,13,FALSE)</f>
        <v>0</v>
      </c>
      <c r="AO156" s="133">
        <f>IF(VLOOKUP(TableWRRanks3242[[#This Row],[RK]],'Ranks w Proj'!AD:AO,12,FALSE)&lt;0,0,VLOOKUP(TableWRRanks3242[[#This Row],[RK]],'Ranks w Proj'!AD:AO,12,FALSE))</f>
        <v>0</v>
      </c>
    </row>
    <row r="157" spans="16:41" x14ac:dyDescent="0.2">
      <c r="P157">
        <v>156</v>
      </c>
      <c r="Q157">
        <f>VLOOKUP(TableRBRanks3141[[#This Row],[RK]],Rankings!A:T,8,FALSE)</f>
        <v>0</v>
      </c>
      <c r="R157" t="str">
        <f>IFERROR(INDEX(TableRBCalcPts[TM],MATCH(TableRBRanks3141[[#This Row],[Player]],TableRBCalcPts[PLAYER],0)),"")</f>
        <v/>
      </c>
      <c r="S157" t="str">
        <f>IFERROR(INDEX(TableRBCalcPts[BYE],MATCH(TableRBRanks3141[[#This Row],[Player]],TableRBCalcPts[PLAYER],0)),"")</f>
        <v/>
      </c>
      <c r="T157" s="86">
        <f>VLOOKUP(TableRBRanks3141[[#This Row],[Player]],RB!B:O,4,FALSE)</f>
        <v>0</v>
      </c>
      <c r="U157" s="86">
        <f>VLOOKUP(TableRBRanks3141[[#This Row],[Player]],RB!B:O,5,FALSE)</f>
        <v>0</v>
      </c>
      <c r="V157" s="86">
        <f>VLOOKUP(TableRBRanks3141[[#This Row],[Player]],RB!B:O,6,FALSE)</f>
        <v>0</v>
      </c>
      <c r="W157" s="86">
        <f>VLOOKUP(TableRBRanks3141[[#This Row],[Player]],RB!B:O,7,FALSE)</f>
        <v>0</v>
      </c>
      <c r="X157" s="86">
        <f>VLOOKUP(TableRBRanks3141[[#This Row],[Player]],RB!B:O,8,FALSE)</f>
        <v>0</v>
      </c>
      <c r="Y157" s="86">
        <f>VLOOKUP(TableRBRanks3141[[#This Row],[Player]],RB!B:O,9,FALSE)</f>
        <v>0</v>
      </c>
      <c r="Z157" s="86">
        <f>VLOOKUP(TableRBRanks3141[[#This Row],[Player]],RB!B:O,10,FALSE)</f>
        <v>0</v>
      </c>
      <c r="AA157" s="58">
        <f>VLOOKUP(TableRBRanks3141[[#This Row],[Player]],RB!B:O,14,FALSE)</f>
        <v>0</v>
      </c>
      <c r="AB157" s="133" t="e">
        <f>IF(VLOOKUP(TableRBRanks3141[[#This Row],[RK]],'Ranks w Proj'!$P:$AB,13,FALSE)&lt;0,0,VLOOKUP(TableRBRanks3141[[#This Row],[RK]],'Ranks w Proj'!$P:$AB,13,FALSE))</f>
        <v>#VALUE!</v>
      </c>
      <c r="AD157">
        <v>156</v>
      </c>
      <c r="AE157">
        <f>VLOOKUP(TableWRRanks3242[[#This Row],[RK]],Rankings!A:T,13,FALSE)</f>
        <v>0</v>
      </c>
      <c r="AF157" t="str">
        <f>IFERROR(INDEX(TableWRCalcPts[TM],MATCH(TableWRRanks3242[[#This Row],[Player]],TableWRCalcPts[PLAYER],0)),"")</f>
        <v/>
      </c>
      <c r="AG157" t="str">
        <f>IFERROR(INDEX(TableWRCalcPts[BYE],MATCH(TableWRRanks3242[[#This Row],[Player]],TableWRCalcPts[PLAYER],0)),"")</f>
        <v/>
      </c>
      <c r="AH157" s="86">
        <f>VLOOKUP(TableWRRanks3242[[#This Row],[Player]],WR!B:O,4,FALSE)</f>
        <v>0</v>
      </c>
      <c r="AI157" s="86">
        <f>VLOOKUP(TableWRRanks3242[[#This Row],[Player]],WR!B:O,5,FALSE)</f>
        <v>0</v>
      </c>
      <c r="AJ157" s="86">
        <f>VLOOKUP(TableWRRanks3242[[#This Row],[Player]],WR!B:O,6,FALSE)</f>
        <v>0</v>
      </c>
      <c r="AK157" s="86">
        <f>VLOOKUP(TableWRRanks3242[[#This Row],[Player]],WR!B:O,7,FALSE)</f>
        <v>0</v>
      </c>
      <c r="AL157" s="86">
        <f>VLOOKUP(TableWRRanks3242[[#This Row],[Player]],WR!B:O,8,FALSE)</f>
        <v>0</v>
      </c>
      <c r="AM157" s="86">
        <f>VLOOKUP(TableWRRanks3242[[#This Row],[Player]],WR!B:O,9,FALSE)</f>
        <v>0</v>
      </c>
      <c r="AN157" s="58">
        <f>VLOOKUP(TableWRRanks3242[[#This Row],[Player]],WR!B:O,13,FALSE)</f>
        <v>0</v>
      </c>
      <c r="AO157" s="133">
        <f>IF(VLOOKUP(TableWRRanks3242[[#This Row],[RK]],'Ranks w Proj'!AD:AO,12,FALSE)&lt;0,0,VLOOKUP(TableWRRanks3242[[#This Row],[RK]],'Ranks w Proj'!AD:AO,12,FALSE))</f>
        <v>0</v>
      </c>
    </row>
    <row r="158" spans="16:41" x14ac:dyDescent="0.2">
      <c r="P158">
        <v>157</v>
      </c>
      <c r="Q158">
        <f>VLOOKUP(TableRBRanks3141[[#This Row],[RK]],Rankings!A:T,8,FALSE)</f>
        <v>0</v>
      </c>
      <c r="R158" t="str">
        <f>IFERROR(INDEX(TableRBCalcPts[TM],MATCH(TableRBRanks3141[[#This Row],[Player]],TableRBCalcPts[PLAYER],0)),"")</f>
        <v/>
      </c>
      <c r="S158" t="str">
        <f>IFERROR(INDEX(TableRBCalcPts[BYE],MATCH(TableRBRanks3141[[#This Row],[Player]],TableRBCalcPts[PLAYER],0)),"")</f>
        <v/>
      </c>
      <c r="T158" s="86">
        <f>VLOOKUP(TableRBRanks3141[[#This Row],[Player]],RB!B:O,4,FALSE)</f>
        <v>0</v>
      </c>
      <c r="U158" s="86">
        <f>VLOOKUP(TableRBRanks3141[[#This Row],[Player]],RB!B:O,5,FALSE)</f>
        <v>0</v>
      </c>
      <c r="V158" s="86">
        <f>VLOOKUP(TableRBRanks3141[[#This Row],[Player]],RB!B:O,6,FALSE)</f>
        <v>0</v>
      </c>
      <c r="W158" s="86">
        <f>VLOOKUP(TableRBRanks3141[[#This Row],[Player]],RB!B:O,7,FALSE)</f>
        <v>0</v>
      </c>
      <c r="X158" s="86">
        <f>VLOOKUP(TableRBRanks3141[[#This Row],[Player]],RB!B:O,8,FALSE)</f>
        <v>0</v>
      </c>
      <c r="Y158" s="86">
        <f>VLOOKUP(TableRBRanks3141[[#This Row],[Player]],RB!B:O,9,FALSE)</f>
        <v>0</v>
      </c>
      <c r="Z158" s="86">
        <f>VLOOKUP(TableRBRanks3141[[#This Row],[Player]],RB!B:O,10,FALSE)</f>
        <v>0</v>
      </c>
      <c r="AA158" s="58">
        <f>VLOOKUP(TableRBRanks3141[[#This Row],[Player]],RB!B:O,14,FALSE)</f>
        <v>0</v>
      </c>
      <c r="AB158" s="133" t="e">
        <f>IF(VLOOKUP(TableRBRanks3141[[#This Row],[RK]],'Ranks w Proj'!$P:$AB,13,FALSE)&lt;0,0,VLOOKUP(TableRBRanks3141[[#This Row],[RK]],'Ranks w Proj'!$P:$AB,13,FALSE))</f>
        <v>#VALUE!</v>
      </c>
      <c r="AD158">
        <v>157</v>
      </c>
      <c r="AE158">
        <f>VLOOKUP(TableWRRanks3242[[#This Row],[RK]],Rankings!A:T,13,FALSE)</f>
        <v>0</v>
      </c>
      <c r="AF158" t="str">
        <f>IFERROR(INDEX(TableWRCalcPts[TM],MATCH(TableWRRanks3242[[#This Row],[Player]],TableWRCalcPts[PLAYER],0)),"")</f>
        <v/>
      </c>
      <c r="AG158" t="str">
        <f>IFERROR(INDEX(TableWRCalcPts[BYE],MATCH(TableWRRanks3242[[#This Row],[Player]],TableWRCalcPts[PLAYER],0)),"")</f>
        <v/>
      </c>
      <c r="AH158" s="86">
        <f>VLOOKUP(TableWRRanks3242[[#This Row],[Player]],WR!B:O,4,FALSE)</f>
        <v>0</v>
      </c>
      <c r="AI158" s="86">
        <f>VLOOKUP(TableWRRanks3242[[#This Row],[Player]],WR!B:O,5,FALSE)</f>
        <v>0</v>
      </c>
      <c r="AJ158" s="86">
        <f>VLOOKUP(TableWRRanks3242[[#This Row],[Player]],WR!B:O,6,FALSE)</f>
        <v>0</v>
      </c>
      <c r="AK158" s="86">
        <f>VLOOKUP(TableWRRanks3242[[#This Row],[Player]],WR!B:O,7,FALSE)</f>
        <v>0</v>
      </c>
      <c r="AL158" s="86">
        <f>VLOOKUP(TableWRRanks3242[[#This Row],[Player]],WR!B:O,8,FALSE)</f>
        <v>0</v>
      </c>
      <c r="AM158" s="86">
        <f>VLOOKUP(TableWRRanks3242[[#This Row],[Player]],WR!B:O,9,FALSE)</f>
        <v>0</v>
      </c>
      <c r="AN158" s="58">
        <f>VLOOKUP(TableWRRanks3242[[#This Row],[Player]],WR!B:O,13,FALSE)</f>
        <v>0</v>
      </c>
      <c r="AO158" s="133">
        <f>IF(VLOOKUP(TableWRRanks3242[[#This Row],[RK]],'Ranks w Proj'!AD:AO,12,FALSE)&lt;0,0,VLOOKUP(TableWRRanks3242[[#This Row],[RK]],'Ranks w Proj'!AD:AO,12,FALSE))</f>
        <v>0</v>
      </c>
    </row>
    <row r="159" spans="16:41" x14ac:dyDescent="0.2">
      <c r="P159">
        <v>158</v>
      </c>
      <c r="Q159">
        <f>VLOOKUP(TableRBRanks3141[[#This Row],[RK]],Rankings!A:T,8,FALSE)</f>
        <v>0</v>
      </c>
      <c r="R159" t="str">
        <f>IFERROR(INDEX(TableRBCalcPts[TM],MATCH(TableRBRanks3141[[#This Row],[Player]],TableRBCalcPts[PLAYER],0)),"")</f>
        <v/>
      </c>
      <c r="S159" t="str">
        <f>IFERROR(INDEX(TableRBCalcPts[BYE],MATCH(TableRBRanks3141[[#This Row],[Player]],TableRBCalcPts[PLAYER],0)),"")</f>
        <v/>
      </c>
      <c r="T159" s="86">
        <f>VLOOKUP(TableRBRanks3141[[#This Row],[Player]],RB!B:O,4,FALSE)</f>
        <v>0</v>
      </c>
      <c r="U159" s="86">
        <f>VLOOKUP(TableRBRanks3141[[#This Row],[Player]],RB!B:O,5,FALSE)</f>
        <v>0</v>
      </c>
      <c r="V159" s="86">
        <f>VLOOKUP(TableRBRanks3141[[#This Row],[Player]],RB!B:O,6,FALSE)</f>
        <v>0</v>
      </c>
      <c r="W159" s="86">
        <f>VLOOKUP(TableRBRanks3141[[#This Row],[Player]],RB!B:O,7,FALSE)</f>
        <v>0</v>
      </c>
      <c r="X159" s="86">
        <f>VLOOKUP(TableRBRanks3141[[#This Row],[Player]],RB!B:O,8,FALSE)</f>
        <v>0</v>
      </c>
      <c r="Y159" s="86">
        <f>VLOOKUP(TableRBRanks3141[[#This Row],[Player]],RB!B:O,9,FALSE)</f>
        <v>0</v>
      </c>
      <c r="Z159" s="86">
        <f>VLOOKUP(TableRBRanks3141[[#This Row],[Player]],RB!B:O,10,FALSE)</f>
        <v>0</v>
      </c>
      <c r="AA159" s="58">
        <f>VLOOKUP(TableRBRanks3141[[#This Row],[Player]],RB!B:O,14,FALSE)</f>
        <v>0</v>
      </c>
      <c r="AB159" s="133" t="e">
        <f>IF(VLOOKUP(TableRBRanks3141[[#This Row],[RK]],'Ranks w Proj'!$P:$AB,13,FALSE)&lt;0,0,VLOOKUP(TableRBRanks3141[[#This Row],[RK]],'Ranks w Proj'!$P:$AB,13,FALSE))</f>
        <v>#VALUE!</v>
      </c>
      <c r="AD159">
        <v>158</v>
      </c>
      <c r="AE159">
        <f>VLOOKUP(TableWRRanks3242[[#This Row],[RK]],Rankings!A:T,13,FALSE)</f>
        <v>0</v>
      </c>
      <c r="AF159" t="str">
        <f>IFERROR(INDEX(TableWRCalcPts[TM],MATCH(TableWRRanks3242[[#This Row],[Player]],TableWRCalcPts[PLAYER],0)),"")</f>
        <v/>
      </c>
      <c r="AG159" t="str">
        <f>IFERROR(INDEX(TableWRCalcPts[BYE],MATCH(TableWRRanks3242[[#This Row],[Player]],TableWRCalcPts[PLAYER],0)),"")</f>
        <v/>
      </c>
      <c r="AH159" s="86">
        <f>VLOOKUP(TableWRRanks3242[[#This Row],[Player]],WR!B:O,4,FALSE)</f>
        <v>0</v>
      </c>
      <c r="AI159" s="86">
        <f>VLOOKUP(TableWRRanks3242[[#This Row],[Player]],WR!B:O,5,FALSE)</f>
        <v>0</v>
      </c>
      <c r="AJ159" s="86">
        <f>VLOOKUP(TableWRRanks3242[[#This Row],[Player]],WR!B:O,6,FALSE)</f>
        <v>0</v>
      </c>
      <c r="AK159" s="86">
        <f>VLOOKUP(TableWRRanks3242[[#This Row],[Player]],WR!B:O,7,FALSE)</f>
        <v>0</v>
      </c>
      <c r="AL159" s="86">
        <f>VLOOKUP(TableWRRanks3242[[#This Row],[Player]],WR!B:O,8,FALSE)</f>
        <v>0</v>
      </c>
      <c r="AM159" s="86">
        <f>VLOOKUP(TableWRRanks3242[[#This Row],[Player]],WR!B:O,9,FALSE)</f>
        <v>0</v>
      </c>
      <c r="AN159" s="58">
        <f>VLOOKUP(TableWRRanks3242[[#This Row],[Player]],WR!B:O,13,FALSE)</f>
        <v>0</v>
      </c>
      <c r="AO159" s="133">
        <f>IF(VLOOKUP(TableWRRanks3242[[#This Row],[RK]],'Ranks w Proj'!AD:AO,12,FALSE)&lt;0,0,VLOOKUP(TableWRRanks3242[[#This Row],[RK]],'Ranks w Proj'!AD:AO,12,FALSE))</f>
        <v>0</v>
      </c>
    </row>
    <row r="160" spans="16:41" x14ac:dyDescent="0.2">
      <c r="P160">
        <v>159</v>
      </c>
      <c r="Q160">
        <f>VLOOKUP(TableRBRanks3141[[#This Row],[RK]],Rankings!A:T,8,FALSE)</f>
        <v>0</v>
      </c>
      <c r="R160" t="str">
        <f>IFERROR(INDEX(TableRBCalcPts[TM],MATCH(TableRBRanks3141[[#This Row],[Player]],TableRBCalcPts[PLAYER],0)),"")</f>
        <v/>
      </c>
      <c r="S160" t="str">
        <f>IFERROR(INDEX(TableRBCalcPts[BYE],MATCH(TableRBRanks3141[[#This Row],[Player]],TableRBCalcPts[PLAYER],0)),"")</f>
        <v/>
      </c>
      <c r="T160" s="86">
        <f>VLOOKUP(TableRBRanks3141[[#This Row],[Player]],RB!B:O,4,FALSE)</f>
        <v>0</v>
      </c>
      <c r="U160" s="86">
        <f>VLOOKUP(TableRBRanks3141[[#This Row],[Player]],RB!B:O,5,FALSE)</f>
        <v>0</v>
      </c>
      <c r="V160" s="86">
        <f>VLOOKUP(TableRBRanks3141[[#This Row],[Player]],RB!B:O,6,FALSE)</f>
        <v>0</v>
      </c>
      <c r="W160" s="86">
        <f>VLOOKUP(TableRBRanks3141[[#This Row],[Player]],RB!B:O,7,FALSE)</f>
        <v>0</v>
      </c>
      <c r="X160" s="86">
        <f>VLOOKUP(TableRBRanks3141[[#This Row],[Player]],RB!B:O,8,FALSE)</f>
        <v>0</v>
      </c>
      <c r="Y160" s="86">
        <f>VLOOKUP(TableRBRanks3141[[#This Row],[Player]],RB!B:O,9,FALSE)</f>
        <v>0</v>
      </c>
      <c r="Z160" s="86">
        <f>VLOOKUP(TableRBRanks3141[[#This Row],[Player]],RB!B:O,10,FALSE)</f>
        <v>0</v>
      </c>
      <c r="AA160" s="58">
        <f>VLOOKUP(TableRBRanks3141[[#This Row],[Player]],RB!B:O,14,FALSE)</f>
        <v>0</v>
      </c>
      <c r="AB160" s="133" t="e">
        <f>IF(VLOOKUP(TableRBRanks3141[[#This Row],[RK]],'Ranks w Proj'!$P:$AB,13,FALSE)&lt;0,0,VLOOKUP(TableRBRanks3141[[#This Row],[RK]],'Ranks w Proj'!$P:$AB,13,FALSE))</f>
        <v>#VALUE!</v>
      </c>
      <c r="AD160">
        <v>159</v>
      </c>
      <c r="AE160">
        <f>VLOOKUP(TableWRRanks3242[[#This Row],[RK]],Rankings!A:T,13,FALSE)</f>
        <v>0</v>
      </c>
      <c r="AF160" t="str">
        <f>IFERROR(INDEX(TableWRCalcPts[TM],MATCH(TableWRRanks3242[[#This Row],[Player]],TableWRCalcPts[PLAYER],0)),"")</f>
        <v/>
      </c>
      <c r="AG160" t="str">
        <f>IFERROR(INDEX(TableWRCalcPts[BYE],MATCH(TableWRRanks3242[[#This Row],[Player]],TableWRCalcPts[PLAYER],0)),"")</f>
        <v/>
      </c>
      <c r="AH160" s="86">
        <f>VLOOKUP(TableWRRanks3242[[#This Row],[Player]],WR!B:O,4,FALSE)</f>
        <v>0</v>
      </c>
      <c r="AI160" s="86">
        <f>VLOOKUP(TableWRRanks3242[[#This Row],[Player]],WR!B:O,5,FALSE)</f>
        <v>0</v>
      </c>
      <c r="AJ160" s="86">
        <f>VLOOKUP(TableWRRanks3242[[#This Row],[Player]],WR!B:O,6,FALSE)</f>
        <v>0</v>
      </c>
      <c r="AK160" s="86">
        <f>VLOOKUP(TableWRRanks3242[[#This Row],[Player]],WR!B:O,7,FALSE)</f>
        <v>0</v>
      </c>
      <c r="AL160" s="86">
        <f>VLOOKUP(TableWRRanks3242[[#This Row],[Player]],WR!B:O,8,FALSE)</f>
        <v>0</v>
      </c>
      <c r="AM160" s="86">
        <f>VLOOKUP(TableWRRanks3242[[#This Row],[Player]],WR!B:O,9,FALSE)</f>
        <v>0</v>
      </c>
      <c r="AN160" s="58">
        <f>VLOOKUP(TableWRRanks3242[[#This Row],[Player]],WR!B:O,13,FALSE)</f>
        <v>0</v>
      </c>
      <c r="AO160" s="133">
        <f>IF(VLOOKUP(TableWRRanks3242[[#This Row],[RK]],'Ranks w Proj'!AD:AO,12,FALSE)&lt;0,0,VLOOKUP(TableWRRanks3242[[#This Row],[RK]],'Ranks w Proj'!AD:AO,12,FALSE))</f>
        <v>0</v>
      </c>
    </row>
    <row r="161" spans="16:41" x14ac:dyDescent="0.2">
      <c r="P161">
        <v>160</v>
      </c>
      <c r="Q161">
        <f>VLOOKUP(TableRBRanks3141[[#This Row],[RK]],Rankings!A:T,8,FALSE)</f>
        <v>0</v>
      </c>
      <c r="R161" t="str">
        <f>IFERROR(INDEX(TableRBCalcPts[TM],MATCH(TableRBRanks3141[[#This Row],[Player]],TableRBCalcPts[PLAYER],0)),"")</f>
        <v/>
      </c>
      <c r="S161" t="str">
        <f>IFERROR(INDEX(TableRBCalcPts[BYE],MATCH(TableRBRanks3141[[#This Row],[Player]],TableRBCalcPts[PLAYER],0)),"")</f>
        <v/>
      </c>
      <c r="T161" s="86">
        <f>VLOOKUP(TableRBRanks3141[[#This Row],[Player]],RB!B:O,4,FALSE)</f>
        <v>0</v>
      </c>
      <c r="U161" s="86">
        <f>VLOOKUP(TableRBRanks3141[[#This Row],[Player]],RB!B:O,5,FALSE)</f>
        <v>0</v>
      </c>
      <c r="V161" s="86">
        <f>VLOOKUP(TableRBRanks3141[[#This Row],[Player]],RB!B:O,6,FALSE)</f>
        <v>0</v>
      </c>
      <c r="W161" s="86">
        <f>VLOOKUP(TableRBRanks3141[[#This Row],[Player]],RB!B:O,7,FALSE)</f>
        <v>0</v>
      </c>
      <c r="X161" s="86">
        <f>VLOOKUP(TableRBRanks3141[[#This Row],[Player]],RB!B:O,8,FALSE)</f>
        <v>0</v>
      </c>
      <c r="Y161" s="86">
        <f>VLOOKUP(TableRBRanks3141[[#This Row],[Player]],RB!B:O,9,FALSE)</f>
        <v>0</v>
      </c>
      <c r="Z161" s="86">
        <f>VLOOKUP(TableRBRanks3141[[#This Row],[Player]],RB!B:O,10,FALSE)</f>
        <v>0</v>
      </c>
      <c r="AA161" s="58">
        <f>VLOOKUP(TableRBRanks3141[[#This Row],[Player]],RB!B:O,14,FALSE)</f>
        <v>0</v>
      </c>
      <c r="AB161" s="133" t="e">
        <f>IF(VLOOKUP(TableRBRanks3141[[#This Row],[RK]],'Ranks w Proj'!$P:$AB,13,FALSE)&lt;0,0,VLOOKUP(TableRBRanks3141[[#This Row],[RK]],'Ranks w Proj'!$P:$AB,13,FALSE))</f>
        <v>#VALUE!</v>
      </c>
      <c r="AD161">
        <v>160</v>
      </c>
      <c r="AE161">
        <f>VLOOKUP(TableWRRanks3242[[#This Row],[RK]],Rankings!A:T,13,FALSE)</f>
        <v>0</v>
      </c>
      <c r="AF161" t="str">
        <f>IFERROR(INDEX(TableWRCalcPts[TM],MATCH(TableWRRanks3242[[#This Row],[Player]],TableWRCalcPts[PLAYER],0)),"")</f>
        <v/>
      </c>
      <c r="AG161" t="str">
        <f>IFERROR(INDEX(TableWRCalcPts[BYE],MATCH(TableWRRanks3242[[#This Row],[Player]],TableWRCalcPts[PLAYER],0)),"")</f>
        <v/>
      </c>
      <c r="AH161" s="86">
        <f>VLOOKUP(TableWRRanks3242[[#This Row],[Player]],WR!B:O,4,FALSE)</f>
        <v>0</v>
      </c>
      <c r="AI161" s="86">
        <f>VLOOKUP(TableWRRanks3242[[#This Row],[Player]],WR!B:O,5,FALSE)</f>
        <v>0</v>
      </c>
      <c r="AJ161" s="86">
        <f>VLOOKUP(TableWRRanks3242[[#This Row],[Player]],WR!B:O,6,FALSE)</f>
        <v>0</v>
      </c>
      <c r="AK161" s="86">
        <f>VLOOKUP(TableWRRanks3242[[#This Row],[Player]],WR!B:O,7,FALSE)</f>
        <v>0</v>
      </c>
      <c r="AL161" s="86">
        <f>VLOOKUP(TableWRRanks3242[[#This Row],[Player]],WR!B:O,8,FALSE)</f>
        <v>0</v>
      </c>
      <c r="AM161" s="86">
        <f>VLOOKUP(TableWRRanks3242[[#This Row],[Player]],WR!B:O,9,FALSE)</f>
        <v>0</v>
      </c>
      <c r="AN161" s="58">
        <f>VLOOKUP(TableWRRanks3242[[#This Row],[Player]],WR!B:O,13,FALSE)</f>
        <v>0</v>
      </c>
      <c r="AO161" s="133">
        <f>IF(VLOOKUP(TableWRRanks3242[[#This Row],[RK]],'Ranks w Proj'!AD:AO,12,FALSE)&lt;0,0,VLOOKUP(TableWRRanks3242[[#This Row],[RK]],'Ranks w Proj'!AD:AO,12,FALSE))</f>
        <v>0</v>
      </c>
    </row>
    <row r="162" spans="16:41" x14ac:dyDescent="0.2">
      <c r="P162">
        <v>161</v>
      </c>
      <c r="Q162">
        <f>VLOOKUP(TableRBRanks3141[[#This Row],[RK]],Rankings!A:T,8,FALSE)</f>
        <v>0</v>
      </c>
      <c r="R162" t="str">
        <f>IFERROR(INDEX(TableRBCalcPts[TM],MATCH(TableRBRanks3141[[#This Row],[Player]],TableRBCalcPts[PLAYER],0)),"")</f>
        <v/>
      </c>
      <c r="S162" t="str">
        <f>IFERROR(INDEX(TableRBCalcPts[BYE],MATCH(TableRBRanks3141[[#This Row],[Player]],TableRBCalcPts[PLAYER],0)),"")</f>
        <v/>
      </c>
      <c r="T162" s="86">
        <f>VLOOKUP(TableRBRanks3141[[#This Row],[Player]],RB!B:O,4,FALSE)</f>
        <v>0</v>
      </c>
      <c r="U162" s="86">
        <f>VLOOKUP(TableRBRanks3141[[#This Row],[Player]],RB!B:O,5,FALSE)</f>
        <v>0</v>
      </c>
      <c r="V162" s="86">
        <f>VLOOKUP(TableRBRanks3141[[#This Row],[Player]],RB!B:O,6,FALSE)</f>
        <v>0</v>
      </c>
      <c r="W162" s="86">
        <f>VLOOKUP(TableRBRanks3141[[#This Row],[Player]],RB!B:O,7,FALSE)</f>
        <v>0</v>
      </c>
      <c r="X162" s="86">
        <f>VLOOKUP(TableRBRanks3141[[#This Row],[Player]],RB!B:O,8,FALSE)</f>
        <v>0</v>
      </c>
      <c r="Y162" s="86">
        <f>VLOOKUP(TableRBRanks3141[[#This Row],[Player]],RB!B:O,9,FALSE)</f>
        <v>0</v>
      </c>
      <c r="Z162" s="86">
        <f>VLOOKUP(TableRBRanks3141[[#This Row],[Player]],RB!B:O,10,FALSE)</f>
        <v>0</v>
      </c>
      <c r="AA162" s="58">
        <f>VLOOKUP(TableRBRanks3141[[#This Row],[Player]],RB!B:O,14,FALSE)</f>
        <v>0</v>
      </c>
      <c r="AB162" s="133" t="e">
        <f>IF(VLOOKUP(TableRBRanks3141[[#This Row],[RK]],'Ranks w Proj'!$P:$AB,13,FALSE)&lt;0,0,VLOOKUP(TableRBRanks3141[[#This Row],[RK]],'Ranks w Proj'!$P:$AB,13,FALSE))</f>
        <v>#VALUE!</v>
      </c>
      <c r="AD162">
        <v>161</v>
      </c>
      <c r="AE162">
        <f>VLOOKUP(TableWRRanks3242[[#This Row],[RK]],Rankings!A:T,13,FALSE)</f>
        <v>0</v>
      </c>
      <c r="AF162" t="str">
        <f>IFERROR(INDEX(TableWRCalcPts[TM],MATCH(TableWRRanks3242[[#This Row],[Player]],TableWRCalcPts[PLAYER],0)),"")</f>
        <v/>
      </c>
      <c r="AG162" t="str">
        <f>IFERROR(INDEX(TableWRCalcPts[BYE],MATCH(TableWRRanks3242[[#This Row],[Player]],TableWRCalcPts[PLAYER],0)),"")</f>
        <v/>
      </c>
      <c r="AH162" s="86">
        <f>VLOOKUP(TableWRRanks3242[[#This Row],[Player]],WR!B:O,4,FALSE)</f>
        <v>0</v>
      </c>
      <c r="AI162" s="86">
        <f>VLOOKUP(TableWRRanks3242[[#This Row],[Player]],WR!B:O,5,FALSE)</f>
        <v>0</v>
      </c>
      <c r="AJ162" s="86">
        <f>VLOOKUP(TableWRRanks3242[[#This Row],[Player]],WR!B:O,6,FALSE)</f>
        <v>0</v>
      </c>
      <c r="AK162" s="86">
        <f>VLOOKUP(TableWRRanks3242[[#This Row],[Player]],WR!B:O,7,FALSE)</f>
        <v>0</v>
      </c>
      <c r="AL162" s="86">
        <f>VLOOKUP(TableWRRanks3242[[#This Row],[Player]],WR!B:O,8,FALSE)</f>
        <v>0</v>
      </c>
      <c r="AM162" s="86">
        <f>VLOOKUP(TableWRRanks3242[[#This Row],[Player]],WR!B:O,9,FALSE)</f>
        <v>0</v>
      </c>
      <c r="AN162" s="58">
        <f>VLOOKUP(TableWRRanks3242[[#This Row],[Player]],WR!B:O,13,FALSE)</f>
        <v>0</v>
      </c>
      <c r="AO162" s="133">
        <f>IF(VLOOKUP(TableWRRanks3242[[#This Row],[RK]],'Ranks w Proj'!AD:AO,12,FALSE)&lt;0,0,VLOOKUP(TableWRRanks3242[[#This Row],[RK]],'Ranks w Proj'!AD:AO,12,FALSE))</f>
        <v>0</v>
      </c>
    </row>
    <row r="163" spans="16:41" x14ac:dyDescent="0.2">
      <c r="P163">
        <v>162</v>
      </c>
      <c r="Q163">
        <f>VLOOKUP(TableRBRanks3141[[#This Row],[RK]],Rankings!A:T,8,FALSE)</f>
        <v>0</v>
      </c>
      <c r="R163" t="str">
        <f>IFERROR(INDEX(TableRBCalcPts[TM],MATCH(TableRBRanks3141[[#This Row],[Player]],TableRBCalcPts[PLAYER],0)),"")</f>
        <v/>
      </c>
      <c r="S163" t="str">
        <f>IFERROR(INDEX(TableRBCalcPts[BYE],MATCH(TableRBRanks3141[[#This Row],[Player]],TableRBCalcPts[PLAYER],0)),"")</f>
        <v/>
      </c>
      <c r="T163" s="86">
        <f>VLOOKUP(TableRBRanks3141[[#This Row],[Player]],RB!B:O,4,FALSE)</f>
        <v>0</v>
      </c>
      <c r="U163" s="86">
        <f>VLOOKUP(TableRBRanks3141[[#This Row],[Player]],RB!B:O,5,FALSE)</f>
        <v>0</v>
      </c>
      <c r="V163" s="86">
        <f>VLOOKUP(TableRBRanks3141[[#This Row],[Player]],RB!B:O,6,FALSE)</f>
        <v>0</v>
      </c>
      <c r="W163" s="86">
        <f>VLOOKUP(TableRBRanks3141[[#This Row],[Player]],RB!B:O,7,FALSE)</f>
        <v>0</v>
      </c>
      <c r="X163" s="86">
        <f>VLOOKUP(TableRBRanks3141[[#This Row],[Player]],RB!B:O,8,FALSE)</f>
        <v>0</v>
      </c>
      <c r="Y163" s="86">
        <f>VLOOKUP(TableRBRanks3141[[#This Row],[Player]],RB!B:O,9,FALSE)</f>
        <v>0</v>
      </c>
      <c r="Z163" s="86">
        <f>VLOOKUP(TableRBRanks3141[[#This Row],[Player]],RB!B:O,10,FALSE)</f>
        <v>0</v>
      </c>
      <c r="AA163" s="58">
        <f>VLOOKUP(TableRBRanks3141[[#This Row],[Player]],RB!B:O,14,FALSE)</f>
        <v>0</v>
      </c>
      <c r="AB163" s="133" t="e">
        <f>IF(VLOOKUP(TableRBRanks3141[[#This Row],[RK]],'Ranks w Proj'!$P:$AB,13,FALSE)&lt;0,0,VLOOKUP(TableRBRanks3141[[#This Row],[RK]],'Ranks w Proj'!$P:$AB,13,FALSE))</f>
        <v>#VALUE!</v>
      </c>
      <c r="AD163">
        <v>162</v>
      </c>
      <c r="AE163">
        <f>VLOOKUP(TableWRRanks3242[[#This Row],[RK]],Rankings!A:T,13,FALSE)</f>
        <v>0</v>
      </c>
      <c r="AF163" t="str">
        <f>IFERROR(INDEX(TableWRCalcPts[TM],MATCH(TableWRRanks3242[[#This Row],[Player]],TableWRCalcPts[PLAYER],0)),"")</f>
        <v/>
      </c>
      <c r="AG163" t="str">
        <f>IFERROR(INDEX(TableWRCalcPts[BYE],MATCH(TableWRRanks3242[[#This Row],[Player]],TableWRCalcPts[PLAYER],0)),"")</f>
        <v/>
      </c>
      <c r="AH163" s="86">
        <f>VLOOKUP(TableWRRanks3242[[#This Row],[Player]],WR!B:O,4,FALSE)</f>
        <v>0</v>
      </c>
      <c r="AI163" s="86">
        <f>VLOOKUP(TableWRRanks3242[[#This Row],[Player]],WR!B:O,5,FALSE)</f>
        <v>0</v>
      </c>
      <c r="AJ163" s="86">
        <f>VLOOKUP(TableWRRanks3242[[#This Row],[Player]],WR!B:O,6,FALSE)</f>
        <v>0</v>
      </c>
      <c r="AK163" s="86">
        <f>VLOOKUP(TableWRRanks3242[[#This Row],[Player]],WR!B:O,7,FALSE)</f>
        <v>0</v>
      </c>
      <c r="AL163" s="86">
        <f>VLOOKUP(TableWRRanks3242[[#This Row],[Player]],WR!B:O,8,FALSE)</f>
        <v>0</v>
      </c>
      <c r="AM163" s="86">
        <f>VLOOKUP(TableWRRanks3242[[#This Row],[Player]],WR!B:O,9,FALSE)</f>
        <v>0</v>
      </c>
      <c r="AN163" s="58">
        <f>VLOOKUP(TableWRRanks3242[[#This Row],[Player]],WR!B:O,13,FALSE)</f>
        <v>0</v>
      </c>
      <c r="AO163" s="133">
        <f>IF(VLOOKUP(TableWRRanks3242[[#This Row],[RK]],'Ranks w Proj'!AD:AO,12,FALSE)&lt;0,0,VLOOKUP(TableWRRanks3242[[#This Row],[RK]],'Ranks w Proj'!AD:AO,12,FALSE))</f>
        <v>0</v>
      </c>
    </row>
    <row r="164" spans="16:41" x14ac:dyDescent="0.2">
      <c r="P164">
        <v>163</v>
      </c>
      <c r="Q164">
        <f>VLOOKUP(TableRBRanks3141[[#This Row],[RK]],Rankings!A:T,8,FALSE)</f>
        <v>0</v>
      </c>
      <c r="R164" t="str">
        <f>IFERROR(INDEX(TableRBCalcPts[TM],MATCH(TableRBRanks3141[[#This Row],[Player]],TableRBCalcPts[PLAYER],0)),"")</f>
        <v/>
      </c>
      <c r="S164" t="str">
        <f>IFERROR(INDEX(TableRBCalcPts[BYE],MATCH(TableRBRanks3141[[#This Row],[Player]],TableRBCalcPts[PLAYER],0)),"")</f>
        <v/>
      </c>
      <c r="T164" s="86">
        <f>VLOOKUP(TableRBRanks3141[[#This Row],[Player]],RB!B:O,4,FALSE)</f>
        <v>0</v>
      </c>
      <c r="U164" s="86">
        <f>VLOOKUP(TableRBRanks3141[[#This Row],[Player]],RB!B:O,5,FALSE)</f>
        <v>0</v>
      </c>
      <c r="V164" s="86">
        <f>VLOOKUP(TableRBRanks3141[[#This Row],[Player]],RB!B:O,6,FALSE)</f>
        <v>0</v>
      </c>
      <c r="W164" s="86">
        <f>VLOOKUP(TableRBRanks3141[[#This Row],[Player]],RB!B:O,7,FALSE)</f>
        <v>0</v>
      </c>
      <c r="X164" s="86">
        <f>VLOOKUP(TableRBRanks3141[[#This Row],[Player]],RB!B:O,8,FALSE)</f>
        <v>0</v>
      </c>
      <c r="Y164" s="86">
        <f>VLOOKUP(TableRBRanks3141[[#This Row],[Player]],RB!B:O,9,FALSE)</f>
        <v>0</v>
      </c>
      <c r="Z164" s="86">
        <f>VLOOKUP(TableRBRanks3141[[#This Row],[Player]],RB!B:O,10,FALSE)</f>
        <v>0</v>
      </c>
      <c r="AA164" s="58">
        <f>VLOOKUP(TableRBRanks3141[[#This Row],[Player]],RB!B:O,14,FALSE)</f>
        <v>0</v>
      </c>
      <c r="AB164" s="133" t="e">
        <f>IF(VLOOKUP(TableRBRanks3141[[#This Row],[RK]],'Ranks w Proj'!$P:$AB,13,FALSE)&lt;0,0,VLOOKUP(TableRBRanks3141[[#This Row],[RK]],'Ranks w Proj'!$P:$AB,13,FALSE))</f>
        <v>#VALUE!</v>
      </c>
      <c r="AD164">
        <v>163</v>
      </c>
      <c r="AE164">
        <f>VLOOKUP(TableWRRanks3242[[#This Row],[RK]],Rankings!A:T,13,FALSE)</f>
        <v>0</v>
      </c>
      <c r="AF164" t="str">
        <f>IFERROR(INDEX(TableWRCalcPts[TM],MATCH(TableWRRanks3242[[#This Row],[Player]],TableWRCalcPts[PLAYER],0)),"")</f>
        <v/>
      </c>
      <c r="AG164" t="str">
        <f>IFERROR(INDEX(TableWRCalcPts[BYE],MATCH(TableWRRanks3242[[#This Row],[Player]],TableWRCalcPts[PLAYER],0)),"")</f>
        <v/>
      </c>
      <c r="AH164" s="86">
        <f>VLOOKUP(TableWRRanks3242[[#This Row],[Player]],WR!B:O,4,FALSE)</f>
        <v>0</v>
      </c>
      <c r="AI164" s="86">
        <f>VLOOKUP(TableWRRanks3242[[#This Row],[Player]],WR!B:O,5,FALSE)</f>
        <v>0</v>
      </c>
      <c r="AJ164" s="86">
        <f>VLOOKUP(TableWRRanks3242[[#This Row],[Player]],WR!B:O,6,FALSE)</f>
        <v>0</v>
      </c>
      <c r="AK164" s="86">
        <f>VLOOKUP(TableWRRanks3242[[#This Row],[Player]],WR!B:O,7,FALSE)</f>
        <v>0</v>
      </c>
      <c r="AL164" s="86">
        <f>VLOOKUP(TableWRRanks3242[[#This Row],[Player]],WR!B:O,8,FALSE)</f>
        <v>0</v>
      </c>
      <c r="AM164" s="86">
        <f>VLOOKUP(TableWRRanks3242[[#This Row],[Player]],WR!B:O,9,FALSE)</f>
        <v>0</v>
      </c>
      <c r="AN164" s="58">
        <f>VLOOKUP(TableWRRanks3242[[#This Row],[Player]],WR!B:O,13,FALSE)</f>
        <v>0</v>
      </c>
      <c r="AO164" s="133" t="e">
        <f>IF(VLOOKUP(TableWRRanks3242[[#This Row],[RK]],'Ranks w Proj'!AD:AO,12,FALSE)&lt;0,0,VLOOKUP(TableWRRanks3242[[#This Row],[RK]],'Ranks w Proj'!AD:AO,12,FALSE))</f>
        <v>#VALUE!</v>
      </c>
    </row>
    <row r="165" spans="16:41" x14ac:dyDescent="0.2">
      <c r="P165">
        <v>164</v>
      </c>
      <c r="Q165">
        <f>VLOOKUP(TableRBRanks3141[[#This Row],[RK]],Rankings!A:T,8,FALSE)</f>
        <v>0</v>
      </c>
      <c r="R165" t="str">
        <f>IFERROR(INDEX(TableRBCalcPts[TM],MATCH(TableRBRanks3141[[#This Row],[Player]],TableRBCalcPts[PLAYER],0)),"")</f>
        <v/>
      </c>
      <c r="S165" t="str">
        <f>IFERROR(INDEX(TableRBCalcPts[BYE],MATCH(TableRBRanks3141[[#This Row],[Player]],TableRBCalcPts[PLAYER],0)),"")</f>
        <v/>
      </c>
      <c r="T165" s="86">
        <f>VLOOKUP(TableRBRanks3141[[#This Row],[Player]],RB!B:O,4,FALSE)</f>
        <v>0</v>
      </c>
      <c r="U165" s="86">
        <f>VLOOKUP(TableRBRanks3141[[#This Row],[Player]],RB!B:O,5,FALSE)</f>
        <v>0</v>
      </c>
      <c r="V165" s="86">
        <f>VLOOKUP(TableRBRanks3141[[#This Row],[Player]],RB!B:O,6,FALSE)</f>
        <v>0</v>
      </c>
      <c r="W165" s="86">
        <f>VLOOKUP(TableRBRanks3141[[#This Row],[Player]],RB!B:O,7,FALSE)</f>
        <v>0</v>
      </c>
      <c r="X165" s="86">
        <f>VLOOKUP(TableRBRanks3141[[#This Row],[Player]],RB!B:O,8,FALSE)</f>
        <v>0</v>
      </c>
      <c r="Y165" s="86">
        <f>VLOOKUP(TableRBRanks3141[[#This Row],[Player]],RB!B:O,9,FALSE)</f>
        <v>0</v>
      </c>
      <c r="Z165" s="86">
        <f>VLOOKUP(TableRBRanks3141[[#This Row],[Player]],RB!B:O,10,FALSE)</f>
        <v>0</v>
      </c>
      <c r="AA165" s="58">
        <f>VLOOKUP(TableRBRanks3141[[#This Row],[Player]],RB!B:O,14,FALSE)</f>
        <v>0</v>
      </c>
      <c r="AB165" s="133" t="e">
        <f>IF(VLOOKUP(TableRBRanks3141[[#This Row],[RK]],'Ranks w Proj'!$P:$AB,13,FALSE)&lt;0,0,VLOOKUP(TableRBRanks3141[[#This Row],[RK]],'Ranks w Proj'!$P:$AB,13,FALSE))</f>
        <v>#VALUE!</v>
      </c>
      <c r="AD165">
        <v>164</v>
      </c>
      <c r="AE165">
        <f>VLOOKUP(TableWRRanks3242[[#This Row],[RK]],Rankings!A:T,13,FALSE)</f>
        <v>0</v>
      </c>
      <c r="AF165" t="str">
        <f>IFERROR(INDEX(TableWRCalcPts[TM],MATCH(TableWRRanks3242[[#This Row],[Player]],TableWRCalcPts[PLAYER],0)),"")</f>
        <v/>
      </c>
      <c r="AG165" t="str">
        <f>IFERROR(INDEX(TableWRCalcPts[BYE],MATCH(TableWRRanks3242[[#This Row],[Player]],TableWRCalcPts[PLAYER],0)),"")</f>
        <v/>
      </c>
      <c r="AH165" s="86">
        <f>VLOOKUP(TableWRRanks3242[[#This Row],[Player]],WR!B:O,4,FALSE)</f>
        <v>0</v>
      </c>
      <c r="AI165" s="86">
        <f>VLOOKUP(TableWRRanks3242[[#This Row],[Player]],WR!B:O,5,FALSE)</f>
        <v>0</v>
      </c>
      <c r="AJ165" s="86">
        <f>VLOOKUP(TableWRRanks3242[[#This Row],[Player]],WR!B:O,6,FALSE)</f>
        <v>0</v>
      </c>
      <c r="AK165" s="86">
        <f>VLOOKUP(TableWRRanks3242[[#This Row],[Player]],WR!B:O,7,FALSE)</f>
        <v>0</v>
      </c>
      <c r="AL165" s="86">
        <f>VLOOKUP(TableWRRanks3242[[#This Row],[Player]],WR!B:O,8,FALSE)</f>
        <v>0</v>
      </c>
      <c r="AM165" s="86">
        <f>VLOOKUP(TableWRRanks3242[[#This Row],[Player]],WR!B:O,9,FALSE)</f>
        <v>0</v>
      </c>
      <c r="AN165" s="58">
        <f>VLOOKUP(TableWRRanks3242[[#This Row],[Player]],WR!B:O,13,FALSE)</f>
        <v>0</v>
      </c>
      <c r="AO165" s="133" t="e">
        <f>IF(VLOOKUP(TableWRRanks3242[[#This Row],[RK]],'Ranks w Proj'!AD:AO,12,FALSE)&lt;0,0,VLOOKUP(TableWRRanks3242[[#This Row],[RK]],'Ranks w Proj'!AD:AO,12,FALSE))</f>
        <v>#VALUE!</v>
      </c>
    </row>
    <row r="166" spans="16:41" x14ac:dyDescent="0.2">
      <c r="P166">
        <v>165</v>
      </c>
      <c r="Q166">
        <f>VLOOKUP(TableRBRanks3141[[#This Row],[RK]],Rankings!A:T,8,FALSE)</f>
        <v>0</v>
      </c>
      <c r="R166" t="str">
        <f>IFERROR(INDEX(TableRBCalcPts[TM],MATCH(TableRBRanks3141[[#This Row],[Player]],TableRBCalcPts[PLAYER],0)),"")</f>
        <v/>
      </c>
      <c r="S166" t="str">
        <f>IFERROR(INDEX(TableRBCalcPts[BYE],MATCH(TableRBRanks3141[[#This Row],[Player]],TableRBCalcPts[PLAYER],0)),"")</f>
        <v/>
      </c>
      <c r="T166" s="86">
        <f>VLOOKUP(TableRBRanks3141[[#This Row],[Player]],RB!B:O,4,FALSE)</f>
        <v>0</v>
      </c>
      <c r="U166" s="86">
        <f>VLOOKUP(TableRBRanks3141[[#This Row],[Player]],RB!B:O,5,FALSE)</f>
        <v>0</v>
      </c>
      <c r="V166" s="86">
        <f>VLOOKUP(TableRBRanks3141[[#This Row],[Player]],RB!B:O,6,FALSE)</f>
        <v>0</v>
      </c>
      <c r="W166" s="86">
        <f>VLOOKUP(TableRBRanks3141[[#This Row],[Player]],RB!B:O,7,FALSE)</f>
        <v>0</v>
      </c>
      <c r="X166" s="86">
        <f>VLOOKUP(TableRBRanks3141[[#This Row],[Player]],RB!B:O,8,FALSE)</f>
        <v>0</v>
      </c>
      <c r="Y166" s="86">
        <f>VLOOKUP(TableRBRanks3141[[#This Row],[Player]],RB!B:O,9,FALSE)</f>
        <v>0</v>
      </c>
      <c r="Z166" s="86">
        <f>VLOOKUP(TableRBRanks3141[[#This Row],[Player]],RB!B:O,10,FALSE)</f>
        <v>0</v>
      </c>
      <c r="AA166" s="58">
        <f>VLOOKUP(TableRBRanks3141[[#This Row],[Player]],RB!B:O,14,FALSE)</f>
        <v>0</v>
      </c>
      <c r="AB166" s="133" t="e">
        <f>IF(VLOOKUP(TableRBRanks3141[[#This Row],[RK]],'Ranks w Proj'!$P:$AB,13,FALSE)&lt;0,0,VLOOKUP(TableRBRanks3141[[#This Row],[RK]],'Ranks w Proj'!$P:$AB,13,FALSE))</f>
        <v>#VALUE!</v>
      </c>
      <c r="AD166">
        <v>165</v>
      </c>
      <c r="AE166">
        <f>VLOOKUP(TableWRRanks3242[[#This Row],[RK]],Rankings!A:T,13,FALSE)</f>
        <v>0</v>
      </c>
      <c r="AF166" t="str">
        <f>IFERROR(INDEX(TableWRCalcPts[TM],MATCH(TableWRRanks3242[[#This Row],[Player]],TableWRCalcPts[PLAYER],0)),"")</f>
        <v/>
      </c>
      <c r="AG166" t="str">
        <f>IFERROR(INDEX(TableWRCalcPts[BYE],MATCH(TableWRRanks3242[[#This Row],[Player]],TableWRCalcPts[PLAYER],0)),"")</f>
        <v/>
      </c>
      <c r="AH166" s="86">
        <f>VLOOKUP(TableWRRanks3242[[#This Row],[Player]],WR!B:O,4,FALSE)</f>
        <v>0</v>
      </c>
      <c r="AI166" s="86">
        <f>VLOOKUP(TableWRRanks3242[[#This Row],[Player]],WR!B:O,5,FALSE)</f>
        <v>0</v>
      </c>
      <c r="AJ166" s="86">
        <f>VLOOKUP(TableWRRanks3242[[#This Row],[Player]],WR!B:O,6,FALSE)</f>
        <v>0</v>
      </c>
      <c r="AK166" s="86">
        <f>VLOOKUP(TableWRRanks3242[[#This Row],[Player]],WR!B:O,7,FALSE)</f>
        <v>0</v>
      </c>
      <c r="AL166" s="86">
        <f>VLOOKUP(TableWRRanks3242[[#This Row],[Player]],WR!B:O,8,FALSE)</f>
        <v>0</v>
      </c>
      <c r="AM166" s="86">
        <f>VLOOKUP(TableWRRanks3242[[#This Row],[Player]],WR!B:O,9,FALSE)</f>
        <v>0</v>
      </c>
      <c r="AN166" s="58">
        <f>VLOOKUP(TableWRRanks3242[[#This Row],[Player]],WR!B:O,13,FALSE)</f>
        <v>0</v>
      </c>
      <c r="AO166" s="133" t="e">
        <f>IF(VLOOKUP(TableWRRanks3242[[#This Row],[RK]],'Ranks w Proj'!AD:AO,12,FALSE)&lt;0,0,VLOOKUP(TableWRRanks3242[[#This Row],[RK]],'Ranks w Proj'!AD:AO,12,FALSE))</f>
        <v>#VALUE!</v>
      </c>
    </row>
    <row r="167" spans="16:41" x14ac:dyDescent="0.2">
      <c r="P167">
        <v>166</v>
      </c>
      <c r="Q167">
        <f>VLOOKUP(TableRBRanks3141[[#This Row],[RK]],Rankings!A:T,8,FALSE)</f>
        <v>0</v>
      </c>
      <c r="R167" t="str">
        <f>IFERROR(INDEX(TableRBCalcPts[TM],MATCH(TableRBRanks3141[[#This Row],[Player]],TableRBCalcPts[PLAYER],0)),"")</f>
        <v/>
      </c>
      <c r="S167" t="str">
        <f>IFERROR(INDEX(TableRBCalcPts[BYE],MATCH(TableRBRanks3141[[#This Row],[Player]],TableRBCalcPts[PLAYER],0)),"")</f>
        <v/>
      </c>
      <c r="T167" s="86">
        <f>VLOOKUP(TableRBRanks3141[[#This Row],[Player]],RB!B:O,4,FALSE)</f>
        <v>0</v>
      </c>
      <c r="U167" s="86">
        <f>VLOOKUP(TableRBRanks3141[[#This Row],[Player]],RB!B:O,5,FALSE)</f>
        <v>0</v>
      </c>
      <c r="V167" s="86">
        <f>VLOOKUP(TableRBRanks3141[[#This Row],[Player]],RB!B:O,6,FALSE)</f>
        <v>0</v>
      </c>
      <c r="W167" s="86">
        <f>VLOOKUP(TableRBRanks3141[[#This Row],[Player]],RB!B:O,7,FALSE)</f>
        <v>0</v>
      </c>
      <c r="X167" s="86">
        <f>VLOOKUP(TableRBRanks3141[[#This Row],[Player]],RB!B:O,8,FALSE)</f>
        <v>0</v>
      </c>
      <c r="Y167" s="86">
        <f>VLOOKUP(TableRBRanks3141[[#This Row],[Player]],RB!B:O,9,FALSE)</f>
        <v>0</v>
      </c>
      <c r="Z167" s="86">
        <f>VLOOKUP(TableRBRanks3141[[#This Row],[Player]],RB!B:O,10,FALSE)</f>
        <v>0</v>
      </c>
      <c r="AA167" s="58">
        <f>VLOOKUP(TableRBRanks3141[[#This Row],[Player]],RB!B:O,14,FALSE)</f>
        <v>0</v>
      </c>
      <c r="AB167" s="133" t="e">
        <f>IF(VLOOKUP(TableRBRanks3141[[#This Row],[RK]],'Ranks w Proj'!$P:$AB,13,FALSE)&lt;0,0,VLOOKUP(TableRBRanks3141[[#This Row],[RK]],'Ranks w Proj'!$P:$AB,13,FALSE))</f>
        <v>#VALUE!</v>
      </c>
      <c r="AD167">
        <v>166</v>
      </c>
      <c r="AE167">
        <f>VLOOKUP(TableWRRanks3242[[#This Row],[RK]],Rankings!A:T,13,FALSE)</f>
        <v>0</v>
      </c>
      <c r="AF167" t="str">
        <f>IFERROR(INDEX(TableWRCalcPts[TM],MATCH(TableWRRanks3242[[#This Row],[Player]],TableWRCalcPts[PLAYER],0)),"")</f>
        <v/>
      </c>
      <c r="AG167" t="str">
        <f>IFERROR(INDEX(TableWRCalcPts[BYE],MATCH(TableWRRanks3242[[#This Row],[Player]],TableWRCalcPts[PLAYER],0)),"")</f>
        <v/>
      </c>
      <c r="AH167" s="86">
        <f>VLOOKUP(TableWRRanks3242[[#This Row],[Player]],WR!B:O,4,FALSE)</f>
        <v>0</v>
      </c>
      <c r="AI167" s="86">
        <f>VLOOKUP(TableWRRanks3242[[#This Row],[Player]],WR!B:O,5,FALSE)</f>
        <v>0</v>
      </c>
      <c r="AJ167" s="86">
        <f>VLOOKUP(TableWRRanks3242[[#This Row],[Player]],WR!B:O,6,FALSE)</f>
        <v>0</v>
      </c>
      <c r="AK167" s="86">
        <f>VLOOKUP(TableWRRanks3242[[#This Row],[Player]],WR!B:O,7,FALSE)</f>
        <v>0</v>
      </c>
      <c r="AL167" s="86">
        <f>VLOOKUP(TableWRRanks3242[[#This Row],[Player]],WR!B:O,8,FALSE)</f>
        <v>0</v>
      </c>
      <c r="AM167" s="86">
        <f>VLOOKUP(TableWRRanks3242[[#This Row],[Player]],WR!B:O,9,FALSE)</f>
        <v>0</v>
      </c>
      <c r="AN167" s="58">
        <f>VLOOKUP(TableWRRanks3242[[#This Row],[Player]],WR!B:O,13,FALSE)</f>
        <v>0</v>
      </c>
      <c r="AO167" s="133" t="e">
        <f>IF(VLOOKUP(TableWRRanks3242[[#This Row],[RK]],'Ranks w Proj'!AD:AO,12,FALSE)&lt;0,0,VLOOKUP(TableWRRanks3242[[#This Row],[RK]],'Ranks w Proj'!AD:AO,12,FALSE))</f>
        <v>#VALUE!</v>
      </c>
    </row>
    <row r="168" spans="16:41" x14ac:dyDescent="0.2">
      <c r="P168">
        <v>167</v>
      </c>
      <c r="Q168">
        <f>VLOOKUP(TableRBRanks3141[[#This Row],[RK]],Rankings!A:T,8,FALSE)</f>
        <v>0</v>
      </c>
      <c r="R168" t="str">
        <f>IFERROR(INDEX(TableRBCalcPts[TM],MATCH(TableRBRanks3141[[#This Row],[Player]],TableRBCalcPts[PLAYER],0)),"")</f>
        <v/>
      </c>
      <c r="S168" t="str">
        <f>IFERROR(INDEX(TableRBCalcPts[BYE],MATCH(TableRBRanks3141[[#This Row],[Player]],TableRBCalcPts[PLAYER],0)),"")</f>
        <v/>
      </c>
      <c r="T168" s="86">
        <f>VLOOKUP(TableRBRanks3141[[#This Row],[Player]],RB!B:O,4,FALSE)</f>
        <v>0</v>
      </c>
      <c r="U168" s="86">
        <f>VLOOKUP(TableRBRanks3141[[#This Row],[Player]],RB!B:O,5,FALSE)</f>
        <v>0</v>
      </c>
      <c r="V168" s="86">
        <f>VLOOKUP(TableRBRanks3141[[#This Row],[Player]],RB!B:O,6,FALSE)</f>
        <v>0</v>
      </c>
      <c r="W168" s="86">
        <f>VLOOKUP(TableRBRanks3141[[#This Row],[Player]],RB!B:O,7,FALSE)</f>
        <v>0</v>
      </c>
      <c r="X168" s="86">
        <f>VLOOKUP(TableRBRanks3141[[#This Row],[Player]],RB!B:O,8,FALSE)</f>
        <v>0</v>
      </c>
      <c r="Y168" s="86">
        <f>VLOOKUP(TableRBRanks3141[[#This Row],[Player]],RB!B:O,9,FALSE)</f>
        <v>0</v>
      </c>
      <c r="Z168" s="86">
        <f>VLOOKUP(TableRBRanks3141[[#This Row],[Player]],RB!B:O,10,FALSE)</f>
        <v>0</v>
      </c>
      <c r="AA168" s="58">
        <f>VLOOKUP(TableRBRanks3141[[#This Row],[Player]],RB!B:O,14,FALSE)</f>
        <v>0</v>
      </c>
      <c r="AB168" s="133" t="e">
        <f>IF(VLOOKUP(TableRBRanks3141[[#This Row],[RK]],'Ranks w Proj'!$P:$AB,13,FALSE)&lt;0,0,VLOOKUP(TableRBRanks3141[[#This Row],[RK]],'Ranks w Proj'!$P:$AB,13,FALSE))</f>
        <v>#VALUE!</v>
      </c>
      <c r="AD168">
        <v>167</v>
      </c>
      <c r="AE168">
        <f>VLOOKUP(TableWRRanks3242[[#This Row],[RK]],Rankings!A:T,13,FALSE)</f>
        <v>0</v>
      </c>
      <c r="AF168" t="str">
        <f>IFERROR(INDEX(TableWRCalcPts[TM],MATCH(TableWRRanks3242[[#This Row],[Player]],TableWRCalcPts[PLAYER],0)),"")</f>
        <v/>
      </c>
      <c r="AG168" t="str">
        <f>IFERROR(INDEX(TableWRCalcPts[BYE],MATCH(TableWRRanks3242[[#This Row],[Player]],TableWRCalcPts[PLAYER],0)),"")</f>
        <v/>
      </c>
      <c r="AH168" s="86">
        <f>VLOOKUP(TableWRRanks3242[[#This Row],[Player]],WR!B:O,4,FALSE)</f>
        <v>0</v>
      </c>
      <c r="AI168" s="86">
        <f>VLOOKUP(TableWRRanks3242[[#This Row],[Player]],WR!B:O,5,FALSE)</f>
        <v>0</v>
      </c>
      <c r="AJ168" s="86">
        <f>VLOOKUP(TableWRRanks3242[[#This Row],[Player]],WR!B:O,6,FALSE)</f>
        <v>0</v>
      </c>
      <c r="AK168" s="86">
        <f>VLOOKUP(TableWRRanks3242[[#This Row],[Player]],WR!B:O,7,FALSE)</f>
        <v>0</v>
      </c>
      <c r="AL168" s="86">
        <f>VLOOKUP(TableWRRanks3242[[#This Row],[Player]],WR!B:O,8,FALSE)</f>
        <v>0</v>
      </c>
      <c r="AM168" s="86">
        <f>VLOOKUP(TableWRRanks3242[[#This Row],[Player]],WR!B:O,9,FALSE)</f>
        <v>0</v>
      </c>
      <c r="AN168" s="58">
        <f>VLOOKUP(TableWRRanks3242[[#This Row],[Player]],WR!B:O,13,FALSE)</f>
        <v>0</v>
      </c>
      <c r="AO168" s="133" t="e">
        <f>IF(VLOOKUP(TableWRRanks3242[[#This Row],[RK]],'Ranks w Proj'!AD:AO,12,FALSE)&lt;0,0,VLOOKUP(TableWRRanks3242[[#This Row],[RK]],'Ranks w Proj'!AD:AO,12,FALSE))</f>
        <v>#VALUE!</v>
      </c>
    </row>
    <row r="169" spans="16:41" x14ac:dyDescent="0.2">
      <c r="P169">
        <v>168</v>
      </c>
      <c r="Q169">
        <f>VLOOKUP(TableRBRanks3141[[#This Row],[RK]],Rankings!A:T,8,FALSE)</f>
        <v>0</v>
      </c>
      <c r="R169" t="str">
        <f>IFERROR(INDEX(TableRBCalcPts[TM],MATCH(TableRBRanks3141[[#This Row],[Player]],TableRBCalcPts[PLAYER],0)),"")</f>
        <v/>
      </c>
      <c r="S169" t="str">
        <f>IFERROR(INDEX(TableRBCalcPts[BYE],MATCH(TableRBRanks3141[[#This Row],[Player]],TableRBCalcPts[PLAYER],0)),"")</f>
        <v/>
      </c>
      <c r="T169" s="86">
        <f>VLOOKUP(TableRBRanks3141[[#This Row],[Player]],RB!B:O,4,FALSE)</f>
        <v>0</v>
      </c>
      <c r="U169" s="86">
        <f>VLOOKUP(TableRBRanks3141[[#This Row],[Player]],RB!B:O,5,FALSE)</f>
        <v>0</v>
      </c>
      <c r="V169" s="86">
        <f>VLOOKUP(TableRBRanks3141[[#This Row],[Player]],RB!B:O,6,FALSE)</f>
        <v>0</v>
      </c>
      <c r="W169" s="86">
        <f>VLOOKUP(TableRBRanks3141[[#This Row],[Player]],RB!B:O,7,FALSE)</f>
        <v>0</v>
      </c>
      <c r="X169" s="86">
        <f>VLOOKUP(TableRBRanks3141[[#This Row],[Player]],RB!B:O,8,FALSE)</f>
        <v>0</v>
      </c>
      <c r="Y169" s="86">
        <f>VLOOKUP(TableRBRanks3141[[#This Row],[Player]],RB!B:O,9,FALSE)</f>
        <v>0</v>
      </c>
      <c r="Z169" s="86">
        <f>VLOOKUP(TableRBRanks3141[[#This Row],[Player]],RB!B:O,10,FALSE)</f>
        <v>0</v>
      </c>
      <c r="AA169" s="58">
        <f>VLOOKUP(TableRBRanks3141[[#This Row],[Player]],RB!B:O,14,FALSE)</f>
        <v>0</v>
      </c>
      <c r="AB169" s="133" t="e">
        <f>IF(VLOOKUP(TableRBRanks3141[[#This Row],[RK]],'Ranks w Proj'!$P:$AB,13,FALSE)&lt;0,0,VLOOKUP(TableRBRanks3141[[#This Row],[RK]],'Ranks w Proj'!$P:$AB,13,FALSE))</f>
        <v>#VALUE!</v>
      </c>
      <c r="AD169">
        <v>168</v>
      </c>
      <c r="AE169">
        <f>VLOOKUP(TableWRRanks3242[[#This Row],[RK]],Rankings!A:T,13,FALSE)</f>
        <v>0</v>
      </c>
      <c r="AF169" t="str">
        <f>IFERROR(INDEX(TableWRCalcPts[TM],MATCH(TableWRRanks3242[[#This Row],[Player]],TableWRCalcPts[PLAYER],0)),"")</f>
        <v/>
      </c>
      <c r="AG169" t="str">
        <f>IFERROR(INDEX(TableWRCalcPts[BYE],MATCH(TableWRRanks3242[[#This Row],[Player]],TableWRCalcPts[PLAYER],0)),"")</f>
        <v/>
      </c>
      <c r="AH169" s="86">
        <f>VLOOKUP(TableWRRanks3242[[#This Row],[Player]],WR!B:O,4,FALSE)</f>
        <v>0</v>
      </c>
      <c r="AI169" s="86">
        <f>VLOOKUP(TableWRRanks3242[[#This Row],[Player]],WR!B:O,5,FALSE)</f>
        <v>0</v>
      </c>
      <c r="AJ169" s="86">
        <f>VLOOKUP(TableWRRanks3242[[#This Row],[Player]],WR!B:O,6,FALSE)</f>
        <v>0</v>
      </c>
      <c r="AK169" s="86">
        <f>VLOOKUP(TableWRRanks3242[[#This Row],[Player]],WR!B:O,7,FALSE)</f>
        <v>0</v>
      </c>
      <c r="AL169" s="86">
        <f>VLOOKUP(TableWRRanks3242[[#This Row],[Player]],WR!B:O,8,FALSE)</f>
        <v>0</v>
      </c>
      <c r="AM169" s="86">
        <f>VLOOKUP(TableWRRanks3242[[#This Row],[Player]],WR!B:O,9,FALSE)</f>
        <v>0</v>
      </c>
      <c r="AN169" s="58">
        <f>VLOOKUP(TableWRRanks3242[[#This Row],[Player]],WR!B:O,13,FALSE)</f>
        <v>0</v>
      </c>
      <c r="AO169" s="133" t="e">
        <f>IF(VLOOKUP(TableWRRanks3242[[#This Row],[RK]],'Ranks w Proj'!AD:AO,12,FALSE)&lt;0,0,VLOOKUP(TableWRRanks3242[[#This Row],[RK]],'Ranks w Proj'!AD:AO,12,FALSE))</f>
        <v>#VALUE!</v>
      </c>
    </row>
    <row r="170" spans="16:41" x14ac:dyDescent="0.2">
      <c r="P170">
        <v>169</v>
      </c>
      <c r="Q170">
        <f>VLOOKUP(TableRBRanks3141[[#This Row],[RK]],Rankings!A:T,8,FALSE)</f>
        <v>0</v>
      </c>
      <c r="R170" t="str">
        <f>IFERROR(INDEX(TableRBCalcPts[TM],MATCH(TableRBRanks3141[[#This Row],[Player]],TableRBCalcPts[PLAYER],0)),"")</f>
        <v/>
      </c>
      <c r="S170" t="str">
        <f>IFERROR(INDEX(TableRBCalcPts[BYE],MATCH(TableRBRanks3141[[#This Row],[Player]],TableRBCalcPts[PLAYER],0)),"")</f>
        <v/>
      </c>
      <c r="T170" s="86">
        <f>VLOOKUP(TableRBRanks3141[[#This Row],[Player]],RB!B:O,4,FALSE)</f>
        <v>0</v>
      </c>
      <c r="U170" s="86">
        <f>VLOOKUP(TableRBRanks3141[[#This Row],[Player]],RB!B:O,5,FALSE)</f>
        <v>0</v>
      </c>
      <c r="V170" s="86">
        <f>VLOOKUP(TableRBRanks3141[[#This Row],[Player]],RB!B:O,6,FALSE)</f>
        <v>0</v>
      </c>
      <c r="W170" s="86">
        <f>VLOOKUP(TableRBRanks3141[[#This Row],[Player]],RB!B:O,7,FALSE)</f>
        <v>0</v>
      </c>
      <c r="X170" s="86">
        <f>VLOOKUP(TableRBRanks3141[[#This Row],[Player]],RB!B:O,8,FALSE)</f>
        <v>0</v>
      </c>
      <c r="Y170" s="86">
        <f>VLOOKUP(TableRBRanks3141[[#This Row],[Player]],RB!B:O,9,FALSE)</f>
        <v>0</v>
      </c>
      <c r="Z170" s="86">
        <f>VLOOKUP(TableRBRanks3141[[#This Row],[Player]],RB!B:O,10,FALSE)</f>
        <v>0</v>
      </c>
      <c r="AA170" s="58">
        <f>VLOOKUP(TableRBRanks3141[[#This Row],[Player]],RB!B:O,14,FALSE)</f>
        <v>0</v>
      </c>
      <c r="AB170" s="133" t="e">
        <f>IF(VLOOKUP(TableRBRanks3141[[#This Row],[RK]],'Ranks w Proj'!$P:$AB,13,FALSE)&lt;0,0,VLOOKUP(TableRBRanks3141[[#This Row],[RK]],'Ranks w Proj'!$P:$AB,13,FALSE))</f>
        <v>#VALUE!</v>
      </c>
      <c r="AD170">
        <v>169</v>
      </c>
      <c r="AE170">
        <f>VLOOKUP(TableWRRanks3242[[#This Row],[RK]],Rankings!A:T,13,FALSE)</f>
        <v>0</v>
      </c>
      <c r="AF170" t="str">
        <f>IFERROR(INDEX(TableWRCalcPts[TM],MATCH(TableWRRanks3242[[#This Row],[Player]],TableWRCalcPts[PLAYER],0)),"")</f>
        <v/>
      </c>
      <c r="AG170" t="str">
        <f>IFERROR(INDEX(TableWRCalcPts[BYE],MATCH(TableWRRanks3242[[#This Row],[Player]],TableWRCalcPts[PLAYER],0)),"")</f>
        <v/>
      </c>
      <c r="AH170" s="86">
        <f>VLOOKUP(TableWRRanks3242[[#This Row],[Player]],WR!B:O,4,FALSE)</f>
        <v>0</v>
      </c>
      <c r="AI170" s="86">
        <f>VLOOKUP(TableWRRanks3242[[#This Row],[Player]],WR!B:O,5,FALSE)</f>
        <v>0</v>
      </c>
      <c r="AJ170" s="86">
        <f>VLOOKUP(TableWRRanks3242[[#This Row],[Player]],WR!B:O,6,FALSE)</f>
        <v>0</v>
      </c>
      <c r="AK170" s="86">
        <f>VLOOKUP(TableWRRanks3242[[#This Row],[Player]],WR!B:O,7,FALSE)</f>
        <v>0</v>
      </c>
      <c r="AL170" s="86">
        <f>VLOOKUP(TableWRRanks3242[[#This Row],[Player]],WR!B:O,8,FALSE)</f>
        <v>0</v>
      </c>
      <c r="AM170" s="86">
        <f>VLOOKUP(TableWRRanks3242[[#This Row],[Player]],WR!B:O,9,FALSE)</f>
        <v>0</v>
      </c>
      <c r="AN170" s="58">
        <f>VLOOKUP(TableWRRanks3242[[#This Row],[Player]],WR!B:O,13,FALSE)</f>
        <v>0</v>
      </c>
      <c r="AO170" s="133" t="e">
        <f>IF(VLOOKUP(TableWRRanks3242[[#This Row],[RK]],'Ranks w Proj'!AD:AO,12,FALSE)&lt;0,0,VLOOKUP(TableWRRanks3242[[#This Row],[RK]],'Ranks w Proj'!AD:AO,12,FALSE))</f>
        <v>#VALUE!</v>
      </c>
    </row>
    <row r="171" spans="16:41" x14ac:dyDescent="0.2">
      <c r="P171">
        <v>170</v>
      </c>
      <c r="Q171">
        <f>VLOOKUP(TableRBRanks3141[[#This Row],[RK]],Rankings!A:T,8,FALSE)</f>
        <v>0</v>
      </c>
      <c r="R171" t="str">
        <f>IFERROR(INDEX(TableRBCalcPts[TM],MATCH(TableRBRanks3141[[#This Row],[Player]],TableRBCalcPts[PLAYER],0)),"")</f>
        <v/>
      </c>
      <c r="S171" t="str">
        <f>IFERROR(INDEX(TableRBCalcPts[BYE],MATCH(TableRBRanks3141[[#This Row],[Player]],TableRBCalcPts[PLAYER],0)),"")</f>
        <v/>
      </c>
      <c r="T171" s="86">
        <f>VLOOKUP(TableRBRanks3141[[#This Row],[Player]],RB!B:O,4,FALSE)</f>
        <v>0</v>
      </c>
      <c r="U171" s="86">
        <f>VLOOKUP(TableRBRanks3141[[#This Row],[Player]],RB!B:O,5,FALSE)</f>
        <v>0</v>
      </c>
      <c r="V171" s="86">
        <f>VLOOKUP(TableRBRanks3141[[#This Row],[Player]],RB!B:O,6,FALSE)</f>
        <v>0</v>
      </c>
      <c r="W171" s="86">
        <f>VLOOKUP(TableRBRanks3141[[#This Row],[Player]],RB!B:O,7,FALSE)</f>
        <v>0</v>
      </c>
      <c r="X171" s="86">
        <f>VLOOKUP(TableRBRanks3141[[#This Row],[Player]],RB!B:O,8,FALSE)</f>
        <v>0</v>
      </c>
      <c r="Y171" s="86">
        <f>VLOOKUP(TableRBRanks3141[[#This Row],[Player]],RB!B:O,9,FALSE)</f>
        <v>0</v>
      </c>
      <c r="Z171" s="86">
        <f>VLOOKUP(TableRBRanks3141[[#This Row],[Player]],RB!B:O,10,FALSE)</f>
        <v>0</v>
      </c>
      <c r="AA171" s="58">
        <f>VLOOKUP(TableRBRanks3141[[#This Row],[Player]],RB!B:O,14,FALSE)</f>
        <v>0</v>
      </c>
      <c r="AB171" s="133" t="e">
        <f>IF(VLOOKUP(TableRBRanks3141[[#This Row],[RK]],'Ranks w Proj'!$P:$AB,13,FALSE)&lt;0,0,VLOOKUP(TableRBRanks3141[[#This Row],[RK]],'Ranks w Proj'!$P:$AB,13,FALSE))</f>
        <v>#VALUE!</v>
      </c>
      <c r="AD171">
        <v>170</v>
      </c>
      <c r="AE171">
        <f>VLOOKUP(TableWRRanks3242[[#This Row],[RK]],Rankings!A:T,13,FALSE)</f>
        <v>0</v>
      </c>
      <c r="AF171" t="str">
        <f>IFERROR(INDEX(TableWRCalcPts[TM],MATCH(TableWRRanks3242[[#This Row],[Player]],TableWRCalcPts[PLAYER],0)),"")</f>
        <v/>
      </c>
      <c r="AG171" t="str">
        <f>IFERROR(INDEX(TableWRCalcPts[BYE],MATCH(TableWRRanks3242[[#This Row],[Player]],TableWRCalcPts[PLAYER],0)),"")</f>
        <v/>
      </c>
      <c r="AH171" s="86">
        <f>VLOOKUP(TableWRRanks3242[[#This Row],[Player]],WR!B:O,4,FALSE)</f>
        <v>0</v>
      </c>
      <c r="AI171" s="86">
        <f>VLOOKUP(TableWRRanks3242[[#This Row],[Player]],WR!B:O,5,FALSE)</f>
        <v>0</v>
      </c>
      <c r="AJ171" s="86">
        <f>VLOOKUP(TableWRRanks3242[[#This Row],[Player]],WR!B:O,6,FALSE)</f>
        <v>0</v>
      </c>
      <c r="AK171" s="86">
        <f>VLOOKUP(TableWRRanks3242[[#This Row],[Player]],WR!B:O,7,FALSE)</f>
        <v>0</v>
      </c>
      <c r="AL171" s="86">
        <f>VLOOKUP(TableWRRanks3242[[#This Row],[Player]],WR!B:O,8,FALSE)</f>
        <v>0</v>
      </c>
      <c r="AM171" s="86">
        <f>VLOOKUP(TableWRRanks3242[[#This Row],[Player]],WR!B:O,9,FALSE)</f>
        <v>0</v>
      </c>
      <c r="AN171" s="58">
        <f>VLOOKUP(TableWRRanks3242[[#This Row],[Player]],WR!B:O,13,FALSE)</f>
        <v>0</v>
      </c>
      <c r="AO171" s="133" t="e">
        <f>IF(VLOOKUP(TableWRRanks3242[[#This Row],[RK]],'Ranks w Proj'!AD:AO,12,FALSE)&lt;0,0,VLOOKUP(TableWRRanks3242[[#This Row],[RK]],'Ranks w Proj'!AD:AO,12,FALSE))</f>
        <v>#VALUE!</v>
      </c>
    </row>
    <row r="172" spans="16:41" x14ac:dyDescent="0.2">
      <c r="AD172">
        <v>171</v>
      </c>
      <c r="AE172">
        <f>VLOOKUP(TableWRRanks3242[[#This Row],[RK]],Rankings!A:T,13,FALSE)</f>
        <v>0</v>
      </c>
      <c r="AF172" t="str">
        <f>IFERROR(INDEX(TableWRCalcPts[TM],MATCH(TableWRRanks3242[[#This Row],[Player]],TableWRCalcPts[PLAYER],0)),"")</f>
        <v/>
      </c>
      <c r="AG172" t="str">
        <f>IFERROR(INDEX(TableWRCalcPts[BYE],MATCH(TableWRRanks3242[[#This Row],[Player]],TableWRCalcPts[PLAYER],0)),"")</f>
        <v/>
      </c>
      <c r="AH172" s="86">
        <f>VLOOKUP(TableWRRanks3242[[#This Row],[Player]],WR!B:O,4,FALSE)</f>
        <v>0</v>
      </c>
      <c r="AI172" s="86">
        <f>VLOOKUP(TableWRRanks3242[[#This Row],[Player]],WR!B:O,5,FALSE)</f>
        <v>0</v>
      </c>
      <c r="AJ172" s="86">
        <f>VLOOKUP(TableWRRanks3242[[#This Row],[Player]],WR!B:O,6,FALSE)</f>
        <v>0</v>
      </c>
      <c r="AK172" s="86">
        <f>VLOOKUP(TableWRRanks3242[[#This Row],[Player]],WR!B:O,7,FALSE)</f>
        <v>0</v>
      </c>
      <c r="AL172" s="86">
        <f>VLOOKUP(TableWRRanks3242[[#This Row],[Player]],WR!B:O,8,FALSE)</f>
        <v>0</v>
      </c>
      <c r="AM172" s="86">
        <f>VLOOKUP(TableWRRanks3242[[#This Row],[Player]],WR!B:O,9,FALSE)</f>
        <v>0</v>
      </c>
      <c r="AN172" s="58">
        <f>VLOOKUP(TableWRRanks3242[[#This Row],[Player]],WR!B:O,13,FALSE)</f>
        <v>0</v>
      </c>
      <c r="AO172" s="133" t="e">
        <f>IF(VLOOKUP(TableWRRanks3242[[#This Row],[RK]],'Ranks w Proj'!AD:AO,12,FALSE)&lt;0,0,VLOOKUP(TableWRRanks3242[[#This Row],[RK]],'Ranks w Proj'!AD:AO,12,FALSE))</f>
        <v>#VALUE!</v>
      </c>
    </row>
    <row r="173" spans="16:41" x14ac:dyDescent="0.2">
      <c r="AD173">
        <v>172</v>
      </c>
      <c r="AE173">
        <f>VLOOKUP(TableWRRanks3242[[#This Row],[RK]],Rankings!A:T,13,FALSE)</f>
        <v>0</v>
      </c>
      <c r="AF173" t="str">
        <f>IFERROR(INDEX(TableWRCalcPts[TM],MATCH(TableWRRanks3242[[#This Row],[Player]],TableWRCalcPts[PLAYER],0)),"")</f>
        <v/>
      </c>
      <c r="AG173" t="str">
        <f>IFERROR(INDEX(TableWRCalcPts[BYE],MATCH(TableWRRanks3242[[#This Row],[Player]],TableWRCalcPts[PLAYER],0)),"")</f>
        <v/>
      </c>
      <c r="AH173" s="86">
        <f>VLOOKUP(TableWRRanks3242[[#This Row],[Player]],WR!B:O,4,FALSE)</f>
        <v>0</v>
      </c>
      <c r="AI173" s="86">
        <f>VLOOKUP(TableWRRanks3242[[#This Row],[Player]],WR!B:O,5,FALSE)</f>
        <v>0</v>
      </c>
      <c r="AJ173" s="86">
        <f>VLOOKUP(TableWRRanks3242[[#This Row],[Player]],WR!B:O,6,FALSE)</f>
        <v>0</v>
      </c>
      <c r="AK173" s="86">
        <f>VLOOKUP(TableWRRanks3242[[#This Row],[Player]],WR!B:O,7,FALSE)</f>
        <v>0</v>
      </c>
      <c r="AL173" s="86">
        <f>VLOOKUP(TableWRRanks3242[[#This Row],[Player]],WR!B:O,8,FALSE)</f>
        <v>0</v>
      </c>
      <c r="AM173" s="86">
        <f>VLOOKUP(TableWRRanks3242[[#This Row],[Player]],WR!B:O,9,FALSE)</f>
        <v>0</v>
      </c>
      <c r="AN173" s="58">
        <f>VLOOKUP(TableWRRanks3242[[#This Row],[Player]],WR!B:O,13,FALSE)</f>
        <v>0</v>
      </c>
      <c r="AO173" s="133" t="e">
        <f>IF(VLOOKUP(TableWRRanks3242[[#This Row],[RK]],'Ranks w Proj'!AD:AO,12,FALSE)&lt;0,0,VLOOKUP(TableWRRanks3242[[#This Row],[RK]],'Ranks w Proj'!AD:AO,12,FALSE))</f>
        <v>#VALUE!</v>
      </c>
    </row>
    <row r="174" spans="16:41" x14ac:dyDescent="0.2">
      <c r="AD174">
        <v>173</v>
      </c>
      <c r="AE174">
        <f>VLOOKUP(TableWRRanks3242[[#This Row],[RK]],Rankings!A:T,13,FALSE)</f>
        <v>0</v>
      </c>
      <c r="AF174" t="str">
        <f>IFERROR(INDEX(TableWRCalcPts[TM],MATCH(TableWRRanks3242[[#This Row],[Player]],TableWRCalcPts[PLAYER],0)),"")</f>
        <v/>
      </c>
      <c r="AG174" t="str">
        <f>IFERROR(INDEX(TableWRCalcPts[BYE],MATCH(TableWRRanks3242[[#This Row],[Player]],TableWRCalcPts[PLAYER],0)),"")</f>
        <v/>
      </c>
      <c r="AH174" s="86">
        <f>VLOOKUP(TableWRRanks3242[[#This Row],[Player]],WR!B:O,4,FALSE)</f>
        <v>0</v>
      </c>
      <c r="AI174" s="86">
        <f>VLOOKUP(TableWRRanks3242[[#This Row],[Player]],WR!B:O,5,FALSE)</f>
        <v>0</v>
      </c>
      <c r="AJ174" s="86">
        <f>VLOOKUP(TableWRRanks3242[[#This Row],[Player]],WR!B:O,6,FALSE)</f>
        <v>0</v>
      </c>
      <c r="AK174" s="86">
        <f>VLOOKUP(TableWRRanks3242[[#This Row],[Player]],WR!B:O,7,FALSE)</f>
        <v>0</v>
      </c>
      <c r="AL174" s="86">
        <f>VLOOKUP(TableWRRanks3242[[#This Row],[Player]],WR!B:O,8,FALSE)</f>
        <v>0</v>
      </c>
      <c r="AM174" s="86">
        <f>VLOOKUP(TableWRRanks3242[[#This Row],[Player]],WR!B:O,9,FALSE)</f>
        <v>0</v>
      </c>
      <c r="AN174" s="58">
        <f>VLOOKUP(TableWRRanks3242[[#This Row],[Player]],WR!B:O,13,FALSE)</f>
        <v>0</v>
      </c>
      <c r="AO174" s="133" t="e">
        <f>IF(VLOOKUP(TableWRRanks3242[[#This Row],[RK]],'Ranks w Proj'!AD:AO,12,FALSE)&lt;0,0,VLOOKUP(TableWRRanks3242[[#This Row],[RK]],'Ranks w Proj'!AD:AO,12,FALSE))</f>
        <v>#VALUE!</v>
      </c>
    </row>
    <row r="175" spans="16:41" x14ac:dyDescent="0.2">
      <c r="AD175">
        <v>174</v>
      </c>
      <c r="AE175">
        <f>VLOOKUP(TableWRRanks3242[[#This Row],[RK]],Rankings!A:T,13,FALSE)</f>
        <v>0</v>
      </c>
      <c r="AF175" t="str">
        <f>IFERROR(INDEX(TableWRCalcPts[TM],MATCH(TableWRRanks3242[[#This Row],[Player]],TableWRCalcPts[PLAYER],0)),"")</f>
        <v/>
      </c>
      <c r="AG175" t="str">
        <f>IFERROR(INDEX(TableWRCalcPts[BYE],MATCH(TableWRRanks3242[[#This Row],[Player]],TableWRCalcPts[PLAYER],0)),"")</f>
        <v/>
      </c>
      <c r="AH175" s="86">
        <f>VLOOKUP(TableWRRanks3242[[#This Row],[Player]],WR!B:O,4,FALSE)</f>
        <v>0</v>
      </c>
      <c r="AI175" s="86">
        <f>VLOOKUP(TableWRRanks3242[[#This Row],[Player]],WR!B:O,5,FALSE)</f>
        <v>0</v>
      </c>
      <c r="AJ175" s="86">
        <f>VLOOKUP(TableWRRanks3242[[#This Row],[Player]],WR!B:O,6,FALSE)</f>
        <v>0</v>
      </c>
      <c r="AK175" s="86">
        <f>VLOOKUP(TableWRRanks3242[[#This Row],[Player]],WR!B:O,7,FALSE)</f>
        <v>0</v>
      </c>
      <c r="AL175" s="86">
        <f>VLOOKUP(TableWRRanks3242[[#This Row],[Player]],WR!B:O,8,FALSE)</f>
        <v>0</v>
      </c>
      <c r="AM175" s="86">
        <f>VLOOKUP(TableWRRanks3242[[#This Row],[Player]],WR!B:O,9,FALSE)</f>
        <v>0</v>
      </c>
      <c r="AN175" s="58">
        <f>VLOOKUP(TableWRRanks3242[[#This Row],[Player]],WR!B:O,13,FALSE)</f>
        <v>0</v>
      </c>
      <c r="AO175" s="133" t="e">
        <f>IF(VLOOKUP(TableWRRanks3242[[#This Row],[RK]],'Ranks w Proj'!AD:AO,12,FALSE)&lt;0,0,VLOOKUP(TableWRRanks3242[[#This Row],[RK]],'Ranks w Proj'!AD:AO,12,FALSE))</f>
        <v>#VALUE!</v>
      </c>
    </row>
    <row r="176" spans="16:41" x14ac:dyDescent="0.2">
      <c r="AD176">
        <v>175</v>
      </c>
      <c r="AE176">
        <f>VLOOKUP(TableWRRanks3242[[#This Row],[RK]],Rankings!A:T,13,FALSE)</f>
        <v>0</v>
      </c>
      <c r="AF176" t="str">
        <f>IFERROR(INDEX(TableWRCalcPts[TM],MATCH(TableWRRanks3242[[#This Row],[Player]],TableWRCalcPts[PLAYER],0)),"")</f>
        <v/>
      </c>
      <c r="AG176" t="str">
        <f>IFERROR(INDEX(TableWRCalcPts[BYE],MATCH(TableWRRanks3242[[#This Row],[Player]],TableWRCalcPts[PLAYER],0)),"")</f>
        <v/>
      </c>
      <c r="AH176" s="86">
        <f>VLOOKUP(TableWRRanks3242[[#This Row],[Player]],WR!B:O,4,FALSE)</f>
        <v>0</v>
      </c>
      <c r="AI176" s="86">
        <f>VLOOKUP(TableWRRanks3242[[#This Row],[Player]],WR!B:O,5,FALSE)</f>
        <v>0</v>
      </c>
      <c r="AJ176" s="86">
        <f>VLOOKUP(TableWRRanks3242[[#This Row],[Player]],WR!B:O,6,FALSE)</f>
        <v>0</v>
      </c>
      <c r="AK176" s="86">
        <f>VLOOKUP(TableWRRanks3242[[#This Row],[Player]],WR!B:O,7,FALSE)</f>
        <v>0</v>
      </c>
      <c r="AL176" s="86">
        <f>VLOOKUP(TableWRRanks3242[[#This Row],[Player]],WR!B:O,8,FALSE)</f>
        <v>0</v>
      </c>
      <c r="AM176" s="86">
        <f>VLOOKUP(TableWRRanks3242[[#This Row],[Player]],WR!B:O,9,FALSE)</f>
        <v>0</v>
      </c>
      <c r="AN176" s="58">
        <f>VLOOKUP(TableWRRanks3242[[#This Row],[Player]],WR!B:O,13,FALSE)</f>
        <v>0</v>
      </c>
      <c r="AO176" s="133" t="e">
        <f>IF(VLOOKUP(TableWRRanks3242[[#This Row],[RK]],'Ranks w Proj'!AD:AO,12,FALSE)&lt;0,0,VLOOKUP(TableWRRanks3242[[#This Row],[RK]],'Ranks w Proj'!AD:AO,12,FALSE))</f>
        <v>#VALUE!</v>
      </c>
    </row>
    <row r="177" spans="30:41" x14ac:dyDescent="0.2">
      <c r="AD177">
        <v>176</v>
      </c>
      <c r="AE177">
        <f>VLOOKUP(TableWRRanks3242[[#This Row],[RK]],Rankings!A:T,13,FALSE)</f>
        <v>0</v>
      </c>
      <c r="AF177" t="str">
        <f>IFERROR(INDEX(TableWRCalcPts[TM],MATCH(TableWRRanks3242[[#This Row],[Player]],TableWRCalcPts[PLAYER],0)),"")</f>
        <v/>
      </c>
      <c r="AG177" t="str">
        <f>IFERROR(INDEX(TableWRCalcPts[BYE],MATCH(TableWRRanks3242[[#This Row],[Player]],TableWRCalcPts[PLAYER],0)),"")</f>
        <v/>
      </c>
      <c r="AH177" s="86">
        <f>VLOOKUP(TableWRRanks3242[[#This Row],[Player]],WR!B:O,4,FALSE)</f>
        <v>0</v>
      </c>
      <c r="AI177" s="86">
        <f>VLOOKUP(TableWRRanks3242[[#This Row],[Player]],WR!B:O,5,FALSE)</f>
        <v>0</v>
      </c>
      <c r="AJ177" s="86">
        <f>VLOOKUP(TableWRRanks3242[[#This Row],[Player]],WR!B:O,6,FALSE)</f>
        <v>0</v>
      </c>
      <c r="AK177" s="86">
        <f>VLOOKUP(TableWRRanks3242[[#This Row],[Player]],WR!B:O,7,FALSE)</f>
        <v>0</v>
      </c>
      <c r="AL177" s="86">
        <f>VLOOKUP(TableWRRanks3242[[#This Row],[Player]],WR!B:O,8,FALSE)</f>
        <v>0</v>
      </c>
      <c r="AM177" s="86">
        <f>VLOOKUP(TableWRRanks3242[[#This Row],[Player]],WR!B:O,9,FALSE)</f>
        <v>0</v>
      </c>
      <c r="AN177" s="58">
        <f>VLOOKUP(TableWRRanks3242[[#This Row],[Player]],WR!B:O,13,FALSE)</f>
        <v>0</v>
      </c>
      <c r="AO177" s="133" t="e">
        <f>IF(VLOOKUP(TableWRRanks3242[[#This Row],[RK]],'Ranks w Proj'!AD:AO,12,FALSE)&lt;0,0,VLOOKUP(TableWRRanks3242[[#This Row],[RK]],'Ranks w Proj'!AD:AO,12,FALSE))</f>
        <v>#VALUE!</v>
      </c>
    </row>
    <row r="178" spans="30:41" x14ac:dyDescent="0.2">
      <c r="AD178">
        <v>177</v>
      </c>
      <c r="AE178">
        <f>VLOOKUP(TableWRRanks3242[[#This Row],[RK]],Rankings!A:T,13,FALSE)</f>
        <v>0</v>
      </c>
      <c r="AF178" t="str">
        <f>IFERROR(INDEX(TableWRCalcPts[TM],MATCH(TableWRRanks3242[[#This Row],[Player]],TableWRCalcPts[PLAYER],0)),"")</f>
        <v/>
      </c>
      <c r="AG178" t="str">
        <f>IFERROR(INDEX(TableWRCalcPts[BYE],MATCH(TableWRRanks3242[[#This Row],[Player]],TableWRCalcPts[PLAYER],0)),"")</f>
        <v/>
      </c>
      <c r="AH178" s="86">
        <f>VLOOKUP(TableWRRanks3242[[#This Row],[Player]],WR!B:O,4,FALSE)</f>
        <v>0</v>
      </c>
      <c r="AI178" s="86">
        <f>VLOOKUP(TableWRRanks3242[[#This Row],[Player]],WR!B:O,5,FALSE)</f>
        <v>0</v>
      </c>
      <c r="AJ178" s="86">
        <f>VLOOKUP(TableWRRanks3242[[#This Row],[Player]],WR!B:O,6,FALSE)</f>
        <v>0</v>
      </c>
      <c r="AK178" s="86">
        <f>VLOOKUP(TableWRRanks3242[[#This Row],[Player]],WR!B:O,7,FALSE)</f>
        <v>0</v>
      </c>
      <c r="AL178" s="86">
        <f>VLOOKUP(TableWRRanks3242[[#This Row],[Player]],WR!B:O,8,FALSE)</f>
        <v>0</v>
      </c>
      <c r="AM178" s="86">
        <f>VLOOKUP(TableWRRanks3242[[#This Row],[Player]],WR!B:O,9,FALSE)</f>
        <v>0</v>
      </c>
      <c r="AN178" s="58">
        <f>VLOOKUP(TableWRRanks3242[[#This Row],[Player]],WR!B:O,13,FALSE)</f>
        <v>0</v>
      </c>
      <c r="AO178" s="133" t="e">
        <f>IF(VLOOKUP(TableWRRanks3242[[#This Row],[RK]],'Ranks w Proj'!AD:AO,12,FALSE)&lt;0,0,VLOOKUP(TableWRRanks3242[[#This Row],[RK]],'Ranks w Proj'!AD:AO,12,FALSE))</f>
        <v>#VALUE!</v>
      </c>
    </row>
    <row r="179" spans="30:41" x14ac:dyDescent="0.2">
      <c r="AD179">
        <v>178</v>
      </c>
      <c r="AE179">
        <f>VLOOKUP(TableWRRanks3242[[#This Row],[RK]],Rankings!A:T,13,FALSE)</f>
        <v>0</v>
      </c>
      <c r="AF179" t="str">
        <f>IFERROR(INDEX(TableWRCalcPts[TM],MATCH(TableWRRanks3242[[#This Row],[Player]],TableWRCalcPts[PLAYER],0)),"")</f>
        <v/>
      </c>
      <c r="AG179" t="str">
        <f>IFERROR(INDEX(TableWRCalcPts[BYE],MATCH(TableWRRanks3242[[#This Row],[Player]],TableWRCalcPts[PLAYER],0)),"")</f>
        <v/>
      </c>
      <c r="AH179" s="86">
        <f>VLOOKUP(TableWRRanks3242[[#This Row],[Player]],WR!B:O,4,FALSE)</f>
        <v>0</v>
      </c>
      <c r="AI179" s="86">
        <f>VLOOKUP(TableWRRanks3242[[#This Row],[Player]],WR!B:O,5,FALSE)</f>
        <v>0</v>
      </c>
      <c r="AJ179" s="86">
        <f>VLOOKUP(TableWRRanks3242[[#This Row],[Player]],WR!B:O,6,FALSE)</f>
        <v>0</v>
      </c>
      <c r="AK179" s="86">
        <f>VLOOKUP(TableWRRanks3242[[#This Row],[Player]],WR!B:O,7,FALSE)</f>
        <v>0</v>
      </c>
      <c r="AL179" s="86">
        <f>VLOOKUP(TableWRRanks3242[[#This Row],[Player]],WR!B:O,8,FALSE)</f>
        <v>0</v>
      </c>
      <c r="AM179" s="86">
        <f>VLOOKUP(TableWRRanks3242[[#This Row],[Player]],WR!B:O,9,FALSE)</f>
        <v>0</v>
      </c>
      <c r="AN179" s="58">
        <f>VLOOKUP(TableWRRanks3242[[#This Row],[Player]],WR!B:O,13,FALSE)</f>
        <v>0</v>
      </c>
      <c r="AO179" s="133" t="e">
        <f>IF(VLOOKUP(TableWRRanks3242[[#This Row],[RK]],'Ranks w Proj'!AD:AO,12,FALSE)&lt;0,0,VLOOKUP(TableWRRanks3242[[#This Row],[RK]],'Ranks w Proj'!AD:AO,12,FALSE))</f>
        <v>#VALUE!</v>
      </c>
    </row>
    <row r="180" spans="30:41" x14ac:dyDescent="0.2">
      <c r="AD180">
        <v>179</v>
      </c>
      <c r="AE180">
        <f>VLOOKUP(TableWRRanks3242[[#This Row],[RK]],Rankings!A:T,13,FALSE)</f>
        <v>0</v>
      </c>
      <c r="AF180" t="str">
        <f>IFERROR(INDEX(TableWRCalcPts[TM],MATCH(TableWRRanks3242[[#This Row],[Player]],TableWRCalcPts[PLAYER],0)),"")</f>
        <v/>
      </c>
      <c r="AG180" t="str">
        <f>IFERROR(INDEX(TableWRCalcPts[BYE],MATCH(TableWRRanks3242[[#This Row],[Player]],TableWRCalcPts[PLAYER],0)),"")</f>
        <v/>
      </c>
      <c r="AH180" s="86">
        <f>VLOOKUP(TableWRRanks3242[[#This Row],[Player]],WR!B:O,4,FALSE)</f>
        <v>0</v>
      </c>
      <c r="AI180" s="86">
        <f>VLOOKUP(TableWRRanks3242[[#This Row],[Player]],WR!B:O,5,FALSE)</f>
        <v>0</v>
      </c>
      <c r="AJ180" s="86">
        <f>VLOOKUP(TableWRRanks3242[[#This Row],[Player]],WR!B:O,6,FALSE)</f>
        <v>0</v>
      </c>
      <c r="AK180" s="86">
        <f>VLOOKUP(TableWRRanks3242[[#This Row],[Player]],WR!B:O,7,FALSE)</f>
        <v>0</v>
      </c>
      <c r="AL180" s="86">
        <f>VLOOKUP(TableWRRanks3242[[#This Row],[Player]],WR!B:O,8,FALSE)</f>
        <v>0</v>
      </c>
      <c r="AM180" s="86">
        <f>VLOOKUP(TableWRRanks3242[[#This Row],[Player]],WR!B:O,9,FALSE)</f>
        <v>0</v>
      </c>
      <c r="AN180" s="58">
        <f>VLOOKUP(TableWRRanks3242[[#This Row],[Player]],WR!B:O,13,FALSE)</f>
        <v>0</v>
      </c>
      <c r="AO180" s="133" t="e">
        <f>IF(VLOOKUP(TableWRRanks3242[[#This Row],[RK]],'Ranks w Proj'!AD:AO,12,FALSE)&lt;0,0,VLOOKUP(TableWRRanks3242[[#This Row],[RK]],'Ranks w Proj'!AD:AO,12,FALSE))</f>
        <v>#VALUE!</v>
      </c>
    </row>
    <row r="181" spans="30:41" x14ac:dyDescent="0.2">
      <c r="AD181">
        <v>180</v>
      </c>
      <c r="AE181">
        <f>VLOOKUP(TableWRRanks3242[[#This Row],[RK]],Rankings!A:T,13,FALSE)</f>
        <v>0</v>
      </c>
      <c r="AF181" t="str">
        <f>IFERROR(INDEX(TableWRCalcPts[TM],MATCH(TableWRRanks3242[[#This Row],[Player]],TableWRCalcPts[PLAYER],0)),"")</f>
        <v/>
      </c>
      <c r="AG181" t="str">
        <f>IFERROR(INDEX(TableWRCalcPts[BYE],MATCH(TableWRRanks3242[[#This Row],[Player]],TableWRCalcPts[PLAYER],0)),"")</f>
        <v/>
      </c>
      <c r="AH181" s="86">
        <f>VLOOKUP(TableWRRanks3242[[#This Row],[Player]],WR!B:O,4,FALSE)</f>
        <v>0</v>
      </c>
      <c r="AI181" s="86">
        <f>VLOOKUP(TableWRRanks3242[[#This Row],[Player]],WR!B:O,5,FALSE)</f>
        <v>0</v>
      </c>
      <c r="AJ181" s="86">
        <f>VLOOKUP(TableWRRanks3242[[#This Row],[Player]],WR!B:O,6,FALSE)</f>
        <v>0</v>
      </c>
      <c r="AK181" s="86">
        <f>VLOOKUP(TableWRRanks3242[[#This Row],[Player]],WR!B:O,7,FALSE)</f>
        <v>0</v>
      </c>
      <c r="AL181" s="86">
        <f>VLOOKUP(TableWRRanks3242[[#This Row],[Player]],WR!B:O,8,FALSE)</f>
        <v>0</v>
      </c>
      <c r="AM181" s="86">
        <f>VLOOKUP(TableWRRanks3242[[#This Row],[Player]],WR!B:O,9,FALSE)</f>
        <v>0</v>
      </c>
      <c r="AN181" s="58">
        <f>VLOOKUP(TableWRRanks3242[[#This Row],[Player]],WR!B:O,13,FALSE)</f>
        <v>0</v>
      </c>
      <c r="AO181" s="133" t="e">
        <f>IF(VLOOKUP(TableWRRanks3242[[#This Row],[RK]],'Ranks w Proj'!AD:AO,12,FALSE)&lt;0,0,VLOOKUP(TableWRRanks3242[[#This Row],[RK]],'Ranks w Proj'!AD:AO,12,FALSE))</f>
        <v>#VALUE!</v>
      </c>
    </row>
    <row r="182" spans="30:41" x14ac:dyDescent="0.2">
      <c r="AD182">
        <v>181</v>
      </c>
      <c r="AE182">
        <f>VLOOKUP(TableWRRanks3242[[#This Row],[RK]],Rankings!A:T,13,FALSE)</f>
        <v>0</v>
      </c>
      <c r="AF182" t="str">
        <f>IFERROR(INDEX(TableWRCalcPts[TM],MATCH(TableWRRanks3242[[#This Row],[Player]],TableWRCalcPts[PLAYER],0)),"")</f>
        <v/>
      </c>
      <c r="AG182" t="str">
        <f>IFERROR(INDEX(TableWRCalcPts[BYE],MATCH(TableWRRanks3242[[#This Row],[Player]],TableWRCalcPts[PLAYER],0)),"")</f>
        <v/>
      </c>
      <c r="AH182" s="86">
        <f>VLOOKUP(TableWRRanks3242[[#This Row],[Player]],WR!B:O,4,FALSE)</f>
        <v>0</v>
      </c>
      <c r="AI182" s="86">
        <f>VLOOKUP(TableWRRanks3242[[#This Row],[Player]],WR!B:O,5,FALSE)</f>
        <v>0</v>
      </c>
      <c r="AJ182" s="86">
        <f>VLOOKUP(TableWRRanks3242[[#This Row],[Player]],WR!B:O,6,FALSE)</f>
        <v>0</v>
      </c>
      <c r="AK182" s="86">
        <f>VLOOKUP(TableWRRanks3242[[#This Row],[Player]],WR!B:O,7,FALSE)</f>
        <v>0</v>
      </c>
      <c r="AL182" s="86">
        <f>VLOOKUP(TableWRRanks3242[[#This Row],[Player]],WR!B:O,8,FALSE)</f>
        <v>0</v>
      </c>
      <c r="AM182" s="86">
        <f>VLOOKUP(TableWRRanks3242[[#This Row],[Player]],WR!B:O,9,FALSE)</f>
        <v>0</v>
      </c>
      <c r="AN182" s="58">
        <f>VLOOKUP(TableWRRanks3242[[#This Row],[Player]],WR!B:O,13,FALSE)</f>
        <v>0</v>
      </c>
      <c r="AO182" s="133" t="e">
        <f>IF(VLOOKUP(TableWRRanks3242[[#This Row],[RK]],'Ranks w Proj'!AD:AO,12,FALSE)&lt;0,0,VLOOKUP(TableWRRanks3242[[#This Row],[RK]],'Ranks w Proj'!AD:AO,12,FALSE))</f>
        <v>#VALUE!</v>
      </c>
    </row>
    <row r="183" spans="30:41" x14ac:dyDescent="0.2">
      <c r="AD183">
        <v>182</v>
      </c>
      <c r="AE183">
        <f>VLOOKUP(TableWRRanks3242[[#This Row],[RK]],Rankings!A:T,13,FALSE)</f>
        <v>0</v>
      </c>
      <c r="AF183" t="str">
        <f>IFERROR(INDEX(TableWRCalcPts[TM],MATCH(TableWRRanks3242[[#This Row],[Player]],TableWRCalcPts[PLAYER],0)),"")</f>
        <v/>
      </c>
      <c r="AG183" t="str">
        <f>IFERROR(INDEX(TableWRCalcPts[BYE],MATCH(TableWRRanks3242[[#This Row],[Player]],TableWRCalcPts[PLAYER],0)),"")</f>
        <v/>
      </c>
      <c r="AH183" s="86">
        <f>VLOOKUP(TableWRRanks3242[[#This Row],[Player]],WR!B:O,4,FALSE)</f>
        <v>0</v>
      </c>
      <c r="AI183" s="86">
        <f>VLOOKUP(TableWRRanks3242[[#This Row],[Player]],WR!B:O,5,FALSE)</f>
        <v>0</v>
      </c>
      <c r="AJ183" s="86">
        <f>VLOOKUP(TableWRRanks3242[[#This Row],[Player]],WR!B:O,6,FALSE)</f>
        <v>0</v>
      </c>
      <c r="AK183" s="86">
        <f>VLOOKUP(TableWRRanks3242[[#This Row],[Player]],WR!B:O,7,FALSE)</f>
        <v>0</v>
      </c>
      <c r="AL183" s="86">
        <f>VLOOKUP(TableWRRanks3242[[#This Row],[Player]],WR!B:O,8,FALSE)</f>
        <v>0</v>
      </c>
      <c r="AM183" s="86">
        <f>VLOOKUP(TableWRRanks3242[[#This Row],[Player]],WR!B:O,9,FALSE)</f>
        <v>0</v>
      </c>
      <c r="AN183" s="58">
        <f>VLOOKUP(TableWRRanks3242[[#This Row],[Player]],WR!B:O,13,FALSE)</f>
        <v>0</v>
      </c>
      <c r="AO183" s="133" t="e">
        <f>IF(VLOOKUP(TableWRRanks3242[[#This Row],[RK]],'Ranks w Proj'!AD:AO,12,FALSE)&lt;0,0,VLOOKUP(TableWRRanks3242[[#This Row],[RK]],'Ranks w Proj'!AD:AO,12,FALSE))</f>
        <v>#VALUE!</v>
      </c>
    </row>
    <row r="184" spans="30:41" x14ac:dyDescent="0.2">
      <c r="AD184">
        <v>183</v>
      </c>
      <c r="AE184">
        <f>VLOOKUP(TableWRRanks3242[[#This Row],[RK]],Rankings!A:T,13,FALSE)</f>
        <v>0</v>
      </c>
      <c r="AF184" t="str">
        <f>IFERROR(INDEX(TableWRCalcPts[TM],MATCH(TableWRRanks3242[[#This Row],[Player]],TableWRCalcPts[PLAYER],0)),"")</f>
        <v/>
      </c>
      <c r="AG184" t="str">
        <f>IFERROR(INDEX(TableWRCalcPts[BYE],MATCH(TableWRRanks3242[[#This Row],[Player]],TableWRCalcPts[PLAYER],0)),"")</f>
        <v/>
      </c>
      <c r="AH184" s="86">
        <f>VLOOKUP(TableWRRanks3242[[#This Row],[Player]],WR!B:O,4,FALSE)</f>
        <v>0</v>
      </c>
      <c r="AI184" s="86">
        <f>VLOOKUP(TableWRRanks3242[[#This Row],[Player]],WR!B:O,5,FALSE)</f>
        <v>0</v>
      </c>
      <c r="AJ184" s="86">
        <f>VLOOKUP(TableWRRanks3242[[#This Row],[Player]],WR!B:O,6,FALSE)</f>
        <v>0</v>
      </c>
      <c r="AK184" s="86">
        <f>VLOOKUP(TableWRRanks3242[[#This Row],[Player]],WR!B:O,7,FALSE)</f>
        <v>0</v>
      </c>
      <c r="AL184" s="86">
        <f>VLOOKUP(TableWRRanks3242[[#This Row],[Player]],WR!B:O,8,FALSE)</f>
        <v>0</v>
      </c>
      <c r="AM184" s="86">
        <f>VLOOKUP(TableWRRanks3242[[#This Row],[Player]],WR!B:O,9,FALSE)</f>
        <v>0</v>
      </c>
      <c r="AN184" s="58">
        <f>VLOOKUP(TableWRRanks3242[[#This Row],[Player]],WR!B:O,13,FALSE)</f>
        <v>0</v>
      </c>
      <c r="AO184" s="133" t="e">
        <f>IF(VLOOKUP(TableWRRanks3242[[#This Row],[RK]],'Ranks w Proj'!AD:AO,12,FALSE)&lt;0,0,VLOOKUP(TableWRRanks3242[[#This Row],[RK]],'Ranks w Proj'!AD:AO,12,FALSE))</f>
        <v>#VALUE!</v>
      </c>
    </row>
    <row r="185" spans="30:41" x14ac:dyDescent="0.2">
      <c r="AD185">
        <v>184</v>
      </c>
      <c r="AE185">
        <f>VLOOKUP(TableWRRanks3242[[#This Row],[RK]],Rankings!A:T,13,FALSE)</f>
        <v>0</v>
      </c>
      <c r="AF185" t="str">
        <f>IFERROR(INDEX(TableWRCalcPts[TM],MATCH(TableWRRanks3242[[#This Row],[Player]],TableWRCalcPts[PLAYER],0)),"")</f>
        <v/>
      </c>
      <c r="AG185" t="str">
        <f>IFERROR(INDEX(TableWRCalcPts[BYE],MATCH(TableWRRanks3242[[#This Row],[Player]],TableWRCalcPts[PLAYER],0)),"")</f>
        <v/>
      </c>
      <c r="AH185" s="86">
        <f>VLOOKUP(TableWRRanks3242[[#This Row],[Player]],WR!B:O,4,FALSE)</f>
        <v>0</v>
      </c>
      <c r="AI185" s="86">
        <f>VLOOKUP(TableWRRanks3242[[#This Row],[Player]],WR!B:O,5,FALSE)</f>
        <v>0</v>
      </c>
      <c r="AJ185" s="86">
        <f>VLOOKUP(TableWRRanks3242[[#This Row],[Player]],WR!B:O,6,FALSE)</f>
        <v>0</v>
      </c>
      <c r="AK185" s="86">
        <f>VLOOKUP(TableWRRanks3242[[#This Row],[Player]],WR!B:O,7,FALSE)</f>
        <v>0</v>
      </c>
      <c r="AL185" s="86">
        <f>VLOOKUP(TableWRRanks3242[[#This Row],[Player]],WR!B:O,8,FALSE)</f>
        <v>0</v>
      </c>
      <c r="AM185" s="86">
        <f>VLOOKUP(TableWRRanks3242[[#This Row],[Player]],WR!B:O,9,FALSE)</f>
        <v>0</v>
      </c>
      <c r="AN185" s="58">
        <f>VLOOKUP(TableWRRanks3242[[#This Row],[Player]],WR!B:O,13,FALSE)</f>
        <v>0</v>
      </c>
      <c r="AO185" s="133" t="e">
        <f>IF(VLOOKUP(TableWRRanks3242[[#This Row],[RK]],'Ranks w Proj'!AD:AO,12,FALSE)&lt;0,0,VLOOKUP(TableWRRanks3242[[#This Row],[RK]],'Ranks w Proj'!AD:AO,12,FALSE))</f>
        <v>#VALUE!</v>
      </c>
    </row>
    <row r="186" spans="30:41" x14ac:dyDescent="0.2">
      <c r="AD186">
        <v>185</v>
      </c>
      <c r="AE186">
        <f>VLOOKUP(TableWRRanks3242[[#This Row],[RK]],Rankings!A:T,13,FALSE)</f>
        <v>0</v>
      </c>
      <c r="AF186" t="str">
        <f>IFERROR(INDEX(TableWRCalcPts[TM],MATCH(TableWRRanks3242[[#This Row],[Player]],TableWRCalcPts[PLAYER],0)),"")</f>
        <v/>
      </c>
      <c r="AG186" t="str">
        <f>IFERROR(INDEX(TableWRCalcPts[BYE],MATCH(TableWRRanks3242[[#This Row],[Player]],TableWRCalcPts[PLAYER],0)),"")</f>
        <v/>
      </c>
      <c r="AH186" s="86">
        <f>VLOOKUP(TableWRRanks3242[[#This Row],[Player]],WR!B:O,4,FALSE)</f>
        <v>0</v>
      </c>
      <c r="AI186" s="86">
        <f>VLOOKUP(TableWRRanks3242[[#This Row],[Player]],WR!B:O,5,FALSE)</f>
        <v>0</v>
      </c>
      <c r="AJ186" s="86">
        <f>VLOOKUP(TableWRRanks3242[[#This Row],[Player]],WR!B:O,6,FALSE)</f>
        <v>0</v>
      </c>
      <c r="AK186" s="86">
        <f>VLOOKUP(TableWRRanks3242[[#This Row],[Player]],WR!B:O,7,FALSE)</f>
        <v>0</v>
      </c>
      <c r="AL186" s="86">
        <f>VLOOKUP(TableWRRanks3242[[#This Row],[Player]],WR!B:O,8,FALSE)</f>
        <v>0</v>
      </c>
      <c r="AM186" s="86">
        <f>VLOOKUP(TableWRRanks3242[[#This Row],[Player]],WR!B:O,9,FALSE)</f>
        <v>0</v>
      </c>
      <c r="AN186" s="58">
        <f>VLOOKUP(TableWRRanks3242[[#This Row],[Player]],WR!B:O,13,FALSE)</f>
        <v>0</v>
      </c>
      <c r="AO186" s="133" t="e">
        <f>IF(VLOOKUP(TableWRRanks3242[[#This Row],[RK]],'Ranks w Proj'!AD:AO,12,FALSE)&lt;0,0,VLOOKUP(TableWRRanks3242[[#This Row],[RK]],'Ranks w Proj'!AD:AO,12,FALSE))</f>
        <v>#VALUE!</v>
      </c>
    </row>
    <row r="187" spans="30:41" x14ac:dyDescent="0.2">
      <c r="AD187">
        <v>186</v>
      </c>
      <c r="AE187" t="e">
        <f>VLOOKUP(TableWRRanks3242[[#This Row],[RK]],Rankings!A:T,13,FALSE)</f>
        <v>#N/A</v>
      </c>
      <c r="AF187" t="str">
        <f>IFERROR(INDEX(TableWRCalcPts[TM],MATCH(TableWRRanks3242[[#This Row],[Player]],TableWRCalcPts[PLAYER],0)),"")</f>
        <v/>
      </c>
      <c r="AG187" t="str">
        <f>IFERROR(INDEX(TableWRCalcPts[BYE],MATCH(TableWRRanks3242[[#This Row],[Player]],TableWRCalcPts[PLAYER],0)),"")</f>
        <v/>
      </c>
      <c r="AH187" s="86" t="e">
        <f>VLOOKUP(TableWRRanks3242[[#This Row],[Player]],WR!B:O,4,FALSE)</f>
        <v>#N/A</v>
      </c>
      <c r="AI187" s="86" t="e">
        <f>VLOOKUP(TableWRRanks3242[[#This Row],[Player]],WR!B:O,5,FALSE)</f>
        <v>#N/A</v>
      </c>
      <c r="AJ187" s="86" t="e">
        <f>VLOOKUP(TableWRRanks3242[[#This Row],[Player]],WR!B:O,6,FALSE)</f>
        <v>#N/A</v>
      </c>
      <c r="AK187" s="86" t="e">
        <f>VLOOKUP(TableWRRanks3242[[#This Row],[Player]],WR!B:O,7,FALSE)</f>
        <v>#N/A</v>
      </c>
      <c r="AL187" s="86" t="e">
        <f>VLOOKUP(TableWRRanks3242[[#This Row],[Player]],WR!B:O,8,FALSE)</f>
        <v>#N/A</v>
      </c>
      <c r="AM187" s="86" t="e">
        <f>VLOOKUP(TableWRRanks3242[[#This Row],[Player]],WR!B:O,9,FALSE)</f>
        <v>#N/A</v>
      </c>
      <c r="AN187" s="58" t="e">
        <f>VLOOKUP(TableWRRanks3242[[#This Row],[Player]],WR!B:O,13,FALSE)</f>
        <v>#N/A</v>
      </c>
      <c r="AO187" s="133" t="e">
        <f>IF(VLOOKUP(TableWRRanks3242[[#This Row],[RK]],'Ranks w Proj'!AD:AO,12,FALSE)&lt;0,0,VLOOKUP(TableWRRanks3242[[#This Row],[RK]],'Ranks w Proj'!AD:AO,12,FALSE))</f>
        <v>#VALUE!</v>
      </c>
    </row>
    <row r="188" spans="30:41" x14ac:dyDescent="0.2">
      <c r="AD188">
        <v>187</v>
      </c>
      <c r="AE188" t="e">
        <f>VLOOKUP(TableWRRanks3242[[#This Row],[RK]],Rankings!A:T,13,FALSE)</f>
        <v>#N/A</v>
      </c>
      <c r="AF188" t="str">
        <f>IFERROR(INDEX(TableWRCalcPts[TM],MATCH(TableWRRanks3242[[#This Row],[Player]],TableWRCalcPts[PLAYER],0)),"")</f>
        <v/>
      </c>
      <c r="AG188" t="str">
        <f>IFERROR(INDEX(TableWRCalcPts[BYE],MATCH(TableWRRanks3242[[#This Row],[Player]],TableWRCalcPts[PLAYER],0)),"")</f>
        <v/>
      </c>
      <c r="AH188" s="86" t="e">
        <f>VLOOKUP(TableWRRanks3242[[#This Row],[Player]],WR!B:O,4,FALSE)</f>
        <v>#N/A</v>
      </c>
      <c r="AI188" s="86" t="e">
        <f>VLOOKUP(TableWRRanks3242[[#This Row],[Player]],WR!B:O,5,FALSE)</f>
        <v>#N/A</v>
      </c>
      <c r="AJ188" s="86" t="e">
        <f>VLOOKUP(TableWRRanks3242[[#This Row],[Player]],WR!B:O,6,FALSE)</f>
        <v>#N/A</v>
      </c>
      <c r="AK188" s="86" t="e">
        <f>VLOOKUP(TableWRRanks3242[[#This Row],[Player]],WR!B:O,7,FALSE)</f>
        <v>#N/A</v>
      </c>
      <c r="AL188" s="86" t="e">
        <f>VLOOKUP(TableWRRanks3242[[#This Row],[Player]],WR!B:O,8,FALSE)</f>
        <v>#N/A</v>
      </c>
      <c r="AM188" s="86" t="e">
        <f>VLOOKUP(TableWRRanks3242[[#This Row],[Player]],WR!B:O,9,FALSE)</f>
        <v>#N/A</v>
      </c>
      <c r="AN188" s="58" t="e">
        <f>VLOOKUP(TableWRRanks3242[[#This Row],[Player]],WR!B:O,13,FALSE)</f>
        <v>#N/A</v>
      </c>
      <c r="AO188" s="133" t="e">
        <f>IF(VLOOKUP(TableWRRanks3242[[#This Row],[RK]],'Ranks w Proj'!AD:AO,12,FALSE)&lt;0,0,VLOOKUP(TableWRRanks3242[[#This Row],[RK]],'Ranks w Proj'!AD:AO,12,FALSE))</f>
        <v>#VALUE!</v>
      </c>
    </row>
    <row r="189" spans="30:41" x14ac:dyDescent="0.2">
      <c r="AD189">
        <v>188</v>
      </c>
      <c r="AE189" t="e">
        <f>VLOOKUP(TableWRRanks3242[[#This Row],[RK]],Rankings!A:T,13,FALSE)</f>
        <v>#N/A</v>
      </c>
      <c r="AF189" t="str">
        <f>IFERROR(INDEX(TableWRCalcPts[TM],MATCH(TableWRRanks3242[[#This Row],[Player]],TableWRCalcPts[PLAYER],0)),"")</f>
        <v/>
      </c>
      <c r="AG189" t="str">
        <f>IFERROR(INDEX(TableWRCalcPts[BYE],MATCH(TableWRRanks3242[[#This Row],[Player]],TableWRCalcPts[PLAYER],0)),"")</f>
        <v/>
      </c>
      <c r="AH189" s="86" t="e">
        <f>VLOOKUP(TableWRRanks3242[[#This Row],[Player]],WR!B:O,4,FALSE)</f>
        <v>#N/A</v>
      </c>
      <c r="AI189" s="86" t="e">
        <f>VLOOKUP(TableWRRanks3242[[#This Row],[Player]],WR!B:O,5,FALSE)</f>
        <v>#N/A</v>
      </c>
      <c r="AJ189" s="86" t="e">
        <f>VLOOKUP(TableWRRanks3242[[#This Row],[Player]],WR!B:O,6,FALSE)</f>
        <v>#N/A</v>
      </c>
      <c r="AK189" s="86" t="e">
        <f>VLOOKUP(TableWRRanks3242[[#This Row],[Player]],WR!B:O,7,FALSE)</f>
        <v>#N/A</v>
      </c>
      <c r="AL189" s="86" t="e">
        <f>VLOOKUP(TableWRRanks3242[[#This Row],[Player]],WR!B:O,8,FALSE)</f>
        <v>#N/A</v>
      </c>
      <c r="AM189" s="86" t="e">
        <f>VLOOKUP(TableWRRanks3242[[#This Row],[Player]],WR!B:O,9,FALSE)</f>
        <v>#N/A</v>
      </c>
      <c r="AN189" s="58" t="e">
        <f>VLOOKUP(TableWRRanks3242[[#This Row],[Player]],WR!B:O,13,FALSE)</f>
        <v>#N/A</v>
      </c>
      <c r="AO189" s="133" t="e">
        <f>IF(VLOOKUP(TableWRRanks3242[[#This Row],[RK]],'Ranks w Proj'!AD:AO,12,FALSE)&lt;0,0,VLOOKUP(TableWRRanks3242[[#This Row],[RK]],'Ranks w Proj'!AD:AO,12,FALSE))</f>
        <v>#VALUE!</v>
      </c>
    </row>
    <row r="190" spans="30:41" x14ac:dyDescent="0.2">
      <c r="AD190">
        <v>189</v>
      </c>
      <c r="AE190" t="e">
        <f>VLOOKUP(TableWRRanks3242[[#This Row],[RK]],Rankings!A:T,13,FALSE)</f>
        <v>#N/A</v>
      </c>
      <c r="AF190" t="str">
        <f>IFERROR(INDEX(TableWRCalcPts[TM],MATCH(TableWRRanks3242[[#This Row],[Player]],TableWRCalcPts[PLAYER],0)),"")</f>
        <v/>
      </c>
      <c r="AG190" t="str">
        <f>IFERROR(INDEX(TableWRCalcPts[BYE],MATCH(TableWRRanks3242[[#This Row],[Player]],TableWRCalcPts[PLAYER],0)),"")</f>
        <v/>
      </c>
      <c r="AH190" s="86" t="e">
        <f>VLOOKUP(TableWRRanks3242[[#This Row],[Player]],WR!B:O,4,FALSE)</f>
        <v>#N/A</v>
      </c>
      <c r="AI190" s="86" t="e">
        <f>VLOOKUP(TableWRRanks3242[[#This Row],[Player]],WR!B:O,5,FALSE)</f>
        <v>#N/A</v>
      </c>
      <c r="AJ190" s="86" t="e">
        <f>VLOOKUP(TableWRRanks3242[[#This Row],[Player]],WR!B:O,6,FALSE)</f>
        <v>#N/A</v>
      </c>
      <c r="AK190" s="86" t="e">
        <f>VLOOKUP(TableWRRanks3242[[#This Row],[Player]],WR!B:O,7,FALSE)</f>
        <v>#N/A</v>
      </c>
      <c r="AL190" s="86" t="e">
        <f>VLOOKUP(TableWRRanks3242[[#This Row],[Player]],WR!B:O,8,FALSE)</f>
        <v>#N/A</v>
      </c>
      <c r="AM190" s="86" t="e">
        <f>VLOOKUP(TableWRRanks3242[[#This Row],[Player]],WR!B:O,9,FALSE)</f>
        <v>#N/A</v>
      </c>
      <c r="AN190" s="58" t="e">
        <f>VLOOKUP(TableWRRanks3242[[#This Row],[Player]],WR!B:O,13,FALSE)</f>
        <v>#N/A</v>
      </c>
      <c r="AO190" s="133" t="e">
        <f>IF(VLOOKUP(TableWRRanks3242[[#This Row],[RK]],'Ranks w Proj'!AD:AO,12,FALSE)&lt;0,0,VLOOKUP(TableWRRanks3242[[#This Row],[RK]],'Ranks w Proj'!AD:AO,12,FALSE))</f>
        <v>#VALUE!</v>
      </c>
    </row>
    <row r="191" spans="30:41" x14ac:dyDescent="0.2">
      <c r="AD191">
        <v>190</v>
      </c>
      <c r="AE191" t="e">
        <f>VLOOKUP(TableWRRanks3242[[#This Row],[RK]],Rankings!A:T,13,FALSE)</f>
        <v>#N/A</v>
      </c>
      <c r="AF191" t="str">
        <f>IFERROR(INDEX(TableWRCalcPts[TM],MATCH(TableWRRanks3242[[#This Row],[Player]],TableWRCalcPts[PLAYER],0)),"")</f>
        <v/>
      </c>
      <c r="AG191" t="str">
        <f>IFERROR(INDEX(TableWRCalcPts[BYE],MATCH(TableWRRanks3242[[#This Row],[Player]],TableWRCalcPts[PLAYER],0)),"")</f>
        <v/>
      </c>
      <c r="AH191" s="86" t="e">
        <f>VLOOKUP(TableWRRanks3242[[#This Row],[Player]],WR!B:O,4,FALSE)</f>
        <v>#N/A</v>
      </c>
      <c r="AI191" s="86" t="e">
        <f>VLOOKUP(TableWRRanks3242[[#This Row],[Player]],WR!B:O,5,FALSE)</f>
        <v>#N/A</v>
      </c>
      <c r="AJ191" s="86" t="e">
        <f>VLOOKUP(TableWRRanks3242[[#This Row],[Player]],WR!B:O,6,FALSE)</f>
        <v>#N/A</v>
      </c>
      <c r="AK191" s="86" t="e">
        <f>VLOOKUP(TableWRRanks3242[[#This Row],[Player]],WR!B:O,7,FALSE)</f>
        <v>#N/A</v>
      </c>
      <c r="AL191" s="86" t="e">
        <f>VLOOKUP(TableWRRanks3242[[#This Row],[Player]],WR!B:O,8,FALSE)</f>
        <v>#N/A</v>
      </c>
      <c r="AM191" s="86" t="e">
        <f>VLOOKUP(TableWRRanks3242[[#This Row],[Player]],WR!B:O,9,FALSE)</f>
        <v>#N/A</v>
      </c>
      <c r="AN191" s="58" t="e">
        <f>VLOOKUP(TableWRRanks3242[[#This Row],[Player]],WR!B:O,13,FALSE)</f>
        <v>#N/A</v>
      </c>
      <c r="AO191" s="133" t="e">
        <f>IF(VLOOKUP(TableWRRanks3242[[#This Row],[RK]],'Ranks w Proj'!AD:AO,12,FALSE)&lt;0,0,VLOOKUP(TableWRRanks3242[[#This Row],[RK]],'Ranks w Proj'!AD:AO,12,FALSE))</f>
        <v>#VALUE!</v>
      </c>
    </row>
    <row r="192" spans="30:41" x14ac:dyDescent="0.2">
      <c r="AD192">
        <v>191</v>
      </c>
      <c r="AE192" t="e">
        <f>VLOOKUP(TableWRRanks3242[[#This Row],[RK]],Rankings!A:T,13,FALSE)</f>
        <v>#N/A</v>
      </c>
      <c r="AF192" t="str">
        <f>IFERROR(INDEX(TableWRCalcPts[TM],MATCH(TableWRRanks3242[[#This Row],[Player]],TableWRCalcPts[PLAYER],0)),"")</f>
        <v/>
      </c>
      <c r="AG192" t="str">
        <f>IFERROR(INDEX(TableWRCalcPts[BYE],MATCH(TableWRRanks3242[[#This Row],[Player]],TableWRCalcPts[PLAYER],0)),"")</f>
        <v/>
      </c>
      <c r="AH192" s="86" t="e">
        <f>VLOOKUP(TableWRRanks3242[[#This Row],[Player]],WR!B:O,4,FALSE)</f>
        <v>#N/A</v>
      </c>
      <c r="AI192" s="86" t="e">
        <f>VLOOKUP(TableWRRanks3242[[#This Row],[Player]],WR!B:O,5,FALSE)</f>
        <v>#N/A</v>
      </c>
      <c r="AJ192" s="86" t="e">
        <f>VLOOKUP(TableWRRanks3242[[#This Row],[Player]],WR!B:O,6,FALSE)</f>
        <v>#N/A</v>
      </c>
      <c r="AK192" s="86" t="e">
        <f>VLOOKUP(TableWRRanks3242[[#This Row],[Player]],WR!B:O,7,FALSE)</f>
        <v>#N/A</v>
      </c>
      <c r="AL192" s="86" t="e">
        <f>VLOOKUP(TableWRRanks3242[[#This Row],[Player]],WR!B:O,8,FALSE)</f>
        <v>#N/A</v>
      </c>
      <c r="AM192" s="86" t="e">
        <f>VLOOKUP(TableWRRanks3242[[#This Row],[Player]],WR!B:O,9,FALSE)</f>
        <v>#N/A</v>
      </c>
      <c r="AN192" s="58" t="e">
        <f>VLOOKUP(TableWRRanks3242[[#This Row],[Player]],WR!B:O,13,FALSE)</f>
        <v>#N/A</v>
      </c>
      <c r="AO192" s="133" t="e">
        <f>IF(VLOOKUP(TableWRRanks3242[[#This Row],[RK]],'Ranks w Proj'!AD:AO,12,FALSE)&lt;0,0,VLOOKUP(TableWRRanks3242[[#This Row],[RK]],'Ranks w Proj'!AD:AO,12,FALSE))</f>
        <v>#VALUE!</v>
      </c>
    </row>
    <row r="193" spans="30:41" x14ac:dyDescent="0.2">
      <c r="AD193">
        <v>192</v>
      </c>
      <c r="AE193" t="e">
        <f>VLOOKUP(TableWRRanks3242[[#This Row],[RK]],Rankings!A:T,13,FALSE)</f>
        <v>#N/A</v>
      </c>
      <c r="AF193" t="str">
        <f>IFERROR(INDEX(TableWRCalcPts[TM],MATCH(TableWRRanks3242[[#This Row],[Player]],TableWRCalcPts[PLAYER],0)),"")</f>
        <v/>
      </c>
      <c r="AG193" t="str">
        <f>IFERROR(INDEX(TableWRCalcPts[BYE],MATCH(TableWRRanks3242[[#This Row],[Player]],TableWRCalcPts[PLAYER],0)),"")</f>
        <v/>
      </c>
      <c r="AH193" s="86" t="e">
        <f>VLOOKUP(TableWRRanks3242[[#This Row],[Player]],WR!B:O,4,FALSE)</f>
        <v>#N/A</v>
      </c>
      <c r="AI193" s="86" t="e">
        <f>VLOOKUP(TableWRRanks3242[[#This Row],[Player]],WR!B:O,5,FALSE)</f>
        <v>#N/A</v>
      </c>
      <c r="AJ193" s="86" t="e">
        <f>VLOOKUP(TableWRRanks3242[[#This Row],[Player]],WR!B:O,6,FALSE)</f>
        <v>#N/A</v>
      </c>
      <c r="AK193" s="86" t="e">
        <f>VLOOKUP(TableWRRanks3242[[#This Row],[Player]],WR!B:O,7,FALSE)</f>
        <v>#N/A</v>
      </c>
      <c r="AL193" s="86" t="e">
        <f>VLOOKUP(TableWRRanks3242[[#This Row],[Player]],WR!B:O,8,FALSE)</f>
        <v>#N/A</v>
      </c>
      <c r="AM193" s="86" t="e">
        <f>VLOOKUP(TableWRRanks3242[[#This Row],[Player]],WR!B:O,9,FALSE)</f>
        <v>#N/A</v>
      </c>
      <c r="AN193" s="58" t="e">
        <f>VLOOKUP(TableWRRanks3242[[#This Row],[Player]],WR!B:O,13,FALSE)</f>
        <v>#N/A</v>
      </c>
      <c r="AO193" s="133" t="e">
        <f>IF(VLOOKUP(TableWRRanks3242[[#This Row],[RK]],'Ranks w Proj'!AD:AO,12,FALSE)&lt;0,0,VLOOKUP(TableWRRanks3242[[#This Row],[RK]],'Ranks w Proj'!AD:AO,12,FALSE))</f>
        <v>#VALUE!</v>
      </c>
    </row>
    <row r="194" spans="30:41" x14ac:dyDescent="0.2">
      <c r="AD194">
        <v>193</v>
      </c>
      <c r="AE194" t="e">
        <f>VLOOKUP(TableWRRanks3242[[#This Row],[RK]],Rankings!A:T,13,FALSE)</f>
        <v>#N/A</v>
      </c>
      <c r="AF194" t="str">
        <f>IFERROR(INDEX(TableWRCalcPts[TM],MATCH(TableWRRanks3242[[#This Row],[Player]],TableWRCalcPts[PLAYER],0)),"")</f>
        <v/>
      </c>
      <c r="AG194" t="str">
        <f>IFERROR(INDEX(TableWRCalcPts[BYE],MATCH(TableWRRanks3242[[#This Row],[Player]],TableWRCalcPts[PLAYER],0)),"")</f>
        <v/>
      </c>
      <c r="AH194" s="86" t="e">
        <f>VLOOKUP(TableWRRanks3242[[#This Row],[Player]],WR!B:O,4,FALSE)</f>
        <v>#N/A</v>
      </c>
      <c r="AI194" s="86" t="e">
        <f>VLOOKUP(TableWRRanks3242[[#This Row],[Player]],WR!B:O,5,FALSE)</f>
        <v>#N/A</v>
      </c>
      <c r="AJ194" s="86" t="e">
        <f>VLOOKUP(TableWRRanks3242[[#This Row],[Player]],WR!B:O,6,FALSE)</f>
        <v>#N/A</v>
      </c>
      <c r="AK194" s="86" t="e">
        <f>VLOOKUP(TableWRRanks3242[[#This Row],[Player]],WR!B:O,7,FALSE)</f>
        <v>#N/A</v>
      </c>
      <c r="AL194" s="86" t="e">
        <f>VLOOKUP(TableWRRanks3242[[#This Row],[Player]],WR!B:O,8,FALSE)</f>
        <v>#N/A</v>
      </c>
      <c r="AM194" s="86" t="e">
        <f>VLOOKUP(TableWRRanks3242[[#This Row],[Player]],WR!B:O,9,FALSE)</f>
        <v>#N/A</v>
      </c>
      <c r="AN194" s="58" t="e">
        <f>VLOOKUP(TableWRRanks3242[[#This Row],[Player]],WR!B:O,13,FALSE)</f>
        <v>#N/A</v>
      </c>
      <c r="AO194" s="133" t="e">
        <f>IF(VLOOKUP(TableWRRanks3242[[#This Row],[RK]],'Ranks w Proj'!AD:AO,12,FALSE)&lt;0,0,VLOOKUP(TableWRRanks3242[[#This Row],[RK]],'Ranks w Proj'!AD:AO,12,FALSE))</f>
        <v>#VALUE!</v>
      </c>
    </row>
    <row r="195" spans="30:41" x14ac:dyDescent="0.2">
      <c r="AD195">
        <v>194</v>
      </c>
      <c r="AE195" t="e">
        <f>VLOOKUP(TableWRRanks3242[[#This Row],[RK]],Rankings!A:T,13,FALSE)</f>
        <v>#N/A</v>
      </c>
      <c r="AF195" t="str">
        <f>IFERROR(INDEX(TableWRCalcPts[TM],MATCH(TableWRRanks3242[[#This Row],[Player]],TableWRCalcPts[PLAYER],0)),"")</f>
        <v/>
      </c>
      <c r="AG195" t="str">
        <f>IFERROR(INDEX(TableWRCalcPts[BYE],MATCH(TableWRRanks3242[[#This Row],[Player]],TableWRCalcPts[PLAYER],0)),"")</f>
        <v/>
      </c>
      <c r="AH195" s="86" t="e">
        <f>VLOOKUP(TableWRRanks3242[[#This Row],[Player]],WR!B:O,4,FALSE)</f>
        <v>#N/A</v>
      </c>
      <c r="AI195" s="86" t="e">
        <f>VLOOKUP(TableWRRanks3242[[#This Row],[Player]],WR!B:O,5,FALSE)</f>
        <v>#N/A</v>
      </c>
      <c r="AJ195" s="86" t="e">
        <f>VLOOKUP(TableWRRanks3242[[#This Row],[Player]],WR!B:O,6,FALSE)</f>
        <v>#N/A</v>
      </c>
      <c r="AK195" s="86" t="e">
        <f>VLOOKUP(TableWRRanks3242[[#This Row],[Player]],WR!B:O,7,FALSE)</f>
        <v>#N/A</v>
      </c>
      <c r="AL195" s="86" t="e">
        <f>VLOOKUP(TableWRRanks3242[[#This Row],[Player]],WR!B:O,8,FALSE)</f>
        <v>#N/A</v>
      </c>
      <c r="AM195" s="86" t="e">
        <f>VLOOKUP(TableWRRanks3242[[#This Row],[Player]],WR!B:O,9,FALSE)</f>
        <v>#N/A</v>
      </c>
      <c r="AN195" s="58" t="e">
        <f>VLOOKUP(TableWRRanks3242[[#This Row],[Player]],WR!B:O,13,FALSE)</f>
        <v>#N/A</v>
      </c>
      <c r="AO195" s="133" t="e">
        <f>IF(VLOOKUP(TableWRRanks3242[[#This Row],[RK]],'Ranks w Proj'!AD:AO,12,FALSE)&lt;0,0,VLOOKUP(TableWRRanks3242[[#This Row],[RK]],'Ranks w Proj'!AD:AO,12,FALSE))</f>
        <v>#VALUE!</v>
      </c>
    </row>
    <row r="196" spans="30:41" x14ac:dyDescent="0.2">
      <c r="AD196">
        <v>195</v>
      </c>
      <c r="AE196" t="e">
        <f>VLOOKUP(TableWRRanks3242[[#This Row],[RK]],Rankings!A:T,13,FALSE)</f>
        <v>#N/A</v>
      </c>
      <c r="AF196" t="str">
        <f>IFERROR(INDEX(TableWRCalcPts[TM],MATCH(TableWRRanks3242[[#This Row],[Player]],TableWRCalcPts[PLAYER],0)),"")</f>
        <v/>
      </c>
      <c r="AG196" t="str">
        <f>IFERROR(INDEX(TableWRCalcPts[BYE],MATCH(TableWRRanks3242[[#This Row],[Player]],TableWRCalcPts[PLAYER],0)),"")</f>
        <v/>
      </c>
      <c r="AH196" s="86" t="e">
        <f>VLOOKUP(TableWRRanks3242[[#This Row],[Player]],WR!B:O,4,FALSE)</f>
        <v>#N/A</v>
      </c>
      <c r="AI196" s="86" t="e">
        <f>VLOOKUP(TableWRRanks3242[[#This Row],[Player]],WR!B:O,5,FALSE)</f>
        <v>#N/A</v>
      </c>
      <c r="AJ196" s="86" t="e">
        <f>VLOOKUP(TableWRRanks3242[[#This Row],[Player]],WR!B:O,6,FALSE)</f>
        <v>#N/A</v>
      </c>
      <c r="AK196" s="86" t="e">
        <f>VLOOKUP(TableWRRanks3242[[#This Row],[Player]],WR!B:O,7,FALSE)</f>
        <v>#N/A</v>
      </c>
      <c r="AL196" s="86" t="e">
        <f>VLOOKUP(TableWRRanks3242[[#This Row],[Player]],WR!B:O,8,FALSE)</f>
        <v>#N/A</v>
      </c>
      <c r="AM196" s="86" t="e">
        <f>VLOOKUP(TableWRRanks3242[[#This Row],[Player]],WR!B:O,9,FALSE)</f>
        <v>#N/A</v>
      </c>
      <c r="AN196" s="58" t="e">
        <f>VLOOKUP(TableWRRanks3242[[#This Row],[Player]],WR!B:O,13,FALSE)</f>
        <v>#N/A</v>
      </c>
      <c r="AO196" s="133" t="e">
        <f>IF(VLOOKUP(TableWRRanks3242[[#This Row],[RK]],'Ranks w Proj'!AD:AO,12,FALSE)&lt;0,0,VLOOKUP(TableWRRanks3242[[#This Row],[RK]],'Ranks w Proj'!AD:AO,12,FALSE))</f>
        <v>#VALUE!</v>
      </c>
    </row>
    <row r="197" spans="30:41" x14ac:dyDescent="0.2">
      <c r="AD197">
        <v>196</v>
      </c>
      <c r="AE197" t="e">
        <f>VLOOKUP(TableWRRanks3242[[#This Row],[RK]],Rankings!A:T,13,FALSE)</f>
        <v>#N/A</v>
      </c>
      <c r="AF197" t="str">
        <f>IFERROR(INDEX(TableWRCalcPts[TM],MATCH(TableWRRanks3242[[#This Row],[Player]],TableWRCalcPts[PLAYER],0)),"")</f>
        <v/>
      </c>
      <c r="AG197" t="str">
        <f>IFERROR(INDEX(TableWRCalcPts[BYE],MATCH(TableWRRanks3242[[#This Row],[Player]],TableWRCalcPts[PLAYER],0)),"")</f>
        <v/>
      </c>
      <c r="AH197" s="86" t="e">
        <f>VLOOKUP(TableWRRanks3242[[#This Row],[Player]],WR!B:O,4,FALSE)</f>
        <v>#N/A</v>
      </c>
      <c r="AI197" s="86" t="e">
        <f>VLOOKUP(TableWRRanks3242[[#This Row],[Player]],WR!B:O,5,FALSE)</f>
        <v>#N/A</v>
      </c>
      <c r="AJ197" s="86" t="e">
        <f>VLOOKUP(TableWRRanks3242[[#This Row],[Player]],WR!B:O,6,FALSE)</f>
        <v>#N/A</v>
      </c>
      <c r="AK197" s="86" t="e">
        <f>VLOOKUP(TableWRRanks3242[[#This Row],[Player]],WR!B:O,7,FALSE)</f>
        <v>#N/A</v>
      </c>
      <c r="AL197" s="86" t="e">
        <f>VLOOKUP(TableWRRanks3242[[#This Row],[Player]],WR!B:O,8,FALSE)</f>
        <v>#N/A</v>
      </c>
      <c r="AM197" s="86" t="e">
        <f>VLOOKUP(TableWRRanks3242[[#This Row],[Player]],WR!B:O,9,FALSE)</f>
        <v>#N/A</v>
      </c>
      <c r="AN197" s="58" t="e">
        <f>VLOOKUP(TableWRRanks3242[[#This Row],[Player]],WR!B:O,13,FALSE)</f>
        <v>#N/A</v>
      </c>
      <c r="AO197" s="133" t="e">
        <f>IF(VLOOKUP(TableWRRanks3242[[#This Row],[RK]],'Ranks w Proj'!AD:AO,12,FALSE)&lt;0,0,VLOOKUP(TableWRRanks3242[[#This Row],[RK]],'Ranks w Proj'!AD:AO,12,FALSE))</f>
        <v>#VALUE!</v>
      </c>
    </row>
    <row r="198" spans="30:41" x14ac:dyDescent="0.2">
      <c r="AD198">
        <v>197</v>
      </c>
      <c r="AE198" t="e">
        <f>VLOOKUP(TableWRRanks3242[[#This Row],[RK]],Rankings!A:T,13,FALSE)</f>
        <v>#N/A</v>
      </c>
      <c r="AF198" t="str">
        <f>IFERROR(INDEX(TableWRCalcPts[TM],MATCH(TableWRRanks3242[[#This Row],[Player]],TableWRCalcPts[PLAYER],0)),"")</f>
        <v/>
      </c>
      <c r="AG198" t="str">
        <f>IFERROR(INDEX(TableWRCalcPts[BYE],MATCH(TableWRRanks3242[[#This Row],[Player]],TableWRCalcPts[PLAYER],0)),"")</f>
        <v/>
      </c>
      <c r="AH198" s="86" t="e">
        <f>VLOOKUP(TableWRRanks3242[[#This Row],[Player]],WR!B:O,4,FALSE)</f>
        <v>#N/A</v>
      </c>
      <c r="AI198" s="86" t="e">
        <f>VLOOKUP(TableWRRanks3242[[#This Row],[Player]],WR!B:O,5,FALSE)</f>
        <v>#N/A</v>
      </c>
      <c r="AJ198" s="86" t="e">
        <f>VLOOKUP(TableWRRanks3242[[#This Row],[Player]],WR!B:O,6,FALSE)</f>
        <v>#N/A</v>
      </c>
      <c r="AK198" s="86" t="e">
        <f>VLOOKUP(TableWRRanks3242[[#This Row],[Player]],WR!B:O,7,FALSE)</f>
        <v>#N/A</v>
      </c>
      <c r="AL198" s="86" t="e">
        <f>VLOOKUP(TableWRRanks3242[[#This Row],[Player]],WR!B:O,8,FALSE)</f>
        <v>#N/A</v>
      </c>
      <c r="AM198" s="86" t="e">
        <f>VLOOKUP(TableWRRanks3242[[#This Row],[Player]],WR!B:O,9,FALSE)</f>
        <v>#N/A</v>
      </c>
      <c r="AN198" s="58" t="e">
        <f>VLOOKUP(TableWRRanks3242[[#This Row],[Player]],WR!B:O,13,FALSE)</f>
        <v>#N/A</v>
      </c>
      <c r="AO198" s="133" t="e">
        <f>IF(VLOOKUP(TableWRRanks3242[[#This Row],[RK]],'Ranks w Proj'!AD:AO,12,FALSE)&lt;0,0,VLOOKUP(TableWRRanks3242[[#This Row],[RK]],'Ranks w Proj'!AD:AO,12,FALSE))</f>
        <v>#VALUE!</v>
      </c>
    </row>
    <row r="199" spans="30:41" x14ac:dyDescent="0.2">
      <c r="AD199">
        <v>198</v>
      </c>
      <c r="AE199" t="e">
        <f>VLOOKUP(TableWRRanks3242[[#This Row],[RK]],Rankings!A:T,13,FALSE)</f>
        <v>#N/A</v>
      </c>
      <c r="AF199" t="str">
        <f>IFERROR(INDEX(TableWRCalcPts[TM],MATCH(TableWRRanks3242[[#This Row],[Player]],TableWRCalcPts[PLAYER],0)),"")</f>
        <v/>
      </c>
      <c r="AG199" t="str">
        <f>IFERROR(INDEX(TableWRCalcPts[BYE],MATCH(TableWRRanks3242[[#This Row],[Player]],TableWRCalcPts[PLAYER],0)),"")</f>
        <v/>
      </c>
      <c r="AH199" s="86" t="e">
        <f>VLOOKUP(TableWRRanks3242[[#This Row],[Player]],WR!B:O,4,FALSE)</f>
        <v>#N/A</v>
      </c>
      <c r="AI199" s="86" t="e">
        <f>VLOOKUP(TableWRRanks3242[[#This Row],[Player]],WR!B:O,5,FALSE)</f>
        <v>#N/A</v>
      </c>
      <c r="AJ199" s="86" t="e">
        <f>VLOOKUP(TableWRRanks3242[[#This Row],[Player]],WR!B:O,6,FALSE)</f>
        <v>#N/A</v>
      </c>
      <c r="AK199" s="86" t="e">
        <f>VLOOKUP(TableWRRanks3242[[#This Row],[Player]],WR!B:O,7,FALSE)</f>
        <v>#N/A</v>
      </c>
      <c r="AL199" s="86" t="e">
        <f>VLOOKUP(TableWRRanks3242[[#This Row],[Player]],WR!B:O,8,FALSE)</f>
        <v>#N/A</v>
      </c>
      <c r="AM199" s="86" t="e">
        <f>VLOOKUP(TableWRRanks3242[[#This Row],[Player]],WR!B:O,9,FALSE)</f>
        <v>#N/A</v>
      </c>
      <c r="AN199" s="58" t="e">
        <f>VLOOKUP(TableWRRanks3242[[#This Row],[Player]],WR!B:O,13,FALSE)</f>
        <v>#N/A</v>
      </c>
      <c r="AO199" s="133" t="e">
        <f>IF(VLOOKUP(TableWRRanks3242[[#This Row],[RK]],'Ranks w Proj'!AD:AO,12,FALSE)&lt;0,0,VLOOKUP(TableWRRanks3242[[#This Row],[RK]],'Ranks w Proj'!AD:AO,12,FALSE))</f>
        <v>#VALUE!</v>
      </c>
    </row>
    <row r="200" spans="30:41" x14ac:dyDescent="0.2">
      <c r="AD200">
        <v>199</v>
      </c>
      <c r="AE200" t="e">
        <f>VLOOKUP(TableWRRanks3242[[#This Row],[RK]],Rankings!A:T,13,FALSE)</f>
        <v>#N/A</v>
      </c>
      <c r="AF200" t="str">
        <f>IFERROR(INDEX(TableWRCalcPts[TM],MATCH(TableWRRanks3242[[#This Row],[Player]],TableWRCalcPts[PLAYER],0)),"")</f>
        <v/>
      </c>
      <c r="AG200" t="str">
        <f>IFERROR(INDEX(TableWRCalcPts[BYE],MATCH(TableWRRanks3242[[#This Row],[Player]],TableWRCalcPts[PLAYER],0)),"")</f>
        <v/>
      </c>
      <c r="AH200" s="86" t="e">
        <f>VLOOKUP(TableWRRanks3242[[#This Row],[Player]],WR!B:O,4,FALSE)</f>
        <v>#N/A</v>
      </c>
      <c r="AI200" s="86" t="e">
        <f>VLOOKUP(TableWRRanks3242[[#This Row],[Player]],WR!B:O,5,FALSE)</f>
        <v>#N/A</v>
      </c>
      <c r="AJ200" s="86" t="e">
        <f>VLOOKUP(TableWRRanks3242[[#This Row],[Player]],WR!B:O,6,FALSE)</f>
        <v>#N/A</v>
      </c>
      <c r="AK200" s="86" t="e">
        <f>VLOOKUP(TableWRRanks3242[[#This Row],[Player]],WR!B:O,7,FALSE)</f>
        <v>#N/A</v>
      </c>
      <c r="AL200" s="86" t="e">
        <f>VLOOKUP(TableWRRanks3242[[#This Row],[Player]],WR!B:O,8,FALSE)</f>
        <v>#N/A</v>
      </c>
      <c r="AM200" s="86" t="e">
        <f>VLOOKUP(TableWRRanks3242[[#This Row],[Player]],WR!B:O,9,FALSE)</f>
        <v>#N/A</v>
      </c>
      <c r="AN200" s="58" t="e">
        <f>VLOOKUP(TableWRRanks3242[[#This Row],[Player]],WR!B:O,13,FALSE)</f>
        <v>#N/A</v>
      </c>
      <c r="AO200" s="133" t="e">
        <f>IF(VLOOKUP(TableWRRanks3242[[#This Row],[RK]],'Ranks w Proj'!AD:AO,12,FALSE)&lt;0,0,VLOOKUP(TableWRRanks3242[[#This Row],[RK]],'Ranks w Proj'!AD:AO,12,FALSE))</f>
        <v>#VALUE!</v>
      </c>
    </row>
    <row r="201" spans="30:41" x14ac:dyDescent="0.2">
      <c r="AD201">
        <v>200</v>
      </c>
      <c r="AE201" t="e">
        <f>VLOOKUP(TableWRRanks3242[[#This Row],[RK]],Rankings!A:T,13,FALSE)</f>
        <v>#N/A</v>
      </c>
      <c r="AF201" t="str">
        <f>IFERROR(INDEX(TableWRCalcPts[TM],MATCH(TableWRRanks3242[[#This Row],[Player]],TableWRCalcPts[PLAYER],0)),"")</f>
        <v/>
      </c>
      <c r="AG201" t="str">
        <f>IFERROR(INDEX(TableWRCalcPts[BYE],MATCH(TableWRRanks3242[[#This Row],[Player]],TableWRCalcPts[PLAYER],0)),"")</f>
        <v/>
      </c>
      <c r="AH201" s="86" t="e">
        <f>VLOOKUP(TableWRRanks3242[[#This Row],[Player]],WR!B:O,4,FALSE)</f>
        <v>#N/A</v>
      </c>
      <c r="AI201" s="86" t="e">
        <f>VLOOKUP(TableWRRanks3242[[#This Row],[Player]],WR!B:O,5,FALSE)</f>
        <v>#N/A</v>
      </c>
      <c r="AJ201" s="86" t="e">
        <f>VLOOKUP(TableWRRanks3242[[#This Row],[Player]],WR!B:O,6,FALSE)</f>
        <v>#N/A</v>
      </c>
      <c r="AK201" s="86" t="e">
        <f>VLOOKUP(TableWRRanks3242[[#This Row],[Player]],WR!B:O,7,FALSE)</f>
        <v>#N/A</v>
      </c>
      <c r="AL201" s="86" t="e">
        <f>VLOOKUP(TableWRRanks3242[[#This Row],[Player]],WR!B:O,8,FALSE)</f>
        <v>#N/A</v>
      </c>
      <c r="AM201" s="86" t="e">
        <f>VLOOKUP(TableWRRanks3242[[#This Row],[Player]],WR!B:O,9,FALSE)</f>
        <v>#N/A</v>
      </c>
      <c r="AN201" s="58" t="e">
        <f>VLOOKUP(TableWRRanks3242[[#This Row],[Player]],WR!B:O,13,FALSE)</f>
        <v>#N/A</v>
      </c>
      <c r="AO201" s="133" t="e">
        <f>IF(VLOOKUP(TableWRRanks3242[[#This Row],[RK]],'Ranks w Proj'!AD:AO,12,FALSE)&lt;0,0,VLOOKUP(TableWRRanks3242[[#This Row],[RK]],'Ranks w Proj'!AD:AO,12,FALSE))</f>
        <v>#VALUE!</v>
      </c>
    </row>
    <row r="202" spans="30:41" x14ac:dyDescent="0.2">
      <c r="AD202">
        <v>201</v>
      </c>
      <c r="AE202" t="e">
        <f>VLOOKUP(TableWRRanks3242[[#This Row],[RK]],Rankings!A:T,13,FALSE)</f>
        <v>#N/A</v>
      </c>
      <c r="AF202" t="str">
        <f>IFERROR(INDEX(TableWRCalcPts[TM],MATCH(TableWRRanks3242[[#This Row],[Player]],TableWRCalcPts[PLAYER],0)),"")</f>
        <v/>
      </c>
      <c r="AG202" t="str">
        <f>IFERROR(INDEX(TableWRCalcPts[BYE],MATCH(TableWRRanks3242[[#This Row],[Player]],TableWRCalcPts[PLAYER],0)),"")</f>
        <v/>
      </c>
      <c r="AH202" s="86" t="e">
        <f>VLOOKUP(TableWRRanks3242[[#This Row],[Player]],WR!B:O,4,FALSE)</f>
        <v>#N/A</v>
      </c>
      <c r="AI202" s="86" t="e">
        <f>VLOOKUP(TableWRRanks3242[[#This Row],[Player]],WR!B:O,5,FALSE)</f>
        <v>#N/A</v>
      </c>
      <c r="AJ202" s="86" t="e">
        <f>VLOOKUP(TableWRRanks3242[[#This Row],[Player]],WR!B:O,6,FALSE)</f>
        <v>#N/A</v>
      </c>
      <c r="AK202" s="86" t="e">
        <f>VLOOKUP(TableWRRanks3242[[#This Row],[Player]],WR!B:O,7,FALSE)</f>
        <v>#N/A</v>
      </c>
      <c r="AL202" s="86" t="e">
        <f>VLOOKUP(TableWRRanks3242[[#This Row],[Player]],WR!B:O,8,FALSE)</f>
        <v>#N/A</v>
      </c>
      <c r="AM202" s="86" t="e">
        <f>VLOOKUP(TableWRRanks3242[[#This Row],[Player]],WR!B:O,9,FALSE)</f>
        <v>#N/A</v>
      </c>
      <c r="AN202" s="58" t="e">
        <f>VLOOKUP(TableWRRanks3242[[#This Row],[Player]],WR!B:O,13,FALSE)</f>
        <v>#N/A</v>
      </c>
      <c r="AO202" s="133" t="e">
        <f>IF(VLOOKUP(TableWRRanks3242[[#This Row],[RK]],'Ranks w Proj'!AD:AO,12,FALSE)&lt;0,0,VLOOKUP(TableWRRanks3242[[#This Row],[RK]],'Ranks w Proj'!AD:AO,12,FALSE))</f>
        <v>#VALUE!</v>
      </c>
    </row>
    <row r="203" spans="30:41" x14ac:dyDescent="0.2">
      <c r="AD203">
        <v>202</v>
      </c>
      <c r="AE203" t="e">
        <f>VLOOKUP(TableWRRanks3242[[#This Row],[RK]],Rankings!A:T,13,FALSE)</f>
        <v>#N/A</v>
      </c>
      <c r="AF203" t="str">
        <f>IFERROR(INDEX(TableWRCalcPts[TM],MATCH(TableWRRanks3242[[#This Row],[Player]],TableWRCalcPts[PLAYER],0)),"")</f>
        <v/>
      </c>
      <c r="AG203" t="str">
        <f>IFERROR(INDEX(TableWRCalcPts[BYE],MATCH(TableWRRanks3242[[#This Row],[Player]],TableWRCalcPts[PLAYER],0)),"")</f>
        <v/>
      </c>
      <c r="AH203" s="86" t="e">
        <f>VLOOKUP(TableWRRanks3242[[#This Row],[Player]],WR!B:O,4,FALSE)</f>
        <v>#N/A</v>
      </c>
      <c r="AI203" s="86" t="e">
        <f>VLOOKUP(TableWRRanks3242[[#This Row],[Player]],WR!B:O,5,FALSE)</f>
        <v>#N/A</v>
      </c>
      <c r="AJ203" s="86" t="e">
        <f>VLOOKUP(TableWRRanks3242[[#This Row],[Player]],WR!B:O,6,FALSE)</f>
        <v>#N/A</v>
      </c>
      <c r="AK203" s="86" t="e">
        <f>VLOOKUP(TableWRRanks3242[[#This Row],[Player]],WR!B:O,7,FALSE)</f>
        <v>#N/A</v>
      </c>
      <c r="AL203" s="86" t="e">
        <f>VLOOKUP(TableWRRanks3242[[#This Row],[Player]],WR!B:O,8,FALSE)</f>
        <v>#N/A</v>
      </c>
      <c r="AM203" s="86" t="e">
        <f>VLOOKUP(TableWRRanks3242[[#This Row],[Player]],WR!B:O,9,FALSE)</f>
        <v>#N/A</v>
      </c>
      <c r="AN203" s="58" t="e">
        <f>VLOOKUP(TableWRRanks3242[[#This Row],[Player]],WR!B:O,13,FALSE)</f>
        <v>#N/A</v>
      </c>
      <c r="AO203" s="133" t="e">
        <f>IF(VLOOKUP(TableWRRanks3242[[#This Row],[RK]],'Ranks w Proj'!AD:AO,12,FALSE)&lt;0,0,VLOOKUP(TableWRRanks3242[[#This Row],[RK]],'Ranks w Proj'!AD:AO,12,FALSE))</f>
        <v>#VALUE!</v>
      </c>
    </row>
    <row r="204" spans="30:41" x14ac:dyDescent="0.2">
      <c r="AD204">
        <v>203</v>
      </c>
      <c r="AE204" t="e">
        <f>VLOOKUP(TableWRRanks3242[[#This Row],[RK]],Rankings!A:T,13,FALSE)</f>
        <v>#N/A</v>
      </c>
      <c r="AF204" t="str">
        <f>IFERROR(INDEX(TableWRCalcPts[TM],MATCH(TableWRRanks3242[[#This Row],[Player]],TableWRCalcPts[PLAYER],0)),"")</f>
        <v/>
      </c>
      <c r="AG204" t="str">
        <f>IFERROR(INDEX(TableWRCalcPts[BYE],MATCH(TableWRRanks3242[[#This Row],[Player]],TableWRCalcPts[PLAYER],0)),"")</f>
        <v/>
      </c>
      <c r="AH204" s="86" t="e">
        <f>VLOOKUP(TableWRRanks3242[[#This Row],[Player]],WR!B:O,4,FALSE)</f>
        <v>#N/A</v>
      </c>
      <c r="AI204" s="86" t="e">
        <f>VLOOKUP(TableWRRanks3242[[#This Row],[Player]],WR!B:O,5,FALSE)</f>
        <v>#N/A</v>
      </c>
      <c r="AJ204" s="86" t="e">
        <f>VLOOKUP(TableWRRanks3242[[#This Row],[Player]],WR!B:O,6,FALSE)</f>
        <v>#N/A</v>
      </c>
      <c r="AK204" s="86" t="e">
        <f>VLOOKUP(TableWRRanks3242[[#This Row],[Player]],WR!B:O,7,FALSE)</f>
        <v>#N/A</v>
      </c>
      <c r="AL204" s="86" t="e">
        <f>VLOOKUP(TableWRRanks3242[[#This Row],[Player]],WR!B:O,8,FALSE)</f>
        <v>#N/A</v>
      </c>
      <c r="AM204" s="86" t="e">
        <f>VLOOKUP(TableWRRanks3242[[#This Row],[Player]],WR!B:O,9,FALSE)</f>
        <v>#N/A</v>
      </c>
      <c r="AN204" s="58" t="e">
        <f>VLOOKUP(TableWRRanks3242[[#This Row],[Player]],WR!B:O,13,FALSE)</f>
        <v>#N/A</v>
      </c>
      <c r="AO204" s="133" t="e">
        <f>IF(VLOOKUP(TableWRRanks3242[[#This Row],[RK]],'Ranks w Proj'!AD:AO,12,FALSE)&lt;0,0,VLOOKUP(TableWRRanks3242[[#This Row],[RK]],'Ranks w Proj'!AD:AO,12,FALSE))</f>
        <v>#VALUE!</v>
      </c>
    </row>
    <row r="205" spans="30:41" x14ac:dyDescent="0.2">
      <c r="AD205">
        <v>204</v>
      </c>
      <c r="AE205" t="e">
        <f>VLOOKUP(TableWRRanks3242[[#This Row],[RK]],Rankings!A:T,13,FALSE)</f>
        <v>#N/A</v>
      </c>
      <c r="AF205" t="str">
        <f>IFERROR(INDEX(TableWRCalcPts[TM],MATCH(TableWRRanks3242[[#This Row],[Player]],TableWRCalcPts[PLAYER],0)),"")</f>
        <v/>
      </c>
      <c r="AG205" t="str">
        <f>IFERROR(INDEX(TableWRCalcPts[BYE],MATCH(TableWRRanks3242[[#This Row],[Player]],TableWRCalcPts[PLAYER],0)),"")</f>
        <v/>
      </c>
      <c r="AH205" s="86" t="e">
        <f>VLOOKUP(TableWRRanks3242[[#This Row],[Player]],WR!B:O,4,FALSE)</f>
        <v>#N/A</v>
      </c>
      <c r="AI205" s="86" t="e">
        <f>VLOOKUP(TableWRRanks3242[[#This Row],[Player]],WR!B:O,5,FALSE)</f>
        <v>#N/A</v>
      </c>
      <c r="AJ205" s="86" t="e">
        <f>VLOOKUP(TableWRRanks3242[[#This Row],[Player]],WR!B:O,6,FALSE)</f>
        <v>#N/A</v>
      </c>
      <c r="AK205" s="86" t="e">
        <f>VLOOKUP(TableWRRanks3242[[#This Row],[Player]],WR!B:O,7,FALSE)</f>
        <v>#N/A</v>
      </c>
      <c r="AL205" s="86" t="e">
        <f>VLOOKUP(TableWRRanks3242[[#This Row],[Player]],WR!B:O,8,FALSE)</f>
        <v>#N/A</v>
      </c>
      <c r="AM205" s="86" t="e">
        <f>VLOOKUP(TableWRRanks3242[[#This Row],[Player]],WR!B:O,9,FALSE)</f>
        <v>#N/A</v>
      </c>
      <c r="AN205" s="58" t="e">
        <f>VLOOKUP(TableWRRanks3242[[#This Row],[Player]],WR!B:O,13,FALSE)</f>
        <v>#N/A</v>
      </c>
      <c r="AO205" s="133" t="e">
        <f>IF(VLOOKUP(TableWRRanks3242[[#This Row],[RK]],'Ranks w Proj'!AD:AO,12,FALSE)&lt;0,0,VLOOKUP(TableWRRanks3242[[#This Row],[RK]],'Ranks w Proj'!AD:AO,12,FALSE))</f>
        <v>#VALUE!</v>
      </c>
    </row>
    <row r="206" spans="30:41" x14ac:dyDescent="0.2">
      <c r="AD206">
        <v>205</v>
      </c>
      <c r="AE206" t="e">
        <f>VLOOKUP(TableWRRanks3242[[#This Row],[RK]],Rankings!A:T,13,FALSE)</f>
        <v>#N/A</v>
      </c>
      <c r="AF206" t="str">
        <f>IFERROR(INDEX(TableWRCalcPts[TM],MATCH(TableWRRanks3242[[#This Row],[Player]],TableWRCalcPts[PLAYER],0)),"")</f>
        <v/>
      </c>
      <c r="AG206" t="str">
        <f>IFERROR(INDEX(TableWRCalcPts[BYE],MATCH(TableWRRanks3242[[#This Row],[Player]],TableWRCalcPts[PLAYER],0)),"")</f>
        <v/>
      </c>
      <c r="AH206" s="86" t="e">
        <f>VLOOKUP(TableWRRanks3242[[#This Row],[Player]],WR!B:O,4,FALSE)</f>
        <v>#N/A</v>
      </c>
      <c r="AI206" s="86" t="e">
        <f>VLOOKUP(TableWRRanks3242[[#This Row],[Player]],WR!B:O,5,FALSE)</f>
        <v>#N/A</v>
      </c>
      <c r="AJ206" s="86" t="e">
        <f>VLOOKUP(TableWRRanks3242[[#This Row],[Player]],WR!B:O,6,FALSE)</f>
        <v>#N/A</v>
      </c>
      <c r="AK206" s="86" t="e">
        <f>VLOOKUP(TableWRRanks3242[[#This Row],[Player]],WR!B:O,7,FALSE)</f>
        <v>#N/A</v>
      </c>
      <c r="AL206" s="86" t="e">
        <f>VLOOKUP(TableWRRanks3242[[#This Row],[Player]],WR!B:O,8,FALSE)</f>
        <v>#N/A</v>
      </c>
      <c r="AM206" s="86" t="e">
        <f>VLOOKUP(TableWRRanks3242[[#This Row],[Player]],WR!B:O,9,FALSE)</f>
        <v>#N/A</v>
      </c>
      <c r="AN206" s="58" t="e">
        <f>VLOOKUP(TableWRRanks3242[[#This Row],[Player]],WR!B:O,13,FALSE)</f>
        <v>#N/A</v>
      </c>
      <c r="AO206" s="133" t="e">
        <f>IF(VLOOKUP(TableWRRanks3242[[#This Row],[RK]],'Ranks w Proj'!AD:AO,12,FALSE)&lt;0,0,VLOOKUP(TableWRRanks3242[[#This Row],[RK]],'Ranks w Proj'!AD:AO,12,FALSE))</f>
        <v>#VALUE!</v>
      </c>
    </row>
    <row r="207" spans="30:41" x14ac:dyDescent="0.2">
      <c r="AD207">
        <v>206</v>
      </c>
      <c r="AE207" t="e">
        <f>VLOOKUP(TableWRRanks3242[[#This Row],[RK]],Rankings!A:T,13,FALSE)</f>
        <v>#N/A</v>
      </c>
      <c r="AF207" t="str">
        <f>IFERROR(INDEX(TableWRCalcPts[TM],MATCH(TableWRRanks3242[[#This Row],[Player]],TableWRCalcPts[PLAYER],0)),"")</f>
        <v/>
      </c>
      <c r="AG207" t="str">
        <f>IFERROR(INDEX(TableWRCalcPts[BYE],MATCH(TableWRRanks3242[[#This Row],[Player]],TableWRCalcPts[PLAYER],0)),"")</f>
        <v/>
      </c>
      <c r="AH207" s="86" t="e">
        <f>VLOOKUP(TableWRRanks3242[[#This Row],[Player]],WR!B:O,4,FALSE)</f>
        <v>#N/A</v>
      </c>
      <c r="AI207" s="86" t="e">
        <f>VLOOKUP(TableWRRanks3242[[#This Row],[Player]],WR!B:O,5,FALSE)</f>
        <v>#N/A</v>
      </c>
      <c r="AJ207" s="86" t="e">
        <f>VLOOKUP(TableWRRanks3242[[#This Row],[Player]],WR!B:O,6,FALSE)</f>
        <v>#N/A</v>
      </c>
      <c r="AK207" s="86" t="e">
        <f>VLOOKUP(TableWRRanks3242[[#This Row],[Player]],WR!B:O,7,FALSE)</f>
        <v>#N/A</v>
      </c>
      <c r="AL207" s="86" t="e">
        <f>VLOOKUP(TableWRRanks3242[[#This Row],[Player]],WR!B:O,8,FALSE)</f>
        <v>#N/A</v>
      </c>
      <c r="AM207" s="86" t="e">
        <f>VLOOKUP(TableWRRanks3242[[#This Row],[Player]],WR!B:O,9,FALSE)</f>
        <v>#N/A</v>
      </c>
      <c r="AN207" s="58" t="e">
        <f>VLOOKUP(TableWRRanks3242[[#This Row],[Player]],WR!B:O,13,FALSE)</f>
        <v>#N/A</v>
      </c>
      <c r="AO207" s="133" t="e">
        <f>IF(VLOOKUP(TableWRRanks3242[[#This Row],[RK]],'Ranks w Proj'!AD:AO,12,FALSE)&lt;0,0,VLOOKUP(TableWRRanks3242[[#This Row],[RK]],'Ranks w Proj'!AD:AO,12,FALSE))</f>
        <v>#VALUE!</v>
      </c>
    </row>
    <row r="208" spans="30:41" x14ac:dyDescent="0.2">
      <c r="AD208">
        <v>207</v>
      </c>
      <c r="AE208" t="e">
        <f>VLOOKUP(TableWRRanks3242[[#This Row],[RK]],Rankings!A:T,13,FALSE)</f>
        <v>#N/A</v>
      </c>
      <c r="AF208" t="str">
        <f>IFERROR(INDEX(TableWRCalcPts[TM],MATCH(TableWRRanks3242[[#This Row],[Player]],TableWRCalcPts[PLAYER],0)),"")</f>
        <v/>
      </c>
      <c r="AG208" t="str">
        <f>IFERROR(INDEX(TableWRCalcPts[BYE],MATCH(TableWRRanks3242[[#This Row],[Player]],TableWRCalcPts[PLAYER],0)),"")</f>
        <v/>
      </c>
      <c r="AH208" s="86" t="e">
        <f>VLOOKUP(TableWRRanks3242[[#This Row],[Player]],WR!B:O,4,FALSE)</f>
        <v>#N/A</v>
      </c>
      <c r="AI208" s="86" t="e">
        <f>VLOOKUP(TableWRRanks3242[[#This Row],[Player]],WR!B:O,5,FALSE)</f>
        <v>#N/A</v>
      </c>
      <c r="AJ208" s="86" t="e">
        <f>VLOOKUP(TableWRRanks3242[[#This Row],[Player]],WR!B:O,6,FALSE)</f>
        <v>#N/A</v>
      </c>
      <c r="AK208" s="86" t="e">
        <f>VLOOKUP(TableWRRanks3242[[#This Row],[Player]],WR!B:O,7,FALSE)</f>
        <v>#N/A</v>
      </c>
      <c r="AL208" s="86" t="e">
        <f>VLOOKUP(TableWRRanks3242[[#This Row],[Player]],WR!B:O,8,FALSE)</f>
        <v>#N/A</v>
      </c>
      <c r="AM208" s="86" t="e">
        <f>VLOOKUP(TableWRRanks3242[[#This Row],[Player]],WR!B:O,9,FALSE)</f>
        <v>#N/A</v>
      </c>
      <c r="AN208" s="58" t="e">
        <f>VLOOKUP(TableWRRanks3242[[#This Row],[Player]],WR!B:O,13,FALSE)</f>
        <v>#N/A</v>
      </c>
      <c r="AO208" s="133" t="e">
        <f>IF(VLOOKUP(TableWRRanks3242[[#This Row],[RK]],'Ranks w Proj'!AD:AO,12,FALSE)&lt;0,0,VLOOKUP(TableWRRanks3242[[#This Row],[RK]],'Ranks w Proj'!AD:AO,12,FALSE))</f>
        <v>#VALUE!</v>
      </c>
    </row>
    <row r="209" spans="30:41" x14ac:dyDescent="0.2">
      <c r="AD209">
        <v>208</v>
      </c>
      <c r="AE209" t="e">
        <f>VLOOKUP(TableWRRanks3242[[#This Row],[RK]],Rankings!A:T,13,FALSE)</f>
        <v>#N/A</v>
      </c>
      <c r="AF209" t="str">
        <f>IFERROR(INDEX(TableWRCalcPts[TM],MATCH(TableWRRanks3242[[#This Row],[Player]],TableWRCalcPts[PLAYER],0)),"")</f>
        <v/>
      </c>
      <c r="AG209" t="str">
        <f>IFERROR(INDEX(TableWRCalcPts[BYE],MATCH(TableWRRanks3242[[#This Row],[Player]],TableWRCalcPts[PLAYER],0)),"")</f>
        <v/>
      </c>
      <c r="AH209" s="86" t="e">
        <f>VLOOKUP(TableWRRanks3242[[#This Row],[Player]],WR!B:O,4,FALSE)</f>
        <v>#N/A</v>
      </c>
      <c r="AI209" s="86" t="e">
        <f>VLOOKUP(TableWRRanks3242[[#This Row],[Player]],WR!B:O,5,FALSE)</f>
        <v>#N/A</v>
      </c>
      <c r="AJ209" s="86" t="e">
        <f>VLOOKUP(TableWRRanks3242[[#This Row],[Player]],WR!B:O,6,FALSE)</f>
        <v>#N/A</v>
      </c>
      <c r="AK209" s="86" t="e">
        <f>VLOOKUP(TableWRRanks3242[[#This Row],[Player]],WR!B:O,7,FALSE)</f>
        <v>#N/A</v>
      </c>
      <c r="AL209" s="86" t="e">
        <f>VLOOKUP(TableWRRanks3242[[#This Row],[Player]],WR!B:O,8,FALSE)</f>
        <v>#N/A</v>
      </c>
      <c r="AM209" s="86" t="e">
        <f>VLOOKUP(TableWRRanks3242[[#This Row],[Player]],WR!B:O,9,FALSE)</f>
        <v>#N/A</v>
      </c>
      <c r="AN209" s="58" t="e">
        <f>VLOOKUP(TableWRRanks3242[[#This Row],[Player]],WR!B:O,13,FALSE)</f>
        <v>#N/A</v>
      </c>
      <c r="AO209" s="133" t="e">
        <f>IF(VLOOKUP(TableWRRanks3242[[#This Row],[RK]],'Ranks w Proj'!AD:AO,12,FALSE)&lt;0,0,VLOOKUP(TableWRRanks3242[[#This Row],[RK]],'Ranks w Proj'!AD:AO,12,FALSE))</f>
        <v>#VALUE!</v>
      </c>
    </row>
    <row r="210" spans="30:41" x14ac:dyDescent="0.2">
      <c r="AD210">
        <v>209</v>
      </c>
      <c r="AE210" t="e">
        <f>VLOOKUP(TableWRRanks3242[[#This Row],[RK]],Rankings!A:T,13,FALSE)</f>
        <v>#N/A</v>
      </c>
      <c r="AF210" t="str">
        <f>IFERROR(INDEX(TableWRCalcPts[TM],MATCH(TableWRRanks3242[[#This Row],[Player]],TableWRCalcPts[PLAYER],0)),"")</f>
        <v/>
      </c>
      <c r="AG210" t="str">
        <f>IFERROR(INDEX(TableWRCalcPts[BYE],MATCH(TableWRRanks3242[[#This Row],[Player]],TableWRCalcPts[PLAYER],0)),"")</f>
        <v/>
      </c>
      <c r="AH210" s="86" t="e">
        <f>VLOOKUP(TableWRRanks3242[[#This Row],[Player]],WR!B:O,4,FALSE)</f>
        <v>#N/A</v>
      </c>
      <c r="AI210" s="86" t="e">
        <f>VLOOKUP(TableWRRanks3242[[#This Row],[Player]],WR!B:O,5,FALSE)</f>
        <v>#N/A</v>
      </c>
      <c r="AJ210" s="86" t="e">
        <f>VLOOKUP(TableWRRanks3242[[#This Row],[Player]],WR!B:O,6,FALSE)</f>
        <v>#N/A</v>
      </c>
      <c r="AK210" s="86" t="e">
        <f>VLOOKUP(TableWRRanks3242[[#This Row],[Player]],WR!B:O,7,FALSE)</f>
        <v>#N/A</v>
      </c>
      <c r="AL210" s="86" t="e">
        <f>VLOOKUP(TableWRRanks3242[[#This Row],[Player]],WR!B:O,8,FALSE)</f>
        <v>#N/A</v>
      </c>
      <c r="AM210" s="86" t="e">
        <f>VLOOKUP(TableWRRanks3242[[#This Row],[Player]],WR!B:O,9,FALSE)</f>
        <v>#N/A</v>
      </c>
      <c r="AN210" s="58" t="e">
        <f>VLOOKUP(TableWRRanks3242[[#This Row],[Player]],WR!B:O,13,FALSE)</f>
        <v>#N/A</v>
      </c>
      <c r="AO210" s="133" t="e">
        <f>IF(VLOOKUP(TableWRRanks3242[[#This Row],[RK]],'Ranks w Proj'!AD:AO,12,FALSE)&lt;0,0,VLOOKUP(TableWRRanks3242[[#This Row],[RK]],'Ranks w Proj'!AD:AO,12,FALSE))</f>
        <v>#VALUE!</v>
      </c>
    </row>
    <row r="211" spans="30:41" x14ac:dyDescent="0.2">
      <c r="AD211">
        <v>210</v>
      </c>
      <c r="AE211" t="e">
        <f>VLOOKUP(TableWRRanks3242[[#This Row],[RK]],Rankings!A:T,13,FALSE)</f>
        <v>#N/A</v>
      </c>
      <c r="AF211" t="str">
        <f>IFERROR(INDEX(TableWRCalcPts[TM],MATCH(TableWRRanks3242[[#This Row],[Player]],TableWRCalcPts[PLAYER],0)),"")</f>
        <v/>
      </c>
      <c r="AG211" t="str">
        <f>IFERROR(INDEX(TableWRCalcPts[BYE],MATCH(TableWRRanks3242[[#This Row],[Player]],TableWRCalcPts[PLAYER],0)),"")</f>
        <v/>
      </c>
      <c r="AH211" s="86" t="e">
        <f>VLOOKUP(TableWRRanks3242[[#This Row],[Player]],WR!B:O,4,FALSE)</f>
        <v>#N/A</v>
      </c>
      <c r="AI211" s="86" t="e">
        <f>VLOOKUP(TableWRRanks3242[[#This Row],[Player]],WR!B:O,5,FALSE)</f>
        <v>#N/A</v>
      </c>
      <c r="AJ211" s="86" t="e">
        <f>VLOOKUP(TableWRRanks3242[[#This Row],[Player]],WR!B:O,6,FALSE)</f>
        <v>#N/A</v>
      </c>
      <c r="AK211" s="86" t="e">
        <f>VLOOKUP(TableWRRanks3242[[#This Row],[Player]],WR!B:O,7,FALSE)</f>
        <v>#N/A</v>
      </c>
      <c r="AL211" s="86" t="e">
        <f>VLOOKUP(TableWRRanks3242[[#This Row],[Player]],WR!B:O,8,FALSE)</f>
        <v>#N/A</v>
      </c>
      <c r="AM211" s="86" t="e">
        <f>VLOOKUP(TableWRRanks3242[[#This Row],[Player]],WR!B:O,9,FALSE)</f>
        <v>#N/A</v>
      </c>
      <c r="AN211" s="58" t="e">
        <f>VLOOKUP(TableWRRanks3242[[#This Row],[Player]],WR!B:O,13,FALSE)</f>
        <v>#N/A</v>
      </c>
      <c r="AO211" s="133" t="e">
        <f>IF(VLOOKUP(TableWRRanks3242[[#This Row],[RK]],'Ranks w Proj'!AD:AO,12,FALSE)&lt;0,0,VLOOKUP(TableWRRanks3242[[#This Row],[RK]],'Ranks w Proj'!AD:AO,12,FALSE))</f>
        <v>#VALUE!</v>
      </c>
    </row>
    <row r="212" spans="30:41" x14ac:dyDescent="0.2">
      <c r="AD212">
        <v>211</v>
      </c>
      <c r="AE212" t="e">
        <f>VLOOKUP(TableWRRanks3242[[#This Row],[RK]],Rankings!A:T,13,FALSE)</f>
        <v>#N/A</v>
      </c>
      <c r="AF212" t="str">
        <f>IFERROR(INDEX(TableWRCalcPts[TM],MATCH(TableWRRanks3242[[#This Row],[Player]],TableWRCalcPts[PLAYER],0)),"")</f>
        <v/>
      </c>
      <c r="AG212" t="str">
        <f>IFERROR(INDEX(TableWRCalcPts[BYE],MATCH(TableWRRanks3242[[#This Row],[Player]],TableWRCalcPts[PLAYER],0)),"")</f>
        <v/>
      </c>
      <c r="AH212" s="86" t="e">
        <f>VLOOKUP(TableWRRanks3242[[#This Row],[Player]],WR!B:O,4,FALSE)</f>
        <v>#N/A</v>
      </c>
      <c r="AI212" s="86" t="e">
        <f>VLOOKUP(TableWRRanks3242[[#This Row],[Player]],WR!B:O,5,FALSE)</f>
        <v>#N/A</v>
      </c>
      <c r="AJ212" s="86" t="e">
        <f>VLOOKUP(TableWRRanks3242[[#This Row],[Player]],WR!B:O,6,FALSE)</f>
        <v>#N/A</v>
      </c>
      <c r="AK212" s="86" t="e">
        <f>VLOOKUP(TableWRRanks3242[[#This Row],[Player]],WR!B:O,7,FALSE)</f>
        <v>#N/A</v>
      </c>
      <c r="AL212" s="86" t="e">
        <f>VLOOKUP(TableWRRanks3242[[#This Row],[Player]],WR!B:O,8,FALSE)</f>
        <v>#N/A</v>
      </c>
      <c r="AM212" s="86" t="e">
        <f>VLOOKUP(TableWRRanks3242[[#This Row],[Player]],WR!B:O,9,FALSE)</f>
        <v>#N/A</v>
      </c>
      <c r="AN212" s="58" t="e">
        <f>VLOOKUP(TableWRRanks3242[[#This Row],[Player]],WR!B:O,13,FALSE)</f>
        <v>#N/A</v>
      </c>
      <c r="AO212" s="133" t="e">
        <f>IF(VLOOKUP(TableWRRanks3242[[#This Row],[RK]],'Ranks w Proj'!AD:AO,12,FALSE)&lt;0,0,VLOOKUP(TableWRRanks3242[[#This Row],[RK]],'Ranks w Proj'!AD:AO,12,FALSE))</f>
        <v>#VALUE!</v>
      </c>
    </row>
    <row r="213" spans="30:41" x14ac:dyDescent="0.2">
      <c r="AD213">
        <v>212</v>
      </c>
      <c r="AE213" t="e">
        <f>VLOOKUP(TableWRRanks3242[[#This Row],[RK]],Rankings!A:T,13,FALSE)</f>
        <v>#N/A</v>
      </c>
      <c r="AF213" t="str">
        <f>IFERROR(INDEX(TableWRCalcPts[TM],MATCH(TableWRRanks3242[[#This Row],[Player]],TableWRCalcPts[PLAYER],0)),"")</f>
        <v/>
      </c>
      <c r="AG213" t="str">
        <f>IFERROR(INDEX(TableWRCalcPts[BYE],MATCH(TableWRRanks3242[[#This Row],[Player]],TableWRCalcPts[PLAYER],0)),"")</f>
        <v/>
      </c>
      <c r="AH213" s="86" t="e">
        <f>VLOOKUP(TableWRRanks3242[[#This Row],[Player]],WR!B:O,4,FALSE)</f>
        <v>#N/A</v>
      </c>
      <c r="AI213" s="86" t="e">
        <f>VLOOKUP(TableWRRanks3242[[#This Row],[Player]],WR!B:O,5,FALSE)</f>
        <v>#N/A</v>
      </c>
      <c r="AJ213" s="86" t="e">
        <f>VLOOKUP(TableWRRanks3242[[#This Row],[Player]],WR!B:O,6,FALSE)</f>
        <v>#N/A</v>
      </c>
      <c r="AK213" s="86" t="e">
        <f>VLOOKUP(TableWRRanks3242[[#This Row],[Player]],WR!B:O,7,FALSE)</f>
        <v>#N/A</v>
      </c>
      <c r="AL213" s="86" t="e">
        <f>VLOOKUP(TableWRRanks3242[[#This Row],[Player]],WR!B:O,8,FALSE)</f>
        <v>#N/A</v>
      </c>
      <c r="AM213" s="86" t="e">
        <f>VLOOKUP(TableWRRanks3242[[#This Row],[Player]],WR!B:O,9,FALSE)</f>
        <v>#N/A</v>
      </c>
      <c r="AN213" s="58" t="e">
        <f>VLOOKUP(TableWRRanks3242[[#This Row],[Player]],WR!B:O,13,FALSE)</f>
        <v>#N/A</v>
      </c>
      <c r="AO213" s="133" t="e">
        <f>IF(VLOOKUP(TableWRRanks3242[[#This Row],[RK]],'Ranks w Proj'!AD:AO,12,FALSE)&lt;0,0,VLOOKUP(TableWRRanks3242[[#This Row],[RK]],'Ranks w Proj'!AD:AO,12,FALSE))</f>
        <v>#VALUE!</v>
      </c>
    </row>
    <row r="214" spans="30:41" x14ac:dyDescent="0.2">
      <c r="AD214">
        <v>213</v>
      </c>
      <c r="AE214" t="e">
        <f>VLOOKUP(TableWRRanks3242[[#This Row],[RK]],Rankings!A:T,13,FALSE)</f>
        <v>#N/A</v>
      </c>
      <c r="AF214" t="str">
        <f>IFERROR(INDEX(TableWRCalcPts[TM],MATCH(TableWRRanks3242[[#This Row],[Player]],TableWRCalcPts[PLAYER],0)),"")</f>
        <v/>
      </c>
      <c r="AG214" t="str">
        <f>IFERROR(INDEX(TableWRCalcPts[BYE],MATCH(TableWRRanks3242[[#This Row],[Player]],TableWRCalcPts[PLAYER],0)),"")</f>
        <v/>
      </c>
      <c r="AH214" s="86" t="e">
        <f>VLOOKUP(TableWRRanks3242[[#This Row],[Player]],WR!B:O,4,FALSE)</f>
        <v>#N/A</v>
      </c>
      <c r="AI214" s="86" t="e">
        <f>VLOOKUP(TableWRRanks3242[[#This Row],[Player]],WR!B:O,5,FALSE)</f>
        <v>#N/A</v>
      </c>
      <c r="AJ214" s="86" t="e">
        <f>VLOOKUP(TableWRRanks3242[[#This Row],[Player]],WR!B:O,6,FALSE)</f>
        <v>#N/A</v>
      </c>
      <c r="AK214" s="86" t="e">
        <f>VLOOKUP(TableWRRanks3242[[#This Row],[Player]],WR!B:O,7,FALSE)</f>
        <v>#N/A</v>
      </c>
      <c r="AL214" s="86" t="e">
        <f>VLOOKUP(TableWRRanks3242[[#This Row],[Player]],WR!B:O,8,FALSE)</f>
        <v>#N/A</v>
      </c>
      <c r="AM214" s="86" t="e">
        <f>VLOOKUP(TableWRRanks3242[[#This Row],[Player]],WR!B:O,9,FALSE)</f>
        <v>#N/A</v>
      </c>
      <c r="AN214" s="58" t="e">
        <f>VLOOKUP(TableWRRanks3242[[#This Row],[Player]],WR!B:O,13,FALSE)</f>
        <v>#N/A</v>
      </c>
      <c r="AO214" s="133" t="e">
        <f>IF(VLOOKUP(TableWRRanks3242[[#This Row],[RK]],'Ranks w Proj'!AD:AO,12,FALSE)&lt;0,0,VLOOKUP(TableWRRanks3242[[#This Row],[RK]],'Ranks w Proj'!AD:AO,12,FALSE))</f>
        <v>#VALUE!</v>
      </c>
    </row>
    <row r="215" spans="30:41" x14ac:dyDescent="0.2">
      <c r="AD215">
        <v>214</v>
      </c>
      <c r="AE215" t="e">
        <f>VLOOKUP(TableWRRanks3242[[#This Row],[RK]],Rankings!A:T,13,FALSE)</f>
        <v>#N/A</v>
      </c>
      <c r="AF215" t="str">
        <f>IFERROR(INDEX(TableWRCalcPts[TM],MATCH(TableWRRanks3242[[#This Row],[Player]],TableWRCalcPts[PLAYER],0)),"")</f>
        <v/>
      </c>
      <c r="AG215" t="str">
        <f>IFERROR(INDEX(TableWRCalcPts[BYE],MATCH(TableWRRanks3242[[#This Row],[Player]],TableWRCalcPts[PLAYER],0)),"")</f>
        <v/>
      </c>
      <c r="AH215" s="86" t="e">
        <f>VLOOKUP(TableWRRanks3242[[#This Row],[Player]],WR!B:O,4,FALSE)</f>
        <v>#N/A</v>
      </c>
      <c r="AI215" s="86" t="e">
        <f>VLOOKUP(TableWRRanks3242[[#This Row],[Player]],WR!B:O,5,FALSE)</f>
        <v>#N/A</v>
      </c>
      <c r="AJ215" s="86" t="e">
        <f>VLOOKUP(TableWRRanks3242[[#This Row],[Player]],WR!B:O,6,FALSE)</f>
        <v>#N/A</v>
      </c>
      <c r="AK215" s="86" t="e">
        <f>VLOOKUP(TableWRRanks3242[[#This Row],[Player]],WR!B:O,7,FALSE)</f>
        <v>#N/A</v>
      </c>
      <c r="AL215" s="86" t="e">
        <f>VLOOKUP(TableWRRanks3242[[#This Row],[Player]],WR!B:O,8,FALSE)</f>
        <v>#N/A</v>
      </c>
      <c r="AM215" s="86" t="e">
        <f>VLOOKUP(TableWRRanks3242[[#This Row],[Player]],WR!B:O,9,FALSE)</f>
        <v>#N/A</v>
      </c>
      <c r="AN215" s="58" t="e">
        <f>VLOOKUP(TableWRRanks3242[[#This Row],[Player]],WR!B:O,13,FALSE)</f>
        <v>#N/A</v>
      </c>
      <c r="AO215" s="133" t="e">
        <f>IF(VLOOKUP(TableWRRanks3242[[#This Row],[RK]],'Ranks w Proj'!AD:AO,12,FALSE)&lt;0,0,VLOOKUP(TableWRRanks3242[[#This Row],[RK]],'Ranks w Proj'!AD:AO,12,FALSE))</f>
        <v>#VALUE!</v>
      </c>
    </row>
    <row r="216" spans="30:41" x14ac:dyDescent="0.2">
      <c r="AD216">
        <v>215</v>
      </c>
      <c r="AE216" t="e">
        <f>VLOOKUP(TableWRRanks3242[[#This Row],[RK]],Rankings!A:T,13,FALSE)</f>
        <v>#N/A</v>
      </c>
      <c r="AF216" t="str">
        <f>IFERROR(INDEX(TableWRCalcPts[TM],MATCH(TableWRRanks3242[[#This Row],[Player]],TableWRCalcPts[PLAYER],0)),"")</f>
        <v/>
      </c>
      <c r="AG216" t="str">
        <f>IFERROR(INDEX(TableWRCalcPts[BYE],MATCH(TableWRRanks3242[[#This Row],[Player]],TableWRCalcPts[PLAYER],0)),"")</f>
        <v/>
      </c>
      <c r="AH216" s="86" t="e">
        <f>VLOOKUP(TableWRRanks3242[[#This Row],[Player]],WR!B:O,4,FALSE)</f>
        <v>#N/A</v>
      </c>
      <c r="AI216" s="86" t="e">
        <f>VLOOKUP(TableWRRanks3242[[#This Row],[Player]],WR!B:O,5,FALSE)</f>
        <v>#N/A</v>
      </c>
      <c r="AJ216" s="86" t="e">
        <f>VLOOKUP(TableWRRanks3242[[#This Row],[Player]],WR!B:O,6,FALSE)</f>
        <v>#N/A</v>
      </c>
      <c r="AK216" s="86" t="e">
        <f>VLOOKUP(TableWRRanks3242[[#This Row],[Player]],WR!B:O,7,FALSE)</f>
        <v>#N/A</v>
      </c>
      <c r="AL216" s="86" t="e">
        <f>VLOOKUP(TableWRRanks3242[[#This Row],[Player]],WR!B:O,8,FALSE)</f>
        <v>#N/A</v>
      </c>
      <c r="AM216" s="86" t="e">
        <f>VLOOKUP(TableWRRanks3242[[#This Row],[Player]],WR!B:O,9,FALSE)</f>
        <v>#N/A</v>
      </c>
      <c r="AN216" s="58" t="e">
        <f>VLOOKUP(TableWRRanks3242[[#This Row],[Player]],WR!B:O,13,FALSE)</f>
        <v>#N/A</v>
      </c>
      <c r="AO216" s="133" t="e">
        <f>IF(VLOOKUP(TableWRRanks3242[[#This Row],[RK]],'Ranks w Proj'!AD:AO,12,FALSE)&lt;0,0,VLOOKUP(TableWRRanks3242[[#This Row],[RK]],'Ranks w Proj'!AD:AO,12,FALSE))</f>
        <v>#VALUE!</v>
      </c>
    </row>
    <row r="217" spans="30:41" x14ac:dyDescent="0.2">
      <c r="AD217">
        <v>216</v>
      </c>
      <c r="AE217" t="e">
        <f>VLOOKUP(TableWRRanks3242[[#This Row],[RK]],Rankings!A:T,13,FALSE)</f>
        <v>#N/A</v>
      </c>
      <c r="AF217" t="str">
        <f>IFERROR(INDEX(TableWRCalcPts[TM],MATCH(TableWRRanks3242[[#This Row],[Player]],TableWRCalcPts[PLAYER],0)),"")</f>
        <v/>
      </c>
      <c r="AG217" t="str">
        <f>IFERROR(INDEX(TableWRCalcPts[BYE],MATCH(TableWRRanks3242[[#This Row],[Player]],TableWRCalcPts[PLAYER],0)),"")</f>
        <v/>
      </c>
      <c r="AH217" s="86" t="e">
        <f>VLOOKUP(TableWRRanks3242[[#This Row],[Player]],WR!B:O,4,FALSE)</f>
        <v>#N/A</v>
      </c>
      <c r="AI217" s="86" t="e">
        <f>VLOOKUP(TableWRRanks3242[[#This Row],[Player]],WR!B:O,5,FALSE)</f>
        <v>#N/A</v>
      </c>
      <c r="AJ217" s="86" t="e">
        <f>VLOOKUP(TableWRRanks3242[[#This Row],[Player]],WR!B:O,6,FALSE)</f>
        <v>#N/A</v>
      </c>
      <c r="AK217" s="86" t="e">
        <f>VLOOKUP(TableWRRanks3242[[#This Row],[Player]],WR!B:O,7,FALSE)</f>
        <v>#N/A</v>
      </c>
      <c r="AL217" s="86" t="e">
        <f>VLOOKUP(TableWRRanks3242[[#This Row],[Player]],WR!B:O,8,FALSE)</f>
        <v>#N/A</v>
      </c>
      <c r="AM217" s="86" t="e">
        <f>VLOOKUP(TableWRRanks3242[[#This Row],[Player]],WR!B:O,9,FALSE)</f>
        <v>#N/A</v>
      </c>
      <c r="AN217" s="58" t="e">
        <f>VLOOKUP(TableWRRanks3242[[#This Row],[Player]],WR!B:O,13,FALSE)</f>
        <v>#N/A</v>
      </c>
      <c r="AO217" s="133" t="e">
        <f>IF(VLOOKUP(TableWRRanks3242[[#This Row],[RK]],'Ranks w Proj'!AD:AO,12,FALSE)&lt;0,0,VLOOKUP(TableWRRanks3242[[#This Row],[RK]],'Ranks w Proj'!AD:AO,12,FALSE))</f>
        <v>#VALUE!</v>
      </c>
    </row>
    <row r="218" spans="30:41" x14ac:dyDescent="0.2">
      <c r="AD218">
        <v>217</v>
      </c>
      <c r="AE218" t="e">
        <f>VLOOKUP(TableWRRanks3242[[#This Row],[RK]],Rankings!A:T,13,FALSE)</f>
        <v>#N/A</v>
      </c>
      <c r="AF218" t="str">
        <f>IFERROR(INDEX(TableWRCalcPts[TM],MATCH(TableWRRanks3242[[#This Row],[Player]],TableWRCalcPts[PLAYER],0)),"")</f>
        <v/>
      </c>
      <c r="AG218" t="str">
        <f>IFERROR(INDEX(TableWRCalcPts[BYE],MATCH(TableWRRanks3242[[#This Row],[Player]],TableWRCalcPts[PLAYER],0)),"")</f>
        <v/>
      </c>
      <c r="AH218" s="86" t="e">
        <f>VLOOKUP(TableWRRanks3242[[#This Row],[Player]],WR!B:O,4,FALSE)</f>
        <v>#N/A</v>
      </c>
      <c r="AI218" s="86" t="e">
        <f>VLOOKUP(TableWRRanks3242[[#This Row],[Player]],WR!B:O,5,FALSE)</f>
        <v>#N/A</v>
      </c>
      <c r="AJ218" s="86" t="e">
        <f>VLOOKUP(TableWRRanks3242[[#This Row],[Player]],WR!B:O,6,FALSE)</f>
        <v>#N/A</v>
      </c>
      <c r="AK218" s="86" t="e">
        <f>VLOOKUP(TableWRRanks3242[[#This Row],[Player]],WR!B:O,7,FALSE)</f>
        <v>#N/A</v>
      </c>
      <c r="AL218" s="86" t="e">
        <f>VLOOKUP(TableWRRanks3242[[#This Row],[Player]],WR!B:O,8,FALSE)</f>
        <v>#N/A</v>
      </c>
      <c r="AM218" s="86" t="e">
        <f>VLOOKUP(TableWRRanks3242[[#This Row],[Player]],WR!B:O,9,FALSE)</f>
        <v>#N/A</v>
      </c>
      <c r="AN218" s="58" t="e">
        <f>VLOOKUP(TableWRRanks3242[[#This Row],[Player]],WR!B:O,13,FALSE)</f>
        <v>#N/A</v>
      </c>
      <c r="AO218" s="133" t="e">
        <f>IF(VLOOKUP(TableWRRanks3242[[#This Row],[RK]],'Ranks w Proj'!AD:AO,12,FALSE)&lt;0,0,VLOOKUP(TableWRRanks3242[[#This Row],[RK]],'Ranks w Proj'!AD:AO,12,FALSE))</f>
        <v>#VALUE!</v>
      </c>
    </row>
    <row r="219" spans="30:41" x14ac:dyDescent="0.2">
      <c r="AD219">
        <v>218</v>
      </c>
      <c r="AE219" t="e">
        <f>VLOOKUP(TableWRRanks3242[[#This Row],[RK]],Rankings!A:T,13,FALSE)</f>
        <v>#N/A</v>
      </c>
      <c r="AF219" t="str">
        <f>IFERROR(INDEX(TableWRCalcPts[TM],MATCH(TableWRRanks3242[[#This Row],[Player]],TableWRCalcPts[PLAYER],0)),"")</f>
        <v/>
      </c>
      <c r="AG219" t="str">
        <f>IFERROR(INDEX(TableWRCalcPts[BYE],MATCH(TableWRRanks3242[[#This Row],[Player]],TableWRCalcPts[PLAYER],0)),"")</f>
        <v/>
      </c>
      <c r="AH219" s="86" t="e">
        <f>VLOOKUP(TableWRRanks3242[[#This Row],[Player]],WR!B:O,4,FALSE)</f>
        <v>#N/A</v>
      </c>
      <c r="AI219" s="86" t="e">
        <f>VLOOKUP(TableWRRanks3242[[#This Row],[Player]],WR!B:O,5,FALSE)</f>
        <v>#N/A</v>
      </c>
      <c r="AJ219" s="86" t="e">
        <f>VLOOKUP(TableWRRanks3242[[#This Row],[Player]],WR!B:O,6,FALSE)</f>
        <v>#N/A</v>
      </c>
      <c r="AK219" s="86" t="e">
        <f>VLOOKUP(TableWRRanks3242[[#This Row],[Player]],WR!B:O,7,FALSE)</f>
        <v>#N/A</v>
      </c>
      <c r="AL219" s="86" t="e">
        <f>VLOOKUP(TableWRRanks3242[[#This Row],[Player]],WR!B:O,8,FALSE)</f>
        <v>#N/A</v>
      </c>
      <c r="AM219" s="86" t="e">
        <f>VLOOKUP(TableWRRanks3242[[#This Row],[Player]],WR!B:O,9,FALSE)</f>
        <v>#N/A</v>
      </c>
      <c r="AN219" s="58" t="e">
        <f>VLOOKUP(TableWRRanks3242[[#This Row],[Player]],WR!B:O,13,FALSE)</f>
        <v>#N/A</v>
      </c>
      <c r="AO219" s="133" t="e">
        <f>IF(VLOOKUP(TableWRRanks3242[[#This Row],[RK]],'Ranks w Proj'!AD:AO,12,FALSE)&lt;0,0,VLOOKUP(TableWRRanks3242[[#This Row],[RK]],'Ranks w Proj'!AD:AO,12,FALSE))</f>
        <v>#VALUE!</v>
      </c>
    </row>
    <row r="220" spans="30:41" x14ac:dyDescent="0.2">
      <c r="AD220">
        <v>219</v>
      </c>
      <c r="AE220" t="e">
        <f>VLOOKUP(TableWRRanks3242[[#This Row],[RK]],Rankings!A:T,13,FALSE)</f>
        <v>#N/A</v>
      </c>
      <c r="AF220" t="str">
        <f>IFERROR(INDEX(TableWRCalcPts[TM],MATCH(TableWRRanks3242[[#This Row],[Player]],TableWRCalcPts[PLAYER],0)),"")</f>
        <v/>
      </c>
      <c r="AG220" t="str">
        <f>IFERROR(INDEX(TableWRCalcPts[BYE],MATCH(TableWRRanks3242[[#This Row],[Player]],TableWRCalcPts[PLAYER],0)),"")</f>
        <v/>
      </c>
      <c r="AH220" s="86" t="e">
        <f>VLOOKUP(TableWRRanks3242[[#This Row],[Player]],WR!B:O,4,FALSE)</f>
        <v>#N/A</v>
      </c>
      <c r="AI220" s="86" t="e">
        <f>VLOOKUP(TableWRRanks3242[[#This Row],[Player]],WR!B:O,5,FALSE)</f>
        <v>#N/A</v>
      </c>
      <c r="AJ220" s="86" t="e">
        <f>VLOOKUP(TableWRRanks3242[[#This Row],[Player]],WR!B:O,6,FALSE)</f>
        <v>#N/A</v>
      </c>
      <c r="AK220" s="86" t="e">
        <f>VLOOKUP(TableWRRanks3242[[#This Row],[Player]],WR!B:O,7,FALSE)</f>
        <v>#N/A</v>
      </c>
      <c r="AL220" s="86" t="e">
        <f>VLOOKUP(TableWRRanks3242[[#This Row],[Player]],WR!B:O,8,FALSE)</f>
        <v>#N/A</v>
      </c>
      <c r="AM220" s="86" t="e">
        <f>VLOOKUP(TableWRRanks3242[[#This Row],[Player]],WR!B:O,9,FALSE)</f>
        <v>#N/A</v>
      </c>
      <c r="AN220" s="58" t="e">
        <f>VLOOKUP(TableWRRanks3242[[#This Row],[Player]],WR!B:O,13,FALSE)</f>
        <v>#N/A</v>
      </c>
      <c r="AO220" s="133" t="e">
        <f>IF(VLOOKUP(TableWRRanks3242[[#This Row],[RK]],'Ranks w Proj'!AD:AO,12,FALSE)&lt;0,0,VLOOKUP(TableWRRanks3242[[#This Row],[RK]],'Ranks w Proj'!AD:AO,12,FALSE))</f>
        <v>#VALUE!</v>
      </c>
    </row>
    <row r="221" spans="30:41" x14ac:dyDescent="0.2">
      <c r="AD221">
        <v>220</v>
      </c>
      <c r="AE221" t="e">
        <f>VLOOKUP(TableWRRanks3242[[#This Row],[RK]],Rankings!A:T,13,FALSE)</f>
        <v>#N/A</v>
      </c>
      <c r="AF221" t="str">
        <f>IFERROR(INDEX(TableWRCalcPts[TM],MATCH(TableWRRanks3242[[#This Row],[Player]],TableWRCalcPts[PLAYER],0)),"")</f>
        <v/>
      </c>
      <c r="AG221" t="str">
        <f>IFERROR(INDEX(TableWRCalcPts[BYE],MATCH(TableWRRanks3242[[#This Row],[Player]],TableWRCalcPts[PLAYER],0)),"")</f>
        <v/>
      </c>
      <c r="AH221" s="86" t="e">
        <f>VLOOKUP(TableWRRanks3242[[#This Row],[Player]],WR!B:O,4,FALSE)</f>
        <v>#N/A</v>
      </c>
      <c r="AI221" s="86" t="e">
        <f>VLOOKUP(TableWRRanks3242[[#This Row],[Player]],WR!B:O,5,FALSE)</f>
        <v>#N/A</v>
      </c>
      <c r="AJ221" s="86" t="e">
        <f>VLOOKUP(TableWRRanks3242[[#This Row],[Player]],WR!B:O,6,FALSE)</f>
        <v>#N/A</v>
      </c>
      <c r="AK221" s="86" t="e">
        <f>VLOOKUP(TableWRRanks3242[[#This Row],[Player]],WR!B:O,7,FALSE)</f>
        <v>#N/A</v>
      </c>
      <c r="AL221" s="86" t="e">
        <f>VLOOKUP(TableWRRanks3242[[#This Row],[Player]],WR!B:O,8,FALSE)</f>
        <v>#N/A</v>
      </c>
      <c r="AM221" s="86" t="e">
        <f>VLOOKUP(TableWRRanks3242[[#This Row],[Player]],WR!B:O,9,FALSE)</f>
        <v>#N/A</v>
      </c>
      <c r="AN221" s="58" t="e">
        <f>VLOOKUP(TableWRRanks3242[[#This Row],[Player]],WR!B:O,13,FALSE)</f>
        <v>#N/A</v>
      </c>
      <c r="AO221" s="133" t="e">
        <f>IF(VLOOKUP(TableWRRanks3242[[#This Row],[RK]],'Ranks w Proj'!AD:AO,12,FALSE)&lt;0,0,VLOOKUP(TableWRRanks3242[[#This Row],[RK]],'Ranks w Proj'!AD:AO,12,FALSE))</f>
        <v>#VALUE!</v>
      </c>
    </row>
  </sheetData>
  <sheetProtection sheet="1" objects="1" scenarios="1" sort="0" autoFilter="0"/>
  <protectedRanges>
    <protectedRange sqref="A1:AZ239" name="QBRanks_1"/>
  </protectedRanges>
  <pageMargins left="0.7" right="0.7" top="0.75" bottom="0.75" header="0.3" footer="0.3"/>
  <pageSetup orientation="portrait" horizontalDpi="90" verticalDpi="90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0000"/>
  </sheetPr>
  <dimension ref="A1:AH4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7" customFormat="1" ht="25.5" customHeight="1" x14ac:dyDescent="0.2">
      <c r="A1" s="17" t="s">
        <v>0</v>
      </c>
      <c r="B1" s="16" t="s">
        <v>8</v>
      </c>
      <c r="C1" s="17" t="s">
        <v>143</v>
      </c>
      <c r="D1" s="156" t="s">
        <v>259</v>
      </c>
      <c r="E1" s="156" t="s">
        <v>1</v>
      </c>
      <c r="F1" s="156" t="s">
        <v>262</v>
      </c>
      <c r="G1" s="156" t="s">
        <v>308</v>
      </c>
      <c r="H1" s="156" t="s">
        <v>2</v>
      </c>
      <c r="I1" s="156" t="s">
        <v>309</v>
      </c>
      <c r="J1" s="156" t="s">
        <v>266</v>
      </c>
      <c r="K1" s="156" t="s">
        <v>310</v>
      </c>
      <c r="L1" s="156" t="s">
        <v>268</v>
      </c>
      <c r="M1" s="156" t="s">
        <v>4</v>
      </c>
      <c r="N1" s="156" t="s">
        <v>272</v>
      </c>
      <c r="O1" s="156" t="s">
        <v>311</v>
      </c>
      <c r="Q1" s="160" t="s">
        <v>361</v>
      </c>
      <c r="R1" s="153" t="s">
        <v>312</v>
      </c>
      <c r="S1" s="154" t="s">
        <v>564</v>
      </c>
      <c r="T1" s="153" t="s">
        <v>254</v>
      </c>
      <c r="U1" s="153" t="s">
        <v>258</v>
      </c>
      <c r="V1" s="147" t="s">
        <v>360</v>
      </c>
      <c r="W1" s="162" t="s">
        <v>362</v>
      </c>
      <c r="X1" s="153" t="s">
        <v>313</v>
      </c>
      <c r="Y1" s="155" t="s">
        <v>314</v>
      </c>
      <c r="Z1" s="147" t="s">
        <v>315</v>
      </c>
      <c r="AA1" s="160" t="s">
        <v>316</v>
      </c>
      <c r="AB1" s="160" t="s">
        <v>317</v>
      </c>
      <c r="AC1" s="15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105</v>
      </c>
      <c r="B2" s="19" t="s">
        <v>9</v>
      </c>
      <c r="C2" s="19">
        <v>14</v>
      </c>
      <c r="D2" s="157">
        <f>D$34*Q2</f>
        <v>61.275000000000006</v>
      </c>
      <c r="E2" s="157">
        <f>D2*R2</f>
        <v>40.679512158260401</v>
      </c>
      <c r="F2" s="157">
        <f>E2*S2</f>
        <v>414.04910791167987</v>
      </c>
      <c r="G2" s="157">
        <f t="shared" ref="G2:G4" si="0">E2*T2</f>
        <v>2.5790810708337095</v>
      </c>
      <c r="H2" s="157">
        <f>E2*U2</f>
        <v>1.3915388318386108</v>
      </c>
      <c r="I2" s="157">
        <f>D$37*W2</f>
        <v>49.830550000000002</v>
      </c>
      <c r="J2" s="157">
        <f>I2*V2</f>
        <v>272.17146292976537</v>
      </c>
      <c r="K2" s="157">
        <f>I2*X2</f>
        <v>2.5413580499999999</v>
      </c>
      <c r="L2" s="158"/>
      <c r="M2" s="158"/>
      <c r="N2" s="158"/>
      <c r="O2" s="158"/>
      <c r="Q2" s="161">
        <f>AE2</f>
        <v>0.1</v>
      </c>
      <c r="R2" s="116">
        <v>0.66388432734819092</v>
      </c>
      <c r="S2" s="115">
        <v>10.17832038646026</v>
      </c>
      <c r="T2" s="116">
        <v>6.3399999999999998E-2</v>
      </c>
      <c r="U2" s="20">
        <v>3.4207362822467974E-2</v>
      </c>
      <c r="V2" s="115">
        <v>5.4619397724842562</v>
      </c>
      <c r="W2" s="161">
        <f>(AF2/SUM(AF$2:AF$22))*0.98</f>
        <v>0.10779999999999999</v>
      </c>
      <c r="X2" s="20">
        <v>5.0999999999999997E-2</v>
      </c>
      <c r="Y2" s="22"/>
      <c r="Z2" s="23"/>
      <c r="AA2" s="1"/>
      <c r="AB2" s="1"/>
      <c r="AC2" s="1"/>
      <c r="AE2" s="20">
        <v>0.1</v>
      </c>
      <c r="AF2" s="20">
        <v>0.11</v>
      </c>
      <c r="AG2" s="181"/>
      <c r="AH2" s="181"/>
    </row>
    <row r="3" spans="1:34" x14ac:dyDescent="0.2">
      <c r="A3" s="18" t="s">
        <v>538</v>
      </c>
      <c r="B3" s="19" t="s">
        <v>9</v>
      </c>
      <c r="C3" s="19">
        <v>14</v>
      </c>
      <c r="D3" s="157">
        <f>D$34*Q3</f>
        <v>306.375</v>
      </c>
      <c r="E3" s="157">
        <f t="shared" ref="E3:F4" si="1">D3*R3</f>
        <v>189.46229999999997</v>
      </c>
      <c r="F3" s="157">
        <f t="shared" si="1"/>
        <v>1993.1433959999997</v>
      </c>
      <c r="G3" s="157">
        <f t="shared" si="0"/>
        <v>10.799351099999999</v>
      </c>
      <c r="H3" s="157">
        <f t="shared" ref="H3:H4" si="2">E3*U3</f>
        <v>8.7152657999999992</v>
      </c>
      <c r="I3" s="157">
        <f t="shared" ref="I3:I4" si="3">D$37*W3</f>
        <v>10.419115</v>
      </c>
      <c r="J3" s="157">
        <f>I3*V3</f>
        <v>55.221309499999997</v>
      </c>
      <c r="K3" s="157">
        <f>I3*X3</f>
        <v>0.19278088770034277</v>
      </c>
      <c r="L3" s="158"/>
      <c r="M3" s="158"/>
      <c r="N3" s="158"/>
      <c r="O3" s="158"/>
      <c r="Q3" s="161">
        <f t="shared" ref="Q3:Q4" si="4">AE3</f>
        <v>0.5</v>
      </c>
      <c r="R3" s="116">
        <v>0.61839999999999995</v>
      </c>
      <c r="S3" s="115">
        <v>10.52</v>
      </c>
      <c r="T3" s="116">
        <v>5.7000000000000002E-2</v>
      </c>
      <c r="U3" s="20">
        <v>4.5999999999999999E-2</v>
      </c>
      <c r="V3" s="115">
        <v>5.3</v>
      </c>
      <c r="W3" s="161">
        <f t="shared" ref="W3:W4" si="5">(AF3/SUM(AF$2:AF$22))*0.98</f>
        <v>2.2539999999999998E-2</v>
      </c>
      <c r="X3" s="20">
        <v>1.8502616364282645E-2</v>
      </c>
      <c r="Y3" s="22"/>
      <c r="Z3" s="23"/>
      <c r="AA3" s="1"/>
      <c r="AB3" s="1"/>
      <c r="AC3" s="1"/>
      <c r="AE3" s="20">
        <v>0.5</v>
      </c>
      <c r="AF3" s="20">
        <v>2.3E-2</v>
      </c>
      <c r="AG3" s="181"/>
      <c r="AH3" s="181"/>
    </row>
    <row r="4" spans="1:34" x14ac:dyDescent="0.2">
      <c r="A4" s="18" t="s">
        <v>596</v>
      </c>
      <c r="B4" s="19" t="s">
        <v>9</v>
      </c>
      <c r="C4" s="19">
        <v>14</v>
      </c>
      <c r="D4" s="157">
        <f>D$34*Q4</f>
        <v>245.10000000000002</v>
      </c>
      <c r="E4" s="157">
        <f t="shared" si="1"/>
        <v>157.55028000000001</v>
      </c>
      <c r="F4" s="157">
        <f t="shared" si="1"/>
        <v>1583.3803140000002</v>
      </c>
      <c r="G4" s="157">
        <f t="shared" si="0"/>
        <v>9.1379162400000009</v>
      </c>
      <c r="H4" s="157">
        <f t="shared" si="2"/>
        <v>5.9869106400000005</v>
      </c>
      <c r="I4" s="157">
        <f t="shared" si="3"/>
        <v>8.1540900000000001</v>
      </c>
      <c r="J4" s="157">
        <f>I4*V4</f>
        <v>31.800950999999998</v>
      </c>
      <c r="K4" s="157">
        <f>I4*X4</f>
        <v>0.25277678999999997</v>
      </c>
      <c r="L4" s="158"/>
      <c r="M4" s="158"/>
      <c r="N4" s="158"/>
      <c r="O4" s="158"/>
      <c r="Q4" s="161">
        <f t="shared" si="4"/>
        <v>0.4</v>
      </c>
      <c r="R4" s="116">
        <v>0.64280000000000004</v>
      </c>
      <c r="S4" s="21">
        <v>10.050000000000001</v>
      </c>
      <c r="T4" s="116">
        <v>5.8000000000000003E-2</v>
      </c>
      <c r="U4" s="20">
        <v>3.7999999999999999E-2</v>
      </c>
      <c r="V4" s="21">
        <v>3.9</v>
      </c>
      <c r="W4" s="161">
        <f t="shared" si="5"/>
        <v>1.7639999999999999E-2</v>
      </c>
      <c r="X4" s="20">
        <v>3.1E-2</v>
      </c>
      <c r="Y4" s="22"/>
      <c r="Z4" s="23"/>
      <c r="AA4" s="1"/>
      <c r="AB4" s="1"/>
      <c r="AC4" s="1"/>
      <c r="AE4" s="20">
        <v>0.4</v>
      </c>
      <c r="AF4" s="20">
        <v>1.7999999999999999E-2</v>
      </c>
      <c r="AG4" s="181"/>
      <c r="AH4" s="181"/>
    </row>
    <row r="5" spans="1:34" x14ac:dyDescent="0.2"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78</v>
      </c>
      <c r="B7" s="19" t="s">
        <v>256</v>
      </c>
      <c r="C7" s="19">
        <v>14</v>
      </c>
      <c r="D7" s="158"/>
      <c r="E7" s="158"/>
      <c r="F7" s="158"/>
      <c r="G7" s="158"/>
      <c r="H7" s="158"/>
      <c r="I7" s="157">
        <f t="shared" ref="I7:I12" si="6">D$37*W7</f>
        <v>213.36535500000002</v>
      </c>
      <c r="J7" s="157">
        <f>I7*V7</f>
        <v>879.0652626000001</v>
      </c>
      <c r="K7" s="157">
        <f>I7*X7</f>
        <v>7.0410567150000007</v>
      </c>
      <c r="L7" s="157">
        <f>((D$2+D$3+D$4)*AA7)</f>
        <v>49.841085000000007</v>
      </c>
      <c r="M7" s="157">
        <f t="shared" ref="M7:N12" si="7">L7*Y7</f>
        <v>38.776364130000005</v>
      </c>
      <c r="N7" s="157">
        <f t="shared" si="7"/>
        <v>281.90416722510003</v>
      </c>
      <c r="O7" s="157">
        <f>(M7*AH7)</f>
        <v>1.3571727445500004</v>
      </c>
      <c r="Q7" s="14"/>
      <c r="R7" s="149"/>
      <c r="S7" s="148"/>
      <c r="T7" s="149"/>
      <c r="U7" s="149"/>
      <c r="V7" s="21">
        <v>4.12</v>
      </c>
      <c r="W7" s="161">
        <f t="shared" ref="W7:W12" si="8">(AF7/SUM(AF$2:AF$22))*0.98</f>
        <v>0.46157999999999999</v>
      </c>
      <c r="X7" s="20">
        <v>3.3000000000000002E-2</v>
      </c>
      <c r="Y7" s="20">
        <v>0.77800000000000002</v>
      </c>
      <c r="Z7" s="21">
        <v>7.27</v>
      </c>
      <c r="AA7" s="161">
        <f>(AG7/SUM(AG$7:AG$27))*0.98</f>
        <v>8.134000000000001E-2</v>
      </c>
      <c r="AB7" s="8">
        <v>6.8949109856088334E-2</v>
      </c>
      <c r="AC7" s="161">
        <f>(AH7/SUM(AH$7:AH$27))*0.98</f>
        <v>6.6472868217054268E-2</v>
      </c>
      <c r="AE7" s="181"/>
      <c r="AF7" s="20">
        <v>0.47099999999999997</v>
      </c>
      <c r="AG7" s="20">
        <v>8.3000000000000004E-2</v>
      </c>
      <c r="AH7" s="20">
        <v>3.5000000000000003E-2</v>
      </c>
    </row>
    <row r="8" spans="1:34" x14ac:dyDescent="0.2">
      <c r="A8" s="18" t="s">
        <v>544</v>
      </c>
      <c r="B8" s="19" t="s">
        <v>256</v>
      </c>
      <c r="C8" s="19">
        <v>14</v>
      </c>
      <c r="D8" s="158"/>
      <c r="E8" s="158"/>
      <c r="F8" s="158"/>
      <c r="G8" s="158"/>
      <c r="H8" s="158"/>
      <c r="I8" s="157">
        <f t="shared" si="6"/>
        <v>148.58564000000001</v>
      </c>
      <c r="J8" s="157">
        <f>I8*V8</f>
        <v>595.82841640000004</v>
      </c>
      <c r="K8" s="157">
        <f>I8*X8</f>
        <v>4.6061548400000003</v>
      </c>
      <c r="L8" s="157">
        <f>((D$2+D$3+D$4)*AA8)</f>
        <v>27.022275</v>
      </c>
      <c r="M8" s="157">
        <f t="shared" si="7"/>
        <v>19.726260750000002</v>
      </c>
      <c r="N8" s="157">
        <f t="shared" si="7"/>
        <v>143.0153904375</v>
      </c>
      <c r="O8" s="157">
        <f t="shared" ref="O8:O12" si="9">(M8*AH8)</f>
        <v>0.49315651875000005</v>
      </c>
      <c r="Q8" s="14"/>
      <c r="R8" s="149"/>
      <c r="S8" s="148"/>
      <c r="T8" s="149"/>
      <c r="U8" s="149"/>
      <c r="V8" s="21">
        <v>4.01</v>
      </c>
      <c r="W8" s="161">
        <f t="shared" si="8"/>
        <v>0.32144</v>
      </c>
      <c r="X8" s="20">
        <v>3.1E-2</v>
      </c>
      <c r="Y8" s="20">
        <v>0.73</v>
      </c>
      <c r="Z8" s="21">
        <v>7.25</v>
      </c>
      <c r="AA8" s="161">
        <f t="shared" ref="AA8:AA12" si="10">(AG8/SUM(AG$7:AG$27))*0.98</f>
        <v>4.41E-2</v>
      </c>
      <c r="AB8" s="8">
        <v>0.11375359040554218</v>
      </c>
      <c r="AC8" s="161">
        <f t="shared" ref="AC8:AC12" si="11">(AH8/SUM(AH$7:AH$27))*0.98</f>
        <v>4.7480620155038761E-2</v>
      </c>
      <c r="AE8" s="181"/>
      <c r="AF8" s="20">
        <v>0.32800000000000001</v>
      </c>
      <c r="AG8" s="20">
        <v>4.4999999999999998E-2</v>
      </c>
      <c r="AH8" s="20">
        <v>2.5000000000000001E-2</v>
      </c>
    </row>
    <row r="9" spans="1:34" x14ac:dyDescent="0.2">
      <c r="A9" s="18" t="s">
        <v>687</v>
      </c>
      <c r="B9" s="19" t="s">
        <v>256</v>
      </c>
      <c r="C9" s="19">
        <v>14</v>
      </c>
      <c r="D9" s="158"/>
      <c r="E9" s="158"/>
      <c r="F9" s="158"/>
      <c r="G9" s="158"/>
      <c r="H9" s="158"/>
      <c r="I9" s="157">
        <f t="shared" si="6"/>
        <v>9.0601000000000003</v>
      </c>
      <c r="J9" s="157">
        <f>I9*V9</f>
        <v>36.132633134493688</v>
      </c>
      <c r="K9" s="157">
        <f>I9*X9</f>
        <v>0.27180300000000002</v>
      </c>
      <c r="L9" s="157">
        <f>((D$2+D$3+D$4)*AA9)</f>
        <v>7.20594</v>
      </c>
      <c r="M9" s="157">
        <f t="shared" si="7"/>
        <v>5.1738649199999998</v>
      </c>
      <c r="N9" s="157">
        <f t="shared" si="7"/>
        <v>36.786179581200003</v>
      </c>
      <c r="O9" s="157">
        <f t="shared" si="9"/>
        <v>0.12934662299999999</v>
      </c>
      <c r="Q9" s="14"/>
      <c r="R9" s="149"/>
      <c r="S9" s="148"/>
      <c r="T9" s="149"/>
      <c r="U9" s="149"/>
      <c r="V9" s="21">
        <v>3.9881053337704535</v>
      </c>
      <c r="W9" s="161">
        <f t="shared" si="8"/>
        <v>1.9599999999999999E-2</v>
      </c>
      <c r="X9" s="20">
        <v>0.03</v>
      </c>
      <c r="Y9" s="20">
        <v>0.71799999999999997</v>
      </c>
      <c r="Z9" s="21">
        <v>7.11</v>
      </c>
      <c r="AA9" s="161">
        <f t="shared" si="10"/>
        <v>1.176E-2</v>
      </c>
      <c r="AB9" s="8">
        <v>1.0147659498226561E-2</v>
      </c>
      <c r="AC9" s="161">
        <f t="shared" si="11"/>
        <v>4.7480620155038761E-2</v>
      </c>
      <c r="AE9" s="181"/>
      <c r="AF9" s="20">
        <v>0.02</v>
      </c>
      <c r="AG9" s="20">
        <v>1.2E-2</v>
      </c>
      <c r="AH9" s="20">
        <v>2.5000000000000001E-2</v>
      </c>
    </row>
    <row r="10" spans="1:34" x14ac:dyDescent="0.2">
      <c r="B10" s="19" t="s">
        <v>256</v>
      </c>
      <c r="C10" s="19">
        <v>14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4.7188203192819848E-3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B11" s="19" t="s">
        <v>256</v>
      </c>
      <c r="C11" s="19">
        <v>14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/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14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/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22</v>
      </c>
      <c r="B15" s="19" t="s">
        <v>257</v>
      </c>
      <c r="C15" s="19">
        <v>14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138.71434500000001</v>
      </c>
      <c r="M15" s="157">
        <f t="shared" ref="M15:N22" si="19">L15*Y15</f>
        <v>83.644750035000001</v>
      </c>
      <c r="N15" s="157">
        <f t="shared" si="19"/>
        <v>988.68094541369999</v>
      </c>
      <c r="O15" s="157">
        <f t="shared" ref="O15:O22" si="20">(M15*AH15)</f>
        <v>4.8513955020299999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0.60299999999999998</v>
      </c>
      <c r="Z15" s="21">
        <v>11.82</v>
      </c>
      <c r="AA15" s="161">
        <f t="shared" ref="AA15:AA22" si="22">(AG15/SUM(AG$7:AG$27))*0.98</f>
        <v>0.22638</v>
      </c>
      <c r="AB15" s="8">
        <v>0.26977139264554484</v>
      </c>
      <c r="AC15" s="161">
        <f t="shared" ref="AC15:AC22" si="23">(AH15/SUM(AH$7:AH$27))*0.98</f>
        <v>0.11015503875968992</v>
      </c>
      <c r="AE15" s="181"/>
      <c r="AF15" s="20">
        <v>0</v>
      </c>
      <c r="AG15" s="20">
        <v>0.23100000000000001</v>
      </c>
      <c r="AH15" s="20">
        <v>5.8000000000000003E-2</v>
      </c>
    </row>
    <row r="16" spans="1:34" x14ac:dyDescent="0.2">
      <c r="A16" s="18" t="s">
        <v>236</v>
      </c>
      <c r="B16" s="19" t="s">
        <v>257</v>
      </c>
      <c r="C16" s="19">
        <v>14</v>
      </c>
      <c r="D16" s="158"/>
      <c r="E16" s="158"/>
      <c r="F16" s="158"/>
      <c r="G16" s="158"/>
      <c r="H16" s="158"/>
      <c r="I16" s="157">
        <f t="shared" si="15"/>
        <v>13.590150000000001</v>
      </c>
      <c r="J16" s="157">
        <f t="shared" si="16"/>
        <v>45.655111421379317</v>
      </c>
      <c r="K16" s="157">
        <f t="shared" si="17"/>
        <v>0.78822870000000012</v>
      </c>
      <c r="L16" s="157">
        <f t="shared" si="18"/>
        <v>73.260390000000001</v>
      </c>
      <c r="M16" s="157">
        <f t="shared" si="19"/>
        <v>49.084461300000001</v>
      </c>
      <c r="N16" s="157">
        <f t="shared" si="19"/>
        <v>501.15234987300005</v>
      </c>
      <c r="O16" s="157">
        <f t="shared" si="20"/>
        <v>2.4542230650000003</v>
      </c>
      <c r="Q16" s="14"/>
      <c r="R16" s="149"/>
      <c r="S16" s="148"/>
      <c r="T16" s="149"/>
      <c r="U16" s="149"/>
      <c r="V16" s="21">
        <v>3.3594266009852216</v>
      </c>
      <c r="W16" s="161">
        <f t="shared" si="21"/>
        <v>2.9399999999999999E-2</v>
      </c>
      <c r="X16" s="20">
        <v>5.8000000000000003E-2</v>
      </c>
      <c r="Y16" s="20">
        <v>0.67</v>
      </c>
      <c r="Z16" s="21">
        <v>10.210000000000001</v>
      </c>
      <c r="AA16" s="161">
        <f t="shared" si="22"/>
        <v>0.11956</v>
      </c>
      <c r="AB16" s="8">
        <v>0.12971605405131142</v>
      </c>
      <c r="AC16" s="161">
        <f t="shared" si="23"/>
        <v>9.4961240310077522E-2</v>
      </c>
      <c r="AE16" s="181"/>
      <c r="AF16" s="20">
        <v>0.03</v>
      </c>
      <c r="AG16" s="20">
        <v>0.122</v>
      </c>
      <c r="AH16" s="20">
        <v>0.05</v>
      </c>
    </row>
    <row r="17" spans="1:34" x14ac:dyDescent="0.2">
      <c r="A17" s="18" t="s">
        <v>583</v>
      </c>
      <c r="B17" s="19" t="s">
        <v>257</v>
      </c>
      <c r="C17" s="19">
        <v>14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29.424254999999999</v>
      </c>
      <c r="M17" s="157">
        <f t="shared" si="19"/>
        <v>19.567129574999999</v>
      </c>
      <c r="N17" s="157">
        <f t="shared" si="19"/>
        <v>184.71370318799998</v>
      </c>
      <c r="O17" s="157">
        <f t="shared" si="20"/>
        <v>0.93922221959999996</v>
      </c>
      <c r="Q17" s="14"/>
      <c r="R17" s="149"/>
      <c r="S17" s="148"/>
      <c r="T17" s="149"/>
      <c r="U17" s="149"/>
      <c r="V17" s="21">
        <v>3.0535714285714293</v>
      </c>
      <c r="W17" s="161">
        <f t="shared" si="21"/>
        <v>0</v>
      </c>
      <c r="X17" s="20">
        <v>0</v>
      </c>
      <c r="Y17" s="20">
        <v>0.66500000000000004</v>
      </c>
      <c r="Z17" s="21">
        <v>9.44</v>
      </c>
      <c r="AA17" s="161">
        <f t="shared" si="22"/>
        <v>4.802E-2</v>
      </c>
      <c r="AB17" s="8">
        <v>0.12797452401887696</v>
      </c>
      <c r="AC17" s="161">
        <f t="shared" si="23"/>
        <v>9.1162790697674412E-2</v>
      </c>
      <c r="AE17" s="181"/>
      <c r="AF17" s="20">
        <v>0</v>
      </c>
      <c r="AG17" s="20">
        <v>4.9000000000000002E-2</v>
      </c>
      <c r="AH17" s="20">
        <v>4.8000000000000001E-2</v>
      </c>
    </row>
    <row r="18" spans="1:34" x14ac:dyDescent="0.2">
      <c r="A18" s="18" t="s">
        <v>597</v>
      </c>
      <c r="B18" s="19" t="s">
        <v>257</v>
      </c>
      <c r="C18" s="19">
        <v>14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92.476230000000001</v>
      </c>
      <c r="M18" s="157">
        <f t="shared" si="19"/>
        <v>55.57821423</v>
      </c>
      <c r="N18" s="157">
        <f t="shared" si="19"/>
        <v>686.3909457405</v>
      </c>
      <c r="O18" s="157">
        <f t="shared" si="20"/>
        <v>3.8904749961000005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0.60099999999999998</v>
      </c>
      <c r="Z18" s="21">
        <v>12.35</v>
      </c>
      <c r="AA18" s="161">
        <f t="shared" si="22"/>
        <v>0.15092</v>
      </c>
      <c r="AB18" s="8">
        <v>0.10081793453823511</v>
      </c>
      <c r="AC18" s="161">
        <f t="shared" si="23"/>
        <v>0.13294573643410854</v>
      </c>
      <c r="AE18" s="181"/>
      <c r="AF18" s="20">
        <v>0</v>
      </c>
      <c r="AG18" s="20">
        <v>0.154</v>
      </c>
      <c r="AH18" s="20">
        <v>7.0000000000000007E-2</v>
      </c>
    </row>
    <row r="19" spans="1:34" x14ac:dyDescent="0.2">
      <c r="A19" s="18" t="s">
        <v>546</v>
      </c>
      <c r="B19" s="19" t="s">
        <v>257</v>
      </c>
      <c r="C19" s="19">
        <v>14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25.220790000000001</v>
      </c>
      <c r="M19" s="157">
        <f t="shared" si="19"/>
        <v>15.485565060000001</v>
      </c>
      <c r="N19" s="157">
        <f t="shared" si="19"/>
        <v>149.12599152780001</v>
      </c>
      <c r="O19" s="157">
        <f t="shared" si="20"/>
        <v>0.8517060783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0.61399999999999999</v>
      </c>
      <c r="Z19" s="21">
        <v>9.6300000000000008</v>
      </c>
      <c r="AA19" s="161">
        <f t="shared" si="22"/>
        <v>4.1160000000000002E-2</v>
      </c>
      <c r="AB19" s="8">
        <v>4.1675676567124779E-2</v>
      </c>
      <c r="AC19" s="161">
        <f t="shared" si="23"/>
        <v>0.10445736434108527</v>
      </c>
      <c r="AE19" s="181"/>
      <c r="AF19" s="20">
        <v>0</v>
      </c>
      <c r="AG19" s="20">
        <v>4.2000000000000003E-2</v>
      </c>
      <c r="AH19" s="20">
        <v>5.5E-2</v>
      </c>
    </row>
    <row r="20" spans="1:34" x14ac:dyDescent="0.2">
      <c r="B20" s="19" t="s">
        <v>257</v>
      </c>
      <c r="C20" s="19">
        <v>14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2.8390581729766013E-2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14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/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14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/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81</v>
      </c>
      <c r="B24" s="19" t="s">
        <v>10</v>
      </c>
      <c r="C24" s="19">
        <v>14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82.868309999999994</v>
      </c>
      <c r="M24" s="157">
        <f t="shared" ref="M24:N27" si="24">L24*Y24</f>
        <v>52.45564023</v>
      </c>
      <c r="N24" s="157">
        <f t="shared" si="24"/>
        <v>521.40906388619999</v>
      </c>
      <c r="O24" s="157">
        <f t="shared" ref="O24:O27" si="25">(M24*AH24)</f>
        <v>3.9866286574799998</v>
      </c>
      <c r="Q24" s="14"/>
      <c r="R24" s="149"/>
      <c r="S24" s="148"/>
      <c r="T24" s="149"/>
      <c r="U24" s="149"/>
      <c r="V24" s="150"/>
      <c r="W24" s="165"/>
      <c r="X24" s="149"/>
      <c r="Y24" s="20">
        <v>0.63300000000000001</v>
      </c>
      <c r="Z24" s="115">
        <v>9.94</v>
      </c>
      <c r="AA24" s="161">
        <f t="shared" ref="AA24:AA27" si="26">(AG24/SUM(AG$7:AG$27))*0.98</f>
        <v>0.13524</v>
      </c>
      <c r="AB24" s="8">
        <v>4.7611960208794789E-2</v>
      </c>
      <c r="AC24" s="161">
        <f t="shared" ref="AC24:AC27" si="27">(AH24/SUM(AH$7:AH$27))*0.98</f>
        <v>0.14434108527131781</v>
      </c>
      <c r="AE24" s="181"/>
      <c r="AF24" s="181"/>
      <c r="AG24" s="20">
        <v>0.13800000000000001</v>
      </c>
      <c r="AH24" s="20">
        <v>7.5999999999999998E-2</v>
      </c>
    </row>
    <row r="25" spans="1:34" x14ac:dyDescent="0.2">
      <c r="A25" s="18" t="s">
        <v>559</v>
      </c>
      <c r="B25" s="19" t="s">
        <v>10</v>
      </c>
      <c r="C25" s="19">
        <v>14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74.461380000000005</v>
      </c>
      <c r="M25" s="157">
        <f t="shared" si="24"/>
        <v>47.655283200000007</v>
      </c>
      <c r="N25" s="157">
        <f t="shared" si="24"/>
        <v>484.17767731200007</v>
      </c>
      <c r="O25" s="157">
        <f t="shared" si="25"/>
        <v>3.5264909568000005</v>
      </c>
      <c r="Q25" s="14"/>
      <c r="R25" s="149"/>
      <c r="S25" s="148"/>
      <c r="T25" s="149"/>
      <c r="U25" s="149"/>
      <c r="V25" s="150"/>
      <c r="W25" s="165"/>
      <c r="X25" s="149"/>
      <c r="Y25" s="20">
        <v>0.64</v>
      </c>
      <c r="Z25" s="115">
        <v>10.16</v>
      </c>
      <c r="AA25" s="161">
        <f t="shared" si="26"/>
        <v>0.12152</v>
      </c>
      <c r="AB25" s="8">
        <v>2.8953817101297047E-2</v>
      </c>
      <c r="AC25" s="161">
        <f t="shared" si="27"/>
        <v>0.1405426356589147</v>
      </c>
      <c r="AE25" s="181"/>
      <c r="AF25" s="181"/>
      <c r="AG25" s="20">
        <v>0.124</v>
      </c>
      <c r="AH25" s="20">
        <v>7.3999999999999996E-2</v>
      </c>
    </row>
    <row r="26" spans="1:34" x14ac:dyDescent="0.2">
      <c r="B26" s="19" t="s">
        <v>10</v>
      </c>
      <c r="C26" s="19">
        <v>14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0</v>
      </c>
      <c r="M26" s="157">
        <f t="shared" si="24"/>
        <v>0</v>
      </c>
      <c r="N26" s="157">
        <f t="shared" si="24"/>
        <v>0</v>
      </c>
      <c r="O26" s="157">
        <f t="shared" si="25"/>
        <v>0</v>
      </c>
      <c r="Q26" s="14"/>
      <c r="R26" s="149"/>
      <c r="S26" s="148"/>
      <c r="T26" s="149"/>
      <c r="U26" s="149"/>
      <c r="V26" s="150"/>
      <c r="W26" s="165"/>
      <c r="X26" s="149"/>
      <c r="Y26" s="20">
        <v>0</v>
      </c>
      <c r="Z26" s="115">
        <v>0</v>
      </c>
      <c r="AA26" s="161">
        <f t="shared" si="26"/>
        <v>0</v>
      </c>
      <c r="AB26" s="8">
        <v>2.5188790599100677E-3</v>
      </c>
      <c r="AC26" s="161">
        <f t="shared" si="27"/>
        <v>0</v>
      </c>
      <c r="AE26" s="181"/>
      <c r="AF26" s="181"/>
      <c r="AG26" s="20">
        <v>0</v>
      </c>
      <c r="AH26" s="20">
        <v>0</v>
      </c>
    </row>
    <row r="27" spans="1:34" x14ac:dyDescent="0.2">
      <c r="B27" s="19" t="s">
        <v>10</v>
      </c>
      <c r="C27" s="19">
        <v>14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/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9" t="s">
        <v>344</v>
      </c>
      <c r="X29" s="31"/>
      <c r="Y29" s="31"/>
      <c r="Z29" s="32"/>
      <c r="AA29" s="9" t="s">
        <v>344</v>
      </c>
      <c r="AB29" s="9" t="s">
        <v>344</v>
      </c>
      <c r="AC29" s="9" t="s">
        <v>344</v>
      </c>
      <c r="AD29" s="33"/>
      <c r="AE29" s="9" t="s">
        <v>344</v>
      </c>
      <c r="AF29" s="9" t="s">
        <v>344</v>
      </c>
      <c r="AG29" s="9" t="s">
        <v>344</v>
      </c>
    </row>
    <row r="30" spans="1:34" s="28" customFormat="1" x14ac:dyDescent="0.2">
      <c r="A30" s="34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0.9750000000000002</v>
      </c>
      <c r="AC30" s="161">
        <f>SUM(AC7:AC27)</f>
        <v>0.97999999999999987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B31" s="29"/>
      <c r="C31" s="29"/>
      <c r="D31" s="47">
        <v>1075</v>
      </c>
      <c r="E31" s="48">
        <v>0.56999999999999995</v>
      </c>
      <c r="F31" s="2">
        <f>1-E31</f>
        <v>0.43000000000000005</v>
      </c>
      <c r="G31" s="114">
        <v>4.1500000000000004</v>
      </c>
      <c r="H31" s="134">
        <v>3.4000000000000002E-2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34" t="s">
        <v>345</v>
      </c>
      <c r="B33" s="29"/>
      <c r="C33" s="29"/>
      <c r="D33" s="166" t="s">
        <v>358</v>
      </c>
      <c r="E33" s="166" t="s">
        <v>1</v>
      </c>
      <c r="F33" s="166" t="s">
        <v>343</v>
      </c>
      <c r="G33" s="166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B34" s="29"/>
      <c r="C34" s="29"/>
      <c r="D34" s="167">
        <f>D31*E31</f>
        <v>612.75</v>
      </c>
      <c r="E34" s="167">
        <f>SUM(E2:E4)</f>
        <v>387.69209215826038</v>
      </c>
      <c r="F34" s="167">
        <f>SUM(F2:F4)</f>
        <v>3990.5728179116795</v>
      </c>
      <c r="G34" s="167">
        <f>SUM(G2:G4)</f>
        <v>22.516348410833707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B35" s="29"/>
      <c r="C35" s="29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34" t="s">
        <v>345</v>
      </c>
      <c r="B36" s="29"/>
      <c r="C36" s="29"/>
      <c r="D36" s="166" t="s">
        <v>350</v>
      </c>
      <c r="E36" s="166" t="s">
        <v>343</v>
      </c>
      <c r="F36" s="166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B37" s="29"/>
      <c r="C37" s="29"/>
      <c r="D37" s="167">
        <f>D31*F31</f>
        <v>462.25000000000006</v>
      </c>
      <c r="E37" s="167">
        <f>D37*G31</f>
        <v>1918.3375000000003</v>
      </c>
      <c r="F37" s="167">
        <f>D37*H31</f>
        <v>15.716500000000003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37" t="s">
        <v>359</v>
      </c>
      <c r="B39" s="38"/>
      <c r="C39" s="38"/>
      <c r="D39" s="156" t="s">
        <v>353</v>
      </c>
      <c r="E39" s="156" t="s">
        <v>354</v>
      </c>
      <c r="F39" s="156" t="s">
        <v>355</v>
      </c>
      <c r="G39" s="156" t="s">
        <v>351</v>
      </c>
      <c r="H39" s="156" t="s">
        <v>352</v>
      </c>
      <c r="I39" s="156" t="s">
        <v>356</v>
      </c>
      <c r="J39" s="156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453.005</v>
      </c>
      <c r="E40" s="168">
        <f>SUM(J2:J4,J7:J12,J15:J22)</f>
        <v>1915.8751469856386</v>
      </c>
      <c r="F40" s="168">
        <f>SUM(K2:K4,K7:K12,K15:K22)</f>
        <v>15.694158982700344</v>
      </c>
      <c r="G40" s="168">
        <f>SUM(L7:L12,L15:L22,L24:L27)</f>
        <v>600.495</v>
      </c>
      <c r="H40" s="168">
        <f>SUM(M7:M12,M15:M22,M24:M27)</f>
        <v>387.14753342999995</v>
      </c>
      <c r="I40" s="168">
        <f>SUM(N7:N12,N15:N22,N24:N27)</f>
        <v>3977.3564141849997</v>
      </c>
      <c r="J40" s="168">
        <f>SUM(O7:O12,O15:O22,O24:O27)</f>
        <v>22.479817361609999</v>
      </c>
    </row>
    <row r="41" spans="1:32" ht="15" thickTop="1" x14ac:dyDescent="0.2">
      <c r="D41" s="169">
        <f>D37-D40</f>
        <v>9.2450000000000614</v>
      </c>
      <c r="E41" s="169">
        <f>E37-E40</f>
        <v>2.4623530143617245</v>
      </c>
      <c r="F41" s="169">
        <f>F37-F40</f>
        <v>2.2341017299659427E-2</v>
      </c>
      <c r="G41" s="169">
        <f>SUM(D2:D4)-G40</f>
        <v>12.254999999999995</v>
      </c>
      <c r="H41" s="169">
        <f>E34-H40</f>
        <v>0.54455872826042651</v>
      </c>
      <c r="I41" s="169">
        <f>F34-I40</f>
        <v>13.2164037266798</v>
      </c>
      <c r="J41" s="169">
        <f>G34-J40</f>
        <v>3.6531049223707868E-2</v>
      </c>
    </row>
    <row r="42" spans="1:32" x14ac:dyDescent="0.2">
      <c r="N42" s="24"/>
      <c r="O42" s="24"/>
    </row>
    <row r="44" spans="1:32" x14ac:dyDescent="0.2">
      <c r="N44" s="24"/>
      <c r="O44" s="24"/>
    </row>
  </sheetData>
  <sheetProtection selectLockedCells="1"/>
  <conditionalFormatting sqref="D41:J41">
    <cfRule type="cellIs" dxfId="95" priority="1" operator="lessThan">
      <formula>0</formula>
    </cfRule>
  </conditionalFormatting>
  <conditionalFormatting sqref="W30">
    <cfRule type="cellIs" dxfId="94" priority="2" operator="greaterThan">
      <formula>1</formula>
    </cfRule>
  </conditionalFormatting>
  <conditionalFormatting sqref="AA30:AG30">
    <cfRule type="cellIs" dxfId="93" priority="3" operator="greaterThan">
      <formula>1</formula>
    </cfRule>
  </conditionalFormatting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CC0000"/>
  </sheetPr>
  <dimension ref="A1:AH78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530</v>
      </c>
      <c r="B2" s="19" t="s">
        <v>9</v>
      </c>
      <c r="C2" s="19">
        <v>11</v>
      </c>
      <c r="D2" s="157">
        <f>D$34*Q2</f>
        <v>438.6816</v>
      </c>
      <c r="E2" s="157">
        <f>D2*R2</f>
        <v>275.58333306077373</v>
      </c>
      <c r="F2" s="157">
        <f>E2*S2</f>
        <v>3047.9516636521575</v>
      </c>
      <c r="G2" s="157">
        <f t="shared" ref="G2:G4" si="0">E2*T2</f>
        <v>17.361749982828744</v>
      </c>
      <c r="H2" s="157">
        <f>E2*U2</f>
        <v>9.4269790618349205</v>
      </c>
      <c r="I2" s="157">
        <f>D$37*W2</f>
        <v>36.154944000000008</v>
      </c>
      <c r="J2" s="157">
        <f>I2*V2</f>
        <v>197.47612660554105</v>
      </c>
      <c r="K2" s="157">
        <f>I2*X2</f>
        <v>1.6095480538669313</v>
      </c>
      <c r="L2" s="158"/>
      <c r="M2" s="158"/>
      <c r="N2" s="158"/>
      <c r="O2" s="158"/>
      <c r="Q2" s="161">
        <f>AE2</f>
        <v>0.85</v>
      </c>
      <c r="R2" s="116">
        <v>0.62820809685378576</v>
      </c>
      <c r="S2" s="115">
        <v>11.06</v>
      </c>
      <c r="T2" s="116">
        <v>6.3E-2</v>
      </c>
      <c r="U2" s="20">
        <v>3.4207362822467974E-2</v>
      </c>
      <c r="V2" s="115">
        <v>5.4619397724842562</v>
      </c>
      <c r="W2" s="161">
        <f>(AF2/SUM(AF$2:AF$22))*0.98</f>
        <v>7.350000000000001E-2</v>
      </c>
      <c r="X2" s="20">
        <v>4.4518062422304709E-2</v>
      </c>
      <c r="Y2" s="22"/>
      <c r="Z2" s="23"/>
      <c r="AA2" s="1"/>
      <c r="AB2" s="1"/>
      <c r="AC2" s="1"/>
      <c r="AE2" s="20">
        <v>0.85</v>
      </c>
      <c r="AF2" s="20">
        <v>7.4999999999999997E-2</v>
      </c>
      <c r="AG2" s="181"/>
      <c r="AH2" s="181"/>
    </row>
    <row r="3" spans="1:34" x14ac:dyDescent="0.2">
      <c r="A3" s="18" t="s">
        <v>214</v>
      </c>
      <c r="B3" s="19" t="s">
        <v>9</v>
      </c>
      <c r="C3" s="19">
        <v>11</v>
      </c>
      <c r="D3" s="157">
        <f>D$34*Q3</f>
        <v>77.414400000000015</v>
      </c>
      <c r="E3" s="157">
        <f t="shared" ref="E3:F4" si="1">D3*R3</f>
        <v>48.824723480447872</v>
      </c>
      <c r="F3" s="157">
        <f t="shared" si="1"/>
        <v>543.0886332654585</v>
      </c>
      <c r="G3" s="157">
        <f t="shared" si="0"/>
        <v>3.1736070262291118</v>
      </c>
      <c r="H3" s="157">
        <f t="shared" ref="H3:H4" si="2">E3*U3</f>
        <v>1.9158124982764142</v>
      </c>
      <c r="I3" s="157">
        <f t="shared" ref="I3:I4" si="3">D$37*W3</f>
        <v>8.6771865600000009</v>
      </c>
      <c r="J3" s="157">
        <f>I3*V3</f>
        <v>25.14662235711349</v>
      </c>
      <c r="K3" s="157">
        <f>I3*X3</f>
        <v>0.16055065404098945</v>
      </c>
      <c r="L3" s="158"/>
      <c r="M3" s="158"/>
      <c r="N3" s="158"/>
      <c r="O3" s="158"/>
      <c r="Q3" s="161">
        <f t="shared" ref="Q3:Q4" si="4">AE3</f>
        <v>0.15000000000000002</v>
      </c>
      <c r="R3" s="116">
        <v>0.6306930426438474</v>
      </c>
      <c r="S3" s="115">
        <v>11.123230088193768</v>
      </c>
      <c r="T3" s="116">
        <v>6.5000000000000002E-2</v>
      </c>
      <c r="U3" s="20">
        <v>3.9238573446168351E-2</v>
      </c>
      <c r="V3" s="115">
        <v>2.8980156394278893</v>
      </c>
      <c r="W3" s="161">
        <f t="shared" ref="W3:W4" si="5">(AF3/SUM(AF$2:AF$22))*0.98</f>
        <v>1.7640000000000003E-2</v>
      </c>
      <c r="X3" s="20">
        <v>1.8502616364282645E-2</v>
      </c>
      <c r="Y3" s="22"/>
      <c r="Z3" s="23"/>
      <c r="AA3" s="1"/>
      <c r="AB3" s="1"/>
      <c r="AC3" s="1"/>
      <c r="AE3" s="20">
        <f>1-AE2</f>
        <v>0.15000000000000002</v>
      </c>
      <c r="AF3" s="20">
        <v>1.7999999999999999E-2</v>
      </c>
      <c r="AG3" s="181"/>
      <c r="AH3" s="181"/>
    </row>
    <row r="4" spans="1:34" x14ac:dyDescent="0.2">
      <c r="B4" s="19" t="s">
        <v>9</v>
      </c>
      <c r="C4" s="19">
        <v>11</v>
      </c>
      <c r="D4" s="157">
        <f>D$34*Q4</f>
        <v>0</v>
      </c>
      <c r="E4" s="157">
        <f t="shared" si="1"/>
        <v>0</v>
      </c>
      <c r="F4" s="157">
        <f t="shared" si="1"/>
        <v>0</v>
      </c>
      <c r="G4" s="157">
        <f t="shared" si="0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598</v>
      </c>
      <c r="B7" s="19" t="s">
        <v>256</v>
      </c>
      <c r="C7" s="19">
        <v>11</v>
      </c>
      <c r="D7" s="158"/>
      <c r="E7" s="158"/>
      <c r="F7" s="158"/>
      <c r="G7" s="158"/>
      <c r="H7" s="158"/>
      <c r="I7" s="157">
        <f t="shared" ref="I7:I12" si="6">D$37*W7</f>
        <v>303.70152960000001</v>
      </c>
      <c r="J7" s="157">
        <f>I7*V7</f>
        <v>1369.693898496</v>
      </c>
      <c r="K7" s="157">
        <f>I7*X7</f>
        <v>11.337991951933537</v>
      </c>
      <c r="L7" s="157">
        <f>((D$2+D$3+D$4)*AA7)</f>
        <v>40.461926399999989</v>
      </c>
      <c r="M7" s="157">
        <f t="shared" ref="M7:N12" si="7">L7*Y7</f>
        <v>32.628219304098906</v>
      </c>
      <c r="N7" s="157">
        <f t="shared" si="7"/>
        <v>249.43472973369643</v>
      </c>
      <c r="O7" s="157">
        <f>M7*AH7</f>
        <v>1.3183118910747034</v>
      </c>
      <c r="Q7" s="14"/>
      <c r="R7" s="149"/>
      <c r="S7" s="148"/>
      <c r="T7" s="149"/>
      <c r="U7" s="149"/>
      <c r="V7" s="21">
        <v>4.51</v>
      </c>
      <c r="W7" s="161">
        <f t="shared" ref="W7:W12" si="8">(AF7/SUM(AF$2:AF$22))*0.98</f>
        <v>0.61740000000000006</v>
      </c>
      <c r="X7" s="20">
        <v>3.7332679775655422E-2</v>
      </c>
      <c r="Y7" s="20">
        <v>0.80639312576325861</v>
      </c>
      <c r="Z7" s="21">
        <v>7.6447546036433955</v>
      </c>
      <c r="AA7" s="161">
        <f>(AG7/SUM(AG$7:AG$27))*0.98</f>
        <v>7.8399999999999984E-2</v>
      </c>
      <c r="AB7" s="8">
        <v>0.10241586707245035</v>
      </c>
      <c r="AC7" s="161">
        <f>(AH7/SUM(AH$7:AH$27))*0.98</f>
        <v>6.1421261299146608E-2</v>
      </c>
      <c r="AE7" s="181"/>
      <c r="AF7" s="20">
        <v>0.63</v>
      </c>
      <c r="AG7" s="20">
        <v>0.08</v>
      </c>
      <c r="AH7" s="20">
        <v>4.0404040404040407E-2</v>
      </c>
    </row>
    <row r="8" spans="1:34" x14ac:dyDescent="0.2">
      <c r="A8" s="186" t="s">
        <v>496</v>
      </c>
      <c r="B8" s="19" t="s">
        <v>256</v>
      </c>
      <c r="C8" s="19">
        <v>11</v>
      </c>
      <c r="D8" s="158"/>
      <c r="E8" s="158"/>
      <c r="F8" s="158"/>
      <c r="G8" s="158"/>
      <c r="H8" s="158"/>
      <c r="I8" s="157">
        <f t="shared" si="6"/>
        <v>89.18219520000001</v>
      </c>
      <c r="J8" s="157">
        <f>I8*V8</f>
        <v>391.50983692800003</v>
      </c>
      <c r="K8" s="157">
        <f>I8*X8</f>
        <v>2.9430124416000005</v>
      </c>
      <c r="L8" s="157">
        <f>((D$2+D$3+D$4)*AA8)</f>
        <v>15.173222399999997</v>
      </c>
      <c r="M8" s="157">
        <f t="shared" si="7"/>
        <v>11.822863973427133</v>
      </c>
      <c r="N8" s="157">
        <f t="shared" si="7"/>
        <v>91.633656000557863</v>
      </c>
      <c r="O8" s="157">
        <f t="shared" ref="O8:O12" si="9">M8*AH8</f>
        <v>0.38138270882023007</v>
      </c>
      <c r="Q8" s="14"/>
      <c r="R8" s="149"/>
      <c r="S8" s="148"/>
      <c r="T8" s="149"/>
      <c r="U8" s="149"/>
      <c r="V8" s="21">
        <v>4.3899999999999997</v>
      </c>
      <c r="W8" s="161">
        <f t="shared" si="8"/>
        <v>0.18130000000000002</v>
      </c>
      <c r="X8" s="20">
        <v>3.3000000000000002E-2</v>
      </c>
      <c r="Y8" s="20">
        <v>0.77919268971020517</v>
      </c>
      <c r="Z8" s="21">
        <v>7.7505464163769551</v>
      </c>
      <c r="AA8" s="161">
        <f t="shared" ref="AA8:AA12" si="10">(AG8/SUM(AG$7:AG$27))*0.98</f>
        <v>2.9399999999999992E-2</v>
      </c>
      <c r="AB8" s="8">
        <v>1.6834405145425353E-2</v>
      </c>
      <c r="AC8" s="161">
        <f t="shared" ref="AC8:AC12" si="11">(AH8/SUM(AH$7:AH$27))*0.98</f>
        <v>4.9037942488834786E-2</v>
      </c>
      <c r="AE8" s="181"/>
      <c r="AF8" s="20">
        <v>0.185</v>
      </c>
      <c r="AG8" s="20">
        <v>0.03</v>
      </c>
      <c r="AH8" s="20">
        <v>3.2258064516129031E-2</v>
      </c>
    </row>
    <row r="9" spans="1:34" x14ac:dyDescent="0.2">
      <c r="A9" s="186" t="s">
        <v>29</v>
      </c>
      <c r="B9" s="19" t="s">
        <v>256</v>
      </c>
      <c r="C9" s="19">
        <v>11</v>
      </c>
      <c r="D9" s="158"/>
      <c r="E9" s="158"/>
      <c r="F9" s="158"/>
      <c r="G9" s="158"/>
      <c r="H9" s="158"/>
      <c r="I9" s="157">
        <f t="shared" si="6"/>
        <v>44.350064639999999</v>
      </c>
      <c r="J9" s="157">
        <f>I9*V9</f>
        <v>201.25286553045106</v>
      </c>
      <c r="K9" s="157">
        <f>I9*X9</f>
        <v>1.8627027148800002</v>
      </c>
      <c r="L9" s="157">
        <f>((D$2+D$3+D$4)*AA9)</f>
        <v>42.485022719999996</v>
      </c>
      <c r="M9" s="157">
        <f t="shared" si="7"/>
        <v>32.252144408360678</v>
      </c>
      <c r="N9" s="157">
        <f t="shared" si="7"/>
        <v>228.40380607507731</v>
      </c>
      <c r="O9" s="157">
        <f t="shared" si="9"/>
        <v>0.80630361020901697</v>
      </c>
      <c r="Q9" s="14"/>
      <c r="R9" s="149"/>
      <c r="S9" s="148"/>
      <c r="T9" s="149"/>
      <c r="U9" s="149"/>
      <c r="V9" s="21">
        <v>4.5378257543493641</v>
      </c>
      <c r="W9" s="161">
        <f t="shared" si="8"/>
        <v>9.0160000000000004E-2</v>
      </c>
      <c r="X9" s="20">
        <v>4.2000000000000003E-2</v>
      </c>
      <c r="Y9" s="20">
        <v>0.75914151254950013</v>
      </c>
      <c r="Z9" s="21">
        <v>7.0818176671647457</v>
      </c>
      <c r="AA9" s="161">
        <f t="shared" si="10"/>
        <v>8.231999999999999E-2</v>
      </c>
      <c r="AB9" s="8">
        <v>3.4364046000666143E-2</v>
      </c>
      <c r="AC9" s="161">
        <f t="shared" si="11"/>
        <v>3.800440542884697E-2</v>
      </c>
      <c r="AE9" s="181"/>
      <c r="AF9" s="20">
        <v>9.1999999999999998E-2</v>
      </c>
      <c r="AG9" s="20">
        <v>8.4000000000000005E-2</v>
      </c>
      <c r="AH9" s="20">
        <v>2.5000000000000001E-2</v>
      </c>
    </row>
    <row r="10" spans="1:34" x14ac:dyDescent="0.2">
      <c r="A10" s="186"/>
      <c r="B10" s="19" t="s">
        <v>256</v>
      </c>
      <c r="C10" s="19">
        <v>11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9.0147436135723479E-3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A11" s="186"/>
      <c r="B11" s="19" t="s">
        <v>256</v>
      </c>
      <c r="C11" s="19">
        <v>11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5.6836923515051971E-3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11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/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471</v>
      </c>
      <c r="B15" s="19" t="s">
        <v>257</v>
      </c>
      <c r="C15" s="19">
        <v>11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118.85690879999996</v>
      </c>
      <c r="M15" s="157">
        <f t="shared" ref="M15:N22" si="19">L15*Y15</f>
        <v>75.908494904057164</v>
      </c>
      <c r="N15" s="157">
        <f t="shared" si="19"/>
        <v>933.67448731990316</v>
      </c>
      <c r="O15" s="157">
        <f t="shared" ref="O15:O22" si="20">M15*AH15</f>
        <v>5.5413201279961726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0.63865445997580239</v>
      </c>
      <c r="Z15" s="21">
        <v>12.3</v>
      </c>
      <c r="AA15" s="161">
        <f t="shared" ref="AA15:AA22" si="22">(AG15/SUM(AG$7:AG$27))*0.98</f>
        <v>0.23029999999999992</v>
      </c>
      <c r="AB15" s="8">
        <v>0.20587017634578869</v>
      </c>
      <c r="AC15" s="161">
        <f t="shared" ref="AC15:AC22" si="23">(AH15/SUM(AH$7:AH$27))*0.98</f>
        <v>0.11097286385223312</v>
      </c>
      <c r="AE15" s="181"/>
      <c r="AF15" s="20">
        <v>0</v>
      </c>
      <c r="AG15" s="20">
        <v>0.23499999999999999</v>
      </c>
      <c r="AH15" s="20">
        <v>7.2999999999999995E-2</v>
      </c>
    </row>
    <row r="16" spans="1:34" x14ac:dyDescent="0.2">
      <c r="A16" s="18" t="s">
        <v>470</v>
      </c>
      <c r="B16" s="19" t="s">
        <v>257</v>
      </c>
      <c r="C16" s="19">
        <v>11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60.187115519999978</v>
      </c>
      <c r="M16" s="157">
        <f t="shared" si="19"/>
        <v>35.686350564995593</v>
      </c>
      <c r="N16" s="157">
        <f t="shared" si="19"/>
        <v>426.45188925169731</v>
      </c>
      <c r="O16" s="157">
        <f t="shared" si="20"/>
        <v>2.7835353440696564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0.59292342317247515</v>
      </c>
      <c r="Z16" s="21">
        <v>11.95</v>
      </c>
      <c r="AA16" s="161">
        <f t="shared" si="22"/>
        <v>0.11661999999999996</v>
      </c>
      <c r="AB16" s="8">
        <v>0.15289666611219216</v>
      </c>
      <c r="AC16" s="161">
        <f t="shared" si="23"/>
        <v>0.11857374493800252</v>
      </c>
      <c r="AE16" s="181"/>
      <c r="AF16" s="20">
        <v>0</v>
      </c>
      <c r="AG16" s="20">
        <v>0.11899999999999999</v>
      </c>
      <c r="AH16" s="20">
        <v>7.8E-2</v>
      </c>
    </row>
    <row r="17" spans="1:34" x14ac:dyDescent="0.2">
      <c r="A17" s="18" t="s">
        <v>681</v>
      </c>
      <c r="B17" s="19" t="s">
        <v>257</v>
      </c>
      <c r="C17" s="19">
        <v>11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25.79447807999999</v>
      </c>
      <c r="M17" s="157">
        <f t="shared" si="19"/>
        <v>14.48358448003961</v>
      </c>
      <c r="N17" s="157">
        <f t="shared" si="19"/>
        <v>168.86476278993538</v>
      </c>
      <c r="O17" s="157">
        <f t="shared" si="20"/>
        <v>0.98488374464269357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0.56149941995801045</v>
      </c>
      <c r="Z17" s="21">
        <v>11.659044970715257</v>
      </c>
      <c r="AA17" s="161">
        <f t="shared" si="22"/>
        <v>4.9979999999999983E-2</v>
      </c>
      <c r="AB17" s="8">
        <v>0.10227292908389216</v>
      </c>
      <c r="AC17" s="161">
        <f t="shared" si="23"/>
        <v>0.10337198276646375</v>
      </c>
      <c r="AE17" s="181"/>
      <c r="AF17" s="20">
        <v>0</v>
      </c>
      <c r="AG17" s="20">
        <v>5.0999999999999997E-2</v>
      </c>
      <c r="AH17" s="20">
        <v>6.8000000000000005E-2</v>
      </c>
    </row>
    <row r="18" spans="1:34" x14ac:dyDescent="0.2">
      <c r="A18" s="18" t="s">
        <v>684</v>
      </c>
      <c r="B18" s="19" t="s">
        <v>257</v>
      </c>
      <c r="C18" s="19">
        <v>11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20.230963199999994</v>
      </c>
      <c r="M18" s="157">
        <f t="shared" si="19"/>
        <v>10.666547924945423</v>
      </c>
      <c r="N18" s="157">
        <f t="shared" si="19"/>
        <v>115.02676799212875</v>
      </c>
      <c r="O18" s="157">
        <f t="shared" si="20"/>
        <v>0.71465871097134337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0.52723875870356118</v>
      </c>
      <c r="Z18" s="21">
        <v>10.783879545801348</v>
      </c>
      <c r="AA18" s="161">
        <f t="shared" si="22"/>
        <v>3.9199999999999992E-2</v>
      </c>
      <c r="AB18" s="8">
        <v>4.4906581143286987E-2</v>
      </c>
      <c r="AC18" s="161">
        <f t="shared" si="23"/>
        <v>0.10185180654930986</v>
      </c>
      <c r="AE18" s="181"/>
      <c r="AF18" s="20">
        <v>0</v>
      </c>
      <c r="AG18" s="20">
        <v>0.04</v>
      </c>
      <c r="AH18" s="20">
        <v>6.7000000000000004E-2</v>
      </c>
    </row>
    <row r="19" spans="1:34" x14ac:dyDescent="0.2">
      <c r="A19" s="18" t="s">
        <v>472</v>
      </c>
      <c r="B19" s="19" t="s">
        <v>257</v>
      </c>
      <c r="C19" s="19">
        <v>11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39.450378239999992</v>
      </c>
      <c r="M19" s="157">
        <f t="shared" si="19"/>
        <v>20.356879289535335</v>
      </c>
      <c r="N19" s="157">
        <f t="shared" si="19"/>
        <v>266.67511869291286</v>
      </c>
      <c r="O19" s="157">
        <f t="shared" si="20"/>
        <v>1.5471228260046854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0.51601227156029772</v>
      </c>
      <c r="Z19" s="21">
        <v>13.1</v>
      </c>
      <c r="AA19" s="161">
        <f t="shared" si="22"/>
        <v>7.643999999999998E-2</v>
      </c>
      <c r="AB19" s="8">
        <v>2.1429158079693849E-2</v>
      </c>
      <c r="AC19" s="161">
        <f t="shared" si="23"/>
        <v>0.11553339250369475</v>
      </c>
      <c r="AE19" s="181"/>
      <c r="AF19" s="20">
        <v>0</v>
      </c>
      <c r="AG19" s="20">
        <v>7.8E-2</v>
      </c>
      <c r="AH19" s="20">
        <v>7.5999999999999998E-2</v>
      </c>
    </row>
    <row r="20" spans="1:34" x14ac:dyDescent="0.2">
      <c r="B20" s="19" t="s">
        <v>257</v>
      </c>
      <c r="C20" s="19">
        <v>11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1.115758719853931E-2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11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/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11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/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215</v>
      </c>
      <c r="B24" s="19" t="s">
        <v>10</v>
      </c>
      <c r="C24" s="19">
        <v>11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98.625945599999966</v>
      </c>
      <c r="M24" s="157">
        <f t="shared" ref="M24:N27" si="24">L24*Y24</f>
        <v>58.500637645071741</v>
      </c>
      <c r="N24" s="157">
        <f t="shared" si="24"/>
        <v>801.45873573748281</v>
      </c>
      <c r="O24" s="157">
        <f t="shared" ref="O24:O27" si="25">M24*AH24</f>
        <v>4.8555529245409543</v>
      </c>
      <c r="Q24" s="14"/>
      <c r="R24" s="149"/>
      <c r="S24" s="148"/>
      <c r="T24" s="149"/>
      <c r="U24" s="149"/>
      <c r="V24" s="150"/>
      <c r="W24" s="165"/>
      <c r="X24" s="149"/>
      <c r="Y24" s="20">
        <v>0.59315667179845788</v>
      </c>
      <c r="Z24" s="115">
        <v>13.7</v>
      </c>
      <c r="AA24" s="161">
        <f t="shared" ref="AA24:AA27" si="26">(AG24/SUM(AG$7:AG$27))*0.98</f>
        <v>0.19109999999999994</v>
      </c>
      <c r="AB24" s="8">
        <v>0.15309603149915491</v>
      </c>
      <c r="AC24" s="161">
        <f t="shared" ref="AC24:AC27" si="27">(AH24/SUM(AH$7:AH$27))*0.98</f>
        <v>0.12617462602377191</v>
      </c>
      <c r="AE24" s="181"/>
      <c r="AF24" s="181"/>
      <c r="AG24" s="20">
        <v>0.19500000000000001</v>
      </c>
      <c r="AH24" s="20">
        <v>8.3000000000000004E-2</v>
      </c>
    </row>
    <row r="25" spans="1:34" x14ac:dyDescent="0.2">
      <c r="A25" s="18" t="s">
        <v>69</v>
      </c>
      <c r="B25" s="19" t="s">
        <v>10</v>
      </c>
      <c r="C25" s="19">
        <v>11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34.392637439999994</v>
      </c>
      <c r="M25" s="157">
        <f t="shared" si="24"/>
        <v>23.126402270091624</v>
      </c>
      <c r="N25" s="157">
        <f t="shared" si="24"/>
        <v>241.77366066071954</v>
      </c>
      <c r="O25" s="157">
        <f t="shared" si="25"/>
        <v>1.2719521248550394</v>
      </c>
      <c r="Q25" s="14"/>
      <c r="R25" s="149"/>
      <c r="S25" s="148"/>
      <c r="T25" s="149"/>
      <c r="U25" s="149"/>
      <c r="V25" s="150"/>
      <c r="W25" s="165"/>
      <c r="X25" s="149"/>
      <c r="Y25" s="20">
        <v>0.67242305305712624</v>
      </c>
      <c r="Z25" s="115">
        <v>10.454443273841818</v>
      </c>
      <c r="AA25" s="161">
        <f t="shared" si="26"/>
        <v>6.6639999999999991E-2</v>
      </c>
      <c r="AB25" s="8">
        <v>9.595419253822994E-2</v>
      </c>
      <c r="AC25" s="161">
        <f t="shared" si="27"/>
        <v>8.3609691943463321E-2</v>
      </c>
      <c r="AE25" s="181"/>
      <c r="AF25" s="181"/>
      <c r="AG25" s="20">
        <v>6.8000000000000005E-2</v>
      </c>
      <c r="AH25" s="20">
        <v>5.5E-2</v>
      </c>
    </row>
    <row r="26" spans="1:34" x14ac:dyDescent="0.2">
      <c r="A26" s="18" t="s">
        <v>685</v>
      </c>
      <c r="B26" s="19" t="s">
        <v>10</v>
      </c>
      <c r="C26" s="19">
        <v>11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10.115481599999997</v>
      </c>
      <c r="M26" s="157">
        <f t="shared" si="24"/>
        <v>6.7470262271999983</v>
      </c>
      <c r="N26" s="157">
        <f t="shared" si="24"/>
        <v>66.120857026559989</v>
      </c>
      <c r="O26" s="157">
        <f t="shared" si="25"/>
        <v>0.31711023267839994</v>
      </c>
      <c r="Q26" s="14"/>
      <c r="R26" s="149"/>
      <c r="S26" s="148"/>
      <c r="T26" s="149"/>
      <c r="U26" s="149"/>
      <c r="V26" s="150"/>
      <c r="W26" s="165"/>
      <c r="X26" s="149"/>
      <c r="Y26" s="20">
        <v>0.66700000000000004</v>
      </c>
      <c r="Z26" s="115">
        <v>9.8000000000000007</v>
      </c>
      <c r="AA26" s="161">
        <f t="shared" si="26"/>
        <v>1.9599999999999996E-2</v>
      </c>
      <c r="AB26" s="8">
        <v>8.8918704301745796E-3</v>
      </c>
      <c r="AC26" s="161">
        <f t="shared" si="27"/>
        <v>7.1448282206232283E-2</v>
      </c>
      <c r="AE26" s="181"/>
      <c r="AF26" s="181"/>
      <c r="AG26" s="20">
        <v>0.02</v>
      </c>
      <c r="AH26" s="20">
        <v>4.7E-2</v>
      </c>
    </row>
    <row r="27" spans="1:34" x14ac:dyDescent="0.2">
      <c r="B27" s="19" t="s">
        <v>10</v>
      </c>
      <c r="C27" s="19">
        <v>11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21">
        <v>0</v>
      </c>
      <c r="AA27" s="161">
        <f t="shared" si="26"/>
        <v>0</v>
      </c>
      <c r="AB27" s="8">
        <v>1.0212053385428152E-2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0.98000000000000009</v>
      </c>
      <c r="X30" s="31"/>
      <c r="Y30" s="31"/>
      <c r="Z30" s="32"/>
      <c r="AA30" s="161">
        <f>SUM(AA7:AA27)</f>
        <v>0.97999999999999976</v>
      </c>
      <c r="AB30" s="161">
        <f t="shared" ref="AB30" si="28">SUM(AB2:AB4,AB7:AB12,AB15:AB22,AB24:AB27)</f>
        <v>0.97500000000000009</v>
      </c>
      <c r="AC30" s="161">
        <f>SUM(AC7:AC27)</f>
        <v>0.98</v>
      </c>
      <c r="AD30" s="36"/>
      <c r="AE30" s="161">
        <f>SUM(AE2:AE4,AE7:AE27)</f>
        <v>1</v>
      </c>
      <c r="AF30" s="161">
        <f>SUM(AF2:AF4,AF7:AF27)</f>
        <v>0.99999999999999989</v>
      </c>
      <c r="AG30" s="161">
        <f>SUM(AG7:AG27)</f>
        <v>1.0000000000000002</v>
      </c>
    </row>
    <row r="31" spans="1:34" s="28" customFormat="1" x14ac:dyDescent="0.2">
      <c r="A31" s="44"/>
      <c r="B31" s="29"/>
      <c r="C31" s="29"/>
      <c r="D31" s="47">
        <v>1008</v>
      </c>
      <c r="E31" s="48">
        <v>0.51200000000000001</v>
      </c>
      <c r="F31" s="2">
        <f>1-E31</f>
        <v>0.48799999999999999</v>
      </c>
      <c r="G31" s="114">
        <v>4.45</v>
      </c>
      <c r="H31" s="134">
        <v>3.6499999999999998E-2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516.096</v>
      </c>
      <c r="E34" s="167">
        <f>SUM(E2:E4)</f>
        <v>324.40805654122158</v>
      </c>
      <c r="F34" s="167">
        <f>SUM(F2:F4)</f>
        <v>3591.0402969176162</v>
      </c>
      <c r="G34" s="167">
        <f>SUM(G2:G4)</f>
        <v>20.535357009057854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491.904</v>
      </c>
      <c r="E37" s="167">
        <f>D37*G31</f>
        <v>2188.9728</v>
      </c>
      <c r="F37" s="167">
        <f>D37*H31</f>
        <v>17.954495999999999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482.06592000000001</v>
      </c>
      <c r="E40" s="168">
        <f>SUM(J2:J4,J7:J12,J15:J22)</f>
        <v>2185.0793499171054</v>
      </c>
      <c r="F40" s="168">
        <f>SUM(K2:K4,K7:K12,K15:K22)</f>
        <v>17.91380581632146</v>
      </c>
      <c r="G40" s="168">
        <f>SUM(L7:L12,L15:L22,L24:L27)</f>
        <v>505.77407999999986</v>
      </c>
      <c r="H40" s="168">
        <f>SUM(M7:M12,M15:M22,M24:M27)</f>
        <v>322.17915099182324</v>
      </c>
      <c r="I40" s="168">
        <f>SUM(N7:N12,N15:N22,N24:N27)</f>
        <v>3589.5184712806713</v>
      </c>
      <c r="J40" s="168">
        <f>SUM(O7:O12,O15:O22,O24:O27)</f>
        <v>20.522134245862897</v>
      </c>
    </row>
    <row r="41" spans="1:32" ht="15" thickTop="1" x14ac:dyDescent="0.2">
      <c r="D41" s="169">
        <f>D37-D40</f>
        <v>9.8380799999999908</v>
      </c>
      <c r="E41" s="169">
        <f>E37-E40</f>
        <v>3.8934500828945602</v>
      </c>
      <c r="F41" s="169">
        <f>F37-F40</f>
        <v>4.0690183678538716E-2</v>
      </c>
      <c r="G41" s="169">
        <f>SUM(D2:D4)-G40</f>
        <v>10.321920000000148</v>
      </c>
      <c r="H41" s="169">
        <f>E34-H40</f>
        <v>2.2289055493983483</v>
      </c>
      <c r="I41" s="169">
        <f>F34-I40</f>
        <v>1.5218256369448682</v>
      </c>
      <c r="J41" s="169">
        <f>G34-J40</f>
        <v>1.3222763194956855E-2</v>
      </c>
    </row>
    <row r="43" spans="1:32" x14ac:dyDescent="0.2">
      <c r="X43" s="18"/>
      <c r="Y43" s="19"/>
      <c r="Z43" s="19"/>
      <c r="AA43" s="18"/>
      <c r="AB43" s="18"/>
      <c r="AC43" s="18"/>
      <c r="AE43" s="18"/>
      <c r="AF43" s="18"/>
    </row>
    <row r="44" spans="1:32" x14ac:dyDescent="0.2">
      <c r="X44" s="18"/>
      <c r="Y44" s="19"/>
      <c r="Z44" s="19"/>
      <c r="AA44" s="18"/>
      <c r="AB44" s="18"/>
      <c r="AC44" s="18"/>
      <c r="AE44" s="18"/>
      <c r="AF44" s="18"/>
    </row>
    <row r="45" spans="1:32" x14ac:dyDescent="0.2">
      <c r="X45" s="18"/>
      <c r="Y45" s="19"/>
      <c r="Z45" s="19"/>
      <c r="AA45" s="18"/>
      <c r="AB45" s="18"/>
      <c r="AC45" s="18"/>
      <c r="AE45" s="18"/>
      <c r="AF45" s="18"/>
    </row>
    <row r="46" spans="1:32" x14ac:dyDescent="0.2">
      <c r="X46" s="18"/>
      <c r="Y46" s="19"/>
      <c r="Z46" s="19"/>
      <c r="AA46" s="18"/>
      <c r="AB46" s="18"/>
      <c r="AC46" s="18"/>
      <c r="AE46" s="18"/>
      <c r="AF46" s="18"/>
    </row>
    <row r="47" spans="1:32" x14ac:dyDescent="0.2">
      <c r="X47" s="18"/>
      <c r="Y47" s="19"/>
      <c r="Z47" s="19"/>
      <c r="AA47" s="18"/>
      <c r="AB47" s="18"/>
      <c r="AC47" s="18"/>
      <c r="AE47" s="18"/>
      <c r="AF47" s="18"/>
    </row>
    <row r="48" spans="1:32" x14ac:dyDescent="0.2">
      <c r="X48" s="18"/>
      <c r="Y48" s="19"/>
      <c r="Z48" s="19"/>
      <c r="AA48" s="18"/>
      <c r="AB48" s="18"/>
      <c r="AC48" s="18"/>
      <c r="AE48" s="18"/>
      <c r="AF48" s="18"/>
    </row>
    <row r="49" spans="24:32" x14ac:dyDescent="0.2">
      <c r="X49" s="18"/>
      <c r="Y49" s="19"/>
      <c r="Z49" s="19"/>
      <c r="AA49" s="18"/>
      <c r="AB49" s="18"/>
      <c r="AC49" s="18"/>
      <c r="AE49" s="18"/>
      <c r="AF49" s="18"/>
    </row>
    <row r="50" spans="24:32" x14ac:dyDescent="0.2">
      <c r="X50" s="18"/>
      <c r="Y50" s="19"/>
      <c r="Z50" s="19"/>
      <c r="AA50" s="18"/>
      <c r="AB50" s="18"/>
      <c r="AC50" s="18"/>
      <c r="AE50" s="18"/>
      <c r="AF50" s="18"/>
    </row>
    <row r="51" spans="24:32" x14ac:dyDescent="0.2">
      <c r="X51" s="18"/>
      <c r="Y51" s="19"/>
      <c r="Z51" s="19"/>
      <c r="AA51" s="18"/>
      <c r="AB51" s="18"/>
      <c r="AC51" s="18"/>
      <c r="AE51" s="18"/>
      <c r="AF51" s="18"/>
    </row>
    <row r="52" spans="24:32" x14ac:dyDescent="0.2">
      <c r="X52" s="18"/>
      <c r="Y52" s="19"/>
      <c r="Z52" s="19"/>
      <c r="AA52" s="18"/>
      <c r="AB52" s="18"/>
      <c r="AC52" s="18"/>
      <c r="AE52" s="18"/>
      <c r="AF52" s="18"/>
    </row>
    <row r="53" spans="24:32" x14ac:dyDescent="0.2">
      <c r="X53" s="18"/>
      <c r="Y53" s="19"/>
      <c r="Z53" s="19"/>
      <c r="AA53" s="18"/>
      <c r="AB53" s="18"/>
      <c r="AC53" s="18"/>
      <c r="AE53" s="18"/>
      <c r="AF53" s="18"/>
    </row>
    <row r="54" spans="24:32" x14ac:dyDescent="0.2">
      <c r="X54" s="18"/>
      <c r="Y54" s="19"/>
      <c r="Z54" s="19"/>
      <c r="AA54" s="18"/>
      <c r="AB54" s="18"/>
      <c r="AC54" s="18"/>
      <c r="AE54" s="18"/>
      <c r="AF54" s="18"/>
    </row>
    <row r="55" spans="24:32" x14ac:dyDescent="0.2">
      <c r="X55" s="18"/>
      <c r="Y55" s="19"/>
      <c r="Z55" s="19"/>
      <c r="AA55" s="18"/>
      <c r="AB55" s="18"/>
      <c r="AC55" s="18"/>
      <c r="AE55" s="18"/>
      <c r="AF55" s="18"/>
    </row>
    <row r="56" spans="24:32" x14ac:dyDescent="0.2">
      <c r="X56" s="18"/>
      <c r="Y56" s="19"/>
      <c r="Z56" s="19"/>
      <c r="AA56" s="18"/>
      <c r="AB56" s="18"/>
      <c r="AC56" s="18"/>
      <c r="AE56" s="18"/>
      <c r="AF56" s="18"/>
    </row>
    <row r="57" spans="24:32" x14ac:dyDescent="0.2">
      <c r="X57" s="18"/>
      <c r="Y57" s="19"/>
      <c r="Z57" s="19"/>
      <c r="AA57" s="18"/>
      <c r="AB57" s="18"/>
      <c r="AC57" s="18"/>
      <c r="AE57" s="18"/>
      <c r="AF57" s="18"/>
    </row>
    <row r="58" spans="24:32" x14ac:dyDescent="0.2">
      <c r="X58" s="18"/>
      <c r="Y58" s="19"/>
      <c r="Z58" s="19"/>
      <c r="AA58" s="18"/>
      <c r="AB58" s="18"/>
      <c r="AC58" s="18"/>
      <c r="AE58" s="18"/>
      <c r="AF58" s="18"/>
    </row>
    <row r="59" spans="24:32" x14ac:dyDescent="0.2">
      <c r="X59" s="18"/>
      <c r="Y59" s="19"/>
      <c r="Z59" s="19"/>
      <c r="AA59" s="18"/>
      <c r="AB59" s="18"/>
      <c r="AC59" s="18"/>
      <c r="AE59" s="18"/>
      <c r="AF59" s="18"/>
    </row>
    <row r="60" spans="24:32" x14ac:dyDescent="0.2">
      <c r="X60" s="18"/>
      <c r="Y60" s="19"/>
      <c r="Z60" s="19"/>
      <c r="AA60" s="18"/>
      <c r="AB60" s="18"/>
      <c r="AC60" s="18"/>
      <c r="AE60" s="18"/>
      <c r="AF60" s="18"/>
    </row>
    <row r="61" spans="24:32" x14ac:dyDescent="0.2">
      <c r="X61" s="18"/>
      <c r="Y61" s="19"/>
      <c r="Z61" s="19"/>
      <c r="AA61" s="18"/>
      <c r="AB61" s="18"/>
      <c r="AC61" s="18"/>
      <c r="AE61" s="18"/>
      <c r="AF61" s="18"/>
    </row>
    <row r="62" spans="24:32" x14ac:dyDescent="0.2">
      <c r="X62" s="18"/>
      <c r="Y62" s="19"/>
      <c r="Z62" s="19"/>
      <c r="AA62" s="18"/>
      <c r="AB62" s="18"/>
      <c r="AC62" s="18"/>
      <c r="AE62" s="18"/>
      <c r="AF62" s="18"/>
    </row>
    <row r="63" spans="24:32" x14ac:dyDescent="0.2">
      <c r="X63" s="18"/>
      <c r="Y63" s="19"/>
      <c r="Z63" s="19"/>
      <c r="AA63" s="18"/>
      <c r="AB63" s="18"/>
      <c r="AC63" s="18"/>
      <c r="AE63" s="18"/>
      <c r="AF63" s="18"/>
    </row>
    <row r="64" spans="24:32" x14ac:dyDescent="0.2">
      <c r="X64" s="18"/>
      <c r="Y64" s="19"/>
      <c r="Z64" s="19"/>
      <c r="AA64" s="18"/>
      <c r="AB64" s="18"/>
      <c r="AC64" s="18"/>
      <c r="AE64" s="18"/>
      <c r="AF64" s="18"/>
    </row>
    <row r="65" spans="24:32" x14ac:dyDescent="0.2">
      <c r="X65" s="18"/>
      <c r="Y65" s="19"/>
      <c r="Z65" s="19"/>
      <c r="AA65" s="18"/>
      <c r="AB65" s="18"/>
      <c r="AC65" s="18"/>
      <c r="AE65" s="18"/>
      <c r="AF65" s="18"/>
    </row>
    <row r="66" spans="24:32" x14ac:dyDescent="0.2">
      <c r="X66" s="18"/>
      <c r="Y66" s="19"/>
      <c r="Z66" s="19"/>
      <c r="AA66" s="18"/>
      <c r="AB66" s="18"/>
      <c r="AC66" s="18"/>
      <c r="AE66" s="18"/>
      <c r="AF66" s="18"/>
    </row>
    <row r="67" spans="24:32" x14ac:dyDescent="0.2">
      <c r="X67" s="18"/>
      <c r="Y67" s="19"/>
      <c r="Z67" s="19"/>
      <c r="AA67" s="18"/>
      <c r="AB67" s="18"/>
      <c r="AC67" s="18"/>
      <c r="AE67" s="18"/>
      <c r="AF67" s="18"/>
    </row>
    <row r="68" spans="24:32" x14ac:dyDescent="0.2">
      <c r="X68" s="18"/>
      <c r="Y68" s="19"/>
      <c r="Z68" s="19"/>
      <c r="AA68" s="18"/>
      <c r="AB68" s="18"/>
      <c r="AC68" s="18"/>
      <c r="AE68" s="18"/>
      <c r="AF68" s="18"/>
    </row>
    <row r="69" spans="24:32" x14ac:dyDescent="0.2">
      <c r="X69" s="18"/>
      <c r="Y69" s="19"/>
      <c r="Z69" s="19"/>
      <c r="AA69" s="18"/>
      <c r="AB69" s="18"/>
      <c r="AC69" s="18"/>
      <c r="AE69" s="18"/>
      <c r="AF69" s="18"/>
    </row>
    <row r="70" spans="24:32" x14ac:dyDescent="0.2">
      <c r="X70" s="18"/>
      <c r="Y70" s="19"/>
      <c r="Z70" s="19"/>
      <c r="AA70" s="18"/>
      <c r="AB70" s="18"/>
      <c r="AC70" s="18"/>
      <c r="AE70" s="18"/>
      <c r="AF70" s="18"/>
    </row>
    <row r="71" spans="24:32" x14ac:dyDescent="0.2">
      <c r="X71" s="18"/>
      <c r="Y71" s="19"/>
      <c r="Z71" s="19"/>
      <c r="AA71" s="18"/>
      <c r="AB71" s="18"/>
      <c r="AC71" s="18"/>
      <c r="AE71" s="18"/>
      <c r="AF71" s="18"/>
    </row>
    <row r="72" spans="24:32" x14ac:dyDescent="0.2">
      <c r="X72" s="18"/>
      <c r="Y72" s="19"/>
      <c r="Z72" s="19"/>
      <c r="AA72" s="18"/>
      <c r="AB72" s="18"/>
      <c r="AC72" s="18"/>
      <c r="AE72" s="18"/>
      <c r="AF72" s="18"/>
    </row>
    <row r="73" spans="24:32" x14ac:dyDescent="0.2">
      <c r="X73" s="18"/>
      <c r="Y73" s="19"/>
      <c r="Z73" s="19"/>
      <c r="AA73" s="18"/>
      <c r="AB73" s="18"/>
      <c r="AC73" s="18"/>
      <c r="AE73" s="18"/>
      <c r="AF73" s="18"/>
    </row>
    <row r="74" spans="24:32" x14ac:dyDescent="0.2">
      <c r="X74" s="18"/>
      <c r="Y74" s="19"/>
      <c r="Z74" s="19"/>
      <c r="AA74" s="18"/>
      <c r="AB74" s="18"/>
      <c r="AC74" s="18"/>
      <c r="AE74" s="18"/>
      <c r="AF74" s="18"/>
    </row>
    <row r="75" spans="24:32" x14ac:dyDescent="0.2">
      <c r="X75" s="18"/>
      <c r="Y75" s="19"/>
      <c r="Z75" s="19"/>
      <c r="AA75" s="18"/>
      <c r="AB75" s="18"/>
      <c r="AC75" s="18"/>
      <c r="AE75" s="18"/>
      <c r="AF75" s="18"/>
    </row>
    <row r="76" spans="24:32" x14ac:dyDescent="0.2">
      <c r="X76" s="18"/>
      <c r="Y76" s="19"/>
      <c r="Z76" s="19"/>
      <c r="AA76" s="18"/>
      <c r="AB76" s="18"/>
      <c r="AC76" s="18"/>
      <c r="AE76" s="18"/>
      <c r="AF76" s="18"/>
    </row>
    <row r="77" spans="24:32" x14ac:dyDescent="0.2">
      <c r="X77" s="18"/>
      <c r="Y77" s="19"/>
      <c r="Z77" s="19"/>
      <c r="AA77" s="18"/>
      <c r="AB77" s="18"/>
      <c r="AC77" s="18"/>
      <c r="AE77" s="18"/>
      <c r="AF77" s="18"/>
    </row>
    <row r="78" spans="24:32" x14ac:dyDescent="0.2">
      <c r="X78" s="18"/>
      <c r="Y78" s="19"/>
      <c r="Z78" s="19"/>
      <c r="AA78" s="18"/>
      <c r="AB78" s="18"/>
      <c r="AC78" s="18"/>
      <c r="AE78" s="18"/>
      <c r="AF78" s="18"/>
    </row>
  </sheetData>
  <sheetProtection selectLockedCells="1"/>
  <conditionalFormatting sqref="D41:J41">
    <cfRule type="cellIs" dxfId="92" priority="1" operator="lessThan">
      <formula>0</formula>
    </cfRule>
  </conditionalFormatting>
  <conditionalFormatting sqref="W30">
    <cfRule type="cellIs" dxfId="91" priority="2" operator="greaterThan">
      <formula>1</formula>
    </cfRule>
  </conditionalFormatting>
  <conditionalFormatting sqref="AA30:AG30">
    <cfRule type="cellIs" dxfId="90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580167"/>
  </sheetPr>
  <dimension ref="A1:AH41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6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4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20</v>
      </c>
      <c r="B2" s="19" t="s">
        <v>9</v>
      </c>
      <c r="C2" s="19">
        <v>13</v>
      </c>
      <c r="D2" s="157">
        <f>D$34*Q2</f>
        <v>529.16604000000007</v>
      </c>
      <c r="E2" s="157">
        <f>D2*R2</f>
        <v>334.43293728000003</v>
      </c>
      <c r="F2" s="157">
        <f>E2*S2</f>
        <v>3800.6263447656765</v>
      </c>
      <c r="G2" s="157">
        <f t="shared" ref="G2:G4" si="0">E2*T2</f>
        <v>25.483789820736003</v>
      </c>
      <c r="H2" s="157">
        <f>E2*U2</f>
        <v>11.440068825320637</v>
      </c>
      <c r="I2" s="157">
        <f>D$37*W2</f>
        <v>145.56041920000001</v>
      </c>
      <c r="J2" s="157">
        <f>I2*V2</f>
        <v>802.03790979200005</v>
      </c>
      <c r="K2" s="157">
        <f>I2*X2</f>
        <v>6.4800678281624418</v>
      </c>
      <c r="L2" s="158"/>
      <c r="M2" s="158"/>
      <c r="N2" s="158"/>
      <c r="O2" s="158"/>
      <c r="Q2" s="161">
        <f>AE2</f>
        <v>0.97</v>
      </c>
      <c r="R2" s="116">
        <v>0.63200000000000001</v>
      </c>
      <c r="S2" s="115">
        <v>11.364390049846218</v>
      </c>
      <c r="T2" s="116">
        <v>7.6200000000000004E-2</v>
      </c>
      <c r="U2" s="20">
        <v>3.4207362822467974E-2</v>
      </c>
      <c r="V2" s="115">
        <v>5.51</v>
      </c>
      <c r="W2" s="161">
        <f>(AF2/SUM(AF$2:AF$22))*0.98</f>
        <v>0.27440000000000003</v>
      </c>
      <c r="X2" s="20">
        <v>4.4518062422304709E-2</v>
      </c>
      <c r="Y2" s="22"/>
      <c r="Z2" s="23"/>
      <c r="AA2" s="1"/>
      <c r="AB2" s="1"/>
      <c r="AC2" s="1"/>
      <c r="AE2" s="20">
        <v>0.97</v>
      </c>
      <c r="AF2" s="20">
        <v>0.28000000000000003</v>
      </c>
      <c r="AG2" s="181"/>
      <c r="AH2" s="181"/>
    </row>
    <row r="3" spans="1:34" x14ac:dyDescent="0.2">
      <c r="A3" s="18" t="s">
        <v>473</v>
      </c>
      <c r="B3" s="19" t="s">
        <v>9</v>
      </c>
      <c r="C3" s="19">
        <v>13</v>
      </c>
      <c r="D3" s="157">
        <f>D$34*Q3</f>
        <v>16.365960000000015</v>
      </c>
      <c r="E3" s="157">
        <f t="shared" ref="E3:F4" si="1">D3*R3</f>
        <v>10.398105236053643</v>
      </c>
      <c r="F3" s="157">
        <f t="shared" si="1"/>
        <v>102.94124183693107</v>
      </c>
      <c r="G3" s="157">
        <f t="shared" si="0"/>
        <v>0.41758955373935536</v>
      </c>
      <c r="H3" s="157">
        <f t="shared" ref="H3:H4" si="2">E3*U3</f>
        <v>0.40800681600587857</v>
      </c>
      <c r="I3" s="157">
        <f t="shared" ref="I3:I4" si="3">D$37*W3</f>
        <v>5.1985863999999991</v>
      </c>
      <c r="J3" s="157">
        <f>I3*V3</f>
        <v>16.635476479999998</v>
      </c>
      <c r="K3" s="157">
        <f>I3*X3</f>
        <v>9.6187449795777188E-2</v>
      </c>
      <c r="L3" s="158"/>
      <c r="M3" s="158"/>
      <c r="N3" s="158"/>
      <c r="O3" s="158"/>
      <c r="Q3" s="161">
        <f t="shared" ref="Q3:Q4" si="4">AE3</f>
        <v>3.0000000000000027E-2</v>
      </c>
      <c r="R3" s="116">
        <v>0.63534954479013961</v>
      </c>
      <c r="S3" s="115">
        <v>9.9</v>
      </c>
      <c r="T3" s="116">
        <v>4.0160158438427351E-2</v>
      </c>
      <c r="U3" s="20">
        <v>3.9238573446168351E-2</v>
      </c>
      <c r="V3" s="115">
        <v>3.2</v>
      </c>
      <c r="W3" s="161">
        <f t="shared" ref="W3:W4" si="5">(AF3/SUM(AF$2:AF$22))*0.98</f>
        <v>9.7999999999999997E-3</v>
      </c>
      <c r="X3" s="20">
        <v>1.8502616364282645E-2</v>
      </c>
      <c r="Y3" s="22"/>
      <c r="Z3" s="23"/>
      <c r="AA3" s="1"/>
      <c r="AB3" s="1"/>
      <c r="AC3" s="1"/>
      <c r="AE3" s="20">
        <f>1-AE2</f>
        <v>3.0000000000000027E-2</v>
      </c>
      <c r="AF3" s="20">
        <v>0.01</v>
      </c>
      <c r="AG3" s="181"/>
      <c r="AH3" s="181"/>
    </row>
    <row r="4" spans="1:34" x14ac:dyDescent="0.2">
      <c r="B4" s="19" t="s">
        <v>9</v>
      </c>
      <c r="C4" s="19">
        <v>13</v>
      </c>
      <c r="D4" s="157">
        <f>D$34*Q4</f>
        <v>0</v>
      </c>
      <c r="E4" s="157">
        <f t="shared" si="1"/>
        <v>0</v>
      </c>
      <c r="F4" s="157">
        <f t="shared" si="1"/>
        <v>0</v>
      </c>
      <c r="G4" s="157">
        <f t="shared" si="0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474</v>
      </c>
      <c r="B7" s="19" t="s">
        <v>256</v>
      </c>
      <c r="C7" s="19">
        <v>13</v>
      </c>
      <c r="D7" s="158"/>
      <c r="E7" s="158"/>
      <c r="F7" s="158"/>
      <c r="G7" s="158"/>
      <c r="H7" s="158"/>
      <c r="I7" s="157">
        <f t="shared" ref="I7:I12" si="6">D$37*W7</f>
        <v>203.26472823999998</v>
      </c>
      <c r="J7" s="157">
        <f>I7*V7</f>
        <v>1022.4215830472</v>
      </c>
      <c r="K7" s="157">
        <f>I7*X7</f>
        <v>9.5534422272799997</v>
      </c>
      <c r="L7" s="157">
        <f>((D$2+D$3+D$4)*AA7)</f>
        <v>32.077281599999999</v>
      </c>
      <c r="M7" s="157">
        <f t="shared" ref="M7:N12" si="7">L7*Y7</f>
        <v>23.860068804751904</v>
      </c>
      <c r="N7" s="157">
        <f t="shared" si="7"/>
        <v>167.11783718776312</v>
      </c>
      <c r="O7" s="157">
        <f>M7*AH7</f>
        <v>1.3765424310433791</v>
      </c>
      <c r="Q7" s="14"/>
      <c r="R7" s="149"/>
      <c r="S7" s="150"/>
      <c r="T7" s="149"/>
      <c r="U7" s="149"/>
      <c r="V7" s="21">
        <v>5.03</v>
      </c>
      <c r="W7" s="161">
        <f t="shared" ref="W7:W12" si="8">(AF7/SUM(AF$2:AF$22))*0.98</f>
        <v>0.38318000000000002</v>
      </c>
      <c r="X7" s="20">
        <v>4.7E-2</v>
      </c>
      <c r="Y7" s="20">
        <v>0.74383076166753181</v>
      </c>
      <c r="Z7" s="21">
        <v>7.0040802713226205</v>
      </c>
      <c r="AA7" s="161">
        <f>(AG7/SUM(AG$7:AG$27))*0.98</f>
        <v>5.8799999999999998E-2</v>
      </c>
      <c r="AB7" s="8">
        <v>7.4425001523669182E-2</v>
      </c>
      <c r="AC7" s="161">
        <f>(AH7/SUM(AH$7:AH$27))*0.98</f>
        <v>7.379500001224408E-2</v>
      </c>
      <c r="AE7" s="181"/>
      <c r="AF7" s="20">
        <v>0.39100000000000001</v>
      </c>
      <c r="AG7" s="20">
        <v>0.06</v>
      </c>
      <c r="AH7" s="20">
        <v>5.7692307692307696E-2</v>
      </c>
    </row>
    <row r="8" spans="1:34" x14ac:dyDescent="0.2">
      <c r="A8" s="186" t="s">
        <v>21</v>
      </c>
      <c r="B8" s="19" t="s">
        <v>256</v>
      </c>
      <c r="C8" s="19">
        <v>13</v>
      </c>
      <c r="D8" s="158"/>
      <c r="E8" s="158"/>
      <c r="F8" s="158"/>
      <c r="G8" s="158"/>
      <c r="H8" s="158"/>
      <c r="I8" s="157">
        <f t="shared" si="6"/>
        <v>110.72989031999998</v>
      </c>
      <c r="J8" s="157">
        <f>I8*V8</f>
        <v>546.75708779792967</v>
      </c>
      <c r="K8" s="157">
        <f>I8*X8</f>
        <v>4.4783582283252725</v>
      </c>
      <c r="L8" s="157">
        <f>((D$2+D$3+D$4)*AA8)</f>
        <v>5.3462136000000005</v>
      </c>
      <c r="M8" s="157">
        <f t="shared" si="7"/>
        <v>4.1569887408982078</v>
      </c>
      <c r="N8" s="157">
        <f t="shared" si="7"/>
        <v>28.724792199606618</v>
      </c>
      <c r="O8" s="157">
        <f t="shared" ref="O8:O12" si="9">M8*AH8</f>
        <v>0.12470966222694622</v>
      </c>
      <c r="Q8" s="14"/>
      <c r="R8" s="149"/>
      <c r="S8" s="150"/>
      <c r="T8" s="149"/>
      <c r="U8" s="149"/>
      <c r="V8" s="21">
        <v>4.9377551645526614</v>
      </c>
      <c r="W8" s="161">
        <f t="shared" si="8"/>
        <v>0.20873999999999998</v>
      </c>
      <c r="X8" s="20">
        <v>4.0443986852901216E-2</v>
      </c>
      <c r="Y8" s="20">
        <v>0.7775575485607622</v>
      </c>
      <c r="Z8" s="21">
        <v>6.91</v>
      </c>
      <c r="AA8" s="161">
        <f t="shared" ref="AA8:AA12" si="10">(AG8/SUM(AG$7:AG$27))*0.98</f>
        <v>9.7999999999999997E-3</v>
      </c>
      <c r="AB8" s="8">
        <v>2.7655430004005315E-2</v>
      </c>
      <c r="AC8" s="161">
        <f t="shared" ref="AC8:AC12" si="11">(AH8/SUM(AH$7:AH$27))*0.98</f>
        <v>3.8373400006366916E-2</v>
      </c>
      <c r="AE8" s="181"/>
      <c r="AF8" s="20">
        <v>0.21299999999999999</v>
      </c>
      <c r="AG8" s="20">
        <v>0.01</v>
      </c>
      <c r="AH8" s="20">
        <v>0.03</v>
      </c>
    </row>
    <row r="9" spans="1:34" x14ac:dyDescent="0.2">
      <c r="A9" s="186" t="s">
        <v>666</v>
      </c>
      <c r="B9" s="19" t="s">
        <v>256</v>
      </c>
      <c r="C9" s="19">
        <v>13</v>
      </c>
      <c r="D9" s="158"/>
      <c r="E9" s="158"/>
      <c r="F9" s="158"/>
      <c r="G9" s="158"/>
      <c r="H9" s="158"/>
      <c r="I9" s="157">
        <f t="shared" si="6"/>
        <v>36.909963439999991</v>
      </c>
      <c r="J9" s="157">
        <f>I9*V9</f>
        <v>174.05672665855994</v>
      </c>
      <c r="K9" s="157">
        <f>I9*X9</f>
        <v>1.4394885741599996</v>
      </c>
      <c r="L9" s="157">
        <f>((D$2+D$3+D$4)*AA9)</f>
        <v>16.0386408</v>
      </c>
      <c r="M9" s="157">
        <f t="shared" si="7"/>
        <v>12.444406156913702</v>
      </c>
      <c r="N9" s="157">
        <f t="shared" si="7"/>
        <v>87.608619344672462</v>
      </c>
      <c r="O9" s="157">
        <f t="shared" si="9"/>
        <v>0.52266505859037549</v>
      </c>
      <c r="Q9" s="14"/>
      <c r="R9" s="149"/>
      <c r="S9" s="150"/>
      <c r="T9" s="149"/>
      <c r="U9" s="149"/>
      <c r="V9" s="21">
        <v>4.7157111640466036</v>
      </c>
      <c r="W9" s="161">
        <f t="shared" si="8"/>
        <v>6.9579999999999989E-2</v>
      </c>
      <c r="X9" s="20">
        <v>3.9E-2</v>
      </c>
      <c r="Y9" s="20">
        <v>0.77590154378379139</v>
      </c>
      <c r="Z9" s="21">
        <v>7.04</v>
      </c>
      <c r="AA9" s="161">
        <f t="shared" si="10"/>
        <v>2.9399999999999999E-2</v>
      </c>
      <c r="AB9" s="8">
        <v>1.86198077556744E-2</v>
      </c>
      <c r="AC9" s="161">
        <f t="shared" si="11"/>
        <v>5.3722760008913691E-2</v>
      </c>
      <c r="AE9" s="181"/>
      <c r="AF9" s="20">
        <v>7.0999999999999994E-2</v>
      </c>
      <c r="AG9" s="20">
        <v>0.03</v>
      </c>
      <c r="AH9" s="20">
        <v>4.2000000000000003E-2</v>
      </c>
    </row>
    <row r="10" spans="1:34" x14ac:dyDescent="0.2">
      <c r="A10" s="191" t="s">
        <v>701</v>
      </c>
      <c r="B10" s="19" t="s">
        <v>256</v>
      </c>
      <c r="C10" s="19">
        <v>13</v>
      </c>
      <c r="D10" s="158"/>
      <c r="E10" s="158"/>
      <c r="F10" s="158"/>
      <c r="G10" s="158"/>
      <c r="H10" s="158"/>
      <c r="I10" s="157">
        <f t="shared" si="6"/>
        <v>18.195052400000002</v>
      </c>
      <c r="J10" s="157">
        <f t="shared" ref="J10:J12" si="12">I10*V10</f>
        <v>83.333339992000006</v>
      </c>
      <c r="K10" s="157">
        <f t="shared" ref="K10:K12" si="13">I10*X10</f>
        <v>0.74599714840000009</v>
      </c>
      <c r="L10" s="157">
        <f t="shared" ref="L10:L12" si="14">((D$2+D$3+D$4)*AA10)</f>
        <v>7.4846990400000006</v>
      </c>
      <c r="M10" s="157">
        <f t="shared" si="7"/>
        <v>5.8455499502400006</v>
      </c>
      <c r="N10" s="157">
        <f t="shared" si="7"/>
        <v>41.971048642723204</v>
      </c>
      <c r="O10" s="157">
        <f t="shared" si="9"/>
        <v>0.22213089810912001</v>
      </c>
      <c r="Q10" s="14"/>
      <c r="R10" s="149"/>
      <c r="S10" s="150"/>
      <c r="T10" s="149"/>
      <c r="U10" s="149"/>
      <c r="V10" s="21">
        <v>4.58</v>
      </c>
      <c r="W10" s="161">
        <f t="shared" si="8"/>
        <v>3.4300000000000004E-2</v>
      </c>
      <c r="X10" s="20">
        <v>4.1000000000000002E-2</v>
      </c>
      <c r="Y10" s="20">
        <v>0.78100000000000003</v>
      </c>
      <c r="Z10" s="21">
        <v>7.18</v>
      </c>
      <c r="AA10" s="161">
        <f t="shared" si="10"/>
        <v>1.372E-2</v>
      </c>
      <c r="AB10" s="8">
        <v>2.7786169029541063E-2</v>
      </c>
      <c r="AC10" s="161">
        <f t="shared" si="11"/>
        <v>4.8606306674731432E-2</v>
      </c>
      <c r="AE10" s="181"/>
      <c r="AF10" s="20">
        <v>3.5000000000000003E-2</v>
      </c>
      <c r="AG10" s="20">
        <v>1.4E-2</v>
      </c>
      <c r="AH10" s="20">
        <v>3.7999999999999999E-2</v>
      </c>
    </row>
    <row r="11" spans="1:34" x14ac:dyDescent="0.2">
      <c r="A11" s="186"/>
      <c r="B11" s="19" t="s">
        <v>256</v>
      </c>
      <c r="C11" s="19">
        <v>13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50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7.6820007370456802E-3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13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50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/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599</v>
      </c>
      <c r="B15" s="19" t="s">
        <v>257</v>
      </c>
      <c r="C15" s="19">
        <v>13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99.974194320000009</v>
      </c>
      <c r="M15" s="157">
        <f t="shared" ref="M15:N22" si="19">L15*Y15</f>
        <v>60.376316466686816</v>
      </c>
      <c r="N15" s="157">
        <f t="shared" si="19"/>
        <v>743.83621886958156</v>
      </c>
      <c r="O15" s="157">
        <f t="shared" ref="O15:O22" si="20">M15*AH15</f>
        <v>4.2867184691347635</v>
      </c>
      <c r="Q15" s="14"/>
      <c r="R15" s="149"/>
      <c r="S15" s="150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0.60391901007406701</v>
      </c>
      <c r="Z15" s="21">
        <v>12.32</v>
      </c>
      <c r="AA15" s="161">
        <f t="shared" ref="AA15:AA22" si="22">(AG15/SUM(AG$7:AG$27))*0.98</f>
        <v>0.18326000000000001</v>
      </c>
      <c r="AB15" s="8">
        <v>0.14561096689517464</v>
      </c>
      <c r="AC15" s="161">
        <f t="shared" ref="AC15:AC22" si="23">(AH15/SUM(AH$7:AH$27))*0.98</f>
        <v>9.0817046681735042E-2</v>
      </c>
      <c r="AE15" s="181"/>
      <c r="AF15" s="20">
        <v>0</v>
      </c>
      <c r="AG15" s="20">
        <v>0.187</v>
      </c>
      <c r="AH15" s="20">
        <v>7.0999999999999994E-2</v>
      </c>
    </row>
    <row r="16" spans="1:34" x14ac:dyDescent="0.2">
      <c r="A16" s="18" t="s">
        <v>237</v>
      </c>
      <c r="B16" s="19" t="s">
        <v>257</v>
      </c>
      <c r="C16" s="19">
        <v>13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73.243126320000016</v>
      </c>
      <c r="M16" s="157">
        <f t="shared" si="19"/>
        <v>45.230232956759949</v>
      </c>
      <c r="N16" s="157">
        <f t="shared" si="19"/>
        <v>563.11640031166132</v>
      </c>
      <c r="O16" s="157">
        <f t="shared" si="20"/>
        <v>2.8042744433191169</v>
      </c>
      <c r="Q16" s="14"/>
      <c r="R16" s="149"/>
      <c r="S16" s="150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0.61753553171868403</v>
      </c>
      <c r="Z16" s="21">
        <v>12.45</v>
      </c>
      <c r="AA16" s="161">
        <f t="shared" si="22"/>
        <v>0.13426000000000002</v>
      </c>
      <c r="AB16" s="8">
        <v>0.1296962865312439</v>
      </c>
      <c r="AC16" s="161">
        <f t="shared" si="23"/>
        <v>7.9305026679824975E-2</v>
      </c>
      <c r="AE16" s="181"/>
      <c r="AF16" s="20">
        <v>0</v>
      </c>
      <c r="AG16" s="20">
        <v>0.13700000000000001</v>
      </c>
      <c r="AH16" s="20">
        <v>6.2E-2</v>
      </c>
    </row>
    <row r="17" spans="1:34" x14ac:dyDescent="0.2">
      <c r="A17" s="18" t="s">
        <v>592</v>
      </c>
      <c r="B17" s="19" t="s">
        <v>257</v>
      </c>
      <c r="C17" s="19">
        <v>13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98.370330240000001</v>
      </c>
      <c r="M17" s="157">
        <f t="shared" si="19"/>
        <v>58.235736778513441</v>
      </c>
      <c r="N17" s="157">
        <f t="shared" si="19"/>
        <v>745.4174307649721</v>
      </c>
      <c r="O17" s="157">
        <f t="shared" si="20"/>
        <v>5.5323949939587767</v>
      </c>
      <c r="Q17" s="14"/>
      <c r="R17" s="149"/>
      <c r="S17" s="150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0.59200509580919591</v>
      </c>
      <c r="Z17" s="21">
        <v>12.8</v>
      </c>
      <c r="AA17" s="161">
        <f t="shared" si="22"/>
        <v>0.18031999999999998</v>
      </c>
      <c r="AB17" s="8">
        <v>0.12173525551154903</v>
      </c>
      <c r="AC17" s="161">
        <f t="shared" si="23"/>
        <v>0.12151576668682859</v>
      </c>
      <c r="AE17" s="181"/>
      <c r="AF17" s="20">
        <v>0</v>
      </c>
      <c r="AG17" s="20">
        <v>0.184</v>
      </c>
      <c r="AH17" s="20">
        <v>9.5000000000000001E-2</v>
      </c>
    </row>
    <row r="18" spans="1:34" x14ac:dyDescent="0.2">
      <c r="A18" s="18" t="s">
        <v>80</v>
      </c>
      <c r="B18" s="19" t="s">
        <v>257</v>
      </c>
      <c r="C18" s="19">
        <v>13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20.31561168</v>
      </c>
      <c r="M18" s="157">
        <f t="shared" si="19"/>
        <v>11.714933023967783</v>
      </c>
      <c r="N18" s="157">
        <f t="shared" si="19"/>
        <v>146.43666279959729</v>
      </c>
      <c r="O18" s="157">
        <f t="shared" si="20"/>
        <v>0.69118104841409911</v>
      </c>
      <c r="Q18" s="14"/>
      <c r="R18" s="149"/>
      <c r="S18" s="150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0.57664682749871221</v>
      </c>
      <c r="Z18" s="21">
        <v>12.5</v>
      </c>
      <c r="AA18" s="161">
        <f t="shared" si="22"/>
        <v>3.7239999999999995E-2</v>
      </c>
      <c r="AB18" s="8">
        <v>5.3801420074477219E-2</v>
      </c>
      <c r="AC18" s="161">
        <f t="shared" si="23"/>
        <v>7.5467686679188281E-2</v>
      </c>
      <c r="AE18" s="181"/>
      <c r="AF18" s="20">
        <v>0</v>
      </c>
      <c r="AG18" s="20">
        <v>3.7999999999999999E-2</v>
      </c>
      <c r="AH18" s="20">
        <v>5.8999999999999997E-2</v>
      </c>
    </row>
    <row r="19" spans="1:34" x14ac:dyDescent="0.2">
      <c r="A19" s="18" t="s">
        <v>163</v>
      </c>
      <c r="B19" s="19" t="s">
        <v>257</v>
      </c>
      <c r="C19" s="19">
        <v>13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11.227048560000002</v>
      </c>
      <c r="M19" s="157">
        <f t="shared" si="19"/>
        <v>7.1709536200219475</v>
      </c>
      <c r="N19" s="157">
        <f t="shared" si="19"/>
        <v>84.402124107658324</v>
      </c>
      <c r="O19" s="157">
        <f t="shared" si="20"/>
        <v>0.46611198530142661</v>
      </c>
      <c r="Q19" s="14"/>
      <c r="R19" s="149"/>
      <c r="S19" s="150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0.63872117250572813</v>
      </c>
      <c r="Z19" s="21">
        <v>11.77</v>
      </c>
      <c r="AA19" s="161">
        <f t="shared" si="22"/>
        <v>2.0580000000000001E-2</v>
      </c>
      <c r="AB19" s="8">
        <v>5.1413104394337189E-2</v>
      </c>
      <c r="AC19" s="161">
        <f t="shared" si="23"/>
        <v>8.3142366680461668E-2</v>
      </c>
      <c r="AE19" s="181"/>
      <c r="AF19" s="20">
        <v>0</v>
      </c>
      <c r="AG19" s="20">
        <v>2.1000000000000001E-2</v>
      </c>
      <c r="AH19" s="20">
        <v>6.5000000000000002E-2</v>
      </c>
    </row>
    <row r="20" spans="1:34" x14ac:dyDescent="0.2">
      <c r="B20" s="19" t="s">
        <v>257</v>
      </c>
      <c r="C20" s="19">
        <v>13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50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6.0690359663566847E-2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13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50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/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13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50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/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23</v>
      </c>
      <c r="B24" s="19" t="s">
        <v>10</v>
      </c>
      <c r="C24" s="19">
        <v>13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125.10139824000001</v>
      </c>
      <c r="M24" s="157">
        <f t="shared" ref="M24:N27" si="24">L24*Y24</f>
        <v>80.850665364446556</v>
      </c>
      <c r="N24" s="157">
        <f t="shared" si="24"/>
        <v>976.47426787722952</v>
      </c>
      <c r="O24" s="157">
        <f t="shared" ref="O24:O27" si="25">M24*AH24</f>
        <v>7.3948779296749896</v>
      </c>
      <c r="Q24" s="14"/>
      <c r="R24" s="149"/>
      <c r="S24" s="150"/>
      <c r="T24" s="149"/>
      <c r="U24" s="149"/>
      <c r="V24" s="150"/>
      <c r="W24" s="165"/>
      <c r="X24" s="149"/>
      <c r="Y24" s="20">
        <v>0.64628106881218939</v>
      </c>
      <c r="Z24" s="115">
        <v>12.077504414782792</v>
      </c>
      <c r="AA24" s="161">
        <f t="shared" ref="AA24:AA27" si="26">(AG24/SUM(AG$7:AG$27))*0.98</f>
        <v>0.22932</v>
      </c>
      <c r="AB24" s="8">
        <v>0.18053077737948031</v>
      </c>
      <c r="AC24" s="161">
        <f t="shared" ref="AC24:AC27" si="27">(AH24/SUM(AH$7:AH$27))*0.98</f>
        <v>0.11699207319014306</v>
      </c>
      <c r="AE24" s="181"/>
      <c r="AF24" s="181"/>
      <c r="AG24" s="20">
        <v>0.23400000000000001</v>
      </c>
      <c r="AH24" s="20">
        <v>9.1463414634146339E-2</v>
      </c>
    </row>
    <row r="25" spans="1:34" x14ac:dyDescent="0.2">
      <c r="A25" s="18" t="s">
        <v>498</v>
      </c>
      <c r="B25" s="19" t="s">
        <v>10</v>
      </c>
      <c r="C25" s="19">
        <v>13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39.027359279999999</v>
      </c>
      <c r="M25" s="157">
        <f t="shared" si="24"/>
        <v>25.516553443502907</v>
      </c>
      <c r="N25" s="157">
        <f t="shared" si="24"/>
        <v>273.51470156259649</v>
      </c>
      <c r="O25" s="157">
        <f t="shared" si="25"/>
        <v>2.1689070426977475</v>
      </c>
      <c r="Q25" s="14"/>
      <c r="R25" s="149"/>
      <c r="S25" s="150"/>
      <c r="T25" s="149"/>
      <c r="U25" s="149"/>
      <c r="V25" s="150"/>
      <c r="W25" s="165"/>
      <c r="X25" s="149"/>
      <c r="Y25" s="20">
        <v>0.65381193896403711</v>
      </c>
      <c r="Z25" s="115">
        <v>10.719108368933718</v>
      </c>
      <c r="AA25" s="161">
        <f t="shared" si="26"/>
        <v>7.1539999999999992E-2</v>
      </c>
      <c r="AB25" s="8">
        <v>4.7408829825310229E-2</v>
      </c>
      <c r="AC25" s="161">
        <f t="shared" si="27"/>
        <v>0.10872463335137295</v>
      </c>
      <c r="AE25" s="181"/>
      <c r="AF25" s="181"/>
      <c r="AG25" s="20">
        <v>7.2999999999999995E-2</v>
      </c>
      <c r="AH25" s="20">
        <v>8.5000000000000006E-2</v>
      </c>
    </row>
    <row r="26" spans="1:34" x14ac:dyDescent="0.2">
      <c r="A26" s="18" t="s">
        <v>497</v>
      </c>
      <c r="B26" s="19" t="s">
        <v>10</v>
      </c>
      <c r="C26" s="19">
        <v>13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6.4154563200000005</v>
      </c>
      <c r="M26" s="157">
        <f t="shared" si="24"/>
        <v>4.0238057718349918</v>
      </c>
      <c r="N26" s="157">
        <f t="shared" si="24"/>
        <v>40.60923004721645</v>
      </c>
      <c r="O26" s="157">
        <f t="shared" si="25"/>
        <v>0.28166640402844945</v>
      </c>
      <c r="Q26" s="14"/>
      <c r="R26" s="149"/>
      <c r="S26" s="150"/>
      <c r="T26" s="149"/>
      <c r="U26" s="149"/>
      <c r="V26" s="150"/>
      <c r="W26" s="165"/>
      <c r="X26" s="149"/>
      <c r="Y26" s="20">
        <v>0.62720492060570865</v>
      </c>
      <c r="Z26" s="115">
        <v>10.092244096736623</v>
      </c>
      <c r="AA26" s="161">
        <f t="shared" si="26"/>
        <v>1.176E-2</v>
      </c>
      <c r="AB26" s="8">
        <v>1.1868783100480383E-2</v>
      </c>
      <c r="AC26" s="161">
        <f t="shared" si="27"/>
        <v>8.9537933348189491E-2</v>
      </c>
      <c r="AE26" s="181"/>
      <c r="AF26" s="181"/>
      <c r="AG26" s="20">
        <v>1.2E-2</v>
      </c>
      <c r="AH26" s="20">
        <v>7.0000000000000007E-2</v>
      </c>
    </row>
    <row r="27" spans="1:34" x14ac:dyDescent="0.2">
      <c r="B27" s="19" t="s">
        <v>10</v>
      </c>
      <c r="C27" s="19">
        <v>13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50"/>
      <c r="T27" s="149"/>
      <c r="U27" s="149"/>
      <c r="V27" s="150"/>
      <c r="W27" s="165"/>
      <c r="X27" s="149"/>
      <c r="Y27" s="20">
        <v>0</v>
      </c>
      <c r="Z27" s="21">
        <v>0</v>
      </c>
      <c r="AA27" s="161">
        <f t="shared" si="26"/>
        <v>0</v>
      </c>
      <c r="AB27" s="8">
        <v>3.7861891311964935E-3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4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2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2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0.96271038155675193</v>
      </c>
      <c r="AC30" s="161">
        <f>SUM(AC7:AC27)</f>
        <v>0.9800000000000002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1076</v>
      </c>
      <c r="E31" s="48">
        <v>0.50700000000000001</v>
      </c>
      <c r="F31" s="2">
        <f>1-E31</f>
        <v>0.49299999999999999</v>
      </c>
      <c r="G31" s="114">
        <v>5</v>
      </c>
      <c r="H31" s="134">
        <v>4.2999999999999997E-2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2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2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2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545.53200000000004</v>
      </c>
      <c r="E34" s="167">
        <f>SUM(E2:E4)</f>
        <v>344.83104251605369</v>
      </c>
      <c r="F34" s="167">
        <f>SUM(F2:F4)</f>
        <v>3903.5675866026077</v>
      </c>
      <c r="G34" s="167">
        <f>SUM(G2:G4)</f>
        <v>25.901379374475358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2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2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2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530.46799999999996</v>
      </c>
      <c r="E37" s="167">
        <f>D37*G31</f>
        <v>2652.3399999999997</v>
      </c>
      <c r="F37" s="167">
        <f>D37*H31</f>
        <v>22.810123999999995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2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2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2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519.85863999999992</v>
      </c>
      <c r="E40" s="168">
        <f>SUM(J2:J4,J7:J12,J15:J22)</f>
        <v>2645.2421237676899</v>
      </c>
      <c r="F40" s="168">
        <f>SUM(K2:K4,K7:K12,K15:K22)</f>
        <v>22.793541456123492</v>
      </c>
      <c r="G40" s="168">
        <f>SUM(L7:L12,L15:L22,L24:L27)</f>
        <v>534.6213600000001</v>
      </c>
      <c r="H40" s="168">
        <f>SUM(M7:M12,M15:M22,M24:M27)</f>
        <v>339.42621107853819</v>
      </c>
      <c r="I40" s="168">
        <f>SUM(N7:N12,N15:N22,N24:N27)</f>
        <v>3899.2293337152787</v>
      </c>
      <c r="J40" s="168">
        <f>SUM(O7:O12,O15:O22,O24:O27)</f>
        <v>25.87218036649919</v>
      </c>
    </row>
    <row r="41" spans="1:32" ht="15" thickTop="1" x14ac:dyDescent="0.2">
      <c r="D41" s="169">
        <f>D37-D40</f>
        <v>10.609360000000038</v>
      </c>
      <c r="E41" s="169">
        <f>E37-E40</f>
        <v>7.0978762323097726</v>
      </c>
      <c r="F41" s="169">
        <f>F37-F40</f>
        <v>1.6582543876502598E-2</v>
      </c>
      <c r="G41" s="169">
        <f>SUM(D2:D4)-G40</f>
        <v>10.910639999999944</v>
      </c>
      <c r="H41" s="169">
        <f>E34-H40</f>
        <v>5.4048314375154973</v>
      </c>
      <c r="I41" s="169">
        <f>F34-I40</f>
        <v>4.338252887328963</v>
      </c>
      <c r="J41" s="169">
        <f>G34-J40</f>
        <v>2.9199007976167479E-2</v>
      </c>
    </row>
  </sheetData>
  <sheetProtection selectLockedCells="1"/>
  <conditionalFormatting sqref="D41:J41">
    <cfRule type="cellIs" dxfId="89" priority="1" operator="lessThan">
      <formula>0</formula>
    </cfRule>
  </conditionalFormatting>
  <conditionalFormatting sqref="W30">
    <cfRule type="cellIs" dxfId="88" priority="2" operator="greaterThan">
      <formula>1</formula>
    </cfRule>
  </conditionalFormatting>
  <conditionalFormatting sqref="AA30:AG30">
    <cfRule type="cellIs" dxfId="87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70C0"/>
  </sheetPr>
  <dimension ref="A1:AH41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E2" sqref="E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27</v>
      </c>
      <c r="B2" s="19" t="s">
        <v>9</v>
      </c>
      <c r="C2" s="19">
        <v>13</v>
      </c>
      <c r="D2" s="157">
        <f>D$34*Q2</f>
        <v>647.95500000000004</v>
      </c>
      <c r="E2" s="157">
        <f>D2*R2</f>
        <v>413.06163771301863</v>
      </c>
      <c r="F2" s="157">
        <f>E2*S2</f>
        <v>4671.7271225342411</v>
      </c>
      <c r="G2" s="157">
        <f t="shared" ref="G2:G4" si="0">E2*T2</f>
        <v>36.803791920229962</v>
      </c>
      <c r="H2" s="157">
        <f>E2*U2</f>
        <v>14.129749309292048</v>
      </c>
      <c r="I2" s="157">
        <f>D$37*W2</f>
        <v>113.51340000000003</v>
      </c>
      <c r="J2" s="157">
        <f>I2*V2</f>
        <v>620.00335416991459</v>
      </c>
      <c r="K2" s="157">
        <f>I2*X2</f>
        <v>6.4702638000000023</v>
      </c>
      <c r="L2" s="158"/>
      <c r="M2" s="158"/>
      <c r="N2" s="158"/>
      <c r="O2" s="158"/>
      <c r="Q2" s="161">
        <f>AE2</f>
        <v>0.99</v>
      </c>
      <c r="R2" s="116">
        <v>0.63748506873628352</v>
      </c>
      <c r="S2" s="115">
        <v>11.31</v>
      </c>
      <c r="T2" s="116">
        <v>8.9099999999999999E-2</v>
      </c>
      <c r="U2" s="20">
        <v>3.4207362822467974E-2</v>
      </c>
      <c r="V2" s="115">
        <v>5.4619397724842562</v>
      </c>
      <c r="W2" s="161">
        <f>(AF2/SUM(AF$2:AF$22))*0.98</f>
        <v>0.25480000000000003</v>
      </c>
      <c r="X2" s="20">
        <v>5.7000000000000002E-2</v>
      </c>
      <c r="Y2" s="22"/>
      <c r="Z2" s="23"/>
      <c r="AA2" s="1"/>
      <c r="AB2" s="1"/>
      <c r="AC2" s="1"/>
      <c r="AE2" s="20">
        <v>0.99</v>
      </c>
      <c r="AF2" s="20">
        <v>0.26</v>
      </c>
      <c r="AG2" s="181"/>
      <c r="AH2" s="181"/>
    </row>
    <row r="3" spans="1:34" x14ac:dyDescent="0.2">
      <c r="A3" s="18" t="s">
        <v>479</v>
      </c>
      <c r="B3" s="19" t="s">
        <v>9</v>
      </c>
      <c r="C3" s="19">
        <v>13</v>
      </c>
      <c r="D3" s="157">
        <f>D$34*Q3</f>
        <v>6.5450000000000061</v>
      </c>
      <c r="E3" s="157">
        <f t="shared" ref="E3:F4" si="1">D3*R3</f>
        <v>4.0644450000000036</v>
      </c>
      <c r="F3" s="157">
        <f t="shared" si="1"/>
        <v>43.083117000000037</v>
      </c>
      <c r="G3" s="157">
        <f t="shared" si="0"/>
        <v>0.19509336000000019</v>
      </c>
      <c r="H3" s="157">
        <f t="shared" ref="H3:H4" si="2">E3*U3</f>
        <v>0.22760892000000021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1.0000000000000009E-2</v>
      </c>
      <c r="R3" s="116">
        <v>0.621</v>
      </c>
      <c r="S3" s="115">
        <v>10.6</v>
      </c>
      <c r="T3" s="116">
        <v>4.8000000000000001E-2</v>
      </c>
      <c r="U3" s="20">
        <v>5.6000000000000001E-2</v>
      </c>
      <c r="V3" s="115">
        <v>2.8980156394278893</v>
      </c>
      <c r="W3" s="161">
        <f t="shared" ref="W3:W4" si="5">(AF3/SUM(AF$2:AF$22))*0.98</f>
        <v>0</v>
      </c>
      <c r="X3" s="20">
        <v>1.8502616364282645E-2</v>
      </c>
      <c r="Y3" s="22"/>
      <c r="Z3" s="23"/>
      <c r="AA3" s="1"/>
      <c r="AB3" s="1"/>
      <c r="AC3" s="1"/>
      <c r="AE3" s="20">
        <f>1-AE2</f>
        <v>1.0000000000000009E-2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13</v>
      </c>
      <c r="D4" s="157">
        <f>D$34*Q4</f>
        <v>0</v>
      </c>
      <c r="E4" s="157">
        <f t="shared" si="1"/>
        <v>0</v>
      </c>
      <c r="F4" s="157">
        <f t="shared" si="1"/>
        <v>0</v>
      </c>
      <c r="G4" s="157">
        <f t="shared" si="0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529</v>
      </c>
      <c r="B7" s="19" t="s">
        <v>256</v>
      </c>
      <c r="C7" s="19">
        <v>13</v>
      </c>
      <c r="D7" s="158"/>
      <c r="E7" s="158"/>
      <c r="F7" s="158"/>
      <c r="G7" s="158"/>
      <c r="H7" s="158"/>
      <c r="I7" s="157">
        <f t="shared" ref="I7:I12" si="6">D$37*W7</f>
        <v>175.50918000000004</v>
      </c>
      <c r="J7" s="157">
        <f>I7*V7</f>
        <v>856.94493228699912</v>
      </c>
      <c r="K7" s="157">
        <f>I7*X7</f>
        <v>5.4407845800000016</v>
      </c>
      <c r="L7" s="157">
        <f>((D$2+D$3+D$4)*AA7)</f>
        <v>56.44408</v>
      </c>
      <c r="M7" s="157">
        <f t="shared" ref="M7:N12" si="7">L7*Y7</f>
        <v>40.31128262375848</v>
      </c>
      <c r="N7" s="157">
        <f t="shared" si="7"/>
        <v>308.20688303593988</v>
      </c>
      <c r="O7" s="157">
        <f>M7*AH7</f>
        <v>2.176809261682958</v>
      </c>
      <c r="Q7" s="14"/>
      <c r="R7" s="149"/>
      <c r="S7" s="148"/>
      <c r="T7" s="149"/>
      <c r="U7" s="149"/>
      <c r="V7" s="21">
        <v>4.8826217083744501</v>
      </c>
      <c r="W7" s="161">
        <f t="shared" ref="W7:W12" si="8">(AF7/SUM(AF$2:AF$22))*0.98</f>
        <v>0.39396000000000003</v>
      </c>
      <c r="X7" s="20">
        <v>3.1E-2</v>
      </c>
      <c r="Y7" s="20">
        <v>0.71418087820296616</v>
      </c>
      <c r="Z7" s="21">
        <v>7.6456729475109855</v>
      </c>
      <c r="AA7" s="161">
        <f>(AG7/SUM(AG$7:AG$27))*0.98</f>
        <v>8.6239999999999997E-2</v>
      </c>
      <c r="AB7" s="8">
        <v>4.0719766176599795E-2</v>
      </c>
      <c r="AC7" s="161">
        <f>(AH7/SUM(AH$7:AH$27))*0.98</f>
        <v>5.8272663336704368E-2</v>
      </c>
      <c r="AE7" s="181"/>
      <c r="AF7" s="20">
        <v>0.40200000000000002</v>
      </c>
      <c r="AG7" s="20">
        <v>8.7999999999999995E-2</v>
      </c>
      <c r="AH7" s="20">
        <v>5.3999999999999999E-2</v>
      </c>
    </row>
    <row r="8" spans="1:34" x14ac:dyDescent="0.2">
      <c r="A8" s="186" t="s">
        <v>97</v>
      </c>
      <c r="B8" s="19" t="s">
        <v>256</v>
      </c>
      <c r="C8" s="19">
        <v>13</v>
      </c>
      <c r="D8" s="158"/>
      <c r="E8" s="158"/>
      <c r="F8" s="158"/>
      <c r="G8" s="158"/>
      <c r="H8" s="158"/>
      <c r="I8" s="157">
        <f t="shared" si="6"/>
        <v>116.56953000000001</v>
      </c>
      <c r="J8" s="157">
        <f>I8*V8</f>
        <v>527.97929001540706</v>
      </c>
      <c r="K8" s="157">
        <f>I8*X8</f>
        <v>7.1107413300000006</v>
      </c>
      <c r="L8" s="157">
        <f>((D$2+D$3+D$4)*AA8)</f>
        <v>10.262559999999999</v>
      </c>
      <c r="M8" s="157">
        <f t="shared" si="7"/>
        <v>7.3669138818888671</v>
      </c>
      <c r="N8" s="157">
        <f t="shared" si="7"/>
        <v>51.875474703584288</v>
      </c>
      <c r="O8" s="157">
        <f t="shared" ref="O8:O12" si="9">M8*AH8</f>
        <v>0.19153976092911054</v>
      </c>
      <c r="Q8" s="14"/>
      <c r="R8" s="149"/>
      <c r="S8" s="148"/>
      <c r="T8" s="149"/>
      <c r="U8" s="149"/>
      <c r="V8" s="21">
        <v>4.529307873295938</v>
      </c>
      <c r="W8" s="161">
        <f t="shared" si="8"/>
        <v>0.26166</v>
      </c>
      <c r="X8" s="20">
        <v>6.0999999999999999E-2</v>
      </c>
      <c r="Y8" s="20">
        <v>0.71784368441099178</v>
      </c>
      <c r="Z8" s="21">
        <v>7.0416833337928857</v>
      </c>
      <c r="AA8" s="161">
        <f t="shared" ref="AA8:AA12" si="10">(AG8/SUM(AG$7:AG$27))*0.98</f>
        <v>1.5679999999999999E-2</v>
      </c>
      <c r="AB8" s="8">
        <v>7.153442652174713E-2</v>
      </c>
      <c r="AC8" s="161">
        <f t="shared" ref="AC8:AC12" si="11">(AH8/SUM(AH$7:AH$27))*0.98</f>
        <v>2.8057208273228027E-2</v>
      </c>
      <c r="AE8" s="181"/>
      <c r="AF8" s="20">
        <v>0.26700000000000002</v>
      </c>
      <c r="AG8" s="20">
        <v>1.6E-2</v>
      </c>
      <c r="AH8" s="20">
        <v>2.5999999999999999E-2</v>
      </c>
    </row>
    <row r="9" spans="1:34" x14ac:dyDescent="0.2">
      <c r="A9" s="186" t="s">
        <v>600</v>
      </c>
      <c r="B9" s="19" t="s">
        <v>256</v>
      </c>
      <c r="C9" s="19">
        <v>13</v>
      </c>
      <c r="D9" s="158"/>
      <c r="E9" s="158"/>
      <c r="F9" s="158"/>
      <c r="G9" s="158"/>
      <c r="H9" s="158"/>
      <c r="I9" s="157">
        <f t="shared" si="6"/>
        <v>26.631990000000002</v>
      </c>
      <c r="J9" s="157">
        <f>I9*V9</f>
        <v>114.25123710000001</v>
      </c>
      <c r="K9" s="157">
        <f>I9*X9</f>
        <v>0.93211965000000019</v>
      </c>
      <c r="L9" s="157">
        <f>((D$2+D$3+D$4)*AA9)</f>
        <v>19.883710000000001</v>
      </c>
      <c r="M9" s="157">
        <f t="shared" si="7"/>
        <v>15.418986100844407</v>
      </c>
      <c r="N9" s="157">
        <f t="shared" si="7"/>
        <v>109.6348210011146</v>
      </c>
      <c r="O9" s="157">
        <f t="shared" si="9"/>
        <v>0.50882654132786542</v>
      </c>
      <c r="Q9" s="14"/>
      <c r="R9" s="149"/>
      <c r="S9" s="148"/>
      <c r="T9" s="149"/>
      <c r="U9" s="149"/>
      <c r="V9" s="21">
        <v>4.29</v>
      </c>
      <c r="W9" s="161">
        <f t="shared" si="8"/>
        <v>5.978E-2</v>
      </c>
      <c r="X9" s="20">
        <v>3.5000000000000003E-2</v>
      </c>
      <c r="Y9" s="20">
        <v>0.77545820678557509</v>
      </c>
      <c r="Z9" s="21">
        <v>7.110378093868996</v>
      </c>
      <c r="AA9" s="161">
        <f t="shared" si="10"/>
        <v>3.0380000000000001E-2</v>
      </c>
      <c r="AB9" s="8">
        <v>2.4087473260946013E-2</v>
      </c>
      <c r="AC9" s="161">
        <f t="shared" si="11"/>
        <v>3.5611072039097115E-2</v>
      </c>
      <c r="AE9" s="181"/>
      <c r="AF9" s="20">
        <v>6.0999999999999999E-2</v>
      </c>
      <c r="AG9" s="20">
        <v>3.1E-2</v>
      </c>
      <c r="AH9" s="20">
        <v>3.3000000000000002E-2</v>
      </c>
    </row>
    <row r="10" spans="1:34" x14ac:dyDescent="0.2">
      <c r="A10" s="186"/>
      <c r="B10" s="19" t="s">
        <v>256</v>
      </c>
      <c r="C10" s="19">
        <v>13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6.393753860495624E-4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A11" s="186"/>
      <c r="B11" s="19" t="s">
        <v>256</v>
      </c>
      <c r="C11" s="19">
        <v>13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/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13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/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102</v>
      </c>
      <c r="B15" s="19" t="s">
        <v>257</v>
      </c>
      <c r="C15" s="19">
        <v>13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147.52430000000001</v>
      </c>
      <c r="M15" s="157">
        <f t="shared" ref="M15:N22" si="19">L15*Y15</f>
        <v>99.755838968248113</v>
      </c>
      <c r="N15" s="157">
        <f t="shared" si="19"/>
        <v>1264.9040381173861</v>
      </c>
      <c r="O15" s="157">
        <f t="shared" ref="O15:O22" si="20">M15*AH15</f>
        <v>9.0777813461105783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0.67619937168485533</v>
      </c>
      <c r="Z15" s="21">
        <v>12.68</v>
      </c>
      <c r="AA15" s="161">
        <f t="shared" ref="AA15:AA22" si="22">(AG15/SUM(AG$7:AG$27))*0.98</f>
        <v>0.22540000000000002</v>
      </c>
      <c r="AB15" s="8">
        <v>0.23784569067102512</v>
      </c>
      <c r="AC15" s="161">
        <f t="shared" ref="AC15:AC22" si="23">(AH15/SUM(AH$7:AH$27))*0.98</f>
        <v>9.8200228956298083E-2</v>
      </c>
      <c r="AE15" s="181"/>
      <c r="AF15" s="20">
        <v>0</v>
      </c>
      <c r="AG15" s="20">
        <v>0.23</v>
      </c>
      <c r="AH15" s="20">
        <v>9.0999999999999998E-2</v>
      </c>
    </row>
    <row r="16" spans="1:34" x14ac:dyDescent="0.2">
      <c r="A16" s="18" t="s">
        <v>601</v>
      </c>
      <c r="B16" s="19" t="s">
        <v>257</v>
      </c>
      <c r="C16" s="19">
        <v>13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121.22649</v>
      </c>
      <c r="M16" s="157">
        <f t="shared" si="19"/>
        <v>63.429216999988654</v>
      </c>
      <c r="N16" s="157">
        <f t="shared" si="19"/>
        <v>941.28958027983163</v>
      </c>
      <c r="O16" s="157">
        <f t="shared" si="20"/>
        <v>8.4360858609984906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0.5232290153743514</v>
      </c>
      <c r="Z16" s="21">
        <v>14.84</v>
      </c>
      <c r="AA16" s="161">
        <f t="shared" si="22"/>
        <v>0.18522</v>
      </c>
      <c r="AB16" s="8">
        <v>0.15343363682460368</v>
      </c>
      <c r="AC16" s="161">
        <f t="shared" si="23"/>
        <v>0.1435234115515126</v>
      </c>
      <c r="AE16" s="181"/>
      <c r="AF16" s="20">
        <v>0</v>
      </c>
      <c r="AG16" s="20">
        <v>0.189</v>
      </c>
      <c r="AH16" s="20">
        <v>0.13300000000000001</v>
      </c>
    </row>
    <row r="17" spans="1:34" x14ac:dyDescent="0.2">
      <c r="A17" s="18" t="s">
        <v>499</v>
      </c>
      <c r="B17" s="19" t="s">
        <v>257</v>
      </c>
      <c r="C17" s="19">
        <v>13</v>
      </c>
      <c r="D17" s="158"/>
      <c r="E17" s="158"/>
      <c r="F17" s="158"/>
      <c r="G17" s="158"/>
      <c r="H17" s="158"/>
      <c r="I17" s="157">
        <f t="shared" si="15"/>
        <v>2.1829500000000004</v>
      </c>
      <c r="J17" s="157">
        <f t="shared" si="16"/>
        <v>0</v>
      </c>
      <c r="K17" s="157">
        <f t="shared" si="17"/>
        <v>0</v>
      </c>
      <c r="L17" s="157">
        <f t="shared" si="18"/>
        <v>31.429089999999999</v>
      </c>
      <c r="M17" s="157">
        <f t="shared" si="19"/>
        <v>18.62431366668449</v>
      </c>
      <c r="N17" s="157">
        <f t="shared" si="19"/>
        <v>222.00181890687912</v>
      </c>
      <c r="O17" s="157">
        <f t="shared" si="20"/>
        <v>1.1461116102575071</v>
      </c>
      <c r="Q17" s="14"/>
      <c r="R17" s="149"/>
      <c r="S17" s="148"/>
      <c r="T17" s="149"/>
      <c r="U17" s="149"/>
      <c r="V17" s="21">
        <v>0</v>
      </c>
      <c r="W17" s="161">
        <f t="shared" si="21"/>
        <v>4.8999999999999998E-3</v>
      </c>
      <c r="X17" s="20">
        <v>0</v>
      </c>
      <c r="Y17" s="20">
        <v>0.59258202088207101</v>
      </c>
      <c r="Z17" s="21">
        <v>11.92</v>
      </c>
      <c r="AA17" s="161">
        <f t="shared" si="22"/>
        <v>4.802E-2</v>
      </c>
      <c r="AB17" s="8">
        <v>9.9804973821368603E-2</v>
      </c>
      <c r="AC17" s="161">
        <f t="shared" si="23"/>
        <v>6.6407593546101845E-2</v>
      </c>
      <c r="AE17" s="181"/>
      <c r="AF17" s="20">
        <v>5.0000000000000001E-3</v>
      </c>
      <c r="AG17" s="20">
        <v>4.9000000000000002E-2</v>
      </c>
      <c r="AH17" s="20">
        <v>6.1538461538461542E-2</v>
      </c>
    </row>
    <row r="18" spans="1:34" x14ac:dyDescent="0.2">
      <c r="A18" s="18" t="s">
        <v>255</v>
      </c>
      <c r="B18" s="19" t="s">
        <v>257</v>
      </c>
      <c r="C18" s="19">
        <v>13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51.954210000000003</v>
      </c>
      <c r="M18" s="157">
        <f t="shared" si="19"/>
        <v>27.978584843108639</v>
      </c>
      <c r="N18" s="157">
        <f t="shared" si="19"/>
        <v>356.72695674963512</v>
      </c>
      <c r="O18" s="157">
        <f t="shared" si="20"/>
        <v>1.695671808673251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0.53852392025802409</v>
      </c>
      <c r="Z18" s="21">
        <v>12.75</v>
      </c>
      <c r="AA18" s="161">
        <f t="shared" si="22"/>
        <v>7.9380000000000006E-2</v>
      </c>
      <c r="AB18" s="8">
        <v>0.11251939817047332</v>
      </c>
      <c r="AC18" s="161">
        <f t="shared" si="23"/>
        <v>6.540141788631243E-2</v>
      </c>
      <c r="AE18" s="181"/>
      <c r="AF18" s="20">
        <v>0</v>
      </c>
      <c r="AG18" s="20">
        <v>8.1000000000000003E-2</v>
      </c>
      <c r="AH18" s="20">
        <v>6.0606060606060608E-2</v>
      </c>
    </row>
    <row r="19" spans="1:34" x14ac:dyDescent="0.2">
      <c r="A19" s="18" t="s">
        <v>494</v>
      </c>
      <c r="B19" s="19" t="s">
        <v>257</v>
      </c>
      <c r="C19" s="19">
        <v>13</v>
      </c>
      <c r="D19" s="158"/>
      <c r="E19" s="158"/>
      <c r="F19" s="158"/>
      <c r="G19" s="158"/>
      <c r="H19" s="158"/>
      <c r="I19" s="157">
        <f t="shared" si="15"/>
        <v>2.1829500000000004</v>
      </c>
      <c r="J19" s="157">
        <f t="shared" si="16"/>
        <v>11.088287437500004</v>
      </c>
      <c r="K19" s="157">
        <f t="shared" si="17"/>
        <v>6.5281573350000024E-2</v>
      </c>
      <c r="L19" s="157">
        <f t="shared" si="18"/>
        <v>42.333060000000003</v>
      </c>
      <c r="M19" s="157">
        <f t="shared" si="19"/>
        <v>26.51810311999764</v>
      </c>
      <c r="N19" s="157">
        <f t="shared" si="19"/>
        <v>299.70842900588661</v>
      </c>
      <c r="O19" s="157">
        <f t="shared" si="20"/>
        <v>2.0153758371198207</v>
      </c>
      <c r="Q19" s="14"/>
      <c r="R19" s="149"/>
      <c r="S19" s="148"/>
      <c r="T19" s="149"/>
      <c r="U19" s="149"/>
      <c r="V19" s="21">
        <v>5.0794967532467536</v>
      </c>
      <c r="W19" s="161">
        <f t="shared" si="21"/>
        <v>4.8999999999999998E-3</v>
      </c>
      <c r="X19" s="20">
        <v>2.9905207792207796E-2</v>
      </c>
      <c r="Y19" s="20">
        <v>0.62641592929964518</v>
      </c>
      <c r="Z19" s="21">
        <v>11.302031206744672</v>
      </c>
      <c r="AA19" s="161">
        <f t="shared" si="22"/>
        <v>6.4680000000000001E-2</v>
      </c>
      <c r="AB19" s="8">
        <v>4.3915097041795893E-2</v>
      </c>
      <c r="AC19" s="161">
        <f t="shared" si="23"/>
        <v>8.2013378029435771E-2</v>
      </c>
      <c r="AE19" s="181"/>
      <c r="AF19" s="20">
        <v>5.0000000000000001E-3</v>
      </c>
      <c r="AG19" s="20">
        <v>6.6000000000000003E-2</v>
      </c>
      <c r="AH19" s="20">
        <v>7.5999999999999998E-2</v>
      </c>
    </row>
    <row r="20" spans="1:34" x14ac:dyDescent="0.2">
      <c r="A20" s="18" t="s">
        <v>602</v>
      </c>
      <c r="B20" s="19" t="s">
        <v>257</v>
      </c>
      <c r="C20" s="19">
        <v>13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14.752429999999999</v>
      </c>
      <c r="M20" s="157">
        <f t="shared" si="19"/>
        <v>9.3972979099999989</v>
      </c>
      <c r="N20" s="157">
        <f t="shared" si="19"/>
        <v>101.490817428</v>
      </c>
      <c r="O20" s="157">
        <f t="shared" si="20"/>
        <v>0.37589191639999997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0.63700000000000001</v>
      </c>
      <c r="Z20" s="21">
        <v>10.8</v>
      </c>
      <c r="AA20" s="161">
        <f t="shared" si="22"/>
        <v>2.2539999999999998E-2</v>
      </c>
      <c r="AB20" s="8">
        <v>2.2666737369454869E-2</v>
      </c>
      <c r="AC20" s="161">
        <f t="shared" si="23"/>
        <v>4.3164935804966192E-2</v>
      </c>
      <c r="AE20" s="181"/>
      <c r="AF20" s="20">
        <v>0</v>
      </c>
      <c r="AG20" s="20">
        <v>2.3E-2</v>
      </c>
      <c r="AH20" s="20">
        <v>0.04</v>
      </c>
    </row>
    <row r="21" spans="1:34" x14ac:dyDescent="0.2">
      <c r="B21" s="19" t="s">
        <v>257</v>
      </c>
      <c r="C21" s="19">
        <v>13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1.1137513520659007E-2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13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/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25</v>
      </c>
      <c r="B24" s="19" t="s">
        <v>10</v>
      </c>
      <c r="C24" s="19">
        <v>13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68.630870000000002</v>
      </c>
      <c r="M24" s="157">
        <f t="shared" ref="M24:N27" si="24">L24*Y24</f>
        <v>45.817149323990378</v>
      </c>
      <c r="N24" s="157">
        <f t="shared" si="24"/>
        <v>485.66178283429798</v>
      </c>
      <c r="O24" s="157">
        <f t="shared" ref="O24:O27" si="25">M24*AH24</f>
        <v>5.085703574962932</v>
      </c>
      <c r="Q24" s="14"/>
      <c r="R24" s="149"/>
      <c r="S24" s="148"/>
      <c r="T24" s="149"/>
      <c r="U24" s="149"/>
      <c r="V24" s="150"/>
      <c r="W24" s="165"/>
      <c r="X24" s="149"/>
      <c r="Y24" s="20">
        <v>0.66758805948387911</v>
      </c>
      <c r="Z24" s="115">
        <v>10.6</v>
      </c>
      <c r="AA24" s="161">
        <f t="shared" ref="AA24:AA27" si="26">(AG24/SUM(AG$7:AG$27))*0.98</f>
        <v>0.10485999999999999</v>
      </c>
      <c r="AB24" s="8">
        <v>8.5577980808139081E-2</v>
      </c>
      <c r="AC24" s="161">
        <f t="shared" ref="AC24:AC27" si="27">(AH24/SUM(AH$7:AH$27))*0.98</f>
        <v>0.11978269685878119</v>
      </c>
      <c r="AE24" s="181"/>
      <c r="AF24" s="181"/>
      <c r="AG24" s="20">
        <v>0.107</v>
      </c>
      <c r="AH24" s="20">
        <v>0.111</v>
      </c>
    </row>
    <row r="25" spans="1:34" x14ac:dyDescent="0.2">
      <c r="A25" s="18" t="s">
        <v>603</v>
      </c>
      <c r="B25" s="19" t="s">
        <v>10</v>
      </c>
      <c r="C25" s="19">
        <v>13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70.555099999999996</v>
      </c>
      <c r="M25" s="157">
        <f t="shared" si="24"/>
        <v>47.641053856637697</v>
      </c>
      <c r="N25" s="157">
        <f t="shared" si="24"/>
        <v>525.00441350014739</v>
      </c>
      <c r="O25" s="157">
        <f t="shared" si="25"/>
        <v>5.8122085705097986</v>
      </c>
      <c r="Q25" s="14"/>
      <c r="R25" s="149"/>
      <c r="S25" s="148"/>
      <c r="T25" s="149"/>
      <c r="U25" s="149"/>
      <c r="V25" s="150"/>
      <c r="W25" s="165"/>
      <c r="X25" s="149"/>
      <c r="Y25" s="20">
        <v>0.67523189474095702</v>
      </c>
      <c r="Z25" s="115">
        <v>11.02</v>
      </c>
      <c r="AA25" s="161">
        <f t="shared" si="26"/>
        <v>0.10779999999999999</v>
      </c>
      <c r="AB25" s="8">
        <v>4.3608632576712804E-2</v>
      </c>
      <c r="AC25" s="161">
        <f t="shared" si="27"/>
        <v>0.13165305420514689</v>
      </c>
      <c r="AE25" s="181"/>
      <c r="AF25" s="181"/>
      <c r="AG25" s="20">
        <v>0.11</v>
      </c>
      <c r="AH25" s="20">
        <v>0.122</v>
      </c>
    </row>
    <row r="26" spans="1:34" x14ac:dyDescent="0.2">
      <c r="A26" s="18" t="s">
        <v>579</v>
      </c>
      <c r="B26" s="19" t="s">
        <v>10</v>
      </c>
      <c r="C26" s="19">
        <v>13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6.4140999999999995</v>
      </c>
      <c r="M26" s="157">
        <f t="shared" si="24"/>
        <v>4.2935440752808356</v>
      </c>
      <c r="N26" s="157">
        <f t="shared" si="24"/>
        <v>45.370340632044034</v>
      </c>
      <c r="O26" s="157">
        <f t="shared" si="25"/>
        <v>0.42935440752808357</v>
      </c>
      <c r="Q26" s="14"/>
      <c r="R26" s="149"/>
      <c r="S26" s="148"/>
      <c r="T26" s="149"/>
      <c r="U26" s="149"/>
      <c r="V26" s="150"/>
      <c r="W26" s="165"/>
      <c r="X26" s="149"/>
      <c r="Y26" s="20">
        <v>0.66939150859525676</v>
      </c>
      <c r="Z26" s="115">
        <v>10.567107228094873</v>
      </c>
      <c r="AA26" s="161">
        <f t="shared" si="26"/>
        <v>9.7999999999999997E-3</v>
      </c>
      <c r="AB26" s="8">
        <v>9.40814247606051E-3</v>
      </c>
      <c r="AC26" s="161">
        <f t="shared" si="27"/>
        <v>0.10791233951241549</v>
      </c>
      <c r="AE26" s="181"/>
      <c r="AF26" s="181"/>
      <c r="AG26" s="20">
        <v>0.01</v>
      </c>
      <c r="AH26" s="20">
        <v>0.1</v>
      </c>
    </row>
    <row r="27" spans="1:34" x14ac:dyDescent="0.2">
      <c r="A27" s="43"/>
      <c r="B27" s="19" t="s">
        <v>10</v>
      </c>
      <c r="C27" s="19">
        <v>13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1.810115537436472E-2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0.97500000000000009</v>
      </c>
      <c r="AC30" s="161">
        <f>SUM(AC7:AC27)</f>
        <v>0.98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1100</v>
      </c>
      <c r="E31" s="48">
        <v>0.59499999999999997</v>
      </c>
      <c r="F31" s="2">
        <f>1-E31</f>
        <v>0.40500000000000003</v>
      </c>
      <c r="G31" s="114">
        <v>4.8</v>
      </c>
      <c r="H31" s="134">
        <v>4.4999999999999998E-2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654.5</v>
      </c>
      <c r="E34" s="167">
        <f>SUM(E2:E4)</f>
        <v>417.1260827130186</v>
      </c>
      <c r="F34" s="167">
        <f>SUM(F2:F4)</f>
        <v>4714.8102395342412</v>
      </c>
      <c r="G34" s="167">
        <f>SUM(G2:G4)</f>
        <v>36.998885280229963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445.50000000000006</v>
      </c>
      <c r="E37" s="167">
        <f>D37*G31</f>
        <v>2138.4</v>
      </c>
      <c r="F37" s="167">
        <f>D37*H31</f>
        <v>20.047500000000003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436.59000000000003</v>
      </c>
      <c r="E40" s="168">
        <f>SUM(J2:J4,J7:J12,J15:J22)</f>
        <v>2130.2671010098206</v>
      </c>
      <c r="F40" s="168">
        <f>SUM(K2:K4,K7:K12,K15:K22)</f>
        <v>20.019190933350004</v>
      </c>
      <c r="G40" s="168">
        <f>SUM(L7:L12,L15:L22,L24:L27)</f>
        <v>641.41</v>
      </c>
      <c r="H40" s="168">
        <f>SUM(M7:M12,M15:M22,M24:M27)</f>
        <v>406.55228537042831</v>
      </c>
      <c r="I40" s="168">
        <f>SUM(N7:N12,N15:N22,N24:N27)</f>
        <v>4711.875356194746</v>
      </c>
      <c r="J40" s="168">
        <f>SUM(O7:O12,O15:O22,O24:O27)</f>
        <v>36.951360496500385</v>
      </c>
    </row>
    <row r="41" spans="1:32" ht="15" thickTop="1" x14ac:dyDescent="0.2">
      <c r="D41" s="169">
        <f>D37-D40</f>
        <v>8.910000000000025</v>
      </c>
      <c r="E41" s="169">
        <f>E37-E40</f>
        <v>8.1328989901794557</v>
      </c>
      <c r="F41" s="169">
        <f>F37-F40</f>
        <v>2.8309066649999437E-2</v>
      </c>
      <c r="G41" s="169">
        <f>SUM(D2:D4)-G40</f>
        <v>13.090000000000032</v>
      </c>
      <c r="H41" s="169">
        <f>E34-H40</f>
        <v>10.573797342590296</v>
      </c>
      <c r="I41" s="169">
        <f>F34-I40</f>
        <v>2.9348833394951725</v>
      </c>
      <c r="J41" s="169">
        <f>G34-J40</f>
        <v>4.7524783729578246E-2</v>
      </c>
    </row>
  </sheetData>
  <sheetProtection selectLockedCells="1"/>
  <conditionalFormatting sqref="D41:J41">
    <cfRule type="cellIs" dxfId="86" priority="1" operator="lessThan">
      <formula>0</formula>
    </cfRule>
  </conditionalFormatting>
  <conditionalFormatting sqref="W30">
    <cfRule type="cellIs" dxfId="85" priority="2" operator="greaterThan">
      <formula>1</formula>
    </cfRule>
  </conditionalFormatting>
  <conditionalFormatting sqref="AA30:AG30">
    <cfRule type="cellIs" dxfId="84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CCFF"/>
  </sheetPr>
  <dimension ref="A1:AH4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5" width="8.796875" style="24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604</v>
      </c>
      <c r="B2" s="19" t="s">
        <v>9</v>
      </c>
      <c r="C2" s="19">
        <v>7</v>
      </c>
      <c r="D2" s="157">
        <f>D$34*Q2</f>
        <v>570.43034999999998</v>
      </c>
      <c r="E2" s="157">
        <f>D2*R2</f>
        <v>354.81103382308135</v>
      </c>
      <c r="F2" s="157">
        <f>E2*S2</f>
        <v>3966.7873581420495</v>
      </c>
      <c r="G2" s="157">
        <f t="shared" ref="G2:G4" si="0">E2*T2</f>
        <v>23.45300933570568</v>
      </c>
      <c r="H2" s="157">
        <f>E2*U2</f>
        <v>12.1371497674011</v>
      </c>
      <c r="I2" s="157">
        <f>D$37*W2</f>
        <v>62.912648400000016</v>
      </c>
      <c r="J2" s="157">
        <f>I2*V2</f>
        <v>316.45062145200012</v>
      </c>
      <c r="K2" s="157">
        <f>I2*X2</f>
        <v>3.7118462556000007</v>
      </c>
      <c r="L2" s="158"/>
      <c r="M2" s="158"/>
      <c r="N2" s="158"/>
      <c r="O2" s="158"/>
      <c r="Q2" s="161">
        <f>AE2</f>
        <v>0.95</v>
      </c>
      <c r="R2" s="116">
        <v>0.62200588349319308</v>
      </c>
      <c r="S2" s="115">
        <v>11.18</v>
      </c>
      <c r="T2" s="116">
        <v>6.6100000000000006E-2</v>
      </c>
      <c r="U2" s="20">
        <v>3.4207362822467974E-2</v>
      </c>
      <c r="V2" s="115">
        <v>5.03</v>
      </c>
      <c r="W2" s="161">
        <f>(AF2/SUM(AF$2:AF$22))*0.98</f>
        <v>0.13720000000000002</v>
      </c>
      <c r="X2" s="20">
        <v>5.8999999999999997E-2</v>
      </c>
      <c r="Y2" s="22"/>
      <c r="Z2" s="23"/>
      <c r="AA2" s="1"/>
      <c r="AB2" s="1"/>
      <c r="AC2" s="1"/>
      <c r="AE2" s="20">
        <v>0.95</v>
      </c>
      <c r="AF2" s="20">
        <v>0.14000000000000001</v>
      </c>
      <c r="AG2" s="181"/>
      <c r="AH2" s="181"/>
    </row>
    <row r="3" spans="1:34" x14ac:dyDescent="0.2">
      <c r="A3" s="18" t="s">
        <v>34</v>
      </c>
      <c r="B3" s="19" t="s">
        <v>9</v>
      </c>
      <c r="C3" s="19">
        <v>7</v>
      </c>
      <c r="D3" s="157">
        <f>D$34*Q3</f>
        <v>30.022649999999999</v>
      </c>
      <c r="E3" s="157">
        <f t="shared" ref="E3:F4" si="1">D3*R3</f>
        <v>18.957690112213761</v>
      </c>
      <c r="F3" s="157">
        <f t="shared" si="1"/>
        <v>203.98474560742008</v>
      </c>
      <c r="G3" s="157">
        <f t="shared" si="0"/>
        <v>1.3858071472028259</v>
      </c>
      <c r="H3" s="157">
        <f t="shared" ref="H3:H4" si="2">E3*U3</f>
        <v>0.74387271583779924</v>
      </c>
      <c r="I3" s="157">
        <f t="shared" ref="I3:I4" si="3">D$37*W3</f>
        <v>2.2468803000000004</v>
      </c>
      <c r="J3" s="157">
        <f>I3*V3</f>
        <v>6.5114942493224293</v>
      </c>
      <c r="K3" s="157">
        <f>I3*X3</f>
        <v>4.1573164207364309E-2</v>
      </c>
      <c r="L3" s="158"/>
      <c r="M3" s="158"/>
      <c r="N3" s="158"/>
      <c r="O3" s="158"/>
      <c r="Q3" s="161">
        <f t="shared" ref="Q3:Q4" si="4">AE3</f>
        <v>0.05</v>
      </c>
      <c r="R3" s="116">
        <v>0.63144626181279007</v>
      </c>
      <c r="S3" s="115">
        <v>10.76</v>
      </c>
      <c r="T3" s="116">
        <v>7.3099999999999998E-2</v>
      </c>
      <c r="U3" s="20">
        <v>3.9238573446168351E-2</v>
      </c>
      <c r="V3" s="115">
        <v>2.8980156394278893</v>
      </c>
      <c r="W3" s="161">
        <f t="shared" ref="W3:W4" si="5">(AF3/SUM(AF$2:AF$22))*0.98</f>
        <v>4.8999999999999998E-3</v>
      </c>
      <c r="X3" s="20">
        <v>1.8502616364282645E-2</v>
      </c>
      <c r="Y3" s="22"/>
      <c r="Z3" s="23"/>
      <c r="AA3" s="1"/>
      <c r="AB3" s="1"/>
      <c r="AC3" s="1"/>
      <c r="AE3" s="20">
        <v>0.05</v>
      </c>
      <c r="AF3" s="20">
        <v>5.0000000000000001E-3</v>
      </c>
      <c r="AG3" s="181"/>
      <c r="AH3" s="181"/>
    </row>
    <row r="4" spans="1:34" x14ac:dyDescent="0.2">
      <c r="B4" s="19" t="s">
        <v>9</v>
      </c>
      <c r="C4" s="19">
        <v>7</v>
      </c>
      <c r="D4" s="157">
        <f>D$34*Q4</f>
        <v>0</v>
      </c>
      <c r="E4" s="157">
        <f t="shared" si="1"/>
        <v>0</v>
      </c>
      <c r="F4" s="157">
        <f t="shared" si="1"/>
        <v>0</v>
      </c>
      <c r="G4" s="157">
        <f t="shared" si="0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115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>
        <v>0</v>
      </c>
      <c r="AF4" s="20">
        <v>0</v>
      </c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79</v>
      </c>
      <c r="B7" s="19" t="s">
        <v>256</v>
      </c>
      <c r="C7" s="19">
        <v>7</v>
      </c>
      <c r="D7" s="158"/>
      <c r="E7" s="158"/>
      <c r="F7" s="158"/>
      <c r="G7" s="158"/>
      <c r="H7" s="158"/>
      <c r="I7" s="157">
        <f t="shared" ref="I7:I12" si="6">D$37*W7</f>
        <v>242.21369634000004</v>
      </c>
      <c r="J7" s="157">
        <f>I7*V7</f>
        <v>1073.0066747862002</v>
      </c>
      <c r="K7" s="157">
        <f>I7*X7</f>
        <v>7.0241971938600019</v>
      </c>
      <c r="L7" s="157">
        <f>((D$2+D$3+D$4)*AA7)</f>
        <v>48.252403080000001</v>
      </c>
      <c r="M7" s="157">
        <f t="shared" ref="M7:N12" si="7">L7*Y7</f>
        <v>33.779714624507861</v>
      </c>
      <c r="N7" s="157">
        <f t="shared" si="7"/>
        <v>263.67834617161469</v>
      </c>
      <c r="O7" s="157">
        <f>M7*AH7</f>
        <v>0.91205229486171224</v>
      </c>
      <c r="Q7" s="14"/>
      <c r="R7" s="149"/>
      <c r="S7" s="148"/>
      <c r="T7" s="149"/>
      <c r="U7" s="149"/>
      <c r="V7" s="21">
        <v>4.43</v>
      </c>
      <c r="W7" s="161">
        <f t="shared" ref="W7:W12" si="8">(AF7/SUM(AF$2:AF$22))*0.98</f>
        <v>0.52822000000000002</v>
      </c>
      <c r="X7" s="20">
        <v>2.9000000000000001E-2</v>
      </c>
      <c r="Y7" s="20">
        <v>0.70006284595821755</v>
      </c>
      <c r="Z7" s="21">
        <v>7.8058192350834945</v>
      </c>
      <c r="AA7" s="161">
        <f>(AG7/SUM(AG$7:AG$27))*0.98</f>
        <v>8.0360000000000001E-2</v>
      </c>
      <c r="AB7" s="8">
        <v>0.19523954163326915</v>
      </c>
      <c r="AC7" s="161">
        <f>(AH7/SUM(AH$7:AH$27))*0.98</f>
        <v>3.8911764705882347E-2</v>
      </c>
      <c r="AE7" s="181"/>
      <c r="AF7" s="20">
        <v>0.53900000000000003</v>
      </c>
      <c r="AG7" s="20">
        <v>8.2000000000000003E-2</v>
      </c>
      <c r="AH7" s="20">
        <v>2.7E-2</v>
      </c>
    </row>
    <row r="8" spans="1:34" x14ac:dyDescent="0.2">
      <c r="A8" s="186" t="s">
        <v>226</v>
      </c>
      <c r="B8" s="19" t="s">
        <v>256</v>
      </c>
      <c r="C8" s="19">
        <v>7</v>
      </c>
      <c r="D8" s="158"/>
      <c r="E8" s="158"/>
      <c r="F8" s="158"/>
      <c r="G8" s="158"/>
      <c r="H8" s="158"/>
      <c r="I8" s="157">
        <f t="shared" si="6"/>
        <v>52.576999020000009</v>
      </c>
      <c r="J8" s="157">
        <f>I8*V8</f>
        <v>226.60686577620001</v>
      </c>
      <c r="K8" s="157">
        <f>I8*X8</f>
        <v>1.9453489637400003</v>
      </c>
      <c r="L8" s="157">
        <f>((D$2+D$3+D$4)*AA8)</f>
        <v>41.1910758</v>
      </c>
      <c r="M8" s="157">
        <f t="shared" si="7"/>
        <v>28.255536884916104</v>
      </c>
      <c r="N8" s="157">
        <f t="shared" si="7"/>
        <v>246.3799652643273</v>
      </c>
      <c r="O8" s="157">
        <f t="shared" ref="O8:O12" si="9">M8*AH8</f>
        <v>1.073710401626812</v>
      </c>
      <c r="Q8" s="14"/>
      <c r="R8" s="149"/>
      <c r="S8" s="148"/>
      <c r="T8" s="149"/>
      <c r="U8" s="149"/>
      <c r="V8" s="21">
        <v>4.3099999999999996</v>
      </c>
      <c r="W8" s="161">
        <f t="shared" si="8"/>
        <v>0.11466</v>
      </c>
      <c r="X8" s="20">
        <v>3.6999999999999998E-2</v>
      </c>
      <c r="Y8" s="20">
        <v>0.6859625862191272</v>
      </c>
      <c r="Z8" s="21">
        <v>8.7197056728323723</v>
      </c>
      <c r="AA8" s="161">
        <f t="shared" ref="AA8:AA12" si="10">(AG8/SUM(AG$7:AG$27))*0.98</f>
        <v>6.8600000000000008E-2</v>
      </c>
      <c r="AB8" s="8">
        <v>2.8601058003566718E-2</v>
      </c>
      <c r="AC8" s="161">
        <f t="shared" ref="AC8:AC12" si="11">(AH8/SUM(AH$7:AH$27))*0.98</f>
        <v>5.4764705882352938E-2</v>
      </c>
      <c r="AE8" s="181"/>
      <c r="AF8" s="20">
        <v>0.11700000000000001</v>
      </c>
      <c r="AG8" s="20">
        <v>7.0000000000000007E-2</v>
      </c>
      <c r="AH8" s="20">
        <v>3.7999999999999999E-2</v>
      </c>
    </row>
    <row r="9" spans="1:34" x14ac:dyDescent="0.2">
      <c r="A9" s="18" t="s">
        <v>584</v>
      </c>
      <c r="B9" s="19" t="s">
        <v>256</v>
      </c>
      <c r="C9" s="19">
        <v>7</v>
      </c>
      <c r="D9" s="158"/>
      <c r="E9" s="158"/>
      <c r="F9" s="158"/>
      <c r="G9" s="158"/>
      <c r="H9" s="158"/>
      <c r="I9" s="157">
        <f t="shared" si="6"/>
        <v>41.342597520000005</v>
      </c>
      <c r="J9" s="157">
        <f>I9*V9</f>
        <v>166.42020620146423</v>
      </c>
      <c r="K9" s="157">
        <f>I9*X9</f>
        <v>1.4469909132000003</v>
      </c>
      <c r="L9" s="157">
        <f>((D$2+D$3+D$4)*AA9)</f>
        <v>14.7110985</v>
      </c>
      <c r="M9" s="157">
        <f t="shared" si="7"/>
        <v>10.924447056799806</v>
      </c>
      <c r="N9" s="157">
        <f t="shared" si="7"/>
        <v>88.857166478736829</v>
      </c>
      <c r="O9" s="157">
        <f t="shared" si="9"/>
        <v>0.26218672936319537</v>
      </c>
      <c r="Q9" s="14"/>
      <c r="R9" s="149"/>
      <c r="S9" s="148"/>
      <c r="T9" s="149"/>
      <c r="U9" s="149"/>
      <c r="V9" s="21">
        <v>4.0253930856897986</v>
      </c>
      <c r="W9" s="161">
        <f t="shared" si="8"/>
        <v>9.015999999999999E-2</v>
      </c>
      <c r="X9" s="20">
        <v>3.5000000000000003E-2</v>
      </c>
      <c r="Y9" s="20">
        <v>0.74259900148175928</v>
      </c>
      <c r="Z9" s="21">
        <v>8.1337907554257978</v>
      </c>
      <c r="AA9" s="161">
        <f t="shared" si="10"/>
        <v>2.4500000000000001E-2</v>
      </c>
      <c r="AB9" s="8">
        <v>7.811405791954551E-3</v>
      </c>
      <c r="AC9" s="161">
        <f t="shared" si="11"/>
        <v>3.4588235294117649E-2</v>
      </c>
      <c r="AE9" s="181"/>
      <c r="AF9" s="20">
        <v>9.1999999999999998E-2</v>
      </c>
      <c r="AG9" s="20">
        <v>2.5000000000000001E-2</v>
      </c>
      <c r="AH9" s="20">
        <v>2.4E-2</v>
      </c>
    </row>
    <row r="10" spans="1:34" x14ac:dyDescent="0.2">
      <c r="A10" s="43"/>
      <c r="B10" s="19" t="s">
        <v>256</v>
      </c>
      <c r="C10" s="19">
        <v>7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8.4219091272792462E-3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A11" s="43"/>
      <c r="B11" s="19" t="s">
        <v>256</v>
      </c>
      <c r="C11" s="19">
        <v>7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1.14793355909557E-2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7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/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101</v>
      </c>
      <c r="B15" s="19" t="s">
        <v>257</v>
      </c>
      <c r="C15" s="19">
        <v>7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112.98123647999999</v>
      </c>
      <c r="M15" s="157">
        <f t="shared" ref="M15:N22" si="19">L15*Y15</f>
        <v>70.678545573413743</v>
      </c>
      <c r="N15" s="157">
        <f t="shared" si="19"/>
        <v>798.66756497957533</v>
      </c>
      <c r="O15" s="157">
        <f t="shared" ref="O15:O22" si="20">M15*AH15</f>
        <v>5.2302123724326171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0.62557773109453707</v>
      </c>
      <c r="Z15" s="21">
        <v>11.3</v>
      </c>
      <c r="AA15" s="161">
        <f t="shared" ref="AA15:AA22" si="22">(AG15/SUM(AG$7:AG$27))*0.98</f>
        <v>0.18815999999999999</v>
      </c>
      <c r="AB15" s="8">
        <v>0.18002907075064498</v>
      </c>
      <c r="AC15" s="161">
        <f t="shared" ref="AC15:AC22" si="23">(AH15/SUM(AH$7:AH$27))*0.98</f>
        <v>0.1066470588235294</v>
      </c>
      <c r="AE15" s="181"/>
      <c r="AF15" s="20">
        <v>0</v>
      </c>
      <c r="AG15" s="20">
        <v>0.192</v>
      </c>
      <c r="AH15" s="20">
        <v>7.3999999999999996E-2</v>
      </c>
    </row>
    <row r="16" spans="1:34" x14ac:dyDescent="0.2">
      <c r="A16" s="18" t="s">
        <v>571</v>
      </c>
      <c r="B16" s="19" t="s">
        <v>257</v>
      </c>
      <c r="C16" s="19">
        <v>7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86.501259179999991</v>
      </c>
      <c r="M16" s="157">
        <f t="shared" si="19"/>
        <v>47.151009549006233</v>
      </c>
      <c r="N16" s="157">
        <f t="shared" si="19"/>
        <v>681.33208798314001</v>
      </c>
      <c r="O16" s="157">
        <f t="shared" si="20"/>
        <v>3.5834767257244735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0.54509044141068463</v>
      </c>
      <c r="Z16" s="21">
        <v>14.45</v>
      </c>
      <c r="AA16" s="161">
        <f t="shared" si="22"/>
        <v>0.14405999999999999</v>
      </c>
      <c r="AB16" s="8">
        <v>0.18309885137357515</v>
      </c>
      <c r="AC16" s="161">
        <f t="shared" si="23"/>
        <v>0.10952941176470588</v>
      </c>
      <c r="AE16" s="181"/>
      <c r="AF16" s="20">
        <v>0</v>
      </c>
      <c r="AG16" s="20">
        <v>0.14699999999999999</v>
      </c>
      <c r="AH16" s="20">
        <v>7.5999999999999998E-2</v>
      </c>
    </row>
    <row r="17" spans="1:34" x14ac:dyDescent="0.2">
      <c r="A17" s="186" t="s">
        <v>605</v>
      </c>
      <c r="B17" s="19" t="s">
        <v>257</v>
      </c>
      <c r="C17" s="19">
        <v>7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107.68524101999999</v>
      </c>
      <c r="M17" s="157">
        <f t="shared" si="19"/>
        <v>64.176582360608236</v>
      </c>
      <c r="N17" s="157">
        <f t="shared" si="19"/>
        <v>828.29852932366464</v>
      </c>
      <c r="O17" s="157">
        <f t="shared" si="20"/>
        <v>5.3908329182910926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0.59596451428927899</v>
      </c>
      <c r="Z17" s="21">
        <v>12.90655405533213</v>
      </c>
      <c r="AA17" s="161">
        <f t="shared" si="22"/>
        <v>0.17934</v>
      </c>
      <c r="AB17" s="8">
        <v>0.10033620703176584</v>
      </c>
      <c r="AC17" s="161">
        <f t="shared" si="23"/>
        <v>0.12105882352941177</v>
      </c>
      <c r="AE17" s="181"/>
      <c r="AF17" s="20">
        <v>0</v>
      </c>
      <c r="AG17" s="20">
        <v>0.183</v>
      </c>
      <c r="AH17" s="20">
        <v>8.4000000000000005E-2</v>
      </c>
    </row>
    <row r="18" spans="1:34" x14ac:dyDescent="0.2">
      <c r="A18" s="18" t="s">
        <v>551</v>
      </c>
      <c r="B18" s="19" t="s">
        <v>257</v>
      </c>
      <c r="C18" s="19">
        <v>7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61.78661369999999</v>
      </c>
      <c r="M18" s="157">
        <f t="shared" si="19"/>
        <v>34.240131916239953</v>
      </c>
      <c r="N18" s="157">
        <f t="shared" si="19"/>
        <v>486.55227452976976</v>
      </c>
      <c r="O18" s="157">
        <f t="shared" si="20"/>
        <v>2.3283289703043168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0.55416747845237491</v>
      </c>
      <c r="Z18" s="21">
        <v>14.21</v>
      </c>
      <c r="AA18" s="161">
        <f t="shared" si="22"/>
        <v>0.10289999999999999</v>
      </c>
      <c r="AB18" s="8">
        <v>6.295807984469376E-2</v>
      </c>
      <c r="AC18" s="161">
        <f t="shared" si="23"/>
        <v>9.8000000000000004E-2</v>
      </c>
      <c r="AE18" s="181"/>
      <c r="AF18" s="20">
        <v>0</v>
      </c>
      <c r="AG18" s="20">
        <v>0.105</v>
      </c>
      <c r="AH18" s="20">
        <v>6.8000000000000005E-2</v>
      </c>
    </row>
    <row r="19" spans="1:34" x14ac:dyDescent="0.2">
      <c r="A19" s="18" t="s">
        <v>548</v>
      </c>
      <c r="B19" s="19" t="s">
        <v>257</v>
      </c>
      <c r="C19" s="19">
        <v>7</v>
      </c>
      <c r="D19" s="158"/>
      <c r="E19" s="158"/>
      <c r="F19" s="158"/>
      <c r="G19" s="158"/>
      <c r="H19" s="158"/>
      <c r="I19" s="157">
        <f t="shared" si="15"/>
        <v>48.083238420000008</v>
      </c>
      <c r="J19" s="157">
        <f t="shared" si="16"/>
        <v>364.58056684789727</v>
      </c>
      <c r="K19" s="157">
        <f t="shared" si="17"/>
        <v>2.9811607820400003</v>
      </c>
      <c r="L19" s="157">
        <f t="shared" si="18"/>
        <v>27.068421239999996</v>
      </c>
      <c r="M19" s="157">
        <f t="shared" si="19"/>
        <v>19.271287441701954</v>
      </c>
      <c r="N19" s="157">
        <f t="shared" si="19"/>
        <v>200.65953977642488</v>
      </c>
      <c r="O19" s="157">
        <f t="shared" si="20"/>
        <v>1.0406495218519056</v>
      </c>
      <c r="Q19" s="14"/>
      <c r="R19" s="149"/>
      <c r="S19" s="148"/>
      <c r="T19" s="149"/>
      <c r="U19" s="149"/>
      <c r="V19" s="21">
        <v>7.5822797887143061</v>
      </c>
      <c r="W19" s="161">
        <f t="shared" si="21"/>
        <v>0.10485999999999999</v>
      </c>
      <c r="X19" s="20">
        <v>6.2E-2</v>
      </c>
      <c r="Y19" s="20">
        <v>0.71194722702275914</v>
      </c>
      <c r="Z19" s="21">
        <v>10.412357782708861</v>
      </c>
      <c r="AA19" s="161">
        <f t="shared" si="22"/>
        <v>4.5079999999999995E-2</v>
      </c>
      <c r="AB19" s="8">
        <v>4.6208358846457104E-2</v>
      </c>
      <c r="AC19" s="161">
        <f t="shared" si="23"/>
        <v>7.7823529411764694E-2</v>
      </c>
      <c r="AE19" s="181"/>
      <c r="AF19" s="20">
        <v>0.107</v>
      </c>
      <c r="AG19" s="20">
        <v>4.5999999999999999E-2</v>
      </c>
      <c r="AH19" s="20">
        <v>5.3999999999999999E-2</v>
      </c>
    </row>
    <row r="20" spans="1:34" x14ac:dyDescent="0.2">
      <c r="A20" s="186"/>
      <c r="B20" s="19" t="s">
        <v>257</v>
      </c>
      <c r="C20" s="19">
        <v>7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1.9754716531954681E-3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7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1.9288069684743152E-3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7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/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24</v>
      </c>
      <c r="B24" s="19" t="s">
        <v>10</v>
      </c>
      <c r="C24" s="19">
        <v>7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62.375057639999994</v>
      </c>
      <c r="M24" s="157">
        <f t="shared" ref="M24:N27" si="24">L24*Y24</f>
        <v>43.987078475378276</v>
      </c>
      <c r="N24" s="157">
        <f t="shared" si="24"/>
        <v>400.2824141259423</v>
      </c>
      <c r="O24" s="157">
        <f t="shared" ref="O24:O27" si="25">M24*AH24</f>
        <v>3.6949145919317754</v>
      </c>
      <c r="Q24" s="14"/>
      <c r="R24" s="149"/>
      <c r="S24" s="148"/>
      <c r="T24" s="149"/>
      <c r="U24" s="149"/>
      <c r="V24" s="150"/>
      <c r="W24" s="165"/>
      <c r="X24" s="149"/>
      <c r="Y24" s="20">
        <v>0.70520301126215168</v>
      </c>
      <c r="Z24" s="115">
        <v>9.1</v>
      </c>
      <c r="AA24" s="161">
        <f t="shared" ref="AA24:AA27" si="26">(AG24/SUM(AG$7:AG$27))*0.98</f>
        <v>0.10388</v>
      </c>
      <c r="AB24" s="8">
        <v>6.969921651998548E-2</v>
      </c>
      <c r="AC24" s="161">
        <f t="shared" ref="AC24:AC27" si="27">(AH24/SUM(AH$7:AH$27))*0.98</f>
        <v>0.12105882352941177</v>
      </c>
      <c r="AE24" s="181"/>
      <c r="AF24" s="181"/>
      <c r="AG24" s="20">
        <v>0.106</v>
      </c>
      <c r="AH24" s="20">
        <v>8.4000000000000005E-2</v>
      </c>
    </row>
    <row r="25" spans="1:34" x14ac:dyDescent="0.2">
      <c r="A25" s="18" t="s">
        <v>7</v>
      </c>
      <c r="B25" s="19" t="s">
        <v>10</v>
      </c>
      <c r="C25" s="19">
        <v>7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8.8266590999999988</v>
      </c>
      <c r="M25" s="157">
        <f t="shared" si="24"/>
        <v>6.5754703001501724</v>
      </c>
      <c r="N25" s="157">
        <f t="shared" si="24"/>
        <v>61.464953862849072</v>
      </c>
      <c r="O25" s="157">
        <f t="shared" si="25"/>
        <v>0.40110368830916049</v>
      </c>
      <c r="Q25" s="14"/>
      <c r="R25" s="149"/>
      <c r="S25" s="148"/>
      <c r="T25" s="149"/>
      <c r="U25" s="149"/>
      <c r="V25" s="150"/>
      <c r="W25" s="165"/>
      <c r="X25" s="149"/>
      <c r="Y25" s="20">
        <v>0.74495573304175455</v>
      </c>
      <c r="Z25" s="115">
        <v>9.3476133351929693</v>
      </c>
      <c r="AA25" s="161">
        <f t="shared" si="26"/>
        <v>1.47E-2</v>
      </c>
      <c r="AB25" s="8">
        <v>4.3820774496873237E-2</v>
      </c>
      <c r="AC25" s="161">
        <f t="shared" si="27"/>
        <v>8.7911764705882342E-2</v>
      </c>
      <c r="AE25" s="181"/>
      <c r="AF25" s="181"/>
      <c r="AG25" s="20">
        <v>1.4999999999999999E-2</v>
      </c>
      <c r="AH25" s="20">
        <v>6.0999999999999999E-2</v>
      </c>
    </row>
    <row r="26" spans="1:34" x14ac:dyDescent="0.2">
      <c r="A26" s="18" t="s">
        <v>216</v>
      </c>
      <c r="B26" s="19" t="s">
        <v>10</v>
      </c>
      <c r="C26" s="19">
        <v>7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17.06487426</v>
      </c>
      <c r="M26" s="157">
        <f t="shared" si="24"/>
        <v>10.156222830388456</v>
      </c>
      <c r="N26" s="157">
        <f t="shared" si="24"/>
        <v>104.94190783760391</v>
      </c>
      <c r="O26" s="157">
        <f t="shared" si="25"/>
        <v>0.91406005473496099</v>
      </c>
      <c r="Q26" s="14"/>
      <c r="R26" s="149"/>
      <c r="S26" s="148"/>
      <c r="T26" s="149"/>
      <c r="U26" s="149"/>
      <c r="V26" s="150"/>
      <c r="W26" s="165"/>
      <c r="X26" s="149"/>
      <c r="Y26" s="20">
        <v>0.59515368678658265</v>
      </c>
      <c r="Z26" s="115">
        <v>10.332769336608782</v>
      </c>
      <c r="AA26" s="161">
        <f t="shared" si="26"/>
        <v>2.8420000000000001E-2</v>
      </c>
      <c r="AB26" s="8">
        <v>3.3391912367309158E-2</v>
      </c>
      <c r="AC26" s="161">
        <f t="shared" si="27"/>
        <v>0.12970588235294114</v>
      </c>
      <c r="AE26" s="181"/>
      <c r="AF26" s="181"/>
      <c r="AG26" s="20">
        <v>2.9000000000000001E-2</v>
      </c>
      <c r="AH26" s="20">
        <v>0.09</v>
      </c>
    </row>
    <row r="27" spans="1:34" x14ac:dyDescent="0.2">
      <c r="B27" s="19" t="s">
        <v>10</v>
      </c>
      <c r="C27" s="19">
        <v>7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21">
        <v>0</v>
      </c>
      <c r="AA27" s="161">
        <f t="shared" si="26"/>
        <v>0</v>
      </c>
      <c r="AB27" s="8"/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0.97499999999999987</v>
      </c>
      <c r="AC30" s="161">
        <f>SUM(AC7:AC27)</f>
        <v>0.98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1059</v>
      </c>
      <c r="E31" s="48">
        <v>0.56699999999999995</v>
      </c>
      <c r="F31" s="2">
        <f>1-E31</f>
        <v>0.43300000000000005</v>
      </c>
      <c r="G31" s="114">
        <v>4.7</v>
      </c>
      <c r="H31" s="134">
        <v>3.7499999999999999E-2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600.45299999999997</v>
      </c>
      <c r="E34" s="167">
        <f>SUM(E2:E4)</f>
        <v>373.7687239352951</v>
      </c>
      <c r="F34" s="167">
        <f>SUM(F2:F4)</f>
        <v>4170.7721037494694</v>
      </c>
      <c r="G34" s="167">
        <f>SUM(G2:G4)</f>
        <v>24.838816482908506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458.54700000000008</v>
      </c>
      <c r="E37" s="167">
        <f>D37*G31</f>
        <v>2155.1709000000005</v>
      </c>
      <c r="F37" s="167">
        <f>D37*H31</f>
        <v>17.195512500000003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1" t="s">
        <v>353</v>
      </c>
      <c r="E39" s="172" t="s">
        <v>354</v>
      </c>
      <c r="F39" s="11" t="s">
        <v>355</v>
      </c>
      <c r="G39" s="11" t="s">
        <v>351</v>
      </c>
      <c r="H39" s="172" t="s">
        <v>352</v>
      </c>
      <c r="I39" s="11" t="s">
        <v>356</v>
      </c>
      <c r="J39" s="171" t="s">
        <v>357</v>
      </c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E39" s="38"/>
      <c r="AF39" s="38"/>
    </row>
    <row r="40" spans="1:32" ht="15" thickBot="1" x14ac:dyDescent="0.25">
      <c r="D40" s="168">
        <f>SUM(I2:I22)</f>
        <v>449.37606000000011</v>
      </c>
      <c r="E40" s="168">
        <f>SUM(J2:J4,J7:J12,J15:J22)</f>
        <v>2153.5764293130842</v>
      </c>
      <c r="F40" s="168">
        <f>SUM(K2:K4,K7:K12,K15:K22)</f>
        <v>17.151117272647369</v>
      </c>
      <c r="G40" s="168">
        <f>SUM(L7:L12,L15:L22,L24:L27)</f>
        <v>588.44394</v>
      </c>
      <c r="H40" s="168">
        <f>SUM(M7:M12,M15:M22,M24:M27)</f>
        <v>369.19602701311078</v>
      </c>
      <c r="I40" s="168">
        <f>SUM(N7:N12,N15:N22,N24:N27)</f>
        <v>4161.1147503336488</v>
      </c>
      <c r="J40" s="168">
        <f>SUM(O7:O12,O15:O22,O24:O27)</f>
        <v>24.831528269432017</v>
      </c>
      <c r="Q40" s="19"/>
      <c r="R40" s="19"/>
      <c r="S40" s="19"/>
      <c r="T40" s="19"/>
      <c r="U40" s="19"/>
      <c r="V40" s="19"/>
      <c r="W40" s="19"/>
      <c r="X40" s="19"/>
      <c r="Y40" s="19"/>
      <c r="Z40" s="19"/>
      <c r="AC40" s="19"/>
    </row>
    <row r="41" spans="1:32" ht="15" thickTop="1" x14ac:dyDescent="0.2">
      <c r="D41" s="169">
        <f>D37-D40</f>
        <v>9.1709399999999732</v>
      </c>
      <c r="E41" s="169">
        <f>E37-E40</f>
        <v>1.5944706869163383</v>
      </c>
      <c r="F41" s="169">
        <f>F37-F40</f>
        <v>4.4395227352634237E-2</v>
      </c>
      <c r="G41" s="169">
        <f>SUM(D2:D4)-G40</f>
        <v>12.009059999999977</v>
      </c>
      <c r="H41" s="169">
        <f>E34-H40</f>
        <v>4.5726969221843206</v>
      </c>
      <c r="I41" s="169">
        <f>F34-I40</f>
        <v>9.6573534158205803</v>
      </c>
      <c r="J41" s="169">
        <f>G34-J40</f>
        <v>7.2882134764888917E-3</v>
      </c>
      <c r="Q41" s="19"/>
      <c r="R41" s="19"/>
      <c r="S41" s="19"/>
      <c r="T41" s="19"/>
      <c r="U41" s="19"/>
      <c r="V41" s="19"/>
      <c r="W41" s="19"/>
      <c r="X41" s="19"/>
      <c r="Y41" s="19"/>
      <c r="Z41" s="19"/>
      <c r="AC41" s="19"/>
    </row>
    <row r="42" spans="1:32" x14ac:dyDescent="0.2">
      <c r="I42" s="27"/>
      <c r="J42" s="26"/>
      <c r="K42" s="27"/>
      <c r="L42" s="27"/>
      <c r="M42" s="26"/>
      <c r="N42" s="27"/>
      <c r="O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C42" s="19"/>
    </row>
    <row r="43" spans="1:32" x14ac:dyDescent="0.2">
      <c r="I43" s="27"/>
      <c r="J43" s="26"/>
      <c r="K43" s="27"/>
      <c r="L43" s="27"/>
      <c r="M43" s="26"/>
      <c r="N43" s="27"/>
      <c r="O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C43" s="19"/>
    </row>
    <row r="44" spans="1:32" x14ac:dyDescent="0.2">
      <c r="I44" s="27"/>
      <c r="J44" s="26"/>
      <c r="K44" s="27"/>
      <c r="L44" s="27"/>
      <c r="M44" s="26"/>
      <c r="N44" s="27"/>
      <c r="O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C44" s="19"/>
    </row>
  </sheetData>
  <sheetProtection selectLockedCells="1"/>
  <conditionalFormatting sqref="D41:J41">
    <cfRule type="cellIs" dxfId="83" priority="1" operator="lessThan">
      <formula>0</formula>
    </cfRule>
  </conditionalFormatting>
  <conditionalFormatting sqref="W30">
    <cfRule type="cellIs" dxfId="82" priority="2" operator="greaterThan">
      <formula>1</formula>
    </cfRule>
  </conditionalFormatting>
  <conditionalFormatting sqref="AA30:AG30">
    <cfRule type="cellIs" dxfId="81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33CC"/>
  </sheetPr>
  <dimension ref="A1:AH46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206</v>
      </c>
      <c r="B2" s="19" t="s">
        <v>9</v>
      </c>
      <c r="C2" s="19">
        <v>13</v>
      </c>
      <c r="D2" s="157">
        <f>D$34*Q2</f>
        <v>454.26263999999992</v>
      </c>
      <c r="E2" s="157">
        <f>D2*R2</f>
        <v>283.00562471999996</v>
      </c>
      <c r="F2" s="157">
        <f>E2*S2</f>
        <v>3298.3833288393953</v>
      </c>
      <c r="G2" s="157">
        <f t="shared" ref="G2:G4" si="0">E2*T2</f>
        <v>24.055478101199999</v>
      </c>
      <c r="H2" s="157">
        <f>E2*U2</f>
        <v>12.452247487679998</v>
      </c>
      <c r="I2" s="157">
        <f>D$37*W2</f>
        <v>143.11168144000001</v>
      </c>
      <c r="J2" s="157">
        <f>I2*V2</f>
        <v>981.74613467840015</v>
      </c>
      <c r="K2" s="157">
        <f>I2*X2</f>
        <v>7.1555840720000008</v>
      </c>
      <c r="L2" s="158"/>
      <c r="M2" s="158"/>
      <c r="N2" s="158"/>
      <c r="O2" s="158"/>
      <c r="Q2" s="161">
        <f>AE2</f>
        <v>0.97</v>
      </c>
      <c r="R2" s="116">
        <v>0.623</v>
      </c>
      <c r="S2" s="115">
        <v>11.654833122496237</v>
      </c>
      <c r="T2" s="116">
        <v>8.5000000000000006E-2</v>
      </c>
      <c r="U2" s="20">
        <v>4.3999999999999997E-2</v>
      </c>
      <c r="V2" s="115">
        <v>6.86</v>
      </c>
      <c r="W2" s="161">
        <f>(AF2/SUM(AF$2:AF$22))*0.98</f>
        <v>0.27538000000000001</v>
      </c>
      <c r="X2" s="20">
        <v>0.05</v>
      </c>
      <c r="Y2" s="22"/>
      <c r="Z2" s="23"/>
      <c r="AA2" s="1"/>
      <c r="AB2" s="1"/>
      <c r="AC2" s="1"/>
      <c r="AE2" s="20">
        <v>0.97</v>
      </c>
      <c r="AF2" s="20">
        <v>0.28100000000000003</v>
      </c>
      <c r="AG2" s="181"/>
      <c r="AH2" s="181"/>
    </row>
    <row r="3" spans="1:34" x14ac:dyDescent="0.2">
      <c r="A3" s="18" t="s">
        <v>688</v>
      </c>
      <c r="B3" s="19" t="s">
        <v>9</v>
      </c>
      <c r="C3" s="19">
        <v>13</v>
      </c>
      <c r="D3" s="157">
        <f>D$34*Q3</f>
        <v>14.049360000000011</v>
      </c>
      <c r="E3" s="157">
        <f t="shared" ref="E3:F4" si="1">D3*R3</f>
        <v>8.3340803520000062</v>
      </c>
      <c r="F3" s="157">
        <f t="shared" si="1"/>
        <v>90.25809021216007</v>
      </c>
      <c r="G3" s="157">
        <f t="shared" si="0"/>
        <v>0.61505512997760048</v>
      </c>
      <c r="H3" s="157">
        <f t="shared" ref="H3:H4" si="2">E3*U3</f>
        <v>0.45837441936000034</v>
      </c>
      <c r="I3" s="157">
        <f t="shared" ref="I3:I4" si="3">D$37*W3</f>
        <v>2.5464712</v>
      </c>
      <c r="J3" s="157">
        <f>I3*V3</f>
        <v>7.9195254319999995</v>
      </c>
      <c r="K3" s="157">
        <f>I3*X3</f>
        <v>4.7116379696294466E-2</v>
      </c>
      <c r="L3" s="158"/>
      <c r="M3" s="158"/>
      <c r="N3" s="158"/>
      <c r="O3" s="158"/>
      <c r="Q3" s="161">
        <f t="shared" ref="Q3:Q4" si="4">AE3</f>
        <v>3.0000000000000027E-2</v>
      </c>
      <c r="R3" s="116">
        <v>0.59319999999999995</v>
      </c>
      <c r="S3" s="115">
        <v>10.83</v>
      </c>
      <c r="T3" s="116">
        <v>7.3800000000000004E-2</v>
      </c>
      <c r="U3" s="20">
        <v>5.5E-2</v>
      </c>
      <c r="V3" s="115">
        <v>3.11</v>
      </c>
      <c r="W3" s="161">
        <f t="shared" ref="W3:W4" si="5">(AF3/SUM(AF$2:AF$22))*0.98</f>
        <v>4.8999999999999998E-3</v>
      </c>
      <c r="X3" s="20">
        <v>1.8502616364282645E-2</v>
      </c>
      <c r="Y3" s="22"/>
      <c r="Z3" s="23"/>
      <c r="AA3" s="1"/>
      <c r="AB3" s="1"/>
      <c r="AC3" s="1"/>
      <c r="AE3" s="20">
        <f>1-AE2</f>
        <v>3.0000000000000027E-2</v>
      </c>
      <c r="AF3" s="20">
        <v>5.0000000000000001E-3</v>
      </c>
      <c r="AG3" s="181"/>
      <c r="AH3" s="181"/>
    </row>
    <row r="4" spans="1:34" x14ac:dyDescent="0.2">
      <c r="B4" s="19" t="s">
        <v>9</v>
      </c>
      <c r="C4" s="19">
        <v>13</v>
      </c>
      <c r="D4" s="157">
        <f>D$34*Q4</f>
        <v>0</v>
      </c>
      <c r="E4" s="157">
        <f t="shared" si="1"/>
        <v>0</v>
      </c>
      <c r="F4" s="157">
        <f t="shared" si="1"/>
        <v>0</v>
      </c>
      <c r="G4" s="157">
        <f t="shared" si="0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115">
        <v>0</v>
      </c>
      <c r="T4" s="116">
        <v>0</v>
      </c>
      <c r="U4" s="20">
        <v>0</v>
      </c>
      <c r="V4" s="115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227</v>
      </c>
      <c r="B7" s="19" t="s">
        <v>256</v>
      </c>
      <c r="C7" s="19">
        <v>13</v>
      </c>
      <c r="D7" s="158"/>
      <c r="E7" s="158"/>
      <c r="F7" s="158"/>
      <c r="G7" s="158"/>
      <c r="H7" s="158"/>
      <c r="I7" s="157">
        <f t="shared" ref="I7:I12" si="6">D$37*W7</f>
        <v>216.95934623999997</v>
      </c>
      <c r="J7" s="157">
        <f>I7*V7</f>
        <v>1008.8609600159999</v>
      </c>
      <c r="K7" s="157">
        <f>I7*X7</f>
        <v>8.8953331958399993</v>
      </c>
      <c r="L7" s="157">
        <f>((D$2+D$3+D$4)*AA7)</f>
        <v>36.715660799999995</v>
      </c>
      <c r="M7" s="157">
        <f t="shared" ref="M7:N12" si="7">L7*Y7</f>
        <v>25.299428871841087</v>
      </c>
      <c r="N7" s="157">
        <f t="shared" si="7"/>
        <v>195.05859660189478</v>
      </c>
      <c r="O7" s="157">
        <f>M7*AH7</f>
        <v>1.2649714435920545</v>
      </c>
      <c r="Q7" s="14"/>
      <c r="R7" s="149"/>
      <c r="S7" s="148"/>
      <c r="T7" s="149"/>
      <c r="U7" s="149"/>
      <c r="V7" s="21">
        <v>4.6500000000000004</v>
      </c>
      <c r="W7" s="161">
        <f t="shared" ref="W7:W12" si="8">(AF7/SUM(AF$2:AF$22))*0.98</f>
        <v>0.41747999999999996</v>
      </c>
      <c r="X7" s="20">
        <v>4.1000000000000002E-2</v>
      </c>
      <c r="Y7" s="20">
        <v>0.68906369436338977</v>
      </c>
      <c r="Z7" s="21">
        <v>7.71</v>
      </c>
      <c r="AA7" s="161">
        <f>(AG7/SUM(AG$7:AG$27))*0.98</f>
        <v>7.8399999999999997E-2</v>
      </c>
      <c r="AB7" s="8">
        <v>7.2668193894709771E-2</v>
      </c>
      <c r="AC7" s="161">
        <f>(AH7/SUM(AH$7:AH$27))*0.98</f>
        <v>6.4052287581699341E-2</v>
      </c>
      <c r="AE7" s="181"/>
      <c r="AF7" s="20">
        <v>0.42599999999999999</v>
      </c>
      <c r="AG7" s="20">
        <v>0.08</v>
      </c>
      <c r="AH7" s="20">
        <v>0.05</v>
      </c>
    </row>
    <row r="8" spans="1:34" x14ac:dyDescent="0.2">
      <c r="A8" s="18" t="s">
        <v>475</v>
      </c>
      <c r="B8" s="19" t="s">
        <v>256</v>
      </c>
      <c r="C8" s="19">
        <v>13</v>
      </c>
      <c r="D8" s="158"/>
      <c r="E8" s="158"/>
      <c r="F8" s="158"/>
      <c r="G8" s="158"/>
      <c r="H8" s="158"/>
      <c r="I8" s="157">
        <f t="shared" si="6"/>
        <v>20.881063839999999</v>
      </c>
      <c r="J8" s="157">
        <f>I8*V8</f>
        <v>89.162142596799995</v>
      </c>
      <c r="K8" s="157">
        <f>I8*X8</f>
        <v>0.79348042592000001</v>
      </c>
      <c r="L8" s="157">
        <f>((D$2+D$3+D$4)*AA8)</f>
        <v>13.768372799999998</v>
      </c>
      <c r="M8" s="157">
        <f t="shared" si="7"/>
        <v>9.2439438794031439</v>
      </c>
      <c r="N8" s="157">
        <f t="shared" si="7"/>
        <v>73.733399864192521</v>
      </c>
      <c r="O8" s="157">
        <f t="shared" ref="O8:O12" si="9">M8*AH8</f>
        <v>0.37900169905552894</v>
      </c>
      <c r="Q8" s="14"/>
      <c r="R8" s="149"/>
      <c r="S8" s="148"/>
      <c r="T8" s="149"/>
      <c r="U8" s="149"/>
      <c r="V8" s="21">
        <v>4.2699999999999996</v>
      </c>
      <c r="W8" s="161">
        <f t="shared" si="8"/>
        <v>4.018E-2</v>
      </c>
      <c r="X8" s="20">
        <v>3.7999999999999999E-2</v>
      </c>
      <c r="Y8" s="20">
        <v>0.67138971421540428</v>
      </c>
      <c r="Z8" s="21">
        <v>7.9764006387448223</v>
      </c>
      <c r="AA8" s="161">
        <f t="shared" ref="AA8:AA12" si="10">(AG8/SUM(AG$7:AG$27))*0.98</f>
        <v>2.9399999999999999E-2</v>
      </c>
      <c r="AB8" s="8">
        <v>8.885193964057371E-2</v>
      </c>
      <c r="AC8" s="161">
        <f t="shared" ref="AC8:AC12" si="11">(AH8/SUM(AH$7:AH$27))*0.98</f>
        <v>5.2522875816993463E-2</v>
      </c>
      <c r="AE8" s="181"/>
      <c r="AF8" s="20">
        <v>4.1000000000000002E-2</v>
      </c>
      <c r="AG8" s="20">
        <v>0.03</v>
      </c>
      <c r="AH8" s="20">
        <v>4.1000000000000002E-2</v>
      </c>
    </row>
    <row r="9" spans="1:34" x14ac:dyDescent="0.2">
      <c r="A9" s="18" t="s">
        <v>654</v>
      </c>
      <c r="B9" s="19" t="s">
        <v>256</v>
      </c>
      <c r="C9" s="19">
        <v>13</v>
      </c>
      <c r="D9" s="158"/>
      <c r="E9" s="158"/>
      <c r="F9" s="158"/>
      <c r="G9" s="158"/>
      <c r="H9" s="158"/>
      <c r="I9" s="157">
        <f t="shared" si="6"/>
        <v>112.04473279999999</v>
      </c>
      <c r="J9" s="157">
        <f>I9*V9</f>
        <v>481.79235103999997</v>
      </c>
      <c r="K9" s="157">
        <f>I9*X9</f>
        <v>4.7058787775999997</v>
      </c>
      <c r="L9" s="157">
        <f>((D$2+D$3+D$4)*AA9)</f>
        <v>33.044094719999997</v>
      </c>
      <c r="M9" s="157">
        <f t="shared" si="7"/>
        <v>23.094947501995961</v>
      </c>
      <c r="N9" s="157">
        <f t="shared" si="7"/>
        <v>183.66350045852619</v>
      </c>
      <c r="O9" s="157">
        <f t="shared" si="9"/>
        <v>1.1316524275978022</v>
      </c>
      <c r="Q9" s="14"/>
      <c r="R9" s="149"/>
      <c r="S9" s="148"/>
      <c r="T9" s="149"/>
      <c r="U9" s="149"/>
      <c r="V9" s="21">
        <v>4.3</v>
      </c>
      <c r="W9" s="161">
        <f t="shared" si="8"/>
        <v>0.21559999999999999</v>
      </c>
      <c r="X9" s="20">
        <v>4.2000000000000003E-2</v>
      </c>
      <c r="Y9" s="20">
        <v>0.69891300390256128</v>
      </c>
      <c r="Z9" s="21">
        <v>7.9525402879852072</v>
      </c>
      <c r="AA9" s="161">
        <f t="shared" si="10"/>
        <v>7.0559999999999998E-2</v>
      </c>
      <c r="AB9" s="8">
        <v>3.6086874636924879E-2</v>
      </c>
      <c r="AC9" s="161">
        <f t="shared" si="11"/>
        <v>6.2771241830065355E-2</v>
      </c>
      <c r="AE9" s="181"/>
      <c r="AF9" s="20">
        <v>0.22</v>
      </c>
      <c r="AG9" s="20">
        <v>7.1999999999999995E-2</v>
      </c>
      <c r="AH9" s="20">
        <v>4.9000000000000002E-2</v>
      </c>
    </row>
    <row r="10" spans="1:34" x14ac:dyDescent="0.2">
      <c r="A10" s="18" t="s">
        <v>234</v>
      </c>
      <c r="B10" s="19" t="s">
        <v>256</v>
      </c>
      <c r="C10" s="19">
        <v>13</v>
      </c>
      <c r="D10" s="158"/>
      <c r="E10" s="158"/>
      <c r="F10" s="158"/>
      <c r="G10" s="158"/>
      <c r="H10" s="158"/>
      <c r="I10" s="157">
        <f t="shared" si="6"/>
        <v>8.658002080000001</v>
      </c>
      <c r="J10" s="157">
        <f t="shared" ref="J10:J12" si="12">I10*V10</f>
        <v>35.497808528</v>
      </c>
      <c r="K10" s="157">
        <f t="shared" ref="K10:K12" si="13">I10*X10</f>
        <v>0.30303007280000005</v>
      </c>
      <c r="L10" s="157">
        <f t="shared" ref="L10:L12" si="14">((D$2+D$3+D$4)*AA10)</f>
        <v>16.522047359999998</v>
      </c>
      <c r="M10" s="157">
        <f t="shared" si="7"/>
        <v>10.699367488484683</v>
      </c>
      <c r="N10" s="157">
        <f t="shared" si="7"/>
        <v>90.82547794791752</v>
      </c>
      <c r="O10" s="157">
        <f t="shared" si="9"/>
        <v>0.4600728020048413</v>
      </c>
      <c r="Q10" s="14"/>
      <c r="R10" s="149"/>
      <c r="S10" s="148"/>
      <c r="T10" s="149"/>
      <c r="U10" s="149"/>
      <c r="V10" s="21">
        <v>4.0999999999999996</v>
      </c>
      <c r="W10" s="161">
        <f t="shared" si="8"/>
        <v>1.6660000000000001E-2</v>
      </c>
      <c r="X10" s="20">
        <v>3.5000000000000003E-2</v>
      </c>
      <c r="Y10" s="20">
        <v>0.64758121408052205</v>
      </c>
      <c r="Z10" s="21">
        <v>8.4888642291863974</v>
      </c>
      <c r="AA10" s="161">
        <f t="shared" si="10"/>
        <v>3.5279999999999999E-2</v>
      </c>
      <c r="AB10" s="8">
        <v>5.9169428450324786E-3</v>
      </c>
      <c r="AC10" s="161">
        <f t="shared" si="11"/>
        <v>5.5084967320261427E-2</v>
      </c>
      <c r="AE10" s="181"/>
      <c r="AF10" s="20">
        <v>1.7000000000000001E-2</v>
      </c>
      <c r="AG10" s="20">
        <v>3.5999999999999997E-2</v>
      </c>
      <c r="AH10" s="20">
        <v>4.2999999999999997E-2</v>
      </c>
    </row>
    <row r="11" spans="1:34" x14ac:dyDescent="0.2">
      <c r="B11" s="19" t="s">
        <v>256</v>
      </c>
      <c r="C11" s="19">
        <v>13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4.0214480433331101E-3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13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/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238</v>
      </c>
      <c r="B15" s="19" t="s">
        <v>257</v>
      </c>
      <c r="C15" s="19">
        <v>13</v>
      </c>
      <c r="D15" s="158"/>
      <c r="E15" s="158"/>
      <c r="F15" s="158"/>
      <c r="G15" s="158"/>
      <c r="H15" s="158"/>
      <c r="I15" s="157">
        <f t="shared" ref="I15:I22" si="15">D$37*W15</f>
        <v>5.0929424000000001</v>
      </c>
      <c r="J15" s="157">
        <f t="shared" ref="J15:J22" si="16">I15*V15</f>
        <v>32.281688763447846</v>
      </c>
      <c r="K15" s="157">
        <f t="shared" ref="K15:K22" si="17">I15*X15</f>
        <v>0.40743539200000001</v>
      </c>
      <c r="L15" s="157">
        <f t="shared" ref="L15:L22" si="18">((D$2+D$3+D$4)*AA15)</f>
        <v>110.60592815999999</v>
      </c>
      <c r="M15" s="157">
        <f t="shared" ref="M15:N22" si="19">L15*Y15</f>
        <v>68.133251746559992</v>
      </c>
      <c r="N15" s="157">
        <f t="shared" si="19"/>
        <v>964.64658978249417</v>
      </c>
      <c r="O15" s="157">
        <f t="shared" ref="O15:O22" si="20">M15*AH15</f>
        <v>7.7671906991078394</v>
      </c>
      <c r="Q15" s="14"/>
      <c r="R15" s="149"/>
      <c r="S15" s="148"/>
      <c r="T15" s="149"/>
      <c r="U15" s="149"/>
      <c r="V15" s="21">
        <v>6.3385144044526891</v>
      </c>
      <c r="W15" s="161">
        <f t="shared" ref="W15:W22" si="21">(AF15/SUM(AF$2:AF$22))*0.98</f>
        <v>9.7999999999999997E-3</v>
      </c>
      <c r="X15" s="20">
        <v>0.08</v>
      </c>
      <c r="Y15" s="20">
        <v>0.61599999999999999</v>
      </c>
      <c r="Z15" s="21">
        <v>14.158235003530397</v>
      </c>
      <c r="AA15" s="161">
        <f t="shared" ref="AA15:AA22" si="22">(AG15/SUM(AG$7:AG$27))*0.98</f>
        <v>0.23618</v>
      </c>
      <c r="AB15" s="8">
        <v>0.1993113419107847</v>
      </c>
      <c r="AC15" s="161">
        <f t="shared" ref="AC15:AC22" si="23">(AH15/SUM(AH$7:AH$27))*0.98</f>
        <v>0.14603921568627448</v>
      </c>
      <c r="AE15" s="181"/>
      <c r="AF15" s="20">
        <v>0.01</v>
      </c>
      <c r="AG15" s="20">
        <v>0.24099999999999999</v>
      </c>
      <c r="AH15" s="20">
        <v>0.114</v>
      </c>
    </row>
    <row r="16" spans="1:34" x14ac:dyDescent="0.2">
      <c r="A16" s="18" t="s">
        <v>239</v>
      </c>
      <c r="B16" s="19" t="s">
        <v>257</v>
      </c>
      <c r="C16" s="19">
        <v>13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63.334514879999993</v>
      </c>
      <c r="M16" s="157">
        <f t="shared" si="19"/>
        <v>38.887392136319995</v>
      </c>
      <c r="N16" s="157">
        <f t="shared" si="19"/>
        <v>520.6477647242175</v>
      </c>
      <c r="O16" s="157">
        <f t="shared" si="20"/>
        <v>4.083176174313599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0.61399999999999999</v>
      </c>
      <c r="Z16" s="21">
        <v>13.388600678057388</v>
      </c>
      <c r="AA16" s="161">
        <f t="shared" si="22"/>
        <v>0.13524</v>
      </c>
      <c r="AB16" s="8">
        <v>0.12380296082197549</v>
      </c>
      <c r="AC16" s="161">
        <f t="shared" si="23"/>
        <v>0.13450980392156861</v>
      </c>
      <c r="AE16" s="181"/>
      <c r="AF16" s="20">
        <v>0</v>
      </c>
      <c r="AG16" s="20">
        <v>0.13800000000000001</v>
      </c>
      <c r="AH16" s="20">
        <v>0.105</v>
      </c>
    </row>
    <row r="17" spans="1:34" x14ac:dyDescent="0.2">
      <c r="A17" s="186" t="s">
        <v>183</v>
      </c>
      <c r="B17" s="19" t="s">
        <v>257</v>
      </c>
      <c r="C17" s="19">
        <v>13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56.450328479999989</v>
      </c>
      <c r="M17" s="157">
        <f t="shared" si="19"/>
        <v>32.947886867375303</v>
      </c>
      <c r="N17" s="157">
        <f t="shared" si="19"/>
        <v>416.91079972049295</v>
      </c>
      <c r="O17" s="157">
        <f t="shared" si="20"/>
        <v>3.3277365736049056</v>
      </c>
      <c r="Q17" s="14"/>
      <c r="R17" s="149"/>
      <c r="S17" s="148"/>
      <c r="T17" s="149"/>
      <c r="U17" s="149"/>
      <c r="V17" s="21">
        <v>2.4653061224489794</v>
      </c>
      <c r="W17" s="161">
        <f t="shared" si="21"/>
        <v>0</v>
      </c>
      <c r="X17" s="20">
        <v>1.2244897959183676E-2</v>
      </c>
      <c r="Y17" s="20">
        <v>0.58366156149203885</v>
      </c>
      <c r="Z17" s="21">
        <v>12.653643051485473</v>
      </c>
      <c r="AA17" s="161">
        <f t="shared" si="22"/>
        <v>0.12053999999999999</v>
      </c>
      <c r="AB17" s="8">
        <v>9.0701916920885875E-2</v>
      </c>
      <c r="AC17" s="161">
        <f t="shared" si="23"/>
        <v>0.12938562091503264</v>
      </c>
      <c r="AE17" s="181"/>
      <c r="AF17" s="20">
        <v>0</v>
      </c>
      <c r="AG17" s="20">
        <v>0.123</v>
      </c>
      <c r="AH17" s="20">
        <v>0.10100000000000001</v>
      </c>
    </row>
    <row r="18" spans="1:34" x14ac:dyDescent="0.2">
      <c r="A18" s="186" t="s">
        <v>528</v>
      </c>
      <c r="B18" s="19" t="s">
        <v>257</v>
      </c>
      <c r="C18" s="19">
        <v>13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11.473644</v>
      </c>
      <c r="M18" s="157">
        <f t="shared" si="19"/>
        <v>6.4695268296932928</v>
      </c>
      <c r="N18" s="157">
        <f t="shared" si="19"/>
        <v>86.750160323236742</v>
      </c>
      <c r="O18" s="157">
        <f t="shared" si="20"/>
        <v>0.28465918050650485</v>
      </c>
      <c r="Q18" s="14"/>
      <c r="R18" s="149"/>
      <c r="S18" s="148"/>
      <c r="T18" s="149"/>
      <c r="U18" s="149"/>
      <c r="V18" s="21">
        <v>2.8275261324041816</v>
      </c>
      <c r="W18" s="161">
        <f t="shared" si="21"/>
        <v>0</v>
      </c>
      <c r="X18" s="20">
        <v>1.045296167247387E-2</v>
      </c>
      <c r="Y18" s="20">
        <v>0.56385981905079963</v>
      </c>
      <c r="Z18" s="21">
        <v>13.409042516846535</v>
      </c>
      <c r="AA18" s="161">
        <f t="shared" si="22"/>
        <v>2.4500000000000001E-2</v>
      </c>
      <c r="AB18" s="8">
        <v>7.2569469037278622E-2</v>
      </c>
      <c r="AC18" s="161">
        <f t="shared" si="23"/>
        <v>5.6366013071895413E-2</v>
      </c>
      <c r="AE18" s="181"/>
      <c r="AF18" s="20">
        <v>0</v>
      </c>
      <c r="AG18" s="20">
        <v>2.5000000000000001E-2</v>
      </c>
      <c r="AH18" s="20">
        <v>4.3999999999999997E-2</v>
      </c>
    </row>
    <row r="19" spans="1:34" x14ac:dyDescent="0.2">
      <c r="A19" s="186" t="s">
        <v>606</v>
      </c>
      <c r="B19" s="19" t="s">
        <v>257</v>
      </c>
      <c r="C19" s="19">
        <v>13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18.357830399999997</v>
      </c>
      <c r="M19" s="157">
        <f t="shared" si="19"/>
        <v>9.7623569176099245</v>
      </c>
      <c r="N19" s="157">
        <f t="shared" si="19"/>
        <v>141.60490254511797</v>
      </c>
      <c r="O19" s="157">
        <f t="shared" si="20"/>
        <v>0.63455319964464507</v>
      </c>
      <c r="Q19" s="14"/>
      <c r="R19" s="149"/>
      <c r="S19" s="148"/>
      <c r="T19" s="149"/>
      <c r="U19" s="149"/>
      <c r="V19" s="21">
        <v>2.4703049759229532</v>
      </c>
      <c r="W19" s="161">
        <f t="shared" si="21"/>
        <v>0</v>
      </c>
      <c r="X19" s="20">
        <v>9.6308186195826657E-3</v>
      </c>
      <c r="Y19" s="20">
        <v>0.53178162696229758</v>
      </c>
      <c r="Z19" s="21">
        <v>14.505196208272467</v>
      </c>
      <c r="AA19" s="161">
        <f t="shared" si="22"/>
        <v>3.9199999999999999E-2</v>
      </c>
      <c r="AB19" s="8">
        <v>2.5703001397240962E-2</v>
      </c>
      <c r="AC19" s="161">
        <f t="shared" si="23"/>
        <v>8.326797385620914E-2</v>
      </c>
      <c r="AE19" s="181"/>
      <c r="AF19" s="20">
        <v>0</v>
      </c>
      <c r="AG19" s="20">
        <v>0.04</v>
      </c>
      <c r="AH19" s="20">
        <v>6.5000000000000002E-2</v>
      </c>
    </row>
    <row r="20" spans="1:34" x14ac:dyDescent="0.2">
      <c r="A20" s="186"/>
      <c r="B20" s="19" t="s">
        <v>257</v>
      </c>
      <c r="C20" s="19">
        <v>13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1.2913762741130704E-2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A21" s="186"/>
      <c r="B21" s="19" t="s">
        <v>257</v>
      </c>
      <c r="C21" s="19">
        <v>13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1.2514351805374456E-2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A22" s="186"/>
      <c r="B22" s="19" t="s">
        <v>257</v>
      </c>
      <c r="C22" s="19">
        <v>13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1.6496008854847991E-2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164</v>
      </c>
      <c r="B24" s="19" t="s">
        <v>10</v>
      </c>
      <c r="C24" s="19">
        <v>13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81.233399519999978</v>
      </c>
      <c r="M24" s="157">
        <f t="shared" ref="M24:N27" si="24">L24*Y24</f>
        <v>54.141437951405258</v>
      </c>
      <c r="N24" s="157">
        <f t="shared" si="24"/>
        <v>582.36968269780061</v>
      </c>
      <c r="O24" s="157">
        <f t="shared" ref="O24:O27" si="25">M24*AH24</f>
        <v>4.4937393499666367</v>
      </c>
      <c r="Q24" s="14"/>
      <c r="R24" s="149"/>
      <c r="S24" s="148"/>
      <c r="T24" s="149"/>
      <c r="U24" s="149"/>
      <c r="V24" s="150"/>
      <c r="W24" s="165"/>
      <c r="X24" s="149"/>
      <c r="Y24" s="20">
        <v>0.66649233284980802</v>
      </c>
      <c r="Z24" s="115">
        <v>10.756450229868433</v>
      </c>
      <c r="AA24" s="161">
        <f t="shared" ref="AA24:AA27" si="26">(AG24/SUM(AG$7:AG$27))*0.98</f>
        <v>0.17345999999999998</v>
      </c>
      <c r="AB24" s="8">
        <v>9.5820640034972884E-2</v>
      </c>
      <c r="AC24" s="161">
        <f t="shared" ref="AC24:AC27" si="27">(AH24/SUM(AH$7:AH$27))*0.98</f>
        <v>0.1063267973856209</v>
      </c>
      <c r="AE24" s="181"/>
      <c r="AF24" s="181"/>
      <c r="AG24" s="20">
        <v>0.17699999999999999</v>
      </c>
      <c r="AH24" s="20">
        <v>8.3000000000000004E-2</v>
      </c>
    </row>
    <row r="25" spans="1:34" x14ac:dyDescent="0.2">
      <c r="A25" s="18" t="s">
        <v>204</v>
      </c>
      <c r="B25" s="19" t="s">
        <v>10</v>
      </c>
      <c r="C25" s="19">
        <v>13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17.439938879999996</v>
      </c>
      <c r="M25" s="157">
        <f t="shared" si="24"/>
        <v>12.016117888319997</v>
      </c>
      <c r="N25" s="157">
        <f t="shared" si="24"/>
        <v>119.73482714973335</v>
      </c>
      <c r="O25" s="157">
        <f t="shared" si="25"/>
        <v>0.84112825218239984</v>
      </c>
      <c r="Q25" s="14"/>
      <c r="R25" s="149"/>
      <c r="S25" s="148"/>
      <c r="T25" s="149"/>
      <c r="U25" s="149"/>
      <c r="V25" s="150"/>
      <c r="W25" s="165"/>
      <c r="X25" s="149"/>
      <c r="Y25" s="20">
        <v>0.68899999999999995</v>
      </c>
      <c r="Z25" s="115">
        <v>9.9645183463220643</v>
      </c>
      <c r="AA25" s="161">
        <f t="shared" si="26"/>
        <v>3.7239999999999995E-2</v>
      </c>
      <c r="AB25" s="8">
        <v>7.3361355804633321E-2</v>
      </c>
      <c r="AC25" s="161">
        <f t="shared" si="27"/>
        <v>8.9673202614379083E-2</v>
      </c>
      <c r="AE25" s="181"/>
      <c r="AF25" s="181"/>
      <c r="AG25" s="20">
        <v>3.7999999999999999E-2</v>
      </c>
      <c r="AH25" s="20">
        <v>7.0000000000000007E-2</v>
      </c>
    </row>
    <row r="26" spans="1:34" x14ac:dyDescent="0.2">
      <c r="B26" s="19" t="s">
        <v>10</v>
      </c>
      <c r="C26" s="19">
        <v>13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0</v>
      </c>
      <c r="M26" s="157">
        <f t="shared" si="24"/>
        <v>0</v>
      </c>
      <c r="N26" s="157">
        <f t="shared" si="24"/>
        <v>0</v>
      </c>
      <c r="O26" s="157">
        <f t="shared" si="25"/>
        <v>0</v>
      </c>
      <c r="Q26" s="14"/>
      <c r="R26" s="149"/>
      <c r="S26" s="148"/>
      <c r="T26" s="149"/>
      <c r="U26" s="149"/>
      <c r="V26" s="150"/>
      <c r="W26" s="165"/>
      <c r="X26" s="149"/>
      <c r="Y26" s="20">
        <v>0</v>
      </c>
      <c r="Z26" s="21">
        <v>0</v>
      </c>
      <c r="AA26" s="161">
        <f t="shared" si="26"/>
        <v>0</v>
      </c>
      <c r="AB26" s="8">
        <v>3.0878556620216914E-2</v>
      </c>
      <c r="AC26" s="161">
        <f t="shared" si="27"/>
        <v>0</v>
      </c>
      <c r="AE26" s="181"/>
      <c r="AF26" s="181"/>
      <c r="AG26" s="20">
        <v>0</v>
      </c>
      <c r="AH26" s="20">
        <v>0</v>
      </c>
    </row>
    <row r="27" spans="1:34" x14ac:dyDescent="0.2">
      <c r="B27" s="19" t="s">
        <v>10</v>
      </c>
      <c r="C27" s="19">
        <v>13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21">
        <v>0</v>
      </c>
      <c r="AA27" s="161">
        <f t="shared" si="26"/>
        <v>0</v>
      </c>
      <c r="AB27" s="8">
        <v>1.3381234990084118E-2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0.97499999999999987</v>
      </c>
      <c r="AC30" s="161">
        <f>SUM(AC7:AC27)</f>
        <v>0.97999999999999976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988</v>
      </c>
      <c r="E31" s="48">
        <v>0.47399999999999998</v>
      </c>
      <c r="F31" s="2">
        <f>1-E31</f>
        <v>0.52600000000000002</v>
      </c>
      <c r="G31" s="114">
        <v>5.0999999999999996</v>
      </c>
      <c r="H31" s="134">
        <v>4.2999999999999997E-2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468.31199999999995</v>
      </c>
      <c r="E34" s="167">
        <f>SUM(E2:E4)</f>
        <v>291.33970507199996</v>
      </c>
      <c r="F34" s="167">
        <f>SUM(F2:F4)</f>
        <v>3388.6414190515552</v>
      </c>
      <c r="G34" s="167">
        <f>SUM(G2:G4)</f>
        <v>24.6705332311776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519.68799999999999</v>
      </c>
      <c r="E37" s="167">
        <f>D37*G31</f>
        <v>2650.4087999999997</v>
      </c>
      <c r="F37" s="167">
        <f>D37*H31</f>
        <v>22.346583999999996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55" t="s">
        <v>359</v>
      </c>
      <c r="B39" s="41"/>
      <c r="C39" s="41"/>
      <c r="D39" s="11" t="s">
        <v>353</v>
      </c>
      <c r="E39" s="172" t="s">
        <v>354</v>
      </c>
      <c r="F39" s="11" t="s">
        <v>355</v>
      </c>
      <c r="G39" s="11" t="s">
        <v>351</v>
      </c>
      <c r="H39" s="172" t="s">
        <v>352</v>
      </c>
      <c r="I39" s="11" t="s">
        <v>356</v>
      </c>
      <c r="J39" s="171" t="s">
        <v>357</v>
      </c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E39" s="38"/>
      <c r="AF39" s="38"/>
    </row>
    <row r="40" spans="1:32" ht="15" thickBot="1" x14ac:dyDescent="0.25">
      <c r="A40" s="53"/>
      <c r="B40" s="24"/>
      <c r="C40" s="24"/>
      <c r="D40" s="168">
        <f>SUM(I2:I22)</f>
        <v>509.29424000000006</v>
      </c>
      <c r="E40" s="168">
        <f>SUM(J2:J4,J7:J12,J15:J22)</f>
        <v>2637.2606110546476</v>
      </c>
      <c r="F40" s="168">
        <f>SUM(K2:K4,K7:K12,K15:K22)</f>
        <v>22.30785831585629</v>
      </c>
      <c r="G40" s="168">
        <f>SUM(L7:L12,L15:L22,L24:L27)</f>
        <v>458.94575999999989</v>
      </c>
      <c r="H40" s="168">
        <f>SUM(M7:M12,M15:M22,M24:M27)</f>
        <v>290.69565807900858</v>
      </c>
      <c r="I40" s="168">
        <f>SUM(N7:N12,N15:N22,N24:N27)</f>
        <v>3375.9457018156245</v>
      </c>
      <c r="J40" s="168">
        <f>SUM(O7:O12,O15:O22,O24:O27)</f>
        <v>24.667881801576762</v>
      </c>
      <c r="Q40" s="19"/>
      <c r="R40" s="19"/>
      <c r="S40" s="19"/>
      <c r="T40" s="19"/>
      <c r="U40" s="19"/>
      <c r="V40" s="19"/>
      <c r="W40" s="19"/>
      <c r="X40" s="19"/>
      <c r="Y40" s="19"/>
      <c r="Z40" s="19"/>
      <c r="AC40" s="19"/>
    </row>
    <row r="41" spans="1:32" ht="15" thickTop="1" x14ac:dyDescent="0.2">
      <c r="A41" s="53"/>
      <c r="B41" s="24"/>
      <c r="C41" s="24"/>
      <c r="D41" s="169">
        <f>D37-D40</f>
        <v>10.393759999999929</v>
      </c>
      <c r="E41" s="169">
        <f>E37-E40</f>
        <v>13.148188945352103</v>
      </c>
      <c r="F41" s="169">
        <f>F37-F40</f>
        <v>3.8725684143706474E-2</v>
      </c>
      <c r="G41" s="169">
        <f>SUM(D2:D4)-G40</f>
        <v>9.3662400000000616</v>
      </c>
      <c r="H41" s="169">
        <f>E34-H40</f>
        <v>0.64404699299137746</v>
      </c>
      <c r="I41" s="169">
        <f>F34-I40</f>
        <v>12.695717235930715</v>
      </c>
      <c r="J41" s="169">
        <f>G34-J40</f>
        <v>2.6514296008386395E-3</v>
      </c>
      <c r="Q41" s="19"/>
      <c r="R41" s="19"/>
      <c r="S41" s="19"/>
      <c r="T41" s="19"/>
      <c r="U41" s="19"/>
      <c r="V41" s="19"/>
      <c r="W41" s="19"/>
      <c r="X41" s="19"/>
      <c r="Y41" s="19"/>
      <c r="Z41" s="19"/>
      <c r="AC41" s="19"/>
    </row>
    <row r="42" spans="1:32" x14ac:dyDescent="0.2">
      <c r="A42" s="53"/>
      <c r="B42" s="24"/>
      <c r="C42" s="24"/>
      <c r="D42" s="19"/>
      <c r="E42" s="19"/>
      <c r="F42" s="19"/>
      <c r="G42" s="27"/>
      <c r="I42" s="27"/>
      <c r="J42" s="26"/>
      <c r="K42" s="27"/>
      <c r="L42" s="27"/>
      <c r="M42" s="26"/>
      <c r="N42" s="27"/>
      <c r="Q42" s="19"/>
      <c r="R42" s="19"/>
      <c r="S42" s="19"/>
      <c r="T42" s="19"/>
      <c r="U42" s="19"/>
      <c r="V42" s="19"/>
      <c r="W42" s="19"/>
      <c r="X42" s="19"/>
      <c r="Y42" s="19"/>
      <c r="Z42" s="19"/>
      <c r="AC42" s="19"/>
    </row>
    <row r="43" spans="1:32" x14ac:dyDescent="0.2">
      <c r="A43" s="53"/>
      <c r="B43" s="24"/>
      <c r="C43" s="24"/>
      <c r="D43" s="19"/>
      <c r="E43" s="19"/>
      <c r="F43" s="19"/>
      <c r="G43" s="27"/>
      <c r="I43" s="27"/>
      <c r="J43" s="26"/>
      <c r="K43" s="27"/>
      <c r="L43" s="27"/>
      <c r="M43" s="26"/>
      <c r="N43" s="27"/>
      <c r="Q43" s="19"/>
      <c r="R43" s="19"/>
      <c r="S43" s="19"/>
      <c r="T43" s="19"/>
      <c r="U43" s="19"/>
      <c r="V43" s="19"/>
      <c r="W43" s="19"/>
      <c r="X43" s="19"/>
      <c r="Y43" s="19"/>
      <c r="Z43" s="19"/>
      <c r="AC43" s="19"/>
    </row>
    <row r="44" spans="1:32" x14ac:dyDescent="0.2">
      <c r="A44" s="53"/>
      <c r="B44" s="24"/>
      <c r="C44" s="24"/>
      <c r="D44" s="19"/>
      <c r="E44" s="19"/>
      <c r="F44" s="19"/>
      <c r="G44" s="27"/>
      <c r="I44" s="27"/>
      <c r="J44" s="26"/>
      <c r="K44" s="27"/>
      <c r="L44" s="27"/>
      <c r="M44" s="26"/>
      <c r="N44" s="27"/>
      <c r="Q44" s="19"/>
      <c r="R44" s="19"/>
      <c r="S44" s="19"/>
      <c r="T44" s="19"/>
      <c r="U44" s="19"/>
      <c r="V44" s="19"/>
      <c r="W44" s="19"/>
      <c r="X44" s="19"/>
      <c r="Y44" s="19"/>
      <c r="Z44" s="19"/>
      <c r="AC44" s="19"/>
    </row>
    <row r="45" spans="1:32" x14ac:dyDescent="0.2">
      <c r="A45" s="53"/>
      <c r="B45" s="24"/>
      <c r="C45" s="24"/>
      <c r="D45" s="19"/>
      <c r="E45" s="19"/>
      <c r="F45" s="19"/>
      <c r="G45" s="27"/>
      <c r="I45" s="27"/>
      <c r="J45" s="26"/>
      <c r="K45" s="27"/>
      <c r="L45" s="27"/>
      <c r="M45" s="26"/>
      <c r="N45" s="27"/>
      <c r="Q45" s="19"/>
      <c r="R45" s="19"/>
      <c r="S45" s="19"/>
      <c r="T45" s="19"/>
      <c r="U45" s="19"/>
      <c r="V45" s="19"/>
      <c r="W45" s="19"/>
      <c r="X45" s="19"/>
      <c r="Y45" s="19"/>
      <c r="Z45" s="19"/>
      <c r="AC45" s="19"/>
    </row>
    <row r="46" spans="1:32" x14ac:dyDescent="0.2">
      <c r="A46" s="53"/>
      <c r="B46" s="24"/>
      <c r="C46" s="24"/>
      <c r="D46" s="19"/>
      <c r="E46" s="19"/>
      <c r="F46" s="19"/>
      <c r="G46" s="27"/>
      <c r="I46" s="27"/>
      <c r="J46" s="26"/>
      <c r="K46" s="27"/>
      <c r="L46" s="27"/>
      <c r="M46" s="26"/>
      <c r="N46" s="27"/>
      <c r="Q46" s="19"/>
      <c r="R46" s="19"/>
      <c r="S46" s="19"/>
      <c r="T46" s="19"/>
      <c r="U46" s="19"/>
      <c r="V46" s="19"/>
      <c r="W46" s="19"/>
      <c r="X46" s="19"/>
      <c r="Y46" s="19"/>
      <c r="Z46" s="19"/>
      <c r="AC46" s="19"/>
    </row>
  </sheetData>
  <sheetProtection selectLockedCells="1"/>
  <conditionalFormatting sqref="D41:J41">
    <cfRule type="cellIs" dxfId="80" priority="1" operator="lessThan">
      <formula>0</formula>
    </cfRule>
  </conditionalFormatting>
  <conditionalFormatting sqref="W30">
    <cfRule type="cellIs" dxfId="79" priority="2" operator="greaterThan">
      <formula>1</formula>
    </cfRule>
  </conditionalFormatting>
  <conditionalFormatting sqref="AA30:AG30">
    <cfRule type="cellIs" dxfId="78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FF6600"/>
  </sheetPr>
  <dimension ref="A1:AH4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I7" sqref="I7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165</v>
      </c>
      <c r="B2" s="19" t="s">
        <v>9</v>
      </c>
      <c r="C2" s="19">
        <v>7</v>
      </c>
      <c r="D2" s="157">
        <f>D$34*Q2</f>
        <v>596.58764999999994</v>
      </c>
      <c r="E2" s="157">
        <f>D2*R2</f>
        <v>407.69404727119201</v>
      </c>
      <c r="F2" s="157">
        <f>E2*S2</f>
        <v>4588.4764989764508</v>
      </c>
      <c r="G2" s="157">
        <f t="shared" ref="G2:G4" si="0">E2*T2</f>
        <v>34.001683542417418</v>
      </c>
      <c r="H2" s="157">
        <f>E2*U2</f>
        <v>12.65827113916224</v>
      </c>
      <c r="I2" s="157">
        <f>D$37*W2</f>
        <v>59.134983600000012</v>
      </c>
      <c r="J2" s="157">
        <f>I2*V2</f>
        <v>214.29424620604701</v>
      </c>
      <c r="K2" s="157">
        <f>I2*X2</f>
        <v>3.5480990160000005</v>
      </c>
      <c r="L2" s="158"/>
      <c r="M2" s="158"/>
      <c r="N2" s="158"/>
      <c r="O2" s="158"/>
      <c r="Q2" s="161">
        <f>AE2</f>
        <v>0.95</v>
      </c>
      <c r="R2" s="116">
        <v>0.68337661242433034</v>
      </c>
      <c r="S2" s="115">
        <v>11.25470565412564</v>
      </c>
      <c r="T2" s="116">
        <v>8.3400000000000002E-2</v>
      </c>
      <c r="U2" s="20">
        <v>3.1048457106223448E-2</v>
      </c>
      <c r="V2" s="115">
        <v>3.6238150948949777</v>
      </c>
      <c r="W2" s="161">
        <f>(AF2/SUM(AF$2:AF$22))*0.98</f>
        <v>0.13720000000000002</v>
      </c>
      <c r="X2" s="20">
        <v>0.06</v>
      </c>
      <c r="Y2" s="22"/>
      <c r="Z2" s="23"/>
      <c r="AA2" s="1"/>
      <c r="AB2" s="1"/>
      <c r="AC2" s="1"/>
      <c r="AE2" s="20">
        <v>0.95</v>
      </c>
      <c r="AF2" s="20">
        <v>0.14000000000000001</v>
      </c>
      <c r="AG2" s="181"/>
      <c r="AH2" s="181"/>
    </row>
    <row r="3" spans="1:34" x14ac:dyDescent="0.2">
      <c r="A3" s="18" t="s">
        <v>702</v>
      </c>
      <c r="B3" s="19" t="s">
        <v>9</v>
      </c>
      <c r="C3" s="19">
        <v>7</v>
      </c>
      <c r="D3" s="157">
        <f>D$34*Q3</f>
        <v>31.399350000000027</v>
      </c>
      <c r="E3" s="157">
        <f t="shared" ref="E3:F4" si="1">D3*R3</f>
        <v>19.954286925000016</v>
      </c>
      <c r="F3" s="157">
        <f t="shared" si="1"/>
        <v>217.93234099452044</v>
      </c>
      <c r="G3" s="157">
        <f t="shared" si="0"/>
        <v>1.3189783657425012</v>
      </c>
      <c r="H3" s="157">
        <f t="shared" ref="H3:H4" si="2">E3*U3</f>
        <v>0.75434988357628374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5.0000000000000044E-2</v>
      </c>
      <c r="R3" s="116">
        <v>0.63549999999999995</v>
      </c>
      <c r="S3" s="115">
        <v>10.921580000008959</v>
      </c>
      <c r="T3" s="116">
        <v>6.6100000000000006E-2</v>
      </c>
      <c r="U3" s="20">
        <v>3.7803900806457062E-2</v>
      </c>
      <c r="V3" s="115">
        <v>2.7619047619047614</v>
      </c>
      <c r="W3" s="161">
        <f t="shared" ref="W3:W4" si="5">(AF3/SUM(AF$2:AF$22))*0.98</f>
        <v>0</v>
      </c>
      <c r="X3" s="20">
        <v>1.5873015873015876E-2</v>
      </c>
      <c r="Y3" s="22"/>
      <c r="Z3" s="23"/>
      <c r="AA3" s="1"/>
      <c r="AB3" s="1"/>
      <c r="AC3" s="1"/>
      <c r="AE3" s="20">
        <f>1-AE2</f>
        <v>5.0000000000000044E-2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7</v>
      </c>
      <c r="D4" s="157">
        <f>D$34*Q4</f>
        <v>0</v>
      </c>
      <c r="E4" s="157">
        <f t="shared" si="1"/>
        <v>0</v>
      </c>
      <c r="F4" s="157">
        <f t="shared" si="1"/>
        <v>0</v>
      </c>
      <c r="G4" s="157">
        <f t="shared" si="0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115">
        <v>0</v>
      </c>
      <c r="T4" s="116">
        <v>0</v>
      </c>
      <c r="U4" s="20">
        <v>0</v>
      </c>
      <c r="V4" s="115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33</v>
      </c>
      <c r="B7" s="19" t="s">
        <v>256</v>
      </c>
      <c r="C7" s="19">
        <v>7</v>
      </c>
      <c r="D7" s="158"/>
      <c r="E7" s="158"/>
      <c r="F7" s="158"/>
      <c r="G7" s="158"/>
      <c r="H7" s="158"/>
      <c r="I7" s="157">
        <f t="shared" ref="I7:I12" si="6">D$37*W7</f>
        <v>250.90128756000001</v>
      </c>
      <c r="J7" s="157">
        <f>I7*V7</f>
        <v>1028.6952789960001</v>
      </c>
      <c r="K7" s="157">
        <f>I7*X7</f>
        <v>9.7851502148399998</v>
      </c>
      <c r="L7" s="157">
        <f>((D$2+D$3+D$4)*AA7)</f>
        <v>49.234180799999997</v>
      </c>
      <c r="M7" s="157">
        <f t="shared" ref="M7:N12" si="7">L7*Y7</f>
        <v>39.402501507583622</v>
      </c>
      <c r="N7" s="157">
        <f t="shared" si="7"/>
        <v>280.58303736916434</v>
      </c>
      <c r="O7" s="157">
        <f>M7*AH7</f>
        <v>1.5761000603033448</v>
      </c>
      <c r="Q7" s="14"/>
      <c r="R7" s="149"/>
      <c r="S7" s="148"/>
      <c r="T7" s="149"/>
      <c r="U7" s="149"/>
      <c r="V7" s="21">
        <v>4.0999999999999996</v>
      </c>
      <c r="W7" s="161">
        <f t="shared" ref="W7:W12" si="8">(AF7/SUM(AF$2:AF$22))*0.98</f>
        <v>0.58211999999999997</v>
      </c>
      <c r="X7" s="20">
        <v>3.9E-2</v>
      </c>
      <c r="Y7" s="20">
        <v>0.80030785253938108</v>
      </c>
      <c r="Z7" s="21">
        <v>7.1209447784720412</v>
      </c>
      <c r="AA7" s="161">
        <f>(AG7/SUM(AG$7:AG$27))*0.98</f>
        <v>7.8399999999999997E-2</v>
      </c>
      <c r="AB7" s="8">
        <v>0.11019295035647354</v>
      </c>
      <c r="AC7" s="161">
        <f>(AH7/SUM(AH$7:AH$27))*0.98</f>
        <v>4.7649918962722852E-2</v>
      </c>
      <c r="AE7" s="181"/>
      <c r="AF7" s="20">
        <v>0.59399999999999997</v>
      </c>
      <c r="AG7" s="20">
        <v>0.08</v>
      </c>
      <c r="AH7" s="20">
        <v>0.04</v>
      </c>
    </row>
    <row r="8" spans="1:34" x14ac:dyDescent="0.2">
      <c r="A8" s="186" t="s">
        <v>229</v>
      </c>
      <c r="B8" s="19" t="s">
        <v>256</v>
      </c>
      <c r="C8" s="19">
        <v>7</v>
      </c>
      <c r="D8" s="158"/>
      <c r="E8" s="158"/>
      <c r="F8" s="158"/>
      <c r="G8" s="158"/>
      <c r="H8" s="158"/>
      <c r="I8" s="157">
        <f t="shared" si="6"/>
        <v>62.514125520000007</v>
      </c>
      <c r="J8" s="157">
        <f>I8*V8</f>
        <v>260.26257383011506</v>
      </c>
      <c r="K8" s="157">
        <f>I8*X8</f>
        <v>2.6255932718400006</v>
      </c>
      <c r="L8" s="157">
        <f>((D$2+D$3+D$4)*AA8)</f>
        <v>24.617090399999999</v>
      </c>
      <c r="M8" s="157">
        <f t="shared" si="7"/>
        <v>17.885869044127826</v>
      </c>
      <c r="N8" s="157">
        <f t="shared" si="7"/>
        <v>147.97630579433516</v>
      </c>
      <c r="O8" s="157">
        <f t="shared" ref="O8:O12" si="9">M8*AH8</f>
        <v>0.93006519029464696</v>
      </c>
      <c r="Q8" s="14"/>
      <c r="R8" s="149"/>
      <c r="S8" s="148"/>
      <c r="T8" s="149"/>
      <c r="U8" s="149"/>
      <c r="V8" s="21">
        <v>4.1632602498270543</v>
      </c>
      <c r="W8" s="161">
        <f t="shared" si="8"/>
        <v>0.14504</v>
      </c>
      <c r="X8" s="20">
        <v>4.2000000000000003E-2</v>
      </c>
      <c r="Y8" s="20">
        <v>0.72656308091259347</v>
      </c>
      <c r="Z8" s="21">
        <v>8.27336404114609</v>
      </c>
      <c r="AA8" s="161">
        <f t="shared" ref="AA8:AA12" si="10">(AG8/SUM(AG$7:AG$27))*0.98</f>
        <v>3.9199999999999999E-2</v>
      </c>
      <c r="AB8" s="8">
        <v>3.0610151942138949E-2</v>
      </c>
      <c r="AC8" s="161">
        <f t="shared" ref="AC8:AC12" si="11">(AH8/SUM(AH$7:AH$27))*0.98</f>
        <v>6.1944894651539704E-2</v>
      </c>
      <c r="AE8" s="181"/>
      <c r="AF8" s="20">
        <v>0.14799999999999999</v>
      </c>
      <c r="AG8" s="20">
        <v>0.04</v>
      </c>
      <c r="AH8" s="20">
        <v>5.1999999999999998E-2</v>
      </c>
    </row>
    <row r="9" spans="1:34" x14ac:dyDescent="0.2">
      <c r="A9" s="18" t="s">
        <v>664</v>
      </c>
      <c r="B9" s="19" t="s">
        <v>256</v>
      </c>
      <c r="C9" s="19">
        <v>7</v>
      </c>
      <c r="D9" s="158"/>
      <c r="E9" s="158"/>
      <c r="F9" s="158"/>
      <c r="G9" s="158"/>
      <c r="H9" s="158"/>
      <c r="I9" s="157">
        <f t="shared" si="6"/>
        <v>27.877920840000002</v>
      </c>
      <c r="J9" s="157">
        <f>I9*V9</f>
        <v>116.80848831960002</v>
      </c>
      <c r="K9" s="157">
        <f>I9*X9</f>
        <v>1.1708726752800001</v>
      </c>
      <c r="L9" s="157">
        <f>((D$2+D$3+D$4)*AA9)</f>
        <v>9.2314088999999999</v>
      </c>
      <c r="M9" s="157">
        <f t="shared" si="7"/>
        <v>6.9050938571999998</v>
      </c>
      <c r="N9" s="157">
        <f t="shared" si="7"/>
        <v>53.169222700440002</v>
      </c>
      <c r="O9" s="157">
        <f t="shared" si="9"/>
        <v>0.38668525600319997</v>
      </c>
      <c r="Q9" s="14"/>
      <c r="R9" s="149"/>
      <c r="S9" s="148"/>
      <c r="T9" s="149"/>
      <c r="U9" s="149"/>
      <c r="V9" s="21">
        <v>4.1900000000000004</v>
      </c>
      <c r="W9" s="161">
        <f t="shared" si="8"/>
        <v>6.4680000000000001E-2</v>
      </c>
      <c r="X9" s="20">
        <v>4.2000000000000003E-2</v>
      </c>
      <c r="Y9" s="20">
        <v>0.748</v>
      </c>
      <c r="Z9" s="21">
        <v>7.7</v>
      </c>
      <c r="AA9" s="161">
        <f t="shared" si="10"/>
        <v>1.47E-2</v>
      </c>
      <c r="AB9" s="8">
        <v>2.4073819007893484E-2</v>
      </c>
      <c r="AC9" s="161">
        <f t="shared" si="11"/>
        <v>6.6709886547812E-2</v>
      </c>
      <c r="AE9" s="181"/>
      <c r="AF9" s="20">
        <v>6.6000000000000003E-2</v>
      </c>
      <c r="AG9" s="20">
        <v>1.4999999999999999E-2</v>
      </c>
      <c r="AH9" s="20">
        <v>5.6000000000000001E-2</v>
      </c>
    </row>
    <row r="10" spans="1:34" x14ac:dyDescent="0.2">
      <c r="A10" s="186" t="s">
        <v>607</v>
      </c>
      <c r="B10" s="19" t="s">
        <v>256</v>
      </c>
      <c r="C10" s="19">
        <v>7</v>
      </c>
      <c r="D10" s="158"/>
      <c r="E10" s="158"/>
      <c r="F10" s="158"/>
      <c r="G10" s="158"/>
      <c r="H10" s="158"/>
      <c r="I10" s="157">
        <f t="shared" si="6"/>
        <v>21.96442248</v>
      </c>
      <c r="J10" s="157">
        <f t="shared" ref="J10:J12" si="12">I10*V10</f>
        <v>92.740063289791834</v>
      </c>
      <c r="K10" s="157">
        <f t="shared" ref="K10:K12" si="13">I10*X10</f>
        <v>0.96643458911999991</v>
      </c>
      <c r="L10" s="157">
        <f t="shared" ref="L10:L12" si="14">((D$2+D$3+D$4)*AA10)</f>
        <v>18.4628178</v>
      </c>
      <c r="M10" s="157">
        <f t="shared" si="7"/>
        <v>14.579019378399861</v>
      </c>
      <c r="N10" s="157">
        <f t="shared" si="7"/>
        <v>109.28712806299094</v>
      </c>
      <c r="O10" s="157">
        <f t="shared" si="9"/>
        <v>0.77268802705519268</v>
      </c>
      <c r="Q10" s="14"/>
      <c r="R10" s="149"/>
      <c r="S10" s="148"/>
      <c r="T10" s="149"/>
      <c r="U10" s="149"/>
      <c r="V10" s="21">
        <v>4.2222855335366791</v>
      </c>
      <c r="W10" s="161">
        <f t="shared" si="8"/>
        <v>5.0959999999999998E-2</v>
      </c>
      <c r="X10" s="20">
        <v>4.3999999999999997E-2</v>
      </c>
      <c r="Y10" s="20">
        <v>0.78964216276888466</v>
      </c>
      <c r="Z10" s="21">
        <v>7.4961919746749039</v>
      </c>
      <c r="AA10" s="161">
        <f t="shared" si="10"/>
        <v>2.9399999999999999E-2</v>
      </c>
      <c r="AB10" s="8">
        <v>1.5647423061763123E-2</v>
      </c>
      <c r="AC10" s="161">
        <f t="shared" si="11"/>
        <v>6.3136142625607766E-2</v>
      </c>
      <c r="AE10" s="181"/>
      <c r="AF10" s="20">
        <v>5.1999999999999998E-2</v>
      </c>
      <c r="AG10" s="20">
        <v>0.03</v>
      </c>
      <c r="AH10" s="20">
        <v>5.2999999999999999E-2</v>
      </c>
    </row>
    <row r="11" spans="1:34" x14ac:dyDescent="0.2">
      <c r="A11" s="186"/>
      <c r="B11" s="19" t="s">
        <v>256</v>
      </c>
      <c r="C11" s="19">
        <v>7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4.7228101233942645E-3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7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/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240</v>
      </c>
      <c r="B15" s="19" t="s">
        <v>257</v>
      </c>
      <c r="C15" s="19">
        <v>7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>((D$2+D$3+D$4)*AA15)</f>
        <v>155.08766951999999</v>
      </c>
      <c r="M15" s="157">
        <f t="shared" ref="M15:N22" si="18">L15*Y15</f>
        <v>101.13754359443969</v>
      </c>
      <c r="N15" s="157">
        <f t="shared" si="18"/>
        <v>1355.2430841654918</v>
      </c>
      <c r="O15" s="157">
        <f t="shared" ref="O15:O22" si="19">M15*AH15</f>
        <v>10.922854708199486</v>
      </c>
      <c r="Q15" s="14"/>
      <c r="R15" s="149"/>
      <c r="S15" s="148"/>
      <c r="T15" s="149"/>
      <c r="U15" s="149"/>
      <c r="V15" s="21">
        <v>1.8264119601328903</v>
      </c>
      <c r="W15" s="161">
        <f t="shared" ref="W15:W22" si="20">(AF15/SUM(AF$2:AF$22))*0.98</f>
        <v>0</v>
      </c>
      <c r="X15" s="20">
        <v>7.4750830564784066E-3</v>
      </c>
      <c r="Y15" s="20">
        <v>0.65213142932292933</v>
      </c>
      <c r="Z15" s="21">
        <v>13.4</v>
      </c>
      <c r="AA15" s="161">
        <f t="shared" ref="AA15:AA22" si="21">(AG15/SUM(AG$7:AG$27))*0.98</f>
        <v>0.24695999999999999</v>
      </c>
      <c r="AB15" s="8">
        <v>0.17413459905904427</v>
      </c>
      <c r="AC15" s="161">
        <f t="shared" ref="AC15:AC22" si="22">(AH15/SUM(AH$7:AH$27))*0.98</f>
        <v>0.1286547811993517</v>
      </c>
      <c r="AE15" s="181"/>
      <c r="AF15" s="20">
        <v>0</v>
      </c>
      <c r="AG15" s="20">
        <v>0.252</v>
      </c>
      <c r="AH15" s="20">
        <v>0.108</v>
      </c>
    </row>
    <row r="16" spans="1:34" x14ac:dyDescent="0.2">
      <c r="A16" s="18" t="s">
        <v>166</v>
      </c>
      <c r="B16" s="19" t="s">
        <v>257</v>
      </c>
      <c r="C16" s="19">
        <v>7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>((D$2+D$3+D$4)*AA16)</f>
        <v>126.1625883</v>
      </c>
      <c r="M16" s="157">
        <f t="shared" si="18"/>
        <v>83.121709677132088</v>
      </c>
      <c r="N16" s="157">
        <f t="shared" si="18"/>
        <v>1136.2737712863957</v>
      </c>
      <c r="O16" s="157">
        <f t="shared" si="19"/>
        <v>8.4784143870674722</v>
      </c>
      <c r="Q16" s="14"/>
      <c r="R16" s="149"/>
      <c r="S16" s="148"/>
      <c r="T16" s="149"/>
      <c r="U16" s="149"/>
      <c r="V16" s="21">
        <v>0</v>
      </c>
      <c r="W16" s="161">
        <f t="shared" si="20"/>
        <v>0</v>
      </c>
      <c r="X16" s="20">
        <v>0</v>
      </c>
      <c r="Y16" s="20">
        <v>0.65884594472236335</v>
      </c>
      <c r="Z16" s="21">
        <v>13.67</v>
      </c>
      <c r="AA16" s="161">
        <f t="shared" si="21"/>
        <v>0.2009</v>
      </c>
      <c r="AB16" s="8">
        <v>0.17701615556825709</v>
      </c>
      <c r="AC16" s="161">
        <f t="shared" si="22"/>
        <v>0.12150729335494326</v>
      </c>
      <c r="AE16" s="181"/>
      <c r="AF16" s="20">
        <v>0</v>
      </c>
      <c r="AG16" s="20">
        <v>0.20499999999999999</v>
      </c>
      <c r="AH16" s="20">
        <v>0.10199999999999999</v>
      </c>
    </row>
    <row r="17" spans="1:34" x14ac:dyDescent="0.2">
      <c r="A17" s="18" t="s">
        <v>32</v>
      </c>
      <c r="B17" s="19" t="s">
        <v>257</v>
      </c>
      <c r="C17" s="19">
        <v>7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>((D$2+D$3+D$4)*AA17)</f>
        <v>93.54494351999999</v>
      </c>
      <c r="M17" s="157">
        <f t="shared" si="18"/>
        <v>64.193321721423047</v>
      </c>
      <c r="N17" s="157">
        <f t="shared" si="18"/>
        <v>763.05664386733645</v>
      </c>
      <c r="O17" s="157">
        <f t="shared" si="19"/>
        <v>5.1354657377138437</v>
      </c>
      <c r="Q17" s="14"/>
      <c r="R17" s="149"/>
      <c r="S17" s="148"/>
      <c r="T17" s="149"/>
      <c r="U17" s="149"/>
      <c r="V17" s="21">
        <v>0</v>
      </c>
      <c r="W17" s="161">
        <f t="shared" si="20"/>
        <v>0</v>
      </c>
      <c r="X17" s="20">
        <v>0</v>
      </c>
      <c r="Y17" s="20">
        <v>0.68622973413521238</v>
      </c>
      <c r="Z17" s="21">
        <v>11.886854012302713</v>
      </c>
      <c r="AA17" s="161">
        <f t="shared" si="21"/>
        <v>0.14895999999999998</v>
      </c>
      <c r="AB17" s="8">
        <v>0.18602938435109759</v>
      </c>
      <c r="AC17" s="161">
        <f t="shared" si="22"/>
        <v>9.5299837925445705E-2</v>
      </c>
      <c r="AE17" s="181"/>
      <c r="AF17" s="20">
        <v>0</v>
      </c>
      <c r="AG17" s="20">
        <v>0.152</v>
      </c>
      <c r="AH17" s="20">
        <v>0.08</v>
      </c>
    </row>
    <row r="18" spans="1:34" x14ac:dyDescent="0.2">
      <c r="A18" s="18" t="s">
        <v>608</v>
      </c>
      <c r="B18" s="19" t="s">
        <v>257</v>
      </c>
      <c r="C18" s="19">
        <v>7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>((D$2+D$3+D$4)*AA18)</f>
        <v>26.463372179999997</v>
      </c>
      <c r="M18" s="157">
        <f t="shared" si="18"/>
        <v>17.31956823776633</v>
      </c>
      <c r="N18" s="157">
        <f t="shared" si="18"/>
        <v>194.31528442811873</v>
      </c>
      <c r="O18" s="157">
        <f t="shared" si="19"/>
        <v>1.1777306401681105</v>
      </c>
      <c r="Q18" s="14"/>
      <c r="R18" s="149"/>
      <c r="S18" s="148"/>
      <c r="T18" s="149"/>
      <c r="U18" s="149"/>
      <c r="V18" s="21">
        <v>0</v>
      </c>
      <c r="W18" s="161">
        <f t="shared" si="20"/>
        <v>0</v>
      </c>
      <c r="X18" s="20">
        <v>0</v>
      </c>
      <c r="Y18" s="20">
        <v>0.65447321376735945</v>
      </c>
      <c r="Z18" s="21">
        <v>11.21940695983419</v>
      </c>
      <c r="AA18" s="161">
        <f t="shared" si="21"/>
        <v>4.2139999999999997E-2</v>
      </c>
      <c r="AB18" s="8">
        <v>6.1298574977772351E-2</v>
      </c>
      <c r="AC18" s="161">
        <f t="shared" si="22"/>
        <v>8.1004862236628852E-2</v>
      </c>
      <c r="AE18" s="181"/>
      <c r="AF18" s="20">
        <v>0</v>
      </c>
      <c r="AG18" s="20">
        <v>4.2999999999999997E-2</v>
      </c>
      <c r="AH18" s="20">
        <v>6.8000000000000005E-2</v>
      </c>
    </row>
    <row r="19" spans="1:34" x14ac:dyDescent="0.2">
      <c r="A19" s="18" t="s">
        <v>689</v>
      </c>
      <c r="B19" s="19" t="s">
        <v>257</v>
      </c>
      <c r="C19" s="19">
        <v>7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>((D$2+D$3+D$4)*AA19)</f>
        <v>12.308545199999999</v>
      </c>
      <c r="M19" s="157">
        <f t="shared" si="18"/>
        <v>7.385127119999999</v>
      </c>
      <c r="N19" s="157">
        <f t="shared" si="18"/>
        <v>91.723278830399991</v>
      </c>
      <c r="O19" s="157">
        <f t="shared" si="19"/>
        <v>0.44310762719999991</v>
      </c>
      <c r="Q19" s="14"/>
      <c r="R19" s="149"/>
      <c r="S19" s="148"/>
      <c r="T19" s="149"/>
      <c r="U19" s="149"/>
      <c r="V19" s="21">
        <v>0</v>
      </c>
      <c r="W19" s="161">
        <f t="shared" si="20"/>
        <v>0</v>
      </c>
      <c r="X19" s="20">
        <v>0</v>
      </c>
      <c r="Y19" s="20">
        <v>0.6</v>
      </c>
      <c r="Z19" s="21">
        <v>12.42</v>
      </c>
      <c r="AA19" s="161">
        <f t="shared" si="21"/>
        <v>1.9599999999999999E-2</v>
      </c>
      <c r="AB19" s="8">
        <v>3.0066480365919933E-2</v>
      </c>
      <c r="AC19" s="161">
        <f t="shared" si="22"/>
        <v>7.1474878444084275E-2</v>
      </c>
      <c r="AE19" s="181"/>
      <c r="AF19" s="20">
        <v>0</v>
      </c>
      <c r="AG19" s="20">
        <v>0.02</v>
      </c>
      <c r="AH19" s="20">
        <v>0.06</v>
      </c>
    </row>
    <row r="20" spans="1:34" x14ac:dyDescent="0.2">
      <c r="B20" s="19" t="s">
        <v>257</v>
      </c>
      <c r="C20" s="19">
        <v>7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ref="L20:L22" si="23">((D$2+D$3+D$4)*AA20)</f>
        <v>0</v>
      </c>
      <c r="M20" s="157">
        <f t="shared" si="18"/>
        <v>0</v>
      </c>
      <c r="N20" s="157">
        <f t="shared" si="18"/>
        <v>0</v>
      </c>
      <c r="O20" s="157">
        <f t="shared" si="19"/>
        <v>0</v>
      </c>
      <c r="Q20" s="14"/>
      <c r="R20" s="149"/>
      <c r="S20" s="148"/>
      <c r="T20" s="149"/>
      <c r="U20" s="149"/>
      <c r="V20" s="21">
        <v>0</v>
      </c>
      <c r="W20" s="161">
        <f t="shared" si="20"/>
        <v>0</v>
      </c>
      <c r="X20" s="20">
        <v>0</v>
      </c>
      <c r="Y20" s="20">
        <v>0</v>
      </c>
      <c r="Z20" s="21">
        <v>0</v>
      </c>
      <c r="AA20" s="161">
        <f t="shared" si="21"/>
        <v>0</v>
      </c>
      <c r="AB20" s="8"/>
      <c r="AC20" s="161">
        <f t="shared" si="22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7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23"/>
        <v>0</v>
      </c>
      <c r="M21" s="157">
        <f t="shared" si="18"/>
        <v>0</v>
      </c>
      <c r="N21" s="157">
        <f t="shared" si="18"/>
        <v>0</v>
      </c>
      <c r="O21" s="157">
        <f t="shared" si="19"/>
        <v>0</v>
      </c>
      <c r="Q21" s="14"/>
      <c r="R21" s="149"/>
      <c r="S21" s="148"/>
      <c r="T21" s="149"/>
      <c r="U21" s="149"/>
      <c r="V21" s="21">
        <v>0</v>
      </c>
      <c r="W21" s="161">
        <f t="shared" si="20"/>
        <v>0</v>
      </c>
      <c r="X21" s="20">
        <v>0</v>
      </c>
      <c r="Y21" s="20">
        <v>0</v>
      </c>
      <c r="Z21" s="21">
        <v>0</v>
      </c>
      <c r="AA21" s="161">
        <f t="shared" si="21"/>
        <v>0</v>
      </c>
      <c r="AB21" s="8"/>
      <c r="AC21" s="161">
        <f t="shared" si="22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7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23"/>
        <v>0</v>
      </c>
      <c r="M22" s="157">
        <f t="shared" si="18"/>
        <v>0</v>
      </c>
      <c r="N22" s="157">
        <f t="shared" si="18"/>
        <v>0</v>
      </c>
      <c r="O22" s="157">
        <f t="shared" si="19"/>
        <v>0</v>
      </c>
      <c r="Q22" s="14"/>
      <c r="R22" s="149"/>
      <c r="S22" s="148"/>
      <c r="T22" s="149"/>
      <c r="U22" s="149"/>
      <c r="V22" s="21">
        <v>0</v>
      </c>
      <c r="W22" s="161">
        <f t="shared" si="20"/>
        <v>0</v>
      </c>
      <c r="X22" s="20">
        <v>0</v>
      </c>
      <c r="Y22" s="20">
        <v>0</v>
      </c>
      <c r="Z22" s="21">
        <v>0</v>
      </c>
      <c r="AA22" s="161">
        <f t="shared" si="21"/>
        <v>0</v>
      </c>
      <c r="AB22" s="8"/>
      <c r="AC22" s="161">
        <f t="shared" si="22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487</v>
      </c>
      <c r="B24" s="19" t="s">
        <v>10</v>
      </c>
      <c r="C24" s="19">
        <v>7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69.543280379999999</v>
      </c>
      <c r="M24" s="157">
        <f t="shared" ref="M24:N27" si="24">L24*Y24</f>
        <v>48.738250068498253</v>
      </c>
      <c r="N24" s="157">
        <f t="shared" si="24"/>
        <v>482.5086756781327</v>
      </c>
      <c r="O24" s="157">
        <f t="shared" ref="O24:O27" si="25">M24*AH24</f>
        <v>4.2402277559593475</v>
      </c>
      <c r="Q24" s="14"/>
      <c r="R24" s="149"/>
      <c r="S24" s="148"/>
      <c r="T24" s="149"/>
      <c r="U24" s="149"/>
      <c r="V24" s="150"/>
      <c r="W24" s="165"/>
      <c r="X24" s="149"/>
      <c r="Y24" s="20">
        <v>0.70083334870287373</v>
      </c>
      <c r="Z24" s="115">
        <v>9.9</v>
      </c>
      <c r="AA24" s="161">
        <f t="shared" ref="AA24:AA27" si="26">(AG24/SUM(AG$7:AG$27))*0.98</f>
        <v>0.11074000000000001</v>
      </c>
      <c r="AB24" s="8">
        <v>8.0561620434466574E-2</v>
      </c>
      <c r="AC24" s="161">
        <f t="shared" ref="AC24:AC27" si="27">(AH24/SUM(AH$7:AH$27))*0.98</f>
        <v>0.1036385737439222</v>
      </c>
      <c r="AE24" s="181"/>
      <c r="AF24" s="181"/>
      <c r="AG24" s="20">
        <v>0.113</v>
      </c>
      <c r="AH24" s="20">
        <v>8.6999999999999994E-2</v>
      </c>
    </row>
    <row r="25" spans="1:34" x14ac:dyDescent="0.2">
      <c r="A25" s="18" t="s">
        <v>690</v>
      </c>
      <c r="B25" s="19" t="s">
        <v>10</v>
      </c>
      <c r="C25" s="19">
        <v>7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12.308545199999999</v>
      </c>
      <c r="M25" s="157">
        <f t="shared" si="24"/>
        <v>8.2787846729279018</v>
      </c>
      <c r="N25" s="157">
        <f t="shared" si="24"/>
        <v>74.862406101684826</v>
      </c>
      <c r="O25" s="157">
        <f t="shared" si="25"/>
        <v>0.41393923364639512</v>
      </c>
      <c r="Q25" s="14"/>
      <c r="R25" s="149"/>
      <c r="S25" s="148"/>
      <c r="T25" s="149"/>
      <c r="U25" s="149"/>
      <c r="V25" s="150"/>
      <c r="W25" s="165"/>
      <c r="X25" s="149"/>
      <c r="Y25" s="20">
        <v>0.67260464485501525</v>
      </c>
      <c r="Z25" s="115">
        <v>9.0426806662201482</v>
      </c>
      <c r="AA25" s="161">
        <f t="shared" si="26"/>
        <v>1.9599999999999999E-2</v>
      </c>
      <c r="AB25" s="8">
        <v>5.1475813957129843E-2</v>
      </c>
      <c r="AC25" s="161">
        <f t="shared" si="27"/>
        <v>5.9562398703403567E-2</v>
      </c>
      <c r="AE25" s="181"/>
      <c r="AF25" s="181"/>
      <c r="AG25" s="20">
        <v>0.02</v>
      </c>
      <c r="AH25" s="20">
        <v>0.05</v>
      </c>
    </row>
    <row r="26" spans="1:34" x14ac:dyDescent="0.2">
      <c r="A26" s="18" t="s">
        <v>31</v>
      </c>
      <c r="B26" s="19" t="s">
        <v>10</v>
      </c>
      <c r="C26" s="19">
        <v>7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18.4628178</v>
      </c>
      <c r="M26" s="157">
        <f t="shared" si="24"/>
        <v>12.554716104000001</v>
      </c>
      <c r="N26" s="157">
        <f t="shared" si="24"/>
        <v>109.2260301048</v>
      </c>
      <c r="O26" s="157">
        <f t="shared" si="25"/>
        <v>0.83698107360000007</v>
      </c>
      <c r="Q26" s="14"/>
      <c r="R26" s="149"/>
      <c r="S26" s="148"/>
      <c r="T26" s="149"/>
      <c r="U26" s="149"/>
      <c r="V26" s="150"/>
      <c r="W26" s="165"/>
      <c r="X26" s="149"/>
      <c r="Y26" s="20">
        <v>0.68</v>
      </c>
      <c r="Z26" s="115">
        <v>8.6999999999999993</v>
      </c>
      <c r="AA26" s="161">
        <f t="shared" si="26"/>
        <v>2.9399999999999999E-2</v>
      </c>
      <c r="AB26" s="8">
        <v>2.9170216794649029E-2</v>
      </c>
      <c r="AC26" s="161">
        <f t="shared" si="27"/>
        <v>7.9416531604538085E-2</v>
      </c>
      <c r="AE26" s="181"/>
      <c r="AF26" s="181"/>
      <c r="AG26" s="20">
        <v>0.03</v>
      </c>
      <c r="AH26" s="20">
        <v>6.6666666666666666E-2</v>
      </c>
    </row>
    <row r="27" spans="1:34" x14ac:dyDescent="0.2">
      <c r="B27" s="19" t="s">
        <v>10</v>
      </c>
      <c r="C27" s="19">
        <v>7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21">
        <v>0</v>
      </c>
      <c r="AA27" s="161">
        <f t="shared" si="26"/>
        <v>0</v>
      </c>
      <c r="AB27" s="8"/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0.97999999999999976</v>
      </c>
      <c r="AB30" s="161">
        <f t="shared" ref="AB30" si="28">SUM(AB2:AB4,AB7:AB12,AB15:AB22,AB24:AB27)</f>
        <v>0.97500000000000009</v>
      </c>
      <c r="AC30" s="161">
        <f>SUM(AC7:AC27)</f>
        <v>0.97999999999999987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1059</v>
      </c>
      <c r="E31" s="48">
        <v>0.59299999999999997</v>
      </c>
      <c r="F31" s="2">
        <f>1-E31</f>
        <v>0.40700000000000003</v>
      </c>
      <c r="G31" s="114">
        <v>4</v>
      </c>
      <c r="H31" s="134">
        <v>4.2000000000000003E-2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627.98699999999997</v>
      </c>
      <c r="E34" s="167">
        <f>SUM(E2:E4)</f>
        <v>427.64833419619202</v>
      </c>
      <c r="F34" s="167">
        <f>SUM(F2:F4)</f>
        <v>4806.4088399709708</v>
      </c>
      <c r="G34" s="167">
        <f>SUM(G2:G4)</f>
        <v>35.32066190815992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431.01300000000003</v>
      </c>
      <c r="E37" s="167">
        <f>D37*G31</f>
        <v>1724.0520000000001</v>
      </c>
      <c r="F37" s="167">
        <f>D37*H31</f>
        <v>18.102546000000004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422.39274</v>
      </c>
      <c r="E40" s="168">
        <f>SUM(J2:J4,J7:J12,J15:J22)</f>
        <v>1712.8006506415541</v>
      </c>
      <c r="F40" s="168">
        <f>SUM(K2:K4,K7:K12,K15:K22)</f>
        <v>18.09614976708</v>
      </c>
      <c r="G40" s="168">
        <f>SUM(L7:L12,L15:L22,L24:L27)</f>
        <v>615.42726000000016</v>
      </c>
      <c r="H40" s="168">
        <f>SUM(M7:M12,M15:M22,M24:M27)</f>
        <v>421.50150498349859</v>
      </c>
      <c r="I40" s="168">
        <f>SUM(N7:N12,N15:N22,N24:N27)</f>
        <v>4798.2248683892904</v>
      </c>
      <c r="J40" s="168">
        <f>SUM(O7:O12,O15:O22,O24:O27)</f>
        <v>35.314259697211043</v>
      </c>
    </row>
    <row r="41" spans="1:32" ht="15" thickTop="1" x14ac:dyDescent="0.2">
      <c r="D41" s="169">
        <f>D37-D40</f>
        <v>8.6202600000000302</v>
      </c>
      <c r="E41" s="169">
        <f>E37-E40</f>
        <v>11.251349358446078</v>
      </c>
      <c r="F41" s="169">
        <f>F37-F40</f>
        <v>6.3962329200037971E-3</v>
      </c>
      <c r="G41" s="169">
        <f>SUM(D2:D4)-G40</f>
        <v>12.559739999999806</v>
      </c>
      <c r="H41" s="169">
        <f>E34-H40</f>
        <v>6.146829212693433</v>
      </c>
      <c r="I41" s="169">
        <f>F34-I40</f>
        <v>8.1839715816804528</v>
      </c>
      <c r="J41" s="169">
        <f>G34-J40</f>
        <v>6.4022109488774959E-3</v>
      </c>
    </row>
    <row r="42" spans="1:32" x14ac:dyDescent="0.2">
      <c r="N42" s="24"/>
      <c r="O42" s="24"/>
    </row>
    <row r="44" spans="1:32" x14ac:dyDescent="0.2">
      <c r="N44" s="24"/>
      <c r="O44" s="24"/>
    </row>
  </sheetData>
  <sheetProtection selectLockedCells="1"/>
  <conditionalFormatting sqref="D41:J41">
    <cfRule type="cellIs" dxfId="77" priority="1" operator="lessThan">
      <formula>0</formula>
    </cfRule>
  </conditionalFormatting>
  <conditionalFormatting sqref="W30">
    <cfRule type="cellIs" dxfId="76" priority="2" operator="greaterThan">
      <formula>1</formula>
    </cfRule>
  </conditionalFormatting>
  <conditionalFormatting sqref="AA30:AG30">
    <cfRule type="cellIs" dxfId="75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E65D00"/>
  </sheetPr>
  <dimension ref="A1:AH5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51</v>
      </c>
      <c r="B2" s="19" t="s">
        <v>9</v>
      </c>
      <c r="C2" s="19">
        <v>5</v>
      </c>
      <c r="D2" s="157">
        <f>D$34*Q2</f>
        <v>535.9914</v>
      </c>
      <c r="E2" s="157">
        <f>D2*R2</f>
        <v>350.3998126353959</v>
      </c>
      <c r="F2" s="157">
        <f>E2*S2</f>
        <v>4064.6378265705926</v>
      </c>
      <c r="G2" s="157">
        <f t="shared" ref="G2:G4" si="0">E2*T2</f>
        <v>27.681585198196277</v>
      </c>
      <c r="H2" s="157">
        <f>E2*U2</f>
        <v>12.868455864832363</v>
      </c>
      <c r="I2" s="157">
        <f>D$37*W2</f>
        <v>95.906033999999991</v>
      </c>
      <c r="J2" s="157">
        <f>I2*V2</f>
        <v>470.89862693999999</v>
      </c>
      <c r="K2" s="157">
        <f>I2*X2</f>
        <v>4.699395666</v>
      </c>
      <c r="L2" s="158"/>
      <c r="M2" s="158"/>
      <c r="N2" s="158"/>
      <c r="O2" s="158"/>
      <c r="Q2" s="161">
        <f>AE2</f>
        <v>0.98</v>
      </c>
      <c r="R2" s="116">
        <v>0.65374148285848599</v>
      </c>
      <c r="S2" s="115">
        <v>11.6</v>
      </c>
      <c r="T2" s="116">
        <v>7.9000000000000001E-2</v>
      </c>
      <c r="U2" s="20">
        <v>3.6725064913840214E-2</v>
      </c>
      <c r="V2" s="115">
        <v>4.91</v>
      </c>
      <c r="W2" s="161">
        <f>(AF2/SUM(AF$2:AF$22))*0.98</f>
        <v>0.1862</v>
      </c>
      <c r="X2" s="20">
        <v>4.9000000000000002E-2</v>
      </c>
      <c r="Y2" s="22"/>
      <c r="Z2" s="23"/>
      <c r="AA2" s="1"/>
      <c r="AB2" s="1"/>
      <c r="AC2" s="1"/>
      <c r="AE2" s="20">
        <v>0.98</v>
      </c>
      <c r="AF2" s="20">
        <v>0.19</v>
      </c>
      <c r="AG2" s="181"/>
      <c r="AH2" s="181"/>
    </row>
    <row r="3" spans="1:34" x14ac:dyDescent="0.2">
      <c r="A3" s="18" t="s">
        <v>670</v>
      </c>
      <c r="B3" s="19" t="s">
        <v>9</v>
      </c>
      <c r="C3" s="19">
        <v>5</v>
      </c>
      <c r="D3" s="157">
        <f>D$34*Q3</f>
        <v>10.938600000000012</v>
      </c>
      <c r="E3" s="157">
        <f t="shared" ref="E3:F4" si="1">D3*R3</f>
        <v>6.6397302000000069</v>
      </c>
      <c r="F3" s="157">
        <f t="shared" si="1"/>
        <v>70.181948214000073</v>
      </c>
      <c r="G3" s="157">
        <f t="shared" si="0"/>
        <v>0.38709627066000041</v>
      </c>
      <c r="H3" s="157">
        <f t="shared" ref="H3:H4" si="2">E3*U3</f>
        <v>0.2921481288000003</v>
      </c>
      <c r="I3" s="157">
        <f t="shared" ref="I3:I4" si="3">D$37*W3</f>
        <v>5.0476859999999988</v>
      </c>
      <c r="J3" s="157">
        <f>I3*V3</f>
        <v>18.676438199999996</v>
      </c>
      <c r="K3" s="157">
        <f>I3*X3</f>
        <v>0.13123983599999997</v>
      </c>
      <c r="L3" s="158"/>
      <c r="M3" s="158"/>
      <c r="N3" s="158"/>
      <c r="O3" s="158"/>
      <c r="Q3" s="161">
        <f t="shared" ref="Q3:Q4" si="4">AE3</f>
        <v>2.0000000000000018E-2</v>
      </c>
      <c r="R3" s="116">
        <v>0.60699999999999998</v>
      </c>
      <c r="S3" s="115">
        <v>10.57</v>
      </c>
      <c r="T3" s="116">
        <v>5.8299999999999998E-2</v>
      </c>
      <c r="U3" s="20">
        <v>4.3999999999999997E-2</v>
      </c>
      <c r="V3" s="115">
        <v>3.7</v>
      </c>
      <c r="W3" s="161">
        <f t="shared" ref="W3:W4" si="5">(AF3/SUM(AF$2:AF$22))*0.98</f>
        <v>9.7999999999999997E-3</v>
      </c>
      <c r="X3" s="20">
        <v>2.5999999999999999E-2</v>
      </c>
      <c r="Y3" s="22"/>
      <c r="Z3" s="23"/>
      <c r="AA3" s="1"/>
      <c r="AB3" s="1"/>
      <c r="AC3" s="1"/>
      <c r="AE3" s="20">
        <f>1-AE2</f>
        <v>2.0000000000000018E-2</v>
      </c>
      <c r="AF3" s="20">
        <v>0.01</v>
      </c>
      <c r="AG3" s="181"/>
      <c r="AH3" s="181"/>
    </row>
    <row r="4" spans="1:34" x14ac:dyDescent="0.2">
      <c r="B4" s="19" t="s">
        <v>9</v>
      </c>
      <c r="C4" s="19">
        <v>5</v>
      </c>
      <c r="D4" s="157">
        <f>D$34*Q4</f>
        <v>0</v>
      </c>
      <c r="E4" s="157">
        <f t="shared" si="1"/>
        <v>0</v>
      </c>
      <c r="F4" s="157">
        <f t="shared" si="1"/>
        <v>0</v>
      </c>
      <c r="G4" s="157">
        <f t="shared" si="0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35</v>
      </c>
      <c r="B7" s="19" t="s">
        <v>256</v>
      </c>
      <c r="C7" s="19">
        <v>5</v>
      </c>
      <c r="D7" s="158"/>
      <c r="E7" s="158"/>
      <c r="F7" s="158"/>
      <c r="G7" s="158"/>
      <c r="H7" s="158"/>
      <c r="I7" s="157">
        <f t="shared" ref="I7:I12" si="6">D$37*W7</f>
        <v>292.76578799999993</v>
      </c>
      <c r="J7" s="157">
        <f>I7*V7</f>
        <v>1425.7693875599996</v>
      </c>
      <c r="K7" s="157">
        <f>I7*X7</f>
        <v>12.296163095999997</v>
      </c>
      <c r="L7" s="157">
        <f>((D$2+D$3+D$4)*AA7)</f>
        <v>39.127372199999996</v>
      </c>
      <c r="M7" s="157">
        <f t="shared" ref="M7:N12" si="7">L7*Y7</f>
        <v>28.482183767202592</v>
      </c>
      <c r="N7" s="157">
        <f t="shared" si="7"/>
        <v>236.11730343010947</v>
      </c>
      <c r="O7" s="157">
        <f>M7*AH7</f>
        <v>1.8798241286353712</v>
      </c>
      <c r="Q7" s="14"/>
      <c r="R7" s="149"/>
      <c r="S7" s="148"/>
      <c r="T7" s="149"/>
      <c r="U7" s="149"/>
      <c r="V7" s="21">
        <v>4.87</v>
      </c>
      <c r="W7" s="161">
        <f t="shared" ref="W7:W12" si="8">(AF7/SUM(AF$2:AF$22))*0.98</f>
        <v>0.56839999999999991</v>
      </c>
      <c r="X7" s="20">
        <v>4.2000000000000003E-2</v>
      </c>
      <c r="Y7" s="20">
        <v>0.72793500216716811</v>
      </c>
      <c r="Z7" s="21">
        <v>8.2899999999999991</v>
      </c>
      <c r="AA7" s="161">
        <f>(AG7/SUM(AG$7:AG$27))*0.98</f>
        <v>7.1539999999999979E-2</v>
      </c>
      <c r="AB7" s="8">
        <v>5.5325685623115413E-2</v>
      </c>
      <c r="AC7" s="161">
        <f>(AH7/SUM(AH$7:AH$27))*0.98</f>
        <v>8.1666666666666665E-2</v>
      </c>
      <c r="AE7" s="181"/>
      <c r="AF7" s="20">
        <v>0.57999999999999996</v>
      </c>
      <c r="AG7" s="20">
        <v>7.2999999999999995E-2</v>
      </c>
      <c r="AH7" s="20">
        <v>6.6000000000000003E-2</v>
      </c>
    </row>
    <row r="8" spans="1:34" x14ac:dyDescent="0.2">
      <c r="A8" s="186" t="s">
        <v>500</v>
      </c>
      <c r="B8" s="19" t="s">
        <v>256</v>
      </c>
      <c r="C8" s="19">
        <v>5</v>
      </c>
      <c r="D8" s="158"/>
      <c r="E8" s="158"/>
      <c r="F8" s="158"/>
      <c r="G8" s="158"/>
      <c r="H8" s="158"/>
      <c r="I8" s="157">
        <f t="shared" si="6"/>
        <v>55.019777399999995</v>
      </c>
      <c r="J8" s="157">
        <f>I8*V8</f>
        <v>234.28026901148419</v>
      </c>
      <c r="K8" s="157">
        <f>I8*X8</f>
        <v>2.2007910959999997</v>
      </c>
      <c r="L8" s="157">
        <f>((D$2+D$3+D$4)*AA8)</f>
        <v>16.6157334</v>
      </c>
      <c r="M8" s="157">
        <f t="shared" si="7"/>
        <v>11.914477502714831</v>
      </c>
      <c r="N8" s="157">
        <f t="shared" si="7"/>
        <v>92.932924521175678</v>
      </c>
      <c r="O8" s="157">
        <f t="shared" ref="O8:O12" si="9">M8*AH8</f>
        <v>0.63146730764388603</v>
      </c>
      <c r="Q8" s="14"/>
      <c r="R8" s="149"/>
      <c r="S8" s="148"/>
      <c r="T8" s="149"/>
      <c r="U8" s="149"/>
      <c r="V8" s="21">
        <v>4.258110084819867</v>
      </c>
      <c r="W8" s="161">
        <f t="shared" si="8"/>
        <v>0.10682</v>
      </c>
      <c r="X8" s="20">
        <v>0.04</v>
      </c>
      <c r="Y8" s="20">
        <v>0.71705998260148007</v>
      </c>
      <c r="Z8" s="21">
        <v>7.8</v>
      </c>
      <c r="AA8" s="161">
        <f t="shared" ref="AA8:AA12" si="10">(AG8/SUM(AG$7:AG$27))*0.98</f>
        <v>3.0379999999999994E-2</v>
      </c>
      <c r="AB8" s="8">
        <v>8.6025680728689546E-2</v>
      </c>
      <c r="AC8" s="161">
        <f t="shared" ref="AC8:AC12" si="11">(AH8/SUM(AH$7:AH$27))*0.98</f>
        <v>6.5580808080808087E-2</v>
      </c>
      <c r="AE8" s="181"/>
      <c r="AF8" s="20">
        <v>0.109</v>
      </c>
      <c r="AG8" s="20">
        <v>3.1E-2</v>
      </c>
      <c r="AH8" s="20">
        <v>5.2999999999999999E-2</v>
      </c>
    </row>
    <row r="9" spans="1:34" x14ac:dyDescent="0.2">
      <c r="A9" s="189" t="s">
        <v>506</v>
      </c>
      <c r="B9" s="19" t="s">
        <v>256</v>
      </c>
      <c r="C9" s="19">
        <v>5</v>
      </c>
      <c r="D9" s="158"/>
      <c r="E9" s="158"/>
      <c r="F9" s="158"/>
      <c r="G9" s="158"/>
      <c r="H9" s="158"/>
      <c r="I9" s="157">
        <f t="shared" si="6"/>
        <v>56.029314599999992</v>
      </c>
      <c r="J9" s="157">
        <f>I9*V9</f>
        <v>244.84810480199997</v>
      </c>
      <c r="K9" s="157">
        <f>I9*X9</f>
        <v>2.2972018985999996</v>
      </c>
      <c r="L9" s="157">
        <f>((D$2+D$3+D$4)*AA9)</f>
        <v>22.5116388</v>
      </c>
      <c r="M9" s="157">
        <f t="shared" si="7"/>
        <v>16.748659267200001</v>
      </c>
      <c r="N9" s="157">
        <f t="shared" si="7"/>
        <v>126.11740428201601</v>
      </c>
      <c r="O9" s="157">
        <f t="shared" si="9"/>
        <v>0.73694100775679994</v>
      </c>
      <c r="Q9" s="14"/>
      <c r="R9" s="149"/>
      <c r="S9" s="148"/>
      <c r="T9" s="149"/>
      <c r="U9" s="149"/>
      <c r="V9" s="21">
        <v>4.37</v>
      </c>
      <c r="W9" s="161">
        <f t="shared" si="8"/>
        <v>0.10878</v>
      </c>
      <c r="X9" s="20">
        <v>4.1000000000000002E-2</v>
      </c>
      <c r="Y9" s="20">
        <v>0.74399999999999999</v>
      </c>
      <c r="Z9" s="21">
        <v>7.53</v>
      </c>
      <c r="AA9" s="161">
        <f t="shared" si="10"/>
        <v>4.1159999999999995E-2</v>
      </c>
      <c r="AB9" s="8">
        <v>1.7632052311916925E-2</v>
      </c>
      <c r="AC9" s="161">
        <f t="shared" si="11"/>
        <v>5.4444444444444441E-2</v>
      </c>
      <c r="AE9" s="181"/>
      <c r="AF9" s="20">
        <v>0.111</v>
      </c>
      <c r="AG9" s="20">
        <v>4.2000000000000003E-2</v>
      </c>
      <c r="AH9" s="20">
        <v>4.3999999999999997E-2</v>
      </c>
    </row>
    <row r="10" spans="1:34" x14ac:dyDescent="0.2">
      <c r="A10" s="186"/>
      <c r="B10" s="19" t="s">
        <v>256</v>
      </c>
      <c r="C10" s="19">
        <v>5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9.2169728902344508E-3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B11" s="19" t="s">
        <v>256</v>
      </c>
      <c r="C11" s="19">
        <v>5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1.2013480832522988E-2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5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/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37</v>
      </c>
      <c r="B15" s="19" t="s">
        <v>257</v>
      </c>
      <c r="C15" s="19">
        <v>5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123.27802199999999</v>
      </c>
      <c r="M15" s="157">
        <f t="shared" ref="M15:N22" si="19">L15*Y15</f>
        <v>78.649828128964074</v>
      </c>
      <c r="N15" s="157">
        <f t="shared" si="19"/>
        <v>1030.3127484894294</v>
      </c>
      <c r="O15" s="157">
        <f t="shared" ref="O15:O22" si="20">M15*AH15</f>
        <v>6.9211848753488381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0.63798742754782423</v>
      </c>
      <c r="Z15" s="21">
        <v>13.1</v>
      </c>
      <c r="AA15" s="161">
        <f t="shared" ref="AA15:AA22" si="22">(AG15/SUM(AG$7:AG$27))*0.98</f>
        <v>0.22539999999999996</v>
      </c>
      <c r="AB15" s="8">
        <v>0.1552631323112294</v>
      </c>
      <c r="AC15" s="161">
        <f t="shared" ref="AC15:AC22" si="23">(AH15/SUM(AH$7:AH$27))*0.98</f>
        <v>0.10888888888888888</v>
      </c>
      <c r="AE15" s="181"/>
      <c r="AF15" s="20">
        <v>0</v>
      </c>
      <c r="AG15" s="20">
        <v>0.23</v>
      </c>
      <c r="AH15" s="20">
        <v>8.7999999999999995E-2</v>
      </c>
    </row>
    <row r="16" spans="1:34" x14ac:dyDescent="0.2">
      <c r="A16" s="18" t="s">
        <v>249</v>
      </c>
      <c r="B16" s="19" t="s">
        <v>257</v>
      </c>
      <c r="C16" s="19">
        <v>5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85.222632599999983</v>
      </c>
      <c r="M16" s="157">
        <f t="shared" si="19"/>
        <v>54.685314264584569</v>
      </c>
      <c r="N16" s="157">
        <f t="shared" si="19"/>
        <v>650.75523974855639</v>
      </c>
      <c r="O16" s="157">
        <f t="shared" si="20"/>
        <v>4.3748251411667658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0.64167595621288731</v>
      </c>
      <c r="Z16" s="21">
        <v>11.9</v>
      </c>
      <c r="AA16" s="161">
        <f t="shared" si="22"/>
        <v>0.15581999999999996</v>
      </c>
      <c r="AB16" s="8">
        <v>0.18009043977311381</v>
      </c>
      <c r="AC16" s="161">
        <f t="shared" si="23"/>
        <v>9.8989898989898989E-2</v>
      </c>
      <c r="AE16" s="181"/>
      <c r="AF16" s="20">
        <v>0</v>
      </c>
      <c r="AG16" s="20">
        <v>0.159</v>
      </c>
      <c r="AH16" s="20">
        <v>0.08</v>
      </c>
    </row>
    <row r="17" spans="1:34" x14ac:dyDescent="0.2">
      <c r="A17" s="18" t="s">
        <v>189</v>
      </c>
      <c r="B17" s="19" t="s">
        <v>257</v>
      </c>
      <c r="C17" s="19">
        <v>5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88.9745724</v>
      </c>
      <c r="M17" s="157">
        <f t="shared" si="19"/>
        <v>55.307673087252937</v>
      </c>
      <c r="N17" s="157">
        <f t="shared" si="19"/>
        <v>783.75505957313862</v>
      </c>
      <c r="O17" s="157">
        <f t="shared" si="20"/>
        <v>4.5905368662419939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0.62161212574990621</v>
      </c>
      <c r="Z17" s="21">
        <v>14.170819631784056</v>
      </c>
      <c r="AA17" s="161">
        <f t="shared" si="22"/>
        <v>0.16267999999999999</v>
      </c>
      <c r="AB17" s="8">
        <v>7.7639242991379379E-2</v>
      </c>
      <c r="AC17" s="161">
        <f t="shared" si="23"/>
        <v>0.1027020202020202</v>
      </c>
      <c r="AE17" s="181"/>
      <c r="AF17" s="20">
        <v>0</v>
      </c>
      <c r="AG17" s="20">
        <v>0.16600000000000001</v>
      </c>
      <c r="AH17" s="20">
        <v>8.3000000000000004E-2</v>
      </c>
    </row>
    <row r="18" spans="1:34" x14ac:dyDescent="0.2">
      <c r="A18" s="18" t="s">
        <v>609</v>
      </c>
      <c r="B18" s="19" t="s">
        <v>257</v>
      </c>
      <c r="C18" s="19">
        <v>5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27.335561399999992</v>
      </c>
      <c r="M18" s="157">
        <f t="shared" si="19"/>
        <v>14.627987476215029</v>
      </c>
      <c r="N18" s="157">
        <f t="shared" si="19"/>
        <v>200.40342842414589</v>
      </c>
      <c r="O18" s="157">
        <f t="shared" si="20"/>
        <v>1.0970990607161271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0.53512665286673178</v>
      </c>
      <c r="Z18" s="21">
        <v>13.7</v>
      </c>
      <c r="AA18" s="161">
        <f t="shared" si="22"/>
        <v>4.9979999999999983E-2</v>
      </c>
      <c r="AB18" s="8">
        <v>5.6345140854276228E-2</v>
      </c>
      <c r="AC18" s="161">
        <f t="shared" si="23"/>
        <v>9.280303030303029E-2</v>
      </c>
      <c r="AE18" s="181"/>
      <c r="AF18" s="20">
        <v>0</v>
      </c>
      <c r="AG18" s="20">
        <v>5.0999999999999997E-2</v>
      </c>
      <c r="AH18" s="20">
        <v>7.4999999999999997E-2</v>
      </c>
    </row>
    <row r="19" spans="1:34" x14ac:dyDescent="0.2">
      <c r="A19" s="18" t="s">
        <v>527</v>
      </c>
      <c r="B19" s="19" t="s">
        <v>257</v>
      </c>
      <c r="C19" s="19">
        <v>5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12.863793599999997</v>
      </c>
      <c r="M19" s="157">
        <f t="shared" si="19"/>
        <v>8.016901029969226</v>
      </c>
      <c r="N19" s="157">
        <f t="shared" si="19"/>
        <v>93.79774205063994</v>
      </c>
      <c r="O19" s="157">
        <f t="shared" si="20"/>
        <v>0.48101406179815354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0.62321437044584016</v>
      </c>
      <c r="Z19" s="21">
        <v>11.7</v>
      </c>
      <c r="AA19" s="161">
        <f t="shared" si="22"/>
        <v>2.3519999999999992E-2</v>
      </c>
      <c r="AB19" s="8">
        <v>6.7741016058129294E-2</v>
      </c>
      <c r="AC19" s="161">
        <f t="shared" si="23"/>
        <v>7.4242424242424235E-2</v>
      </c>
      <c r="AE19" s="181"/>
      <c r="AF19" s="20">
        <v>0</v>
      </c>
      <c r="AG19" s="20">
        <v>2.4E-2</v>
      </c>
      <c r="AH19" s="20">
        <v>0.06</v>
      </c>
    </row>
    <row r="20" spans="1:34" x14ac:dyDescent="0.2">
      <c r="B20" s="19" t="s">
        <v>257</v>
      </c>
      <c r="C20" s="19">
        <v>5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1.3683142804749313E-2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5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/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5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/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76"/>
      <c r="M23" s="176"/>
      <c r="N23" s="176"/>
      <c r="O23" s="176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36</v>
      </c>
      <c r="B24" s="19" t="s">
        <v>10</v>
      </c>
      <c r="C24" s="19">
        <v>5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88.438580999999999</v>
      </c>
      <c r="M24" s="157">
        <f t="shared" ref="M24:N27" si="24">L24*Y24</f>
        <v>62.079510416968382</v>
      </c>
      <c r="N24" s="157">
        <f t="shared" si="24"/>
        <v>682.80338389024371</v>
      </c>
      <c r="O24" s="157">
        <f t="shared" ref="O24:O27" si="25">M24*AH24</f>
        <v>5.5871559375271538</v>
      </c>
      <c r="Q24" s="14"/>
      <c r="R24" s="149"/>
      <c r="S24" s="148"/>
      <c r="T24" s="149"/>
      <c r="U24" s="149"/>
      <c r="V24" s="150"/>
      <c r="W24" s="165"/>
      <c r="X24" s="149"/>
      <c r="Y24" s="20">
        <v>0.70195054822248204</v>
      </c>
      <c r="Z24" s="115">
        <v>10.998852589269308</v>
      </c>
      <c r="AA24" s="161">
        <f t="shared" ref="AA24:AA27" si="26">(AG24/SUM(AG$7:AG$27))*0.98</f>
        <v>0.16169999999999998</v>
      </c>
      <c r="AB24" s="8">
        <v>0.12691514210755367</v>
      </c>
      <c r="AC24" s="161">
        <f t="shared" ref="AC24:AC27" si="27">(AH24/SUM(AH$7:AH$27))*0.98</f>
        <v>0.11136363636363636</v>
      </c>
      <c r="AE24" s="181"/>
      <c r="AF24" s="181"/>
      <c r="AG24" s="20">
        <v>0.16500000000000001</v>
      </c>
      <c r="AH24" s="20">
        <v>0.09</v>
      </c>
    </row>
    <row r="25" spans="1:34" x14ac:dyDescent="0.2">
      <c r="A25" s="18" t="s">
        <v>199</v>
      </c>
      <c r="B25" s="19" t="s">
        <v>10</v>
      </c>
      <c r="C25" s="19">
        <v>5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16.6157334</v>
      </c>
      <c r="M25" s="157">
        <f t="shared" si="24"/>
        <v>11.939137541930981</v>
      </c>
      <c r="N25" s="157">
        <f t="shared" si="24"/>
        <v>114.31426272827018</v>
      </c>
      <c r="O25" s="157">
        <f t="shared" si="25"/>
        <v>0.83573962793516876</v>
      </c>
      <c r="Q25" s="14"/>
      <c r="R25" s="149"/>
      <c r="S25" s="148"/>
      <c r="T25" s="149"/>
      <c r="U25" s="149"/>
      <c r="V25" s="150"/>
      <c r="W25" s="165"/>
      <c r="X25" s="149"/>
      <c r="Y25" s="20">
        <v>0.71854412047385041</v>
      </c>
      <c r="Z25" s="115">
        <v>9.5747504647460087</v>
      </c>
      <c r="AA25" s="161">
        <f t="shared" si="26"/>
        <v>3.0379999999999994E-2</v>
      </c>
      <c r="AB25" s="8">
        <v>5.7662481630238557E-2</v>
      </c>
      <c r="AC25" s="161">
        <f t="shared" si="27"/>
        <v>8.6616161616161619E-2</v>
      </c>
      <c r="AE25" s="181"/>
      <c r="AF25" s="181"/>
      <c r="AG25" s="20">
        <v>3.1E-2</v>
      </c>
      <c r="AH25" s="20">
        <v>7.0000000000000007E-2</v>
      </c>
    </row>
    <row r="26" spans="1:34" x14ac:dyDescent="0.2">
      <c r="A26" s="18" t="s">
        <v>172</v>
      </c>
      <c r="B26" s="19" t="s">
        <v>10</v>
      </c>
      <c r="C26" s="19">
        <v>5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15.007759199999997</v>
      </c>
      <c r="M26" s="157">
        <f t="shared" si="24"/>
        <v>10.81527932571105</v>
      </c>
      <c r="N26" s="157">
        <f t="shared" si="24"/>
        <v>120.86263916319592</v>
      </c>
      <c r="O26" s="157">
        <f t="shared" si="25"/>
        <v>0.89766818403401716</v>
      </c>
      <c r="Q26" s="14"/>
      <c r="R26" s="149"/>
      <c r="S26" s="148"/>
      <c r="T26" s="149"/>
      <c r="U26" s="149"/>
      <c r="V26" s="150"/>
      <c r="W26" s="165"/>
      <c r="X26" s="149"/>
      <c r="Y26" s="20">
        <v>0.72064584603083526</v>
      </c>
      <c r="Z26" s="115">
        <v>11.175175002264661</v>
      </c>
      <c r="AA26" s="161">
        <f t="shared" si="26"/>
        <v>2.7439999999999992E-2</v>
      </c>
      <c r="AB26" s="8">
        <v>5.944638908285093E-2</v>
      </c>
      <c r="AC26" s="161">
        <f t="shared" si="27"/>
        <v>0.1027020202020202</v>
      </c>
      <c r="AE26" s="181"/>
      <c r="AF26" s="181"/>
      <c r="AG26" s="20">
        <v>2.8000000000000001E-2</v>
      </c>
      <c r="AH26" s="20">
        <v>8.3000000000000004E-2</v>
      </c>
    </row>
    <row r="27" spans="1:34" x14ac:dyDescent="0.2">
      <c r="B27" s="19" t="s">
        <v>10</v>
      </c>
      <c r="C27" s="19">
        <v>5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21">
        <v>0</v>
      </c>
      <c r="AA27" s="161">
        <f t="shared" si="26"/>
        <v>0</v>
      </c>
      <c r="AB27" s="8"/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0.97999999999999987</v>
      </c>
      <c r="AB30" s="161">
        <f t="shared" ref="AB30" si="28">SUM(AB2:AB4,AB7:AB12,AB15:AB22,AB24:AB27)</f>
        <v>0.97499999999999998</v>
      </c>
      <c r="AC30" s="161">
        <f>SUM(AC7:AC27)</f>
        <v>0.98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1.0000000000000002</v>
      </c>
    </row>
    <row r="31" spans="1:34" s="28" customFormat="1" x14ac:dyDescent="0.2">
      <c r="A31" s="44"/>
      <c r="B31" s="29"/>
      <c r="C31" s="29"/>
      <c r="D31" s="47">
        <v>1062</v>
      </c>
      <c r="E31" s="48">
        <v>0.51500000000000001</v>
      </c>
      <c r="F31" s="2">
        <f>1-E31</f>
        <v>0.48499999999999999</v>
      </c>
      <c r="G31" s="114">
        <v>4.6500000000000004</v>
      </c>
      <c r="H31" s="134">
        <v>4.2000000000000003E-2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546.93000000000006</v>
      </c>
      <c r="E34" s="167">
        <f>SUM(E2:E4)</f>
        <v>357.03954283539593</v>
      </c>
      <c r="F34" s="167">
        <f>SUM(F2:F4)</f>
        <v>4134.8197747845925</v>
      </c>
      <c r="G34" s="167">
        <f>SUM(G2:G4)</f>
        <v>28.068681468856276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515.06999999999994</v>
      </c>
      <c r="E37" s="167">
        <f>D37*G31</f>
        <v>2395.0754999999999</v>
      </c>
      <c r="F37" s="167">
        <f>D37*H31</f>
        <v>21.632939999999998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31"/>
      <c r="Z39" s="3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504.76859999999988</v>
      </c>
      <c r="E40" s="168">
        <f>SUM(J2:J4,J7:J12,J15:J22)</f>
        <v>2394.4728265134836</v>
      </c>
      <c r="F40" s="168">
        <f>SUM(K2:K4,K7:K12,K15:K22)</f>
        <v>21.624791592599998</v>
      </c>
      <c r="G40" s="168">
        <f>SUM(L7:L12,L15:L22,L24:L27)</f>
        <v>535.9914</v>
      </c>
      <c r="H40" s="168">
        <f>SUM(M7:M12,M15:M22,M24:M27)</f>
        <v>353.26695180871371</v>
      </c>
      <c r="I40" s="168">
        <f>SUM(N7:N12,N15:N22,N24:N27)</f>
        <v>4132.172136300921</v>
      </c>
      <c r="J40" s="168">
        <f>SUM(O7:O12,O15:O22,O24:O27)</f>
        <v>28.033456198804274</v>
      </c>
      <c r="Y40" s="31"/>
      <c r="Z40" s="32"/>
    </row>
    <row r="41" spans="1:32" ht="15" thickTop="1" x14ac:dyDescent="0.2">
      <c r="D41" s="169">
        <f>D37-D40</f>
        <v>10.301400000000058</v>
      </c>
      <c r="E41" s="169">
        <f>E37-E40</f>
        <v>0.60267348651632346</v>
      </c>
      <c r="F41" s="169">
        <f>F37-F40</f>
        <v>8.1484074000002238E-3</v>
      </c>
      <c r="G41" s="169">
        <f>SUM(D2:D4)-G40</f>
        <v>10.938600000000065</v>
      </c>
      <c r="H41" s="169">
        <f>E34-H40</f>
        <v>3.7725910266822211</v>
      </c>
      <c r="I41" s="169">
        <f>F34-I40</f>
        <v>2.6476384836714715</v>
      </c>
      <c r="J41" s="169">
        <f>G34-J40</f>
        <v>3.52252700520026E-2</v>
      </c>
      <c r="Y41" s="31"/>
      <c r="Z41" s="32"/>
    </row>
    <row r="42" spans="1:32" x14ac:dyDescent="0.2">
      <c r="Y42" s="31"/>
      <c r="Z42" s="32"/>
    </row>
    <row r="43" spans="1:32" x14ac:dyDescent="0.2">
      <c r="Y43" s="31"/>
      <c r="Z43" s="32"/>
    </row>
    <row r="44" spans="1:32" x14ac:dyDescent="0.2">
      <c r="Y44" s="31"/>
      <c r="Z44" s="32"/>
    </row>
    <row r="45" spans="1:32" x14ac:dyDescent="0.2">
      <c r="Y45" s="31"/>
      <c r="Z45" s="32"/>
    </row>
    <row r="46" spans="1:32" x14ac:dyDescent="0.2">
      <c r="Y46" s="31"/>
      <c r="Z46" s="32"/>
    </row>
    <row r="47" spans="1:32" x14ac:dyDescent="0.2">
      <c r="Z47" s="32"/>
    </row>
    <row r="48" spans="1:32" x14ac:dyDescent="0.2">
      <c r="Z48" s="32"/>
    </row>
    <row r="49" spans="26:26" x14ac:dyDescent="0.2">
      <c r="Z49" s="32"/>
    </row>
    <row r="50" spans="26:26" x14ac:dyDescent="0.2">
      <c r="Z50" s="32"/>
    </row>
    <row r="51" spans="26:26" x14ac:dyDescent="0.2">
      <c r="Z51" s="32"/>
    </row>
    <row r="52" spans="26:26" x14ac:dyDescent="0.2">
      <c r="Z52" s="32"/>
    </row>
    <row r="53" spans="26:26" x14ac:dyDescent="0.2">
      <c r="Z53" s="32"/>
    </row>
    <row r="54" spans="26:26" x14ac:dyDescent="0.2">
      <c r="Z54" s="32"/>
    </row>
  </sheetData>
  <sheetProtection selectLockedCells="1"/>
  <conditionalFormatting sqref="D41:J41">
    <cfRule type="cellIs" dxfId="74" priority="1" operator="lessThan">
      <formula>0</formula>
    </cfRule>
  </conditionalFormatting>
  <conditionalFormatting sqref="W30">
    <cfRule type="cellIs" dxfId="73" priority="2" operator="greaterThan">
      <formula>1</formula>
    </cfRule>
  </conditionalFormatting>
  <conditionalFormatting sqref="AA30:AG30">
    <cfRule type="cellIs" dxfId="72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rgb="FF002CB8"/>
  </sheetPr>
  <dimension ref="A1:AH41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42</v>
      </c>
      <c r="B2" s="19" t="s">
        <v>9</v>
      </c>
      <c r="C2" s="19">
        <v>7</v>
      </c>
      <c r="D2" s="157">
        <f>D$34*Q2</f>
        <v>571.25376000000006</v>
      </c>
      <c r="E2" s="157">
        <f t="shared" ref="E2:F4" si="0">D2*R2</f>
        <v>378.92361453139858</v>
      </c>
      <c r="F2" s="157">
        <f t="shared" si="0"/>
        <v>4202.2628851532099</v>
      </c>
      <c r="G2" s="157">
        <f>E2*T2</f>
        <v>29.770406194613113</v>
      </c>
      <c r="H2" s="157">
        <f>E2*U2</f>
        <v>14.844459046545014</v>
      </c>
      <c r="I2" s="157">
        <f>D$37*W2</f>
        <v>51.577290239999996</v>
      </c>
      <c r="J2" s="157">
        <f>I2*V2</f>
        <v>208.88802547199998</v>
      </c>
      <c r="K2" s="157">
        <f>I2*X2</f>
        <v>2.1662461900799999</v>
      </c>
      <c r="L2" s="158"/>
      <c r="M2" s="158"/>
      <c r="N2" s="158"/>
      <c r="O2" s="158"/>
      <c r="Q2" s="161">
        <f>AE2</f>
        <v>0.98</v>
      </c>
      <c r="R2" s="116">
        <v>0.66331924805431219</v>
      </c>
      <c r="S2" s="115">
        <v>11.09</v>
      </c>
      <c r="T2" s="116">
        <v>7.8565718928415476E-2</v>
      </c>
      <c r="U2" s="20">
        <v>3.9175333701233245E-2</v>
      </c>
      <c r="V2" s="115">
        <v>4.05</v>
      </c>
      <c r="W2" s="161">
        <f>(AF2/SUM(AF$2:AF$22))*0.98</f>
        <v>9.8979999999999999E-2</v>
      </c>
      <c r="X2" s="20">
        <v>4.2000000000000003E-2</v>
      </c>
      <c r="Y2" s="22"/>
      <c r="Z2" s="23"/>
      <c r="AA2" s="1"/>
      <c r="AB2" s="1"/>
      <c r="AC2" s="1"/>
      <c r="AE2" s="20">
        <v>0.98</v>
      </c>
      <c r="AF2" s="20">
        <v>0.10100000000000001</v>
      </c>
      <c r="AG2" s="181"/>
      <c r="AH2" s="181"/>
    </row>
    <row r="3" spans="1:34" x14ac:dyDescent="0.2">
      <c r="A3" s="18" t="s">
        <v>691</v>
      </c>
      <c r="B3" s="19" t="s">
        <v>9</v>
      </c>
      <c r="C3" s="19">
        <v>7</v>
      </c>
      <c r="D3" s="157">
        <f>D$34*Q3</f>
        <v>11.658240000000012</v>
      </c>
      <c r="E3" s="157">
        <f t="shared" si="0"/>
        <v>7.1915499065010247</v>
      </c>
      <c r="F3" s="157">
        <f t="shared" si="0"/>
        <v>83.421978915411884</v>
      </c>
      <c r="G3" s="157">
        <f>E3*T3</f>
        <v>0.54080455296887708</v>
      </c>
      <c r="H3" s="157">
        <f>E3*U3</f>
        <v>0.37396059513805324</v>
      </c>
      <c r="I3" s="157">
        <f>D$37*W3</f>
        <v>6.1279948799999993</v>
      </c>
      <c r="J3" s="157">
        <f>I3*V3</f>
        <v>34.255491379199995</v>
      </c>
      <c r="K3" s="157">
        <f>I3*X3</f>
        <v>0.30639974399999997</v>
      </c>
      <c r="L3" s="158"/>
      <c r="M3" s="158"/>
      <c r="N3" s="158"/>
      <c r="O3" s="158"/>
      <c r="Q3" s="161">
        <f>AE3</f>
        <v>2.0000000000000018E-2</v>
      </c>
      <c r="R3" s="116">
        <v>0.61686411555269216</v>
      </c>
      <c r="S3" s="115">
        <v>11.6</v>
      </c>
      <c r="T3" s="116">
        <v>7.5200000000000003E-2</v>
      </c>
      <c r="U3" s="20">
        <v>5.1999999999999998E-2</v>
      </c>
      <c r="V3" s="115">
        <v>5.59</v>
      </c>
      <c r="W3" s="161">
        <f>(AF3/SUM(AF$2:AF$22))*0.98</f>
        <v>1.176E-2</v>
      </c>
      <c r="X3" s="20">
        <v>0.05</v>
      </c>
      <c r="Y3" s="22"/>
      <c r="Z3" s="23"/>
      <c r="AA3" s="1"/>
      <c r="AB3" s="1"/>
      <c r="AC3" s="1"/>
      <c r="AE3" s="20">
        <f>1-AE2</f>
        <v>2.0000000000000018E-2</v>
      </c>
      <c r="AF3" s="20">
        <v>1.2E-2</v>
      </c>
      <c r="AG3" s="181"/>
      <c r="AH3" s="181"/>
    </row>
    <row r="4" spans="1:34" x14ac:dyDescent="0.2">
      <c r="B4" s="19" t="s">
        <v>9</v>
      </c>
      <c r="C4" s="19">
        <v>7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>E4*T4</f>
        <v>0</v>
      </c>
      <c r="H4" s="157">
        <f>E4*U4</f>
        <v>0</v>
      </c>
      <c r="I4" s="157">
        <f>D$37*W4</f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>AE4</f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>(AF4/SUM(AF$2:AF$22))*0.98</f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41</v>
      </c>
      <c r="B7" s="19" t="s">
        <v>256</v>
      </c>
      <c r="C7" s="19">
        <v>7</v>
      </c>
      <c r="D7" s="158"/>
      <c r="E7" s="158"/>
      <c r="F7" s="158"/>
      <c r="G7" s="158"/>
      <c r="H7" s="158"/>
      <c r="I7" s="157">
        <f t="shared" ref="I7:I12" si="1">D$37*W7</f>
        <v>259.92911615999998</v>
      </c>
      <c r="J7" s="157">
        <f t="shared" ref="J7:J12" si="2">I7*V7</f>
        <v>1169.6810227199999</v>
      </c>
      <c r="K7" s="157">
        <f t="shared" ref="K7:K12" si="3">I7*X7</f>
        <v>11.176951994879998</v>
      </c>
      <c r="L7" s="157">
        <f t="shared" ref="L7:L12" si="4">((D$2+D$3+D$4)*AA7)</f>
        <v>53.697853440000003</v>
      </c>
      <c r="M7" s="157">
        <f t="shared" ref="M7:N12" si="5">L7*Y7</f>
        <v>40.876432981688012</v>
      </c>
      <c r="N7" s="157">
        <f t="shared" si="5"/>
        <v>341.31821539709489</v>
      </c>
      <c r="O7" s="157">
        <f t="shared" ref="O7:O12" si="6">M7*AH7</f>
        <v>2.6978445767914088</v>
      </c>
      <c r="Q7" s="14"/>
      <c r="R7" s="149"/>
      <c r="S7" s="148"/>
      <c r="T7" s="149"/>
      <c r="U7" s="149"/>
      <c r="V7" s="21">
        <v>4.5</v>
      </c>
      <c r="W7" s="161">
        <f t="shared" ref="W7:W12" si="7">(AF7/SUM(AF$2:AF$22))*0.98</f>
        <v>0.49881999999999999</v>
      </c>
      <c r="X7" s="20">
        <v>4.2999999999999997E-2</v>
      </c>
      <c r="Y7" s="20">
        <v>0.76123029810422171</v>
      </c>
      <c r="Z7" s="21">
        <v>8.35</v>
      </c>
      <c r="AA7" s="161">
        <f t="shared" ref="AA7:AA12" si="8">(AG7/SUM(AG$7:AG$27))*0.98</f>
        <v>9.2119999999999994E-2</v>
      </c>
      <c r="AB7" s="8">
        <v>0.10971117726803035</v>
      </c>
      <c r="AC7" s="161">
        <f t="shared" ref="AC7:AC12" si="9">(AH7/SUM(AH$7:AH$27))*0.98</f>
        <v>7.7927710843373507E-2</v>
      </c>
      <c r="AE7" s="181"/>
      <c r="AF7" s="20">
        <v>0.50900000000000001</v>
      </c>
      <c r="AG7" s="20">
        <v>9.4E-2</v>
      </c>
      <c r="AH7" s="20">
        <v>6.6000000000000003E-2</v>
      </c>
    </row>
    <row r="8" spans="1:34" x14ac:dyDescent="0.2">
      <c r="A8" s="186" t="s">
        <v>668</v>
      </c>
      <c r="B8" s="19" t="s">
        <v>256</v>
      </c>
      <c r="C8" s="19">
        <v>7</v>
      </c>
      <c r="D8" s="158"/>
      <c r="E8" s="158"/>
      <c r="F8" s="158"/>
      <c r="G8" s="158"/>
      <c r="H8" s="158"/>
      <c r="I8" s="157">
        <f t="shared" si="1"/>
        <v>91.919923199999999</v>
      </c>
      <c r="J8" s="157">
        <f t="shared" si="2"/>
        <v>393.41727129600002</v>
      </c>
      <c r="K8" s="157">
        <f t="shared" si="3"/>
        <v>3.6767969279999999</v>
      </c>
      <c r="L8" s="157">
        <f t="shared" si="4"/>
        <v>12.567582720000001</v>
      </c>
      <c r="M8" s="157">
        <f t="shared" si="5"/>
        <v>8.0515231862733678</v>
      </c>
      <c r="N8" s="157">
        <f t="shared" si="5"/>
        <v>55.641706395255021</v>
      </c>
      <c r="O8" s="157">
        <f t="shared" si="6"/>
        <v>0.24959721877447441</v>
      </c>
      <c r="Q8" s="14"/>
      <c r="R8" s="149"/>
      <c r="S8" s="148"/>
      <c r="T8" s="149"/>
      <c r="U8" s="149"/>
      <c r="V8" s="21">
        <v>4.28</v>
      </c>
      <c r="W8" s="161">
        <f t="shared" si="7"/>
        <v>0.1764</v>
      </c>
      <c r="X8" s="20">
        <v>0.04</v>
      </c>
      <c r="Y8" s="20">
        <v>0.64065806174963191</v>
      </c>
      <c r="Z8" s="21">
        <v>6.9107056028995526</v>
      </c>
      <c r="AA8" s="161">
        <f t="shared" si="8"/>
        <v>2.1559999999999999E-2</v>
      </c>
      <c r="AB8" s="8">
        <v>5.7342375667335743E-2</v>
      </c>
      <c r="AC8" s="161">
        <f t="shared" si="9"/>
        <v>3.6602409638554219E-2</v>
      </c>
      <c r="AE8" s="181"/>
      <c r="AF8" s="20">
        <v>0.18</v>
      </c>
      <c r="AG8" s="20">
        <v>2.1999999999999999E-2</v>
      </c>
      <c r="AH8" s="20">
        <v>3.1E-2</v>
      </c>
    </row>
    <row r="9" spans="1:34" x14ac:dyDescent="0.2">
      <c r="A9" s="186" t="s">
        <v>610</v>
      </c>
      <c r="B9" s="19" t="s">
        <v>256</v>
      </c>
      <c r="C9" s="19">
        <v>7</v>
      </c>
      <c r="D9" s="158"/>
      <c r="E9" s="158"/>
      <c r="F9" s="158"/>
      <c r="G9" s="158"/>
      <c r="H9" s="158"/>
      <c r="I9" s="157">
        <f t="shared" si="1"/>
        <v>90.898590719999987</v>
      </c>
      <c r="J9" s="157">
        <f t="shared" si="2"/>
        <v>391.77292600319993</v>
      </c>
      <c r="K9" s="157">
        <f t="shared" si="3"/>
        <v>3.4541464473599994</v>
      </c>
      <c r="L9" s="157">
        <f t="shared" si="4"/>
        <v>57.125376000000003</v>
      </c>
      <c r="M9" s="157">
        <f t="shared" si="5"/>
        <v>37.92015152966178</v>
      </c>
      <c r="N9" s="157">
        <f t="shared" si="5"/>
        <v>315.42060300313875</v>
      </c>
      <c r="O9" s="157">
        <f t="shared" si="6"/>
        <v>2.0097680310720745</v>
      </c>
      <c r="Q9" s="14"/>
      <c r="R9" s="149"/>
      <c r="S9" s="148"/>
      <c r="T9" s="149"/>
      <c r="U9" s="149"/>
      <c r="V9" s="21">
        <v>4.3099999999999996</v>
      </c>
      <c r="W9" s="161">
        <f t="shared" si="7"/>
        <v>0.17443999999999998</v>
      </c>
      <c r="X9" s="20">
        <v>3.7999999999999999E-2</v>
      </c>
      <c r="Y9" s="20">
        <v>0.66380572321592735</v>
      </c>
      <c r="Z9" s="21">
        <v>8.3180206375602541</v>
      </c>
      <c r="AA9" s="161">
        <f t="shared" si="8"/>
        <v>9.8000000000000004E-2</v>
      </c>
      <c r="AB9" s="8">
        <v>7.8154687715691583E-3</v>
      </c>
      <c r="AC9" s="161">
        <f t="shared" si="9"/>
        <v>6.2578313253012052E-2</v>
      </c>
      <c r="AE9" s="181"/>
      <c r="AF9" s="20">
        <v>0.17799999999999999</v>
      </c>
      <c r="AG9" s="20">
        <v>0.1</v>
      </c>
      <c r="AH9" s="20">
        <v>5.2999999999999999E-2</v>
      </c>
    </row>
    <row r="10" spans="1:34" x14ac:dyDescent="0.2">
      <c r="B10" s="19" t="s">
        <v>256</v>
      </c>
      <c r="C10" s="19">
        <v>7</v>
      </c>
      <c r="D10" s="158"/>
      <c r="E10" s="158"/>
      <c r="F10" s="158"/>
      <c r="G10" s="158"/>
      <c r="H10" s="158"/>
      <c r="I10" s="157">
        <f t="shared" si="1"/>
        <v>0</v>
      </c>
      <c r="J10" s="157">
        <f t="shared" si="2"/>
        <v>0</v>
      </c>
      <c r="K10" s="157">
        <f t="shared" si="3"/>
        <v>0</v>
      </c>
      <c r="L10" s="157">
        <f t="shared" si="4"/>
        <v>0</v>
      </c>
      <c r="M10" s="157">
        <f t="shared" si="5"/>
        <v>0</v>
      </c>
      <c r="N10" s="157">
        <f t="shared" si="5"/>
        <v>0</v>
      </c>
      <c r="O10" s="157">
        <f t="shared" si="6"/>
        <v>0</v>
      </c>
      <c r="Q10" s="14"/>
      <c r="R10" s="149"/>
      <c r="S10" s="148"/>
      <c r="T10" s="149"/>
      <c r="U10" s="149"/>
      <c r="V10" s="21">
        <v>0</v>
      </c>
      <c r="W10" s="161">
        <f t="shared" si="7"/>
        <v>0</v>
      </c>
      <c r="X10" s="20">
        <v>0</v>
      </c>
      <c r="Y10" s="20">
        <v>0</v>
      </c>
      <c r="Z10" s="21">
        <v>0</v>
      </c>
      <c r="AA10" s="161">
        <f t="shared" si="8"/>
        <v>0</v>
      </c>
      <c r="AB10" s="8">
        <v>0</v>
      </c>
      <c r="AC10" s="161">
        <f t="shared" si="9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B11" s="19" t="s">
        <v>256</v>
      </c>
      <c r="C11" s="19">
        <v>7</v>
      </c>
      <c r="D11" s="158"/>
      <c r="E11" s="158"/>
      <c r="F11" s="158"/>
      <c r="G11" s="158"/>
      <c r="H11" s="158"/>
      <c r="I11" s="157">
        <f t="shared" si="1"/>
        <v>0</v>
      </c>
      <c r="J11" s="157">
        <f t="shared" si="2"/>
        <v>0</v>
      </c>
      <c r="K11" s="157">
        <f t="shared" si="3"/>
        <v>0</v>
      </c>
      <c r="L11" s="157">
        <f t="shared" si="4"/>
        <v>0</v>
      </c>
      <c r="M11" s="157">
        <f t="shared" si="5"/>
        <v>0</v>
      </c>
      <c r="N11" s="157">
        <f t="shared" si="5"/>
        <v>0</v>
      </c>
      <c r="O11" s="157">
        <f t="shared" si="6"/>
        <v>0</v>
      </c>
      <c r="Q11" s="14"/>
      <c r="R11" s="149"/>
      <c r="S11" s="148"/>
      <c r="T11" s="149"/>
      <c r="U11" s="149"/>
      <c r="V11" s="21">
        <v>0</v>
      </c>
      <c r="W11" s="161">
        <f t="shared" si="7"/>
        <v>0</v>
      </c>
      <c r="X11" s="20">
        <v>0</v>
      </c>
      <c r="Y11" s="20">
        <v>0</v>
      </c>
      <c r="Z11" s="21">
        <v>0</v>
      </c>
      <c r="AA11" s="161">
        <f t="shared" si="8"/>
        <v>0</v>
      </c>
      <c r="AB11" s="8">
        <v>0</v>
      </c>
      <c r="AC11" s="161">
        <f t="shared" si="9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7</v>
      </c>
      <c r="D12" s="158"/>
      <c r="E12" s="158"/>
      <c r="F12" s="158"/>
      <c r="G12" s="158"/>
      <c r="H12" s="158"/>
      <c r="I12" s="157">
        <f t="shared" si="1"/>
        <v>0</v>
      </c>
      <c r="J12" s="157">
        <f t="shared" si="2"/>
        <v>0</v>
      </c>
      <c r="K12" s="157">
        <f t="shared" si="3"/>
        <v>0</v>
      </c>
      <c r="L12" s="157">
        <f t="shared" si="4"/>
        <v>0</v>
      </c>
      <c r="M12" s="157">
        <f t="shared" si="5"/>
        <v>0</v>
      </c>
      <c r="N12" s="157">
        <f t="shared" si="5"/>
        <v>0</v>
      </c>
      <c r="O12" s="157">
        <f t="shared" si="6"/>
        <v>0</v>
      </c>
      <c r="Q12" s="14"/>
      <c r="R12" s="149"/>
      <c r="S12" s="148"/>
      <c r="T12" s="149"/>
      <c r="U12" s="149"/>
      <c r="V12" s="21">
        <v>0</v>
      </c>
      <c r="W12" s="161">
        <f t="shared" si="7"/>
        <v>0</v>
      </c>
      <c r="X12" s="20">
        <v>0</v>
      </c>
      <c r="Y12" s="20">
        <v>0</v>
      </c>
      <c r="Z12" s="21">
        <v>0</v>
      </c>
      <c r="AA12" s="161">
        <f t="shared" si="8"/>
        <v>0</v>
      </c>
      <c r="AB12" s="8">
        <v>0</v>
      </c>
      <c r="AC12" s="161">
        <f t="shared" si="9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167</v>
      </c>
      <c r="B15" s="19" t="s">
        <v>257</v>
      </c>
      <c r="C15" s="19">
        <v>7</v>
      </c>
      <c r="D15" s="158"/>
      <c r="E15" s="158"/>
      <c r="F15" s="158"/>
      <c r="G15" s="158"/>
      <c r="H15" s="158"/>
      <c r="I15" s="157">
        <f t="shared" ref="I15:I22" si="10">D$37*W15</f>
        <v>10.213324799999999</v>
      </c>
      <c r="J15" s="157">
        <f t="shared" ref="J15:J22" si="11">I15*V15</f>
        <v>68.484851270411014</v>
      </c>
      <c r="K15" s="157">
        <f t="shared" ref="K15:K22" si="12">I15*X15</f>
        <v>0.57146128062020396</v>
      </c>
      <c r="L15" s="157">
        <f t="shared" ref="L15:L22" si="13">((D$2+D$3+D$4)*AA15)</f>
        <v>133.67337984</v>
      </c>
      <c r="M15" s="157">
        <f t="shared" ref="M15:N22" si="14">L15*Y15</f>
        <v>91.865365346597017</v>
      </c>
      <c r="N15" s="157">
        <f t="shared" si="14"/>
        <v>1182.3072520107035</v>
      </c>
      <c r="O15" s="157">
        <f t="shared" ref="O15:O22" si="15">M15*AH15</f>
        <v>7.1654984970345676</v>
      </c>
      <c r="Q15" s="14"/>
      <c r="R15" s="149"/>
      <c r="S15" s="148"/>
      <c r="T15" s="149"/>
      <c r="U15" s="149"/>
      <c r="V15" s="21">
        <v>6.7054414318059301</v>
      </c>
      <c r="W15" s="161">
        <f t="shared" ref="W15:W22" si="16">(AF15/SUM(AF$2:AF$22))*0.98</f>
        <v>1.9599999999999999E-2</v>
      </c>
      <c r="X15" s="20">
        <v>5.5952522005390838E-2</v>
      </c>
      <c r="Y15" s="20">
        <v>0.68723754465215903</v>
      </c>
      <c r="Z15" s="21">
        <v>12.87</v>
      </c>
      <c r="AA15" s="161">
        <f t="shared" ref="AA15:AA22" si="17">(AG15/SUM(AG$7:AG$27))*0.98</f>
        <v>0.22932</v>
      </c>
      <c r="AB15" s="8">
        <v>0.19706501903396839</v>
      </c>
      <c r="AC15" s="161">
        <f t="shared" ref="AC15:AC22" si="18">(AH15/SUM(AH$7:AH$27))*0.98</f>
        <v>9.2096385542168674E-2</v>
      </c>
      <c r="AE15" s="181"/>
      <c r="AF15" s="20">
        <v>0.02</v>
      </c>
      <c r="AG15" s="20">
        <v>0.23400000000000001</v>
      </c>
      <c r="AH15" s="20">
        <v>7.8E-2</v>
      </c>
    </row>
    <row r="16" spans="1:34" x14ac:dyDescent="0.2">
      <c r="A16" s="18" t="s">
        <v>59</v>
      </c>
      <c r="B16" s="19" t="s">
        <v>257</v>
      </c>
      <c r="C16" s="19">
        <v>7</v>
      </c>
      <c r="D16" s="158"/>
      <c r="E16" s="158"/>
      <c r="F16" s="158"/>
      <c r="G16" s="158"/>
      <c r="H16" s="158"/>
      <c r="I16" s="157">
        <f t="shared" si="10"/>
        <v>0</v>
      </c>
      <c r="J16" s="157">
        <f t="shared" si="11"/>
        <v>0</v>
      </c>
      <c r="K16" s="157">
        <f t="shared" si="12"/>
        <v>0</v>
      </c>
      <c r="L16" s="157">
        <f t="shared" si="13"/>
        <v>98.255646720000001</v>
      </c>
      <c r="M16" s="157">
        <f t="shared" si="14"/>
        <v>65.787419248425181</v>
      </c>
      <c r="N16" s="157">
        <f t="shared" si="14"/>
        <v>855.23645022952735</v>
      </c>
      <c r="O16" s="157">
        <f t="shared" si="15"/>
        <v>5.5261432168677151</v>
      </c>
      <c r="Q16" s="14"/>
      <c r="R16" s="149"/>
      <c r="S16" s="148"/>
      <c r="T16" s="149"/>
      <c r="U16" s="149"/>
      <c r="V16" s="21">
        <v>0</v>
      </c>
      <c r="W16" s="161">
        <f t="shared" si="16"/>
        <v>0</v>
      </c>
      <c r="X16" s="20">
        <v>0</v>
      </c>
      <c r="Y16" s="20">
        <v>0.6695535721819651</v>
      </c>
      <c r="Z16" s="21">
        <v>13</v>
      </c>
      <c r="AA16" s="161">
        <f t="shared" si="17"/>
        <v>0.16855999999999999</v>
      </c>
      <c r="AB16" s="8">
        <v>0.19101895662388133</v>
      </c>
      <c r="AC16" s="161">
        <f t="shared" si="18"/>
        <v>9.9180722891566278E-2</v>
      </c>
      <c r="AE16" s="181"/>
      <c r="AF16" s="20">
        <v>0</v>
      </c>
      <c r="AG16" s="20">
        <v>0.17199999999999999</v>
      </c>
      <c r="AH16" s="20">
        <v>8.4000000000000005E-2</v>
      </c>
    </row>
    <row r="17" spans="1:34" x14ac:dyDescent="0.2">
      <c r="A17" s="18" t="s">
        <v>38</v>
      </c>
      <c r="B17" s="19" t="s">
        <v>257</v>
      </c>
      <c r="C17" s="19">
        <v>7</v>
      </c>
      <c r="D17" s="158"/>
      <c r="E17" s="158"/>
      <c r="F17" s="158"/>
      <c r="G17" s="158"/>
      <c r="H17" s="158"/>
      <c r="I17" s="157">
        <f t="shared" si="10"/>
        <v>0</v>
      </c>
      <c r="J17" s="157">
        <f t="shared" si="11"/>
        <v>0</v>
      </c>
      <c r="K17" s="157">
        <f t="shared" si="12"/>
        <v>0</v>
      </c>
      <c r="L17" s="157">
        <f t="shared" si="13"/>
        <v>69.121704960000002</v>
      </c>
      <c r="M17" s="157">
        <f t="shared" si="14"/>
        <v>39.505748284365389</v>
      </c>
      <c r="N17" s="157">
        <f t="shared" si="14"/>
        <v>523.45116476784142</v>
      </c>
      <c r="O17" s="157">
        <f t="shared" si="15"/>
        <v>3.555517345592885</v>
      </c>
      <c r="Q17" s="14"/>
      <c r="R17" s="149"/>
      <c r="S17" s="148"/>
      <c r="T17" s="149"/>
      <c r="U17" s="149"/>
      <c r="V17" s="21">
        <v>0</v>
      </c>
      <c r="W17" s="161">
        <f t="shared" si="16"/>
        <v>0</v>
      </c>
      <c r="X17" s="20">
        <v>0</v>
      </c>
      <c r="Y17" s="20">
        <v>0.57153897328237124</v>
      </c>
      <c r="Z17" s="21">
        <v>13.25</v>
      </c>
      <c r="AA17" s="161">
        <f t="shared" si="17"/>
        <v>0.11857999999999999</v>
      </c>
      <c r="AB17" s="8">
        <v>0.13390050001312528</v>
      </c>
      <c r="AC17" s="161">
        <f t="shared" si="18"/>
        <v>0.10626506024096385</v>
      </c>
      <c r="AE17" s="181"/>
      <c r="AF17" s="20">
        <v>0</v>
      </c>
      <c r="AG17" s="20">
        <v>0.121</v>
      </c>
      <c r="AH17" s="20">
        <v>0.09</v>
      </c>
    </row>
    <row r="18" spans="1:34" x14ac:dyDescent="0.2">
      <c r="A18" s="18" t="s">
        <v>526</v>
      </c>
      <c r="B18" s="19" t="s">
        <v>257</v>
      </c>
      <c r="C18" s="19">
        <v>7</v>
      </c>
      <c r="D18" s="158"/>
      <c r="E18" s="158"/>
      <c r="F18" s="158"/>
      <c r="G18" s="158"/>
      <c r="H18" s="158"/>
      <c r="I18" s="157">
        <f t="shared" si="10"/>
        <v>0</v>
      </c>
      <c r="J18" s="157">
        <f t="shared" si="11"/>
        <v>0</v>
      </c>
      <c r="K18" s="157">
        <f t="shared" si="12"/>
        <v>0</v>
      </c>
      <c r="L18" s="157">
        <f t="shared" si="13"/>
        <v>25.706419200000003</v>
      </c>
      <c r="M18" s="157">
        <f t="shared" si="14"/>
        <v>14.047465550191733</v>
      </c>
      <c r="N18" s="157">
        <f t="shared" si="14"/>
        <v>176.43616731040817</v>
      </c>
      <c r="O18" s="157">
        <f t="shared" si="15"/>
        <v>0.84284793301150396</v>
      </c>
      <c r="Q18" s="14"/>
      <c r="R18" s="149"/>
      <c r="S18" s="148"/>
      <c r="T18" s="149"/>
      <c r="U18" s="149"/>
      <c r="V18" s="21">
        <v>0</v>
      </c>
      <c r="W18" s="161">
        <f t="shared" si="16"/>
        <v>0</v>
      </c>
      <c r="X18" s="20">
        <v>0</v>
      </c>
      <c r="Y18" s="20">
        <v>0.54645749923006515</v>
      </c>
      <c r="Z18" s="21">
        <v>12.56</v>
      </c>
      <c r="AA18" s="161">
        <f t="shared" si="17"/>
        <v>4.41E-2</v>
      </c>
      <c r="AB18" s="8">
        <v>3.458244539730021E-2</v>
      </c>
      <c r="AC18" s="161">
        <f t="shared" si="18"/>
        <v>7.0843373493975903E-2</v>
      </c>
      <c r="AE18" s="181"/>
      <c r="AF18" s="20">
        <v>0</v>
      </c>
      <c r="AG18" s="20">
        <v>4.4999999999999998E-2</v>
      </c>
      <c r="AH18" s="20">
        <v>0.06</v>
      </c>
    </row>
    <row r="19" spans="1:34" x14ac:dyDescent="0.2">
      <c r="A19" s="18" t="s">
        <v>593</v>
      </c>
      <c r="B19" s="19" t="s">
        <v>257</v>
      </c>
      <c r="C19" s="19">
        <v>7</v>
      </c>
      <c r="D19" s="158"/>
      <c r="E19" s="158"/>
      <c r="F19" s="158"/>
      <c r="G19" s="158"/>
      <c r="H19" s="158"/>
      <c r="I19" s="157">
        <f t="shared" si="10"/>
        <v>0</v>
      </c>
      <c r="J19" s="157">
        <f t="shared" si="11"/>
        <v>0</v>
      </c>
      <c r="K19" s="157">
        <f t="shared" si="12"/>
        <v>0</v>
      </c>
      <c r="L19" s="157">
        <f t="shared" si="13"/>
        <v>11.4250752</v>
      </c>
      <c r="M19" s="157">
        <f t="shared" si="14"/>
        <v>6.6950940671999994</v>
      </c>
      <c r="N19" s="157">
        <f t="shared" si="14"/>
        <v>72.976525332479994</v>
      </c>
      <c r="O19" s="157">
        <f t="shared" si="15"/>
        <v>0.46865658470400001</v>
      </c>
      <c r="Q19" s="14"/>
      <c r="R19" s="149"/>
      <c r="S19" s="148"/>
      <c r="T19" s="149"/>
      <c r="U19" s="149"/>
      <c r="V19" s="21">
        <v>0</v>
      </c>
      <c r="W19" s="161">
        <f t="shared" si="16"/>
        <v>0</v>
      </c>
      <c r="X19" s="20">
        <v>0</v>
      </c>
      <c r="Y19" s="20">
        <v>0.58599999999999997</v>
      </c>
      <c r="Z19" s="21">
        <v>10.9</v>
      </c>
      <c r="AA19" s="161">
        <f t="shared" si="17"/>
        <v>1.9599999999999999E-2</v>
      </c>
      <c r="AB19" s="8">
        <v>2.6997234152718364E-2</v>
      </c>
      <c r="AC19" s="161">
        <f t="shared" si="18"/>
        <v>8.2650602409638563E-2</v>
      </c>
      <c r="AE19" s="181"/>
      <c r="AF19" s="20">
        <v>0</v>
      </c>
      <c r="AG19" s="20">
        <v>0.02</v>
      </c>
      <c r="AH19" s="20">
        <v>7.0000000000000007E-2</v>
      </c>
    </row>
    <row r="20" spans="1:34" x14ac:dyDescent="0.2">
      <c r="B20" s="19" t="s">
        <v>257</v>
      </c>
      <c r="C20" s="19">
        <v>7</v>
      </c>
      <c r="D20" s="158"/>
      <c r="E20" s="158"/>
      <c r="F20" s="158"/>
      <c r="G20" s="158"/>
      <c r="H20" s="158"/>
      <c r="I20" s="157">
        <f t="shared" si="10"/>
        <v>0</v>
      </c>
      <c r="J20" s="157">
        <f t="shared" si="11"/>
        <v>0</v>
      </c>
      <c r="K20" s="157">
        <f t="shared" si="12"/>
        <v>0</v>
      </c>
      <c r="L20" s="157">
        <f t="shared" si="13"/>
        <v>0</v>
      </c>
      <c r="M20" s="157">
        <f t="shared" si="14"/>
        <v>0</v>
      </c>
      <c r="N20" s="157">
        <f t="shared" si="14"/>
        <v>0</v>
      </c>
      <c r="O20" s="157">
        <f t="shared" si="15"/>
        <v>0</v>
      </c>
      <c r="Q20" s="14"/>
      <c r="R20" s="149"/>
      <c r="S20" s="148"/>
      <c r="T20" s="149"/>
      <c r="U20" s="149"/>
      <c r="V20" s="21">
        <v>0</v>
      </c>
      <c r="W20" s="161">
        <f t="shared" si="16"/>
        <v>0</v>
      </c>
      <c r="X20" s="20">
        <v>0</v>
      </c>
      <c r="Y20" s="20">
        <v>0</v>
      </c>
      <c r="Z20" s="21">
        <v>0</v>
      </c>
      <c r="AA20" s="161">
        <f t="shared" si="17"/>
        <v>0</v>
      </c>
      <c r="AB20" s="8">
        <v>1.7104335421759966E-2</v>
      </c>
      <c r="AC20" s="161">
        <f t="shared" si="18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7</v>
      </c>
      <c r="D21" s="158"/>
      <c r="E21" s="158"/>
      <c r="F21" s="158"/>
      <c r="G21" s="158"/>
      <c r="H21" s="158"/>
      <c r="I21" s="157">
        <f t="shared" si="10"/>
        <v>0</v>
      </c>
      <c r="J21" s="157">
        <f t="shared" si="11"/>
        <v>0</v>
      </c>
      <c r="K21" s="157">
        <f t="shared" si="12"/>
        <v>0</v>
      </c>
      <c r="L21" s="157">
        <f t="shared" si="13"/>
        <v>0</v>
      </c>
      <c r="M21" s="157">
        <f t="shared" si="14"/>
        <v>0</v>
      </c>
      <c r="N21" s="157">
        <f t="shared" si="14"/>
        <v>0</v>
      </c>
      <c r="O21" s="157">
        <f t="shared" si="15"/>
        <v>0</v>
      </c>
      <c r="Q21" s="14"/>
      <c r="R21" s="149"/>
      <c r="S21" s="148"/>
      <c r="T21" s="149"/>
      <c r="U21" s="149"/>
      <c r="V21" s="21">
        <v>0</v>
      </c>
      <c r="W21" s="161">
        <f t="shared" si="16"/>
        <v>0</v>
      </c>
      <c r="X21" s="20">
        <v>0</v>
      </c>
      <c r="Y21" s="20">
        <v>0</v>
      </c>
      <c r="Z21" s="21">
        <v>0</v>
      </c>
      <c r="AA21" s="161">
        <f t="shared" si="17"/>
        <v>0</v>
      </c>
      <c r="AB21" s="8">
        <v>0</v>
      </c>
      <c r="AC21" s="161">
        <f t="shared" si="18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7</v>
      </c>
      <c r="D22" s="158"/>
      <c r="E22" s="158"/>
      <c r="F22" s="158"/>
      <c r="G22" s="158"/>
      <c r="H22" s="158"/>
      <c r="I22" s="157">
        <f t="shared" si="10"/>
        <v>0</v>
      </c>
      <c r="J22" s="157">
        <f t="shared" si="11"/>
        <v>0</v>
      </c>
      <c r="K22" s="157">
        <f t="shared" si="12"/>
        <v>0</v>
      </c>
      <c r="L22" s="157">
        <f t="shared" si="13"/>
        <v>0</v>
      </c>
      <c r="M22" s="157">
        <f t="shared" si="14"/>
        <v>0</v>
      </c>
      <c r="N22" s="157">
        <f t="shared" si="14"/>
        <v>0</v>
      </c>
      <c r="O22" s="157">
        <f t="shared" si="15"/>
        <v>0</v>
      </c>
      <c r="Q22" s="14"/>
      <c r="R22" s="149"/>
      <c r="S22" s="148"/>
      <c r="T22" s="149"/>
      <c r="U22" s="149"/>
      <c r="V22" s="21">
        <v>0</v>
      </c>
      <c r="W22" s="161">
        <f t="shared" si="16"/>
        <v>0</v>
      </c>
      <c r="X22" s="20">
        <v>0</v>
      </c>
      <c r="Y22" s="20">
        <v>0</v>
      </c>
      <c r="Z22" s="21">
        <v>0</v>
      </c>
      <c r="AA22" s="161">
        <f t="shared" si="17"/>
        <v>0</v>
      </c>
      <c r="AB22" s="8">
        <v>0</v>
      </c>
      <c r="AC22" s="161">
        <f t="shared" si="18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501</v>
      </c>
      <c r="B24" s="19" t="s">
        <v>10</v>
      </c>
      <c r="C24" s="19">
        <v>7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65.694182400000003</v>
      </c>
      <c r="M24" s="157">
        <f t="shared" ref="M24:N27" si="19">L24*Y24</f>
        <v>47.068609710189847</v>
      </c>
      <c r="N24" s="157">
        <f t="shared" si="19"/>
        <v>470.68609710189844</v>
      </c>
      <c r="O24" s="157">
        <f>M24*AH24</f>
        <v>5.0363412389903139</v>
      </c>
      <c r="Q24" s="14"/>
      <c r="R24" s="149"/>
      <c r="S24" s="148"/>
      <c r="T24" s="149"/>
      <c r="U24" s="149"/>
      <c r="V24" s="150"/>
      <c r="W24" s="165"/>
      <c r="X24" s="149"/>
      <c r="Y24" s="20">
        <v>0.71648063786832128</v>
      </c>
      <c r="Z24" s="115">
        <v>10</v>
      </c>
      <c r="AA24" s="161">
        <f>(AG24/SUM(AG$7:AG$27))*0.98</f>
        <v>0.11270000000000001</v>
      </c>
      <c r="AB24" s="8">
        <v>0.1173594878512651</v>
      </c>
      <c r="AC24" s="161">
        <f>(AH24/SUM(AH$7:AH$27))*0.98</f>
        <v>0.12633734939759036</v>
      </c>
      <c r="AE24" s="181"/>
      <c r="AF24" s="181"/>
      <c r="AG24" s="20">
        <v>0.115</v>
      </c>
      <c r="AH24" s="20">
        <v>0.107</v>
      </c>
    </row>
    <row r="25" spans="1:34" x14ac:dyDescent="0.2">
      <c r="A25" s="18" t="s">
        <v>580</v>
      </c>
      <c r="B25" s="19" t="s">
        <v>10</v>
      </c>
      <c r="C25" s="19">
        <v>7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21.707642879999998</v>
      </c>
      <c r="M25" s="157">
        <f t="shared" si="19"/>
        <v>14.013609088976441</v>
      </c>
      <c r="N25" s="157">
        <f t="shared" si="19"/>
        <v>137.62077744350114</v>
      </c>
      <c r="O25" s="157">
        <f>M25*AH25</f>
        <v>1.2892520361858326</v>
      </c>
      <c r="Q25" s="14"/>
      <c r="R25" s="149"/>
      <c r="S25" s="148"/>
      <c r="T25" s="149"/>
      <c r="U25" s="149"/>
      <c r="V25" s="150"/>
      <c r="W25" s="165"/>
      <c r="X25" s="149"/>
      <c r="Y25" s="20">
        <v>0.64556106650748635</v>
      </c>
      <c r="Z25" s="115">
        <v>9.8205092328255468</v>
      </c>
      <c r="AA25" s="161">
        <f>(AG25/SUM(AG$7:AG$27))*0.98</f>
        <v>3.7239999999999995E-2</v>
      </c>
      <c r="AB25" s="8">
        <v>6.6566878931794998E-2</v>
      </c>
      <c r="AC25" s="161">
        <f>(AH25/SUM(AH$7:AH$27))*0.98</f>
        <v>0.10862650602409639</v>
      </c>
      <c r="AE25" s="181"/>
      <c r="AF25" s="181"/>
      <c r="AG25" s="20">
        <v>3.7999999999999999E-2</v>
      </c>
      <c r="AH25" s="20">
        <v>9.1999999999999998E-2</v>
      </c>
    </row>
    <row r="26" spans="1:34" x14ac:dyDescent="0.2">
      <c r="A26" s="43" t="s">
        <v>611</v>
      </c>
      <c r="B26" s="19" t="s">
        <v>10</v>
      </c>
      <c r="C26" s="19">
        <v>7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22.278896639999999</v>
      </c>
      <c r="M26" s="157">
        <f t="shared" si="19"/>
        <v>14.600840272126336</v>
      </c>
      <c r="N26" s="157">
        <f t="shared" si="19"/>
        <v>150.9726884137863</v>
      </c>
      <c r="O26" s="157">
        <f>M26*AH26</f>
        <v>1.4454831869405074</v>
      </c>
      <c r="Q26" s="14"/>
      <c r="R26" s="149"/>
      <c r="S26" s="148"/>
      <c r="T26" s="149"/>
      <c r="U26" s="149"/>
      <c r="V26" s="150"/>
      <c r="W26" s="165"/>
      <c r="X26" s="149"/>
      <c r="Y26" s="20">
        <v>0.65536639933557927</v>
      </c>
      <c r="Z26" s="115">
        <v>10.34</v>
      </c>
      <c r="AA26" s="161">
        <f>(AG26/SUM(AG$7:AG$27))*0.98</f>
        <v>3.8219999999999997E-2</v>
      </c>
      <c r="AB26" s="8">
        <v>1.5536120867251138E-2</v>
      </c>
      <c r="AC26" s="161">
        <f>(AH26/SUM(AH$7:AH$27))*0.98</f>
        <v>0.11689156626506025</v>
      </c>
      <c r="AE26" s="181"/>
      <c r="AF26" s="181"/>
      <c r="AG26" s="20">
        <v>3.9E-2</v>
      </c>
      <c r="AH26" s="20">
        <v>9.9000000000000005E-2</v>
      </c>
    </row>
    <row r="27" spans="1:34" x14ac:dyDescent="0.2">
      <c r="A27" s="43"/>
      <c r="B27" s="19" t="s">
        <v>10</v>
      </c>
      <c r="C27" s="19">
        <v>7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19"/>
        <v>0</v>
      </c>
      <c r="N27" s="157">
        <f t="shared" si="19"/>
        <v>0</v>
      </c>
      <c r="O27" s="157">
        <f>M27*AH27</f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21">
        <v>0</v>
      </c>
      <c r="AA27" s="161">
        <f>(AG27/SUM(AG$7:AG$27))*0.98</f>
        <v>0</v>
      </c>
      <c r="AB27" s="8">
        <v>0</v>
      </c>
      <c r="AC27" s="161">
        <f>(AH27/SUM(AH$7:AH$27))*0.98</f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P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30"/>
      <c r="Q30" s="31"/>
      <c r="R30" s="31"/>
      <c r="S30" s="30"/>
      <c r="T30" s="31"/>
      <c r="U30" s="31"/>
      <c r="V30" s="32"/>
      <c r="W30" s="161">
        <f>SUM(W2:W4,W7:W27)</f>
        <v>0.97999999999999987</v>
      </c>
      <c r="X30" s="31"/>
      <c r="Y30" s="31"/>
      <c r="Z30" s="32"/>
      <c r="AA30" s="161">
        <f>SUM(AA7:AA27)</f>
        <v>0.97999999999999987</v>
      </c>
      <c r="AB30" s="161">
        <f>SUM(AB2:AB4,AB7:AB12,AB15:AB22,AB24:AB27)</f>
        <v>0.97499999999999987</v>
      </c>
      <c r="AC30" s="161">
        <f>SUM(AC7:AC27)</f>
        <v>0.98000000000000009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1104</v>
      </c>
      <c r="E31" s="48">
        <v>0.52800000000000002</v>
      </c>
      <c r="F31" s="2">
        <f>1-E31</f>
        <v>0.47199999999999998</v>
      </c>
      <c r="G31" s="114">
        <v>4.3499999999999996</v>
      </c>
      <c r="H31" s="134">
        <v>4.1000000000000002E-2</v>
      </c>
      <c r="I31" s="31"/>
      <c r="J31" s="30"/>
      <c r="K31" s="30"/>
      <c r="L31" s="30"/>
      <c r="M31" s="30"/>
      <c r="N31" s="30"/>
      <c r="O31" s="30"/>
      <c r="P31" s="30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30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582.91200000000003</v>
      </c>
      <c r="E34" s="167">
        <f>SUM(E2:E4)</f>
        <v>386.11516443789964</v>
      </c>
      <c r="F34" s="167">
        <f>SUM(F2:F4)</f>
        <v>4285.6848640686221</v>
      </c>
      <c r="G34" s="167">
        <f>SUM(G2:G4)</f>
        <v>30.311210747581988</v>
      </c>
      <c r="H34" s="30"/>
      <c r="I34" s="30"/>
      <c r="J34" s="30"/>
      <c r="K34" s="30"/>
      <c r="L34" s="30"/>
      <c r="M34" s="30"/>
      <c r="N34" s="30"/>
      <c r="O34" s="30"/>
      <c r="P34" s="30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521.08799999999997</v>
      </c>
      <c r="E37" s="167">
        <f>D37*G31</f>
        <v>2266.7327999999998</v>
      </c>
      <c r="F37" s="167">
        <f>D37*H31</f>
        <v>21.364608</v>
      </c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510.66624000000002</v>
      </c>
      <c r="E40" s="168">
        <f>SUM(J2:J4,J7:J12,J15:J22)</f>
        <v>2266.4995881408113</v>
      </c>
      <c r="F40" s="168">
        <f>SUM(K2:K4,K7:K12,K15:K22)</f>
        <v>21.352002584940205</v>
      </c>
      <c r="G40" s="168">
        <f>SUM(L7:L12,L15:L22,L24:L27)</f>
        <v>571.25375999999994</v>
      </c>
      <c r="H40" s="168">
        <f>SUM(M7:M12,M15:M22,M24:M27)</f>
        <v>380.43225926569511</v>
      </c>
      <c r="I40" s="168">
        <f>SUM(N7:N12,N15:N22,N24:N27)</f>
        <v>4282.0676474056354</v>
      </c>
      <c r="J40" s="168">
        <f>SUM(O7:O12,O15:O22,O24:O27)</f>
        <v>30.286949865965287</v>
      </c>
    </row>
    <row r="41" spans="1:32" ht="15" thickTop="1" x14ac:dyDescent="0.2">
      <c r="D41" s="169">
        <f>D37-D40</f>
        <v>10.421759999999949</v>
      </c>
      <c r="E41" s="169">
        <f>E37-E40</f>
        <v>0.23321185918848641</v>
      </c>
      <c r="F41" s="169">
        <f>F37-F40</f>
        <v>1.2605415059795178E-2</v>
      </c>
      <c r="G41" s="169">
        <f>SUM(D2:D4)-G40</f>
        <v>11.658240000000092</v>
      </c>
      <c r="H41" s="169">
        <f>E34-H40</f>
        <v>5.6829051722045278</v>
      </c>
      <c r="I41" s="169">
        <f>F34-I40</f>
        <v>3.6172166629867206</v>
      </c>
      <c r="J41" s="169">
        <f>G34-J40</f>
        <v>2.4260881616701369E-2</v>
      </c>
    </row>
  </sheetData>
  <sheetProtection selectLockedCells="1"/>
  <conditionalFormatting sqref="D41:J41">
    <cfRule type="cellIs" dxfId="71" priority="1" operator="lessThan">
      <formula>0</formula>
    </cfRule>
  </conditionalFormatting>
  <conditionalFormatting sqref="W30">
    <cfRule type="cellIs" dxfId="70" priority="2" operator="greaterThan">
      <formula>1</formula>
    </cfRule>
  </conditionalFormatting>
  <conditionalFormatting sqref="AA30:AG30">
    <cfRule type="cellIs" dxfId="69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rgb="FF0000FF"/>
  </sheetPr>
  <dimension ref="A1:AH4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73</v>
      </c>
      <c r="B2" s="19" t="s">
        <v>9</v>
      </c>
      <c r="C2" s="19">
        <v>9</v>
      </c>
      <c r="D2" s="157">
        <f>D$34*Q2</f>
        <v>567.2106</v>
      </c>
      <c r="E2" s="157">
        <f>D2*R2</f>
        <v>360.6066049805948</v>
      </c>
      <c r="F2" s="157">
        <f>E2*S2</f>
        <v>4197.4608819741234</v>
      </c>
      <c r="G2" s="157">
        <f t="shared" ref="G2:G4" si="0">E2*T2</f>
        <v>27.346201667745099</v>
      </c>
      <c r="H2" s="157">
        <f>E2*U2</f>
        <v>12.995693147501363</v>
      </c>
      <c r="I2" s="157">
        <f>D$37*W2</f>
        <v>40.655397999999998</v>
      </c>
      <c r="J2" s="157">
        <f>I2*V2</f>
        <v>196.21147612433944</v>
      </c>
      <c r="K2" s="157">
        <f>I2*X2</f>
        <v>2.1140806959999998</v>
      </c>
      <c r="L2" s="158"/>
      <c r="M2" s="158"/>
      <c r="N2" s="158"/>
      <c r="O2" s="158"/>
      <c r="Q2" s="161">
        <f>AE2</f>
        <v>0.99</v>
      </c>
      <c r="R2" s="116">
        <v>0.63575434764546856</v>
      </c>
      <c r="S2" s="115">
        <v>11.64</v>
      </c>
      <c r="T2" s="116">
        <v>7.5833890145236449E-2</v>
      </c>
      <c r="U2" s="20">
        <v>3.6038422391627287E-2</v>
      </c>
      <c r="V2" s="115">
        <v>4.8262096985089027</v>
      </c>
      <c r="W2" s="161">
        <f>(AF2/SUM(AF$2:AF$22))*0.98</f>
        <v>8.3299999999999999E-2</v>
      </c>
      <c r="X2" s="20">
        <v>5.1999999999999998E-2</v>
      </c>
      <c r="Y2" s="22"/>
      <c r="Z2" s="23"/>
      <c r="AA2" s="1"/>
      <c r="AB2" s="1"/>
      <c r="AC2" s="1"/>
      <c r="AE2" s="20">
        <v>0.99</v>
      </c>
      <c r="AF2" s="20">
        <v>8.5000000000000006E-2</v>
      </c>
      <c r="AG2" s="181"/>
      <c r="AH2" s="181"/>
    </row>
    <row r="3" spans="1:34" x14ac:dyDescent="0.2">
      <c r="A3" s="18" t="s">
        <v>536</v>
      </c>
      <c r="B3" s="19" t="s">
        <v>9</v>
      </c>
      <c r="C3" s="19">
        <v>9</v>
      </c>
      <c r="D3" s="157">
        <f>D$34*Q3</f>
        <v>5.7294000000000054</v>
      </c>
      <c r="E3" s="157">
        <f t="shared" ref="E3:F4" si="1">D3*R3</f>
        <v>3.4801658503855037</v>
      </c>
      <c r="F3" s="157">
        <f t="shared" si="1"/>
        <v>39.604287377387038</v>
      </c>
      <c r="G3" s="157">
        <f t="shared" si="0"/>
        <v>0.23520769516644732</v>
      </c>
      <c r="H3" s="157">
        <f t="shared" ref="H3:H4" si="2">E3*U3</f>
        <v>0.16003897430075908</v>
      </c>
      <c r="I3" s="157">
        <f t="shared" ref="I3:I4" si="3">D$37*W3</f>
        <v>1.4348963999999997</v>
      </c>
      <c r="J3" s="157">
        <f>I3*V3</f>
        <v>5.520294089141121</v>
      </c>
      <c r="K3" s="157">
        <f>I3*X3</f>
        <v>2.5166225590146436E-2</v>
      </c>
      <c r="L3" s="158"/>
      <c r="M3" s="158"/>
      <c r="N3" s="158"/>
      <c r="O3" s="158"/>
      <c r="Q3" s="161">
        <f t="shared" ref="Q3:Q4" si="4">AE3</f>
        <v>1.0000000000000009E-2</v>
      </c>
      <c r="R3" s="116">
        <v>0.60742239159170253</v>
      </c>
      <c r="S3" s="115">
        <v>11.38</v>
      </c>
      <c r="T3" s="116">
        <v>6.7585197165357214E-2</v>
      </c>
      <c r="U3" s="20">
        <v>4.5986019397044338E-2</v>
      </c>
      <c r="V3" s="115">
        <v>3.8471725827321901</v>
      </c>
      <c r="W3" s="161">
        <f t="shared" ref="W3:W4" si="5">(AF3/SUM(AF$2:AF$22))*0.98</f>
        <v>2.9399999999999999E-3</v>
      </c>
      <c r="X3" s="20">
        <v>1.7538705644635E-2</v>
      </c>
      <c r="Y3" s="22"/>
      <c r="Z3" s="23"/>
      <c r="AA3" s="1"/>
      <c r="AB3" s="1"/>
      <c r="AC3" s="1"/>
      <c r="AE3" s="20">
        <f>1-AE2</f>
        <v>1.0000000000000009E-2</v>
      </c>
      <c r="AF3" s="20">
        <v>3.0000000000000001E-3</v>
      </c>
      <c r="AG3" s="181"/>
      <c r="AH3" s="181"/>
    </row>
    <row r="4" spans="1:34" x14ac:dyDescent="0.2">
      <c r="B4" s="19" t="s">
        <v>9</v>
      </c>
      <c r="C4" s="19">
        <v>9</v>
      </c>
      <c r="D4" s="157">
        <f>D$34*Q4</f>
        <v>0</v>
      </c>
      <c r="E4" s="157">
        <f t="shared" si="1"/>
        <v>0</v>
      </c>
      <c r="F4" s="157">
        <f t="shared" si="1"/>
        <v>0</v>
      </c>
      <c r="G4" s="157">
        <f t="shared" si="0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230</v>
      </c>
      <c r="B7" s="19" t="s">
        <v>256</v>
      </c>
      <c r="C7" s="19">
        <v>9</v>
      </c>
      <c r="D7" s="158"/>
      <c r="E7" s="158"/>
      <c r="F7" s="158"/>
      <c r="G7" s="158"/>
      <c r="H7" s="158"/>
      <c r="I7" s="157">
        <f t="shared" ref="I7:I12" si="6">D$37*W7</f>
        <v>210.92977079999997</v>
      </c>
      <c r="J7" s="157">
        <f>I7*V7</f>
        <v>906.99801443999979</v>
      </c>
      <c r="K7" s="157">
        <f>I7*X7</f>
        <v>8.2262610611999989</v>
      </c>
      <c r="L7" s="157">
        <f>((D$2+D$3+D$4)*AA7)</f>
        <v>43.234052400000003</v>
      </c>
      <c r="M7" s="157">
        <f t="shared" ref="M7:N12" si="7">L7*Y7</f>
        <v>32.857593009495929</v>
      </c>
      <c r="N7" s="157">
        <f t="shared" si="7"/>
        <v>239.20327710913037</v>
      </c>
      <c r="O7" s="157">
        <f>M7*AH7</f>
        <v>1.4128764994083249</v>
      </c>
      <c r="Q7" s="14"/>
      <c r="R7" s="149"/>
      <c r="S7" s="148"/>
      <c r="T7" s="149"/>
      <c r="U7" s="149"/>
      <c r="V7" s="21">
        <v>4.3</v>
      </c>
      <c r="W7" s="161">
        <f t="shared" ref="W7:W12" si="8">(AF7/SUM(AF$2:AF$22))*0.98</f>
        <v>0.43218000000000001</v>
      </c>
      <c r="X7" s="20">
        <v>3.9E-2</v>
      </c>
      <c r="Y7" s="20">
        <v>0.75999336600461553</v>
      </c>
      <c r="Z7" s="21">
        <v>7.28</v>
      </c>
      <c r="AA7" s="161">
        <f>(AG7/SUM(AG$7:AG$27))*0.98</f>
        <v>7.5459999999999999E-2</v>
      </c>
      <c r="AB7" s="8">
        <v>6.8073917432316638E-2</v>
      </c>
      <c r="AC7" s="161">
        <f>(AH7/SUM(AH$7:AH$27))*0.98</f>
        <v>5.885474860335195E-2</v>
      </c>
      <c r="AE7" s="181"/>
      <c r="AF7" s="20">
        <v>0.441</v>
      </c>
      <c r="AG7" s="20">
        <v>7.6999999999999999E-2</v>
      </c>
      <c r="AH7" s="20">
        <v>4.2999999999999997E-2</v>
      </c>
    </row>
    <row r="8" spans="1:34" x14ac:dyDescent="0.2">
      <c r="A8" s="186" t="s">
        <v>228</v>
      </c>
      <c r="B8" s="19" t="s">
        <v>256</v>
      </c>
      <c r="C8" s="19">
        <v>9</v>
      </c>
      <c r="D8" s="158"/>
      <c r="E8" s="158"/>
      <c r="F8" s="158"/>
      <c r="G8" s="158"/>
      <c r="H8" s="158"/>
      <c r="I8" s="157">
        <f t="shared" si="6"/>
        <v>205.66848399999998</v>
      </c>
      <c r="J8" s="157">
        <f>I8*V8</f>
        <v>904.94132960000002</v>
      </c>
      <c r="K8" s="157">
        <f>I8*X8</f>
        <v>7.8154023919999993</v>
      </c>
      <c r="L8" s="157">
        <f>((D$2+D$3+D$4)*AA8)</f>
        <v>42.6725712</v>
      </c>
      <c r="M8" s="157">
        <f t="shared" si="7"/>
        <v>32.288758597727011</v>
      </c>
      <c r="N8" s="157">
        <f t="shared" si="7"/>
        <v>241.19702672502075</v>
      </c>
      <c r="O8" s="157">
        <f t="shared" ref="O8:O12" si="9">M8*AH8</f>
        <v>1.3884166197022614</v>
      </c>
      <c r="Q8" s="14"/>
      <c r="R8" s="149"/>
      <c r="S8" s="148"/>
      <c r="T8" s="149"/>
      <c r="U8" s="149"/>
      <c r="V8" s="21">
        <v>4.4000000000000004</v>
      </c>
      <c r="W8" s="161">
        <f t="shared" si="8"/>
        <v>0.4214</v>
      </c>
      <c r="X8" s="20">
        <v>3.7999999999999999E-2</v>
      </c>
      <c r="Y8" s="20">
        <v>0.75666306692405283</v>
      </c>
      <c r="Z8" s="21">
        <v>7.47</v>
      </c>
      <c r="AA8" s="161">
        <f t="shared" ref="AA8:AA12" si="10">(AG8/SUM(AG$7:AG$27))*0.98</f>
        <v>7.4479999999999991E-2</v>
      </c>
      <c r="AB8" s="8">
        <v>6.9752696430286074E-2</v>
      </c>
      <c r="AC8" s="161">
        <f t="shared" ref="AC8:AC12" si="11">(AH8/SUM(AH$7:AH$27))*0.98</f>
        <v>5.885474860335195E-2</v>
      </c>
      <c r="AE8" s="181"/>
      <c r="AF8" s="20">
        <v>0.43</v>
      </c>
      <c r="AG8" s="20">
        <v>7.5999999999999998E-2</v>
      </c>
      <c r="AH8" s="20">
        <v>4.2999999999999997E-2</v>
      </c>
    </row>
    <row r="9" spans="1:34" x14ac:dyDescent="0.2">
      <c r="A9" s="18" t="s">
        <v>675</v>
      </c>
      <c r="B9" s="19" t="s">
        <v>256</v>
      </c>
      <c r="C9" s="19">
        <v>9</v>
      </c>
      <c r="D9" s="158"/>
      <c r="E9" s="158"/>
      <c r="F9" s="158"/>
      <c r="G9" s="158"/>
      <c r="H9" s="158"/>
      <c r="I9" s="157">
        <f t="shared" si="6"/>
        <v>19.610250799999999</v>
      </c>
      <c r="J9" s="157">
        <f>I9*V9</f>
        <v>81.774745835999994</v>
      </c>
      <c r="K9" s="157">
        <f>I9*X9</f>
        <v>0.58830752399999997</v>
      </c>
      <c r="L9" s="157">
        <f>((D$2+D$3+D$4)*AA9)</f>
        <v>11.229624000000001</v>
      </c>
      <c r="M9" s="157">
        <f t="shared" si="7"/>
        <v>8.4895957440000007</v>
      </c>
      <c r="N9" s="157">
        <f t="shared" si="7"/>
        <v>61.125089356800004</v>
      </c>
      <c r="O9" s="157">
        <f t="shared" si="9"/>
        <v>0.33958382976000001</v>
      </c>
      <c r="Q9" s="14"/>
      <c r="R9" s="149"/>
      <c r="S9" s="148"/>
      <c r="T9" s="149"/>
      <c r="U9" s="149"/>
      <c r="V9" s="21">
        <v>4.17</v>
      </c>
      <c r="W9" s="161">
        <f t="shared" si="8"/>
        <v>4.018E-2</v>
      </c>
      <c r="X9" s="20">
        <v>0.03</v>
      </c>
      <c r="Y9" s="20">
        <v>0.75600000000000001</v>
      </c>
      <c r="Z9" s="21">
        <v>7.2</v>
      </c>
      <c r="AA9" s="161">
        <f t="shared" si="10"/>
        <v>1.9599999999999999E-2</v>
      </c>
      <c r="AB9" s="8">
        <v>1.1650317612260847E-2</v>
      </c>
      <c r="AC9" s="161">
        <f t="shared" si="11"/>
        <v>5.4748603351955312E-2</v>
      </c>
      <c r="AE9" s="181"/>
      <c r="AF9" s="20">
        <v>4.1000000000000002E-2</v>
      </c>
      <c r="AG9" s="20">
        <v>0.02</v>
      </c>
      <c r="AH9" s="20">
        <v>0.04</v>
      </c>
    </row>
    <row r="10" spans="1:34" x14ac:dyDescent="0.2">
      <c r="B10" s="19" t="s">
        <v>256</v>
      </c>
      <c r="C10" s="19">
        <v>9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7.1621042610960422E-3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B11" s="19" t="s">
        <v>256</v>
      </c>
      <c r="C11" s="19">
        <v>9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0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9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43</v>
      </c>
      <c r="B15" s="19" t="s">
        <v>257</v>
      </c>
      <c r="C15" s="19">
        <v>9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111.17327760000002</v>
      </c>
      <c r="M15" s="157">
        <f t="shared" ref="M15:N22" si="19">L15*Y15</f>
        <v>65.36988722880001</v>
      </c>
      <c r="N15" s="157">
        <f t="shared" si="19"/>
        <v>866.15100578160013</v>
      </c>
      <c r="O15" s="157">
        <f t="shared" ref="O15:O22" si="20">M15*AH15</f>
        <v>5.6871801889056002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0.58799999999999997</v>
      </c>
      <c r="Z15" s="21">
        <v>13.25</v>
      </c>
      <c r="AA15" s="161">
        <f t="shared" ref="AA15:AA22" si="22">(AG15/SUM(AG$7:AG$27))*0.98</f>
        <v>0.19404000000000002</v>
      </c>
      <c r="AB15" s="8">
        <v>0.17296040692049197</v>
      </c>
      <c r="AC15" s="161">
        <f t="shared" ref="AC15:AC22" si="23">(AH15/SUM(AH$7:AH$27))*0.98</f>
        <v>0.11907821229050279</v>
      </c>
      <c r="AE15" s="181"/>
      <c r="AF15" s="20">
        <v>0</v>
      </c>
      <c r="AG15" s="20">
        <v>0.19800000000000001</v>
      </c>
      <c r="AH15" s="20">
        <v>8.6999999999999994E-2</v>
      </c>
    </row>
    <row r="16" spans="1:34" x14ac:dyDescent="0.2">
      <c r="A16" s="18" t="s">
        <v>169</v>
      </c>
      <c r="B16" s="19" t="s">
        <v>257</v>
      </c>
      <c r="C16" s="19">
        <v>9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112.29624000000001</v>
      </c>
      <c r="M16" s="157">
        <f t="shared" si="19"/>
        <v>71.373409076756573</v>
      </c>
      <c r="N16" s="157">
        <f t="shared" si="19"/>
        <v>998.51399298382444</v>
      </c>
      <c r="O16" s="157">
        <f t="shared" si="20"/>
        <v>5.9239929533707958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0.63558146805945215</v>
      </c>
      <c r="Z16" s="21">
        <v>13.99</v>
      </c>
      <c r="AA16" s="161">
        <f t="shared" si="22"/>
        <v>0.19600000000000001</v>
      </c>
      <c r="AB16" s="8">
        <v>0.16914700718371889</v>
      </c>
      <c r="AC16" s="161">
        <f t="shared" si="23"/>
        <v>0.11360335195530728</v>
      </c>
      <c r="AE16" s="181"/>
      <c r="AF16" s="20">
        <v>0</v>
      </c>
      <c r="AG16" s="20">
        <v>0.2</v>
      </c>
      <c r="AH16" s="20">
        <v>8.3000000000000004E-2</v>
      </c>
    </row>
    <row r="17" spans="1:34" x14ac:dyDescent="0.2">
      <c r="A17" s="18" t="s">
        <v>612</v>
      </c>
      <c r="B17" s="19" t="s">
        <v>257</v>
      </c>
      <c r="C17" s="19">
        <v>9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94.328841600000018</v>
      </c>
      <c r="M17" s="157">
        <f t="shared" si="19"/>
        <v>53.227314537775591</v>
      </c>
      <c r="N17" s="157">
        <f t="shared" si="19"/>
        <v>752.1019544187692</v>
      </c>
      <c r="O17" s="157">
        <f t="shared" si="20"/>
        <v>4.5775490502487006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0.56427401879358585</v>
      </c>
      <c r="Z17" s="21">
        <v>14.13</v>
      </c>
      <c r="AA17" s="161">
        <f t="shared" si="22"/>
        <v>0.16464000000000001</v>
      </c>
      <c r="AB17" s="8">
        <v>9.6930999688846331E-2</v>
      </c>
      <c r="AC17" s="161">
        <f t="shared" si="23"/>
        <v>0.1177094972067039</v>
      </c>
      <c r="AE17" s="181"/>
      <c r="AF17" s="20">
        <v>0</v>
      </c>
      <c r="AG17" s="20">
        <v>0.16800000000000001</v>
      </c>
      <c r="AH17" s="20">
        <v>8.5999999999999993E-2</v>
      </c>
    </row>
    <row r="18" spans="1:34" x14ac:dyDescent="0.2">
      <c r="A18" s="18" t="s">
        <v>698</v>
      </c>
      <c r="B18" s="19" t="s">
        <v>257</v>
      </c>
      <c r="C18" s="19">
        <v>9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27.512578800000004</v>
      </c>
      <c r="M18" s="157">
        <f t="shared" si="19"/>
        <v>15.214456076400003</v>
      </c>
      <c r="N18" s="157">
        <f t="shared" si="19"/>
        <v>190.33284551576403</v>
      </c>
      <c r="O18" s="157">
        <f t="shared" si="20"/>
        <v>1.2627998543412002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0.55300000000000005</v>
      </c>
      <c r="Z18" s="21">
        <v>12.51</v>
      </c>
      <c r="AA18" s="161">
        <f t="shared" si="22"/>
        <v>4.802E-2</v>
      </c>
      <c r="AB18" s="8">
        <v>0.10907946740763651</v>
      </c>
      <c r="AC18" s="161">
        <f t="shared" si="23"/>
        <v>0.11360335195530728</v>
      </c>
      <c r="AE18" s="181"/>
      <c r="AF18" s="20">
        <v>0</v>
      </c>
      <c r="AG18" s="20">
        <v>4.9000000000000002E-2</v>
      </c>
      <c r="AH18" s="20">
        <v>8.3000000000000004E-2</v>
      </c>
    </row>
    <row r="19" spans="1:34" x14ac:dyDescent="0.2">
      <c r="B19" s="19" t="s">
        <v>257</v>
      </c>
      <c r="C19" s="19">
        <v>9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0</v>
      </c>
      <c r="M19" s="157">
        <f t="shared" si="19"/>
        <v>0</v>
      </c>
      <c r="N19" s="157">
        <f t="shared" si="19"/>
        <v>0</v>
      </c>
      <c r="O19" s="157">
        <f t="shared" si="20"/>
        <v>0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</v>
      </c>
      <c r="Z19" s="21">
        <v>0</v>
      </c>
      <c r="AA19" s="161">
        <f t="shared" si="22"/>
        <v>0</v>
      </c>
      <c r="AB19" s="8">
        <v>1.7228678004791002E-2</v>
      </c>
      <c r="AC19" s="161">
        <f t="shared" si="23"/>
        <v>0</v>
      </c>
      <c r="AE19" s="181"/>
      <c r="AF19" s="20">
        <v>0</v>
      </c>
      <c r="AG19" s="20">
        <v>0</v>
      </c>
      <c r="AH19" s="20">
        <v>0</v>
      </c>
    </row>
    <row r="20" spans="1:34" x14ac:dyDescent="0.2">
      <c r="B20" s="19" t="s">
        <v>257</v>
      </c>
      <c r="C20" s="19">
        <v>9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4.0220732546576553E-3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9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9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525</v>
      </c>
      <c r="B24" s="19" t="s">
        <v>10</v>
      </c>
      <c r="C24" s="19">
        <v>9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56.709601200000002</v>
      </c>
      <c r="M24" s="157">
        <f t="shared" ref="M24:N27" si="24">L24*Y24</f>
        <v>38.314034518738929</v>
      </c>
      <c r="N24" s="157">
        <f t="shared" si="24"/>
        <v>453.55572045140366</v>
      </c>
      <c r="O24" s="157">
        <f t="shared" ref="O24:O27" si="25">M24*AH24</f>
        <v>3.6781473137989371</v>
      </c>
      <c r="Q24" s="14"/>
      <c r="R24" s="149"/>
      <c r="S24" s="148"/>
      <c r="T24" s="149"/>
      <c r="U24" s="149"/>
      <c r="V24" s="150"/>
      <c r="W24" s="165"/>
      <c r="X24" s="149"/>
      <c r="Y24" s="20">
        <v>0.67561812652526509</v>
      </c>
      <c r="Z24" s="115">
        <v>11.837848092702821</v>
      </c>
      <c r="AA24" s="161">
        <f t="shared" ref="AA24:AA27" si="26">(AG24/SUM(AG$7:AG$27))*0.98</f>
        <v>9.8979999999999999E-2</v>
      </c>
      <c r="AB24" s="8">
        <v>0.16917769963646839</v>
      </c>
      <c r="AC24" s="161">
        <f t="shared" ref="AC24:AC27" si="27">(AH24/SUM(AH$7:AH$27))*0.98</f>
        <v>0.13139664804469273</v>
      </c>
      <c r="AE24" s="181"/>
      <c r="AF24" s="181"/>
      <c r="AG24" s="20">
        <v>0.10100000000000001</v>
      </c>
      <c r="AH24" s="20">
        <v>9.6000000000000002E-2</v>
      </c>
    </row>
    <row r="25" spans="1:34" x14ac:dyDescent="0.2">
      <c r="A25" s="18" t="s">
        <v>692</v>
      </c>
      <c r="B25" s="19" t="s">
        <v>10</v>
      </c>
      <c r="C25" s="19">
        <v>9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11.791105200000002</v>
      </c>
      <c r="M25" s="157">
        <f t="shared" si="24"/>
        <v>8.4523454276531602</v>
      </c>
      <c r="N25" s="157">
        <f t="shared" si="24"/>
        <v>90.060027646639455</v>
      </c>
      <c r="O25" s="157">
        <f t="shared" si="25"/>
        <v>0.60011652536337434</v>
      </c>
      <c r="Q25" s="14"/>
      <c r="R25" s="149"/>
      <c r="S25" s="148"/>
      <c r="T25" s="149"/>
      <c r="U25" s="149"/>
      <c r="V25" s="150"/>
      <c r="W25" s="165"/>
      <c r="X25" s="149"/>
      <c r="Y25" s="20">
        <v>0.71684081214483264</v>
      </c>
      <c r="Z25" s="115">
        <v>10.655033968677392</v>
      </c>
      <c r="AA25" s="161">
        <f t="shared" si="26"/>
        <v>2.0580000000000001E-2</v>
      </c>
      <c r="AB25" s="8">
        <v>5.5579734095602698E-2</v>
      </c>
      <c r="AC25" s="161">
        <f t="shared" si="27"/>
        <v>9.7178770949720661E-2</v>
      </c>
      <c r="AE25" s="181"/>
      <c r="AF25" s="181"/>
      <c r="AG25" s="20">
        <v>2.1000000000000001E-2</v>
      </c>
      <c r="AH25" s="20">
        <v>7.0999999999999994E-2</v>
      </c>
    </row>
    <row r="26" spans="1:34" x14ac:dyDescent="0.2">
      <c r="A26" s="18" t="s">
        <v>180</v>
      </c>
      <c r="B26" s="19" t="s">
        <v>10</v>
      </c>
      <c r="C26" s="19">
        <v>9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50.533308000000005</v>
      </c>
      <c r="M26" s="157">
        <f t="shared" si="24"/>
        <v>31.981463732836982</v>
      </c>
      <c r="N26" s="157">
        <f t="shared" si="24"/>
        <v>342.52147657868409</v>
      </c>
      <c r="O26" s="157">
        <f t="shared" si="25"/>
        <v>2.6864429535583065</v>
      </c>
      <c r="Q26" s="14"/>
      <c r="R26" s="149"/>
      <c r="S26" s="148"/>
      <c r="T26" s="149"/>
      <c r="U26" s="149"/>
      <c r="V26" s="150"/>
      <c r="W26" s="165"/>
      <c r="X26" s="149"/>
      <c r="Y26" s="20">
        <v>0.6328788871853982</v>
      </c>
      <c r="Z26" s="115">
        <v>10.71</v>
      </c>
      <c r="AA26" s="161">
        <f t="shared" si="26"/>
        <v>8.8200000000000001E-2</v>
      </c>
      <c r="AB26" s="8">
        <v>1.574709966879094E-2</v>
      </c>
      <c r="AC26" s="161">
        <f t="shared" si="27"/>
        <v>0.11497206703910616</v>
      </c>
      <c r="AE26" s="181"/>
      <c r="AF26" s="181"/>
      <c r="AG26" s="20">
        <v>0.09</v>
      </c>
      <c r="AH26" s="20">
        <v>8.4000000000000005E-2</v>
      </c>
    </row>
    <row r="27" spans="1:34" x14ac:dyDescent="0.2">
      <c r="B27" s="19" t="s">
        <v>10</v>
      </c>
      <c r="C27" s="19">
        <v>9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21">
        <v>0</v>
      </c>
      <c r="AA27" s="161">
        <f t="shared" si="26"/>
        <v>0</v>
      </c>
      <c r="AB27" s="8">
        <v>8.4877984030362497E-3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0.9750000000000002</v>
      </c>
      <c r="AC30" s="161">
        <f>SUM(AC7:AC27)</f>
        <v>0.98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1061</v>
      </c>
      <c r="E31" s="48">
        <v>0.54</v>
      </c>
      <c r="F31" s="2">
        <f>1-E31</f>
        <v>0.45999999999999996</v>
      </c>
      <c r="G31" s="114">
        <v>4.3</v>
      </c>
      <c r="H31" s="134">
        <v>3.85E-2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572.94000000000005</v>
      </c>
      <c r="E34" s="167">
        <f>SUM(E2:E4)</f>
        <v>364.0867708309803</v>
      </c>
      <c r="F34" s="167">
        <f>SUM(F2:F4)</f>
        <v>4237.0651693515101</v>
      </c>
      <c r="G34" s="167">
        <f>SUM(G2:G4)</f>
        <v>27.581409362911547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488.05999999999995</v>
      </c>
      <c r="E37" s="167">
        <f>D37*G31</f>
        <v>2098.6579999999999</v>
      </c>
      <c r="F37" s="167">
        <f>D37*H31</f>
        <v>18.790309999999998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478.29879999999997</v>
      </c>
      <c r="E40" s="168">
        <f>SUM(J2:J4,J7:J12,J15:J22)</f>
        <v>2095.4458600894804</v>
      </c>
      <c r="F40" s="168">
        <f>SUM(K2:K4,K7:K12,K15:K22)</f>
        <v>18.769217898790146</v>
      </c>
      <c r="G40" s="168">
        <f>SUM(L7:L12,L15:L22,L24:L27)</f>
        <v>561.48120000000017</v>
      </c>
      <c r="H40" s="168">
        <f>SUM(M7:M12,M15:M22,M24:M27)</f>
        <v>357.56885795018417</v>
      </c>
      <c r="I40" s="168">
        <f>SUM(N7:N12,N15:N22,N24:N27)</f>
        <v>4234.7624165676361</v>
      </c>
      <c r="J40" s="168">
        <f>SUM(O7:O12,O15:O22,O24:O27)</f>
        <v>27.557105788457502</v>
      </c>
    </row>
    <row r="41" spans="1:32" ht="15" thickTop="1" x14ac:dyDescent="0.2">
      <c r="D41" s="169">
        <f>D37-D40</f>
        <v>9.7611999999999739</v>
      </c>
      <c r="E41" s="169">
        <f>E37-E40</f>
        <v>3.2121399105194541</v>
      </c>
      <c r="F41" s="169">
        <f>F37-F40</f>
        <v>2.1092101209852387E-2</v>
      </c>
      <c r="G41" s="169">
        <f>SUM(D2:D4)-G40</f>
        <v>11.458799999999883</v>
      </c>
      <c r="H41" s="169">
        <f>E34-H40</f>
        <v>6.517912880796132</v>
      </c>
      <c r="I41" s="169">
        <f>F34-I40</f>
        <v>2.3027527838739843</v>
      </c>
      <c r="J41" s="169">
        <f>G34-J40</f>
        <v>2.4303574454044963E-2</v>
      </c>
    </row>
    <row r="44" spans="1:32" x14ac:dyDescent="0.2">
      <c r="D44" s="54"/>
    </row>
  </sheetData>
  <sheetProtection selectLockedCells="1"/>
  <conditionalFormatting sqref="D41:J41">
    <cfRule type="cellIs" dxfId="68" priority="1" operator="lessThan">
      <formula>0</formula>
    </cfRule>
  </conditionalFormatting>
  <conditionalFormatting sqref="W30">
    <cfRule type="cellIs" dxfId="67" priority="2" operator="greaterThan">
      <formula>1</formula>
    </cfRule>
  </conditionalFormatting>
  <conditionalFormatting sqref="AA30:AG30">
    <cfRule type="cellIs" dxfId="66" priority="3" operator="greaterThan">
      <formula>1</formula>
    </cfRule>
  </conditionalFormatting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rgb="FF71A0FF"/>
  </sheetPr>
  <dimension ref="A1:AH58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63</v>
      </c>
      <c r="B2" s="19" t="s">
        <v>9</v>
      </c>
      <c r="C2" s="19">
        <v>9</v>
      </c>
      <c r="D2" s="157">
        <f>D$34*Q2</f>
        <v>588.15483999999992</v>
      </c>
      <c r="E2" s="157">
        <f>D2*R2</f>
        <v>387.59403955999994</v>
      </c>
      <c r="F2" s="157">
        <f>E2*S2</f>
        <v>4290.6660179291994</v>
      </c>
      <c r="G2" s="157">
        <f>E2*T2</f>
        <v>27.209101577111994</v>
      </c>
      <c r="H2" s="157">
        <f>E2*U2</f>
        <v>9.7378920453390236</v>
      </c>
      <c r="I2" s="157">
        <f>D$37*W2</f>
        <v>31.043710880000006</v>
      </c>
      <c r="J2" s="157">
        <f>I2*V2</f>
        <v>84.158756935074848</v>
      </c>
      <c r="K2" s="157">
        <f>I2*X2</f>
        <v>1.1486173025600002</v>
      </c>
      <c r="L2" s="158"/>
      <c r="M2" s="158"/>
      <c r="N2" s="158"/>
      <c r="O2" s="158"/>
      <c r="Q2" s="161">
        <f>AE2</f>
        <v>0.98</v>
      </c>
      <c r="R2" s="116">
        <v>0.65900000000000003</v>
      </c>
      <c r="S2" s="115">
        <v>11.07</v>
      </c>
      <c r="T2" s="116">
        <v>7.0199999999999999E-2</v>
      </c>
      <c r="U2" s="20">
        <v>2.5123946839826435E-2</v>
      </c>
      <c r="V2" s="115">
        <v>2.7109760576108943</v>
      </c>
      <c r="W2" s="161">
        <f>(AF2/SUM(AF$2:AF$22))*0.98</f>
        <v>6.6640000000000005E-2</v>
      </c>
      <c r="X2" s="20">
        <v>3.6999999999999998E-2</v>
      </c>
      <c r="Y2" s="22"/>
      <c r="Z2" s="23"/>
      <c r="AA2" s="1"/>
      <c r="AB2" s="1"/>
      <c r="AC2" s="1"/>
      <c r="AE2" s="20">
        <v>0.98</v>
      </c>
      <c r="AF2" s="20">
        <v>6.8000000000000005E-2</v>
      </c>
      <c r="AG2" s="181"/>
      <c r="AH2" s="181"/>
    </row>
    <row r="3" spans="1:34" x14ac:dyDescent="0.2">
      <c r="A3" s="18" t="s">
        <v>693</v>
      </c>
      <c r="B3" s="19" t="s">
        <v>9</v>
      </c>
      <c r="C3" s="19">
        <v>9</v>
      </c>
      <c r="D3" s="157">
        <f>D$34*Q3</f>
        <v>12.003160000000008</v>
      </c>
      <c r="E3" s="157">
        <f t="shared" ref="E3:F4" si="0">D3*R3</f>
        <v>7.4429029117483241</v>
      </c>
      <c r="F3" s="157">
        <f t="shared" si="0"/>
        <v>77.257332223947614</v>
      </c>
      <c r="G3" s="157">
        <f t="shared" ref="G3:G4" si="1">E3*T3</f>
        <v>0.41754685334908098</v>
      </c>
      <c r="H3" s="157">
        <f t="shared" ref="H3:H4" si="2">E3*U3</f>
        <v>0.30919356117629848</v>
      </c>
      <c r="I3" s="157">
        <f t="shared" ref="I3:I4" si="3">D$37*W3</f>
        <v>0.91305032000000008</v>
      </c>
      <c r="J3" s="157">
        <f>I3*V3</f>
        <v>3.9530086865975296</v>
      </c>
      <c r="K3" s="157">
        <f>I3*X3</f>
        <v>2.5982980679435799E-2</v>
      </c>
      <c r="L3" s="158"/>
      <c r="M3" s="158"/>
      <c r="N3" s="158"/>
      <c r="O3" s="158"/>
      <c r="Q3" s="161">
        <f t="shared" ref="Q3:Q4" si="4">AE3</f>
        <v>2.0000000000000018E-2</v>
      </c>
      <c r="R3" s="116">
        <v>0.62007862194191521</v>
      </c>
      <c r="S3" s="115">
        <v>10.38</v>
      </c>
      <c r="T3" s="116">
        <v>5.6099999999999997E-2</v>
      </c>
      <c r="U3" s="20">
        <v>4.1542065621768202E-2</v>
      </c>
      <c r="V3" s="115">
        <v>4.3294532623322768</v>
      </c>
      <c r="W3" s="161">
        <f t="shared" ref="W3:W4" si="5">(AF3/SUM(AF$2:AF$22))*0.98</f>
        <v>1.9599999999999999E-3</v>
      </c>
      <c r="X3" s="20">
        <v>2.8457337027641364E-2</v>
      </c>
      <c r="Y3" s="22"/>
      <c r="Z3" s="23"/>
      <c r="AA3" s="1"/>
      <c r="AB3" s="1"/>
      <c r="AC3" s="1"/>
      <c r="AE3" s="20">
        <f>1-AE2</f>
        <v>2.0000000000000018E-2</v>
      </c>
      <c r="AF3" s="20">
        <v>2E-3</v>
      </c>
      <c r="AG3" s="181"/>
      <c r="AH3" s="181"/>
    </row>
    <row r="4" spans="1:34" x14ac:dyDescent="0.2">
      <c r="B4" s="19" t="s">
        <v>9</v>
      </c>
      <c r="C4" s="19">
        <v>9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613</v>
      </c>
      <c r="B7" s="19" t="s">
        <v>256</v>
      </c>
      <c r="C7" s="19">
        <v>9</v>
      </c>
      <c r="D7" s="158"/>
      <c r="E7" s="158"/>
      <c r="F7" s="158"/>
      <c r="G7" s="158"/>
      <c r="H7" s="158"/>
      <c r="I7" s="157">
        <f t="shared" ref="I7:I12" si="6">D$37*W7</f>
        <v>197.21886912000002</v>
      </c>
      <c r="J7" s="157">
        <f>I7*V7</f>
        <v>899.31804318720003</v>
      </c>
      <c r="K7" s="157">
        <f>I7*X7</f>
        <v>7.0998792883200004</v>
      </c>
      <c r="L7" s="157">
        <f>((D$2+D$3+D$4)*AA7)</f>
        <v>74.107509839999977</v>
      </c>
      <c r="M7" s="157">
        <f t="shared" ref="M7:N12" si="7">L7*Y7</f>
        <v>54.188982044519221</v>
      </c>
      <c r="N7" s="157">
        <f t="shared" si="7"/>
        <v>435.33972414884522</v>
      </c>
      <c r="O7" s="157">
        <f>M7*AH7</f>
        <v>2.5468821560924035</v>
      </c>
      <c r="Q7" s="14"/>
      <c r="R7" s="149"/>
      <c r="S7" s="148"/>
      <c r="T7" s="149"/>
      <c r="U7" s="149"/>
      <c r="V7" s="21">
        <v>4.5599999999999996</v>
      </c>
      <c r="W7" s="161">
        <f t="shared" ref="W7:W12" si="8">(AF7/SUM(AF$2:AF$22))*0.98</f>
        <v>0.42336000000000001</v>
      </c>
      <c r="X7" s="20">
        <v>3.5999999999999997E-2</v>
      </c>
      <c r="Y7" s="20">
        <v>0.73122119690048459</v>
      </c>
      <c r="Z7" s="21">
        <v>8.0337313550416898</v>
      </c>
      <c r="AA7" s="161">
        <f>(AG7/SUM(AG$7:AG$27))*0.98</f>
        <v>0.12347999999999999</v>
      </c>
      <c r="AB7" s="8">
        <v>0.13511926653164189</v>
      </c>
      <c r="AC7" s="161">
        <f>(AH7/SUM(AH$7:AH$27))*0.98</f>
        <v>6.0052151238591915E-2</v>
      </c>
      <c r="AE7" s="181"/>
      <c r="AF7" s="20">
        <v>0.432</v>
      </c>
      <c r="AG7" s="20">
        <v>0.126</v>
      </c>
      <c r="AH7" s="20">
        <v>4.7E-2</v>
      </c>
    </row>
    <row r="8" spans="1:34" x14ac:dyDescent="0.2">
      <c r="A8" s="186" t="s">
        <v>28</v>
      </c>
      <c r="B8" s="19" t="s">
        <v>256</v>
      </c>
      <c r="C8" s="19">
        <v>9</v>
      </c>
      <c r="D8" s="158"/>
      <c r="E8" s="158"/>
      <c r="F8" s="158"/>
      <c r="G8" s="158"/>
      <c r="H8" s="158"/>
      <c r="I8" s="157">
        <f t="shared" si="6"/>
        <v>213.65377488000001</v>
      </c>
      <c r="J8" s="157">
        <f>I8*V8</f>
        <v>897.34585449600013</v>
      </c>
      <c r="K8" s="157">
        <f>I8*X8</f>
        <v>9.4007660947199998</v>
      </c>
      <c r="L8" s="157">
        <f>((D$2+D$3+D$4)*AA8)</f>
        <v>42.935303319999989</v>
      </c>
      <c r="M8" s="157">
        <f t="shared" si="7"/>
        <v>31.530908994953407</v>
      </c>
      <c r="N8" s="157">
        <f t="shared" si="7"/>
        <v>243.51341267988894</v>
      </c>
      <c r="O8" s="157">
        <f t="shared" ref="O8:O12" si="9">M8*AH8</f>
        <v>0.97745817884355557</v>
      </c>
      <c r="Q8" s="14"/>
      <c r="R8" s="149"/>
      <c r="S8" s="148"/>
      <c r="T8" s="149"/>
      <c r="U8" s="149"/>
      <c r="V8" s="21">
        <v>4.2</v>
      </c>
      <c r="W8" s="161">
        <f t="shared" si="8"/>
        <v>0.45863999999999999</v>
      </c>
      <c r="X8" s="20">
        <v>4.3999999999999997E-2</v>
      </c>
      <c r="Y8" s="20">
        <v>0.73438188522743653</v>
      </c>
      <c r="Z8" s="21">
        <v>7.7230064226459127</v>
      </c>
      <c r="AA8" s="161">
        <f t="shared" ref="AA8:AA12" si="10">(AG8/SUM(AG$7:AG$27))*0.98</f>
        <v>7.1539999999999992E-2</v>
      </c>
      <c r="AB8" s="8">
        <v>7.7498000103855033E-2</v>
      </c>
      <c r="AC8" s="161">
        <f t="shared" ref="AC8:AC12" si="11">(AH8/SUM(AH$7:AH$27))*0.98</f>
        <v>3.9608865710560624E-2</v>
      </c>
      <c r="AE8" s="181"/>
      <c r="AF8" s="20">
        <v>0.46800000000000003</v>
      </c>
      <c r="AG8" s="20">
        <v>7.2999999999999995E-2</v>
      </c>
      <c r="AH8" s="20">
        <v>3.1E-2</v>
      </c>
    </row>
    <row r="9" spans="1:34" x14ac:dyDescent="0.2">
      <c r="A9" s="191" t="s">
        <v>705</v>
      </c>
      <c r="B9" s="19" t="s">
        <v>256</v>
      </c>
      <c r="C9" s="19">
        <v>9</v>
      </c>
      <c r="D9" s="158"/>
      <c r="E9" s="158"/>
      <c r="F9" s="158"/>
      <c r="G9" s="158"/>
      <c r="H9" s="158"/>
      <c r="I9" s="157">
        <f t="shared" si="6"/>
        <v>0</v>
      </c>
      <c r="J9" s="157">
        <f>I9*V9</f>
        <v>0</v>
      </c>
      <c r="K9" s="157">
        <f>I9*X9</f>
        <v>0</v>
      </c>
      <c r="L9" s="157">
        <f>((D$2+D$3+D$4)*AA9)</f>
        <v>5.8815483999999989</v>
      </c>
      <c r="M9" s="157">
        <f t="shared" si="7"/>
        <v>4.1288469767999993</v>
      </c>
      <c r="N9" s="157">
        <f t="shared" si="7"/>
        <v>30.140582930639994</v>
      </c>
      <c r="O9" s="157">
        <f t="shared" si="9"/>
        <v>0.10322117441999999</v>
      </c>
      <c r="Q9" s="14"/>
      <c r="R9" s="149"/>
      <c r="S9" s="148"/>
      <c r="T9" s="149"/>
      <c r="U9" s="149"/>
      <c r="V9" s="21">
        <v>4.28</v>
      </c>
      <c r="W9" s="161">
        <f t="shared" si="8"/>
        <v>0</v>
      </c>
      <c r="X9" s="20">
        <v>0.03</v>
      </c>
      <c r="Y9" s="20">
        <v>0.70199999999999996</v>
      </c>
      <c r="Z9" s="21">
        <v>7.3</v>
      </c>
      <c r="AA9" s="161">
        <f t="shared" si="10"/>
        <v>9.7999999999999997E-3</v>
      </c>
      <c r="AB9" s="8">
        <v>1.9718285357934563E-2</v>
      </c>
      <c r="AC9" s="161">
        <f t="shared" si="11"/>
        <v>3.1942633637548894E-2</v>
      </c>
      <c r="AE9" s="181"/>
      <c r="AF9" s="20">
        <v>0</v>
      </c>
      <c r="AG9" s="20">
        <v>0.01</v>
      </c>
      <c r="AH9" s="20">
        <v>2.5000000000000001E-2</v>
      </c>
    </row>
    <row r="10" spans="1:34" x14ac:dyDescent="0.2">
      <c r="A10" s="186"/>
      <c r="B10" s="19" t="s">
        <v>256</v>
      </c>
      <c r="C10" s="19">
        <v>9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5.7100796700318892E-3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A11" s="186"/>
      <c r="B11" s="19" t="s">
        <v>256</v>
      </c>
      <c r="C11" s="19">
        <v>9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0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9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242</v>
      </c>
      <c r="B15" s="19" t="s">
        <v>257</v>
      </c>
      <c r="C15" s="19">
        <v>9</v>
      </c>
      <c r="D15" s="158"/>
      <c r="E15" s="158"/>
      <c r="F15" s="158"/>
      <c r="G15" s="158"/>
      <c r="H15" s="158"/>
      <c r="I15" s="157">
        <f t="shared" ref="I15:I22" si="15">D$37*W15</f>
        <v>13.695754800000001</v>
      </c>
      <c r="J15" s="157">
        <f t="shared" ref="J15:J22" si="16">I15*V15</f>
        <v>91.988576189862215</v>
      </c>
      <c r="K15" s="157">
        <f t="shared" ref="K15:K22" si="17">I15*X15</f>
        <v>0.91752920248237113</v>
      </c>
      <c r="L15" s="157">
        <f t="shared" ref="L15:L22" si="18">((D$2+D$3+D$4)*AA15)</f>
        <v>153.50841323999998</v>
      </c>
      <c r="M15" s="157">
        <f t="shared" ref="M15:N22" si="19">L15*Y15</f>
        <v>109.44093405896524</v>
      </c>
      <c r="N15" s="157">
        <f t="shared" si="19"/>
        <v>1249.8154669533831</v>
      </c>
      <c r="O15" s="157">
        <f t="shared" ref="O15:O22" si="20">M15*AH15</f>
        <v>6.8947788457148098</v>
      </c>
      <c r="Q15" s="14"/>
      <c r="R15" s="149"/>
      <c r="S15" s="148"/>
      <c r="T15" s="149"/>
      <c r="U15" s="149"/>
      <c r="V15" s="21">
        <v>6.7165758684480981</v>
      </c>
      <c r="W15" s="161">
        <f t="shared" ref="W15:W22" si="21">(AF15/SUM(AF$2:AF$22))*0.98</f>
        <v>2.9399999999999999E-2</v>
      </c>
      <c r="X15" s="20">
        <v>6.6993693730729692E-2</v>
      </c>
      <c r="Y15" s="20">
        <v>0.71293117913909887</v>
      </c>
      <c r="Z15" s="21">
        <v>11.42</v>
      </c>
      <c r="AA15" s="161">
        <f t="shared" ref="AA15:AA22" si="22">(AG15/SUM(AG$7:AG$27))*0.98</f>
        <v>0.25578000000000001</v>
      </c>
      <c r="AB15" s="8">
        <v>0.10385551060617884</v>
      </c>
      <c r="AC15" s="161">
        <f t="shared" ref="AC15:AC22" si="23">(AH15/SUM(AH$7:AH$27))*0.98</f>
        <v>8.0495436766623199E-2</v>
      </c>
      <c r="AE15" s="181"/>
      <c r="AF15" s="20">
        <v>0.03</v>
      </c>
      <c r="AG15" s="20">
        <v>0.26100000000000001</v>
      </c>
      <c r="AH15" s="20">
        <v>6.3E-2</v>
      </c>
    </row>
    <row r="16" spans="1:34" x14ac:dyDescent="0.2">
      <c r="A16" s="18" t="s">
        <v>477</v>
      </c>
      <c r="B16" s="19" t="s">
        <v>257</v>
      </c>
      <c r="C16" s="19">
        <v>9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68.225961439999992</v>
      </c>
      <c r="M16" s="157">
        <f t="shared" si="19"/>
        <v>40.006012500397624</v>
      </c>
      <c r="N16" s="157">
        <f t="shared" si="19"/>
        <v>560.48423513057071</v>
      </c>
      <c r="O16" s="157">
        <f t="shared" si="20"/>
        <v>3.4805230875345932</v>
      </c>
      <c r="Q16" s="14"/>
      <c r="R16" s="149"/>
      <c r="S16" s="148"/>
      <c r="T16" s="149"/>
      <c r="U16" s="149"/>
      <c r="V16" s="21">
        <v>2.9437229437229431</v>
      </c>
      <c r="W16" s="161">
        <f t="shared" si="21"/>
        <v>0</v>
      </c>
      <c r="X16" s="20">
        <v>1.2987012987012988E-2</v>
      </c>
      <c r="Y16" s="20">
        <v>0.58637521049197883</v>
      </c>
      <c r="Z16" s="21">
        <v>14.01</v>
      </c>
      <c r="AA16" s="161">
        <f t="shared" si="22"/>
        <v>0.11368</v>
      </c>
      <c r="AB16" s="8">
        <v>0.11731601383141904</v>
      </c>
      <c r="AC16" s="161">
        <f t="shared" si="23"/>
        <v>0.11116036505867014</v>
      </c>
      <c r="AE16" s="181"/>
      <c r="AF16" s="20">
        <v>0</v>
      </c>
      <c r="AG16" s="20">
        <v>0.11600000000000001</v>
      </c>
      <c r="AH16" s="20">
        <v>8.6999999999999994E-2</v>
      </c>
    </row>
    <row r="17" spans="1:34" x14ac:dyDescent="0.2">
      <c r="A17" s="18" t="s">
        <v>549</v>
      </c>
      <c r="B17" s="19" t="s">
        <v>257</v>
      </c>
      <c r="C17" s="19">
        <v>9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70.578580799999983</v>
      </c>
      <c r="M17" s="157">
        <f t="shared" si="19"/>
        <v>40.576873605213081</v>
      </c>
      <c r="N17" s="157">
        <f t="shared" si="19"/>
        <v>509.57864286324548</v>
      </c>
      <c r="O17" s="157">
        <f t="shared" si="20"/>
        <v>3.4490342564431122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0.57491767538081595</v>
      </c>
      <c r="Z17" s="21">
        <v>12.558351533465057</v>
      </c>
      <c r="AA17" s="161">
        <f t="shared" si="22"/>
        <v>0.1176</v>
      </c>
      <c r="AB17" s="8">
        <v>0.10912152969861337</v>
      </c>
      <c r="AC17" s="161">
        <f t="shared" si="23"/>
        <v>0.10860495436766623</v>
      </c>
      <c r="AE17" s="181"/>
      <c r="AF17" s="20">
        <v>0</v>
      </c>
      <c r="AG17" s="20">
        <v>0.12</v>
      </c>
      <c r="AH17" s="20">
        <v>8.5000000000000006E-2</v>
      </c>
    </row>
    <row r="18" spans="1:34" x14ac:dyDescent="0.2">
      <c r="A18" s="18" t="s">
        <v>62</v>
      </c>
      <c r="B18" s="19" t="s">
        <v>257</v>
      </c>
      <c r="C18" s="19">
        <v>9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43.523458159999997</v>
      </c>
      <c r="M18" s="157">
        <f t="shared" si="19"/>
        <v>30.466420711999994</v>
      </c>
      <c r="N18" s="157">
        <f t="shared" si="19"/>
        <v>399.11011132719989</v>
      </c>
      <c r="O18" s="157">
        <f t="shared" si="20"/>
        <v>2.2545151326879993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0.7</v>
      </c>
      <c r="Z18" s="21">
        <v>13.1</v>
      </c>
      <c r="AA18" s="161">
        <f t="shared" si="22"/>
        <v>7.2520000000000001E-2</v>
      </c>
      <c r="AB18" s="8">
        <v>9.3358826712061221E-2</v>
      </c>
      <c r="AC18" s="161">
        <f t="shared" si="23"/>
        <v>9.455019556714471E-2</v>
      </c>
      <c r="AE18" s="181"/>
      <c r="AF18" s="20">
        <v>0</v>
      </c>
      <c r="AG18" s="20">
        <v>7.3999999999999996E-2</v>
      </c>
      <c r="AH18" s="20">
        <v>7.3999999999999996E-2</v>
      </c>
    </row>
    <row r="19" spans="1:34" x14ac:dyDescent="0.2">
      <c r="A19" s="18" t="s">
        <v>614</v>
      </c>
      <c r="B19" s="19" t="s">
        <v>257</v>
      </c>
      <c r="C19" s="19">
        <v>9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25.878812959999994</v>
      </c>
      <c r="M19" s="157">
        <f t="shared" si="19"/>
        <v>15.630803027839995</v>
      </c>
      <c r="N19" s="157">
        <f t="shared" si="19"/>
        <v>198.51119845356794</v>
      </c>
      <c r="O19" s="157">
        <f t="shared" si="20"/>
        <v>1.2192026361715196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0.60399999999999998</v>
      </c>
      <c r="Z19" s="21">
        <v>12.7</v>
      </c>
      <c r="AA19" s="161">
        <f t="shared" si="22"/>
        <v>4.3119999999999999E-2</v>
      </c>
      <c r="AB19" s="8">
        <v>1.6548511759957404E-2</v>
      </c>
      <c r="AC19" s="161">
        <f t="shared" si="23"/>
        <v>9.9661016949152539E-2</v>
      </c>
      <c r="AE19" s="181"/>
      <c r="AF19" s="20">
        <v>0</v>
      </c>
      <c r="AG19" s="20">
        <v>4.3999999999999997E-2</v>
      </c>
      <c r="AH19" s="20">
        <v>7.8E-2</v>
      </c>
    </row>
    <row r="20" spans="1:34" x14ac:dyDescent="0.2">
      <c r="B20" s="19" t="s">
        <v>257</v>
      </c>
      <c r="C20" s="19">
        <v>9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4.2483770187550354E-2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9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9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615</v>
      </c>
      <c r="B24" s="19" t="s">
        <v>10</v>
      </c>
      <c r="C24" s="19">
        <v>9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68.814116279999993</v>
      </c>
      <c r="M24" s="157">
        <f t="shared" ref="M24:N27" si="24">L24*Y24</f>
        <v>45.839211494643195</v>
      </c>
      <c r="N24" s="157">
        <f t="shared" si="24"/>
        <v>486.37922143101332</v>
      </c>
      <c r="O24" s="157">
        <f t="shared" ref="O24:O27" si="25">M24*AH24</f>
        <v>4.6755995724536055</v>
      </c>
      <c r="Q24" s="14"/>
      <c r="R24" s="149"/>
      <c r="S24" s="148"/>
      <c r="T24" s="149"/>
      <c r="U24" s="149"/>
      <c r="V24" s="150"/>
      <c r="W24" s="165"/>
      <c r="X24" s="149"/>
      <c r="Y24" s="20">
        <v>0.66613093319583638</v>
      </c>
      <c r="Z24" s="115">
        <v>10.610549474391634</v>
      </c>
      <c r="AA24" s="161">
        <f t="shared" ref="AA24:AA27" si="26">(AG24/SUM(AG$7:AG$27))*0.98</f>
        <v>0.11466</v>
      </c>
      <c r="AB24" s="8">
        <v>0.17730790229672241</v>
      </c>
      <c r="AC24" s="161">
        <f t="shared" ref="AC24:AC27" si="27">(AH24/SUM(AH$7:AH$27))*0.98</f>
        <v>0.13032594524119948</v>
      </c>
      <c r="AE24" s="181"/>
      <c r="AF24" s="181"/>
      <c r="AG24" s="20">
        <v>0.11700000000000001</v>
      </c>
      <c r="AH24" s="20">
        <v>0.10199999999999999</v>
      </c>
    </row>
    <row r="25" spans="1:34" x14ac:dyDescent="0.2">
      <c r="A25" s="18" t="s">
        <v>560</v>
      </c>
      <c r="B25" s="19" t="s">
        <v>10</v>
      </c>
      <c r="C25" s="19">
        <v>9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20.585419399999999</v>
      </c>
      <c r="M25" s="157">
        <f t="shared" si="24"/>
        <v>13.491376042674338</v>
      </c>
      <c r="N25" s="157">
        <f t="shared" si="24"/>
        <v>150.15028437719059</v>
      </c>
      <c r="O25" s="157">
        <f t="shared" si="25"/>
        <v>1.1467669636273188</v>
      </c>
      <c r="Q25" s="14"/>
      <c r="R25" s="149"/>
      <c r="S25" s="148"/>
      <c r="T25" s="149"/>
      <c r="U25" s="149"/>
      <c r="V25" s="150"/>
      <c r="W25" s="165"/>
      <c r="X25" s="149"/>
      <c r="Y25" s="20">
        <v>0.65538504611056592</v>
      </c>
      <c r="Z25" s="115">
        <v>11.12935284749701</v>
      </c>
      <c r="AA25" s="161">
        <f t="shared" si="26"/>
        <v>3.4300000000000004E-2</v>
      </c>
      <c r="AB25" s="8">
        <v>4.5164638446128905E-2</v>
      </c>
      <c r="AC25" s="161">
        <f t="shared" si="27"/>
        <v>0.10860495436766623</v>
      </c>
      <c r="AE25" s="181"/>
      <c r="AF25" s="181"/>
      <c r="AG25" s="20">
        <v>3.5000000000000003E-2</v>
      </c>
      <c r="AH25" s="20">
        <v>8.5000000000000006E-2</v>
      </c>
    </row>
    <row r="26" spans="1:34" x14ac:dyDescent="0.2">
      <c r="A26" s="18" t="s">
        <v>478</v>
      </c>
      <c r="B26" s="19" t="s">
        <v>10</v>
      </c>
      <c r="C26" s="19">
        <v>9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14.115716159999998</v>
      </c>
      <c r="M26" s="157">
        <f t="shared" si="24"/>
        <v>9.6551498534399993</v>
      </c>
      <c r="N26" s="157">
        <f t="shared" si="24"/>
        <v>103.79510716166189</v>
      </c>
      <c r="O26" s="157">
        <f t="shared" si="25"/>
        <v>0.86896348680959989</v>
      </c>
      <c r="Q26" s="14"/>
      <c r="R26" s="149"/>
      <c r="S26" s="148"/>
      <c r="T26" s="149"/>
      <c r="U26" s="149"/>
      <c r="V26" s="150"/>
      <c r="W26" s="165"/>
      <c r="X26" s="149"/>
      <c r="Y26" s="20">
        <v>0.68400000000000005</v>
      </c>
      <c r="Z26" s="115">
        <v>10.750232646537443</v>
      </c>
      <c r="AA26" s="161">
        <f t="shared" si="26"/>
        <v>2.3519999999999999E-2</v>
      </c>
      <c r="AB26" s="8">
        <v>1.6379247292112945E-2</v>
      </c>
      <c r="AC26" s="161">
        <f t="shared" si="27"/>
        <v>0.114993481095176</v>
      </c>
      <c r="AE26" s="181"/>
      <c r="AF26" s="181"/>
      <c r="AG26" s="20">
        <v>2.4E-2</v>
      </c>
      <c r="AH26" s="20">
        <v>0.09</v>
      </c>
    </row>
    <row r="27" spans="1:34" x14ac:dyDescent="0.2">
      <c r="B27" s="19" t="s">
        <v>10</v>
      </c>
      <c r="C27" s="19">
        <v>9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21">
        <v>0</v>
      </c>
      <c r="AA27" s="161">
        <f t="shared" si="26"/>
        <v>0</v>
      </c>
      <c r="AB27" s="8">
        <v>1.5418417505792198E-2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0.98000000000000009</v>
      </c>
      <c r="AB30" s="161">
        <f t="shared" ref="AB30" si="28">SUM(AB2:AB4,AB7:AB12,AB15:AB22,AB24:AB27)</f>
        <v>0.97500000000000009</v>
      </c>
      <c r="AC30" s="161">
        <f>SUM(AC7:AC27)</f>
        <v>0.98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1066</v>
      </c>
      <c r="E31" s="48">
        <v>0.56299999999999994</v>
      </c>
      <c r="F31" s="2">
        <f>1-E31</f>
        <v>0.43700000000000006</v>
      </c>
      <c r="G31" s="114">
        <v>4.25</v>
      </c>
      <c r="H31" s="134">
        <v>0.04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600.1579999999999</v>
      </c>
      <c r="E34" s="167">
        <f>SUM(E2:E4)</f>
        <v>395.03694247174826</v>
      </c>
      <c r="F34" s="167">
        <f>SUM(F2:F4)</f>
        <v>4367.9233501531471</v>
      </c>
      <c r="G34" s="167">
        <f>SUM(G2:G4)</f>
        <v>27.626648430461074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465.84200000000004</v>
      </c>
      <c r="E37" s="167">
        <f>D37*G31</f>
        <v>1979.8285000000001</v>
      </c>
      <c r="F37" s="167">
        <f>D37*H31</f>
        <v>18.633680000000002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41"/>
      <c r="Q39" s="41"/>
      <c r="R39" s="41"/>
      <c r="S39" s="40"/>
      <c r="T39" s="42"/>
      <c r="U39" s="42"/>
      <c r="V39" s="40"/>
      <c r="W39" s="40"/>
      <c r="X39" s="38"/>
      <c r="Y39" s="38"/>
      <c r="Z39" s="38"/>
      <c r="AA39" s="38"/>
      <c r="AB39" s="38"/>
      <c r="AC39" s="38"/>
      <c r="AE39" s="38"/>
      <c r="AF39" s="38"/>
    </row>
    <row r="40" spans="1:32" ht="15" thickBot="1" x14ac:dyDescent="0.25">
      <c r="D40" s="168">
        <f>SUM(I2:I22)</f>
        <v>456.52516000000003</v>
      </c>
      <c r="E40" s="168">
        <f>SUM(J2:J4,J7:J12,J15:J22)</f>
        <v>1976.7642394947347</v>
      </c>
      <c r="F40" s="168">
        <f>SUM(K2:K4,K7:K12,K15:K22)</f>
        <v>18.592774868761808</v>
      </c>
      <c r="G40" s="168">
        <f>SUM(L7:L12,L15:L22,L24:L27)</f>
        <v>588.15483999999992</v>
      </c>
      <c r="H40" s="168">
        <f>SUM(M7:M12,M15:M22,M24:M27)</f>
        <v>394.9555193114461</v>
      </c>
      <c r="I40" s="168">
        <f>SUM(N7:N12,N15:N22,N24:N27)</f>
        <v>4366.8179874572061</v>
      </c>
      <c r="J40" s="168">
        <f>SUM(O7:O12,O15:O22,O24:O27)</f>
        <v>27.616945490798518</v>
      </c>
      <c r="P40" s="24"/>
      <c r="Q40" s="24"/>
      <c r="R40" s="24"/>
      <c r="S40" s="27"/>
      <c r="T40" s="26"/>
      <c r="U40" s="26"/>
      <c r="V40" s="27"/>
      <c r="W40" s="27"/>
      <c r="X40" s="19"/>
      <c r="Y40" s="19"/>
      <c r="Z40" s="19"/>
      <c r="AC40" s="19"/>
    </row>
    <row r="41" spans="1:32" ht="15" thickTop="1" x14ac:dyDescent="0.2">
      <c r="D41" s="169">
        <f>D37-D40</f>
        <v>9.3168400000000133</v>
      </c>
      <c r="E41" s="169">
        <f>E37-E40</f>
        <v>3.064260505265338</v>
      </c>
      <c r="F41" s="169">
        <f>F37-F40</f>
        <v>4.0905131238194059E-2</v>
      </c>
      <c r="G41" s="169">
        <f>SUM(D2:D4)-G40</f>
        <v>12.00315999999998</v>
      </c>
      <c r="H41" s="169">
        <f>E34-H40</f>
        <v>8.1423160302165343E-2</v>
      </c>
      <c r="I41" s="169">
        <f>F34-I40</f>
        <v>1.1053626959410394</v>
      </c>
      <c r="J41" s="169">
        <f>G34-J40</f>
        <v>9.7029396625565312E-3</v>
      </c>
      <c r="P41" s="24"/>
      <c r="Q41" s="24"/>
      <c r="R41" s="24"/>
      <c r="S41" s="27"/>
      <c r="T41" s="26"/>
      <c r="U41" s="26"/>
      <c r="V41" s="27"/>
      <c r="W41" s="27"/>
      <c r="X41" s="19"/>
      <c r="Y41" s="19"/>
      <c r="Z41" s="19"/>
      <c r="AC41" s="19"/>
    </row>
    <row r="42" spans="1:32" x14ac:dyDescent="0.2">
      <c r="N42" s="24"/>
      <c r="O42" s="24"/>
      <c r="P42" s="24"/>
      <c r="Q42" s="24"/>
      <c r="R42" s="24"/>
      <c r="T42" s="24"/>
      <c r="U42" s="24"/>
      <c r="V42" s="24"/>
      <c r="W42" s="24"/>
      <c r="X42" s="24"/>
    </row>
    <row r="43" spans="1:32" x14ac:dyDescent="0.2">
      <c r="N43" s="24"/>
      <c r="O43" s="24"/>
      <c r="P43" s="24"/>
      <c r="Q43" s="24"/>
      <c r="R43" s="24"/>
      <c r="T43" s="24"/>
      <c r="U43" s="24"/>
      <c r="V43" s="24"/>
      <c r="W43" s="24"/>
      <c r="X43" s="24"/>
    </row>
    <row r="44" spans="1:32" x14ac:dyDescent="0.2">
      <c r="N44" s="24"/>
      <c r="O44" s="24"/>
      <c r="P44" s="24"/>
      <c r="Q44" s="24"/>
      <c r="R44" s="24"/>
      <c r="T44" s="24"/>
      <c r="U44" s="24"/>
      <c r="V44" s="24"/>
      <c r="W44" s="24"/>
      <c r="X44" s="24"/>
    </row>
    <row r="45" spans="1:32" x14ac:dyDescent="0.2">
      <c r="N45" s="24"/>
      <c r="O45" s="24"/>
      <c r="P45" s="24"/>
      <c r="Q45" s="24"/>
      <c r="R45" s="24"/>
      <c r="T45" s="24"/>
      <c r="U45" s="24"/>
      <c r="V45" s="24"/>
      <c r="W45" s="24"/>
      <c r="X45" s="24"/>
    </row>
    <row r="46" spans="1:32" x14ac:dyDescent="0.2">
      <c r="N46" s="24"/>
      <c r="O46" s="24"/>
      <c r="P46" s="24"/>
      <c r="Q46" s="24"/>
      <c r="R46" s="24"/>
      <c r="T46" s="24"/>
      <c r="U46" s="24"/>
      <c r="V46" s="24"/>
      <c r="W46" s="24"/>
      <c r="X46" s="24"/>
    </row>
    <row r="47" spans="1:32" x14ac:dyDescent="0.2">
      <c r="N47" s="24"/>
      <c r="O47" s="24"/>
      <c r="P47" s="24"/>
      <c r="Q47" s="24"/>
      <c r="R47" s="24"/>
      <c r="T47" s="24"/>
      <c r="U47" s="24"/>
      <c r="V47" s="24"/>
      <c r="W47" s="24"/>
      <c r="X47" s="24"/>
    </row>
    <row r="48" spans="1:32" x14ac:dyDescent="0.2">
      <c r="N48" s="24"/>
      <c r="O48" s="24"/>
      <c r="P48" s="24"/>
      <c r="Q48" s="24"/>
      <c r="R48" s="24"/>
      <c r="T48" s="24"/>
      <c r="U48" s="24"/>
      <c r="V48" s="24"/>
      <c r="W48" s="24"/>
      <c r="X48" s="24"/>
    </row>
    <row r="49" spans="14:24" x14ac:dyDescent="0.2">
      <c r="N49" s="24"/>
      <c r="O49" s="24"/>
      <c r="P49" s="24"/>
      <c r="Q49" s="24"/>
      <c r="R49" s="24"/>
      <c r="T49" s="24"/>
      <c r="U49" s="24"/>
      <c r="V49" s="24"/>
      <c r="W49" s="24"/>
      <c r="X49" s="24"/>
    </row>
    <row r="50" spans="14:24" x14ac:dyDescent="0.2">
      <c r="N50" s="24"/>
      <c r="O50" s="24"/>
      <c r="P50" s="24"/>
      <c r="Q50" s="24"/>
      <c r="R50" s="24"/>
      <c r="T50" s="24"/>
      <c r="U50" s="24"/>
      <c r="V50" s="24"/>
      <c r="W50" s="24"/>
      <c r="X50" s="24"/>
    </row>
    <row r="51" spans="14:24" x14ac:dyDescent="0.2">
      <c r="N51" s="24"/>
      <c r="O51" s="24"/>
      <c r="P51" s="24"/>
      <c r="Q51" s="24"/>
      <c r="R51" s="24"/>
      <c r="T51" s="24"/>
      <c r="U51" s="24"/>
      <c r="V51" s="24"/>
      <c r="W51" s="24"/>
      <c r="X51" s="24"/>
    </row>
    <row r="52" spans="14:24" x14ac:dyDescent="0.2">
      <c r="N52" s="24"/>
      <c r="O52" s="24"/>
      <c r="P52" s="24"/>
      <c r="Q52" s="24"/>
      <c r="R52" s="24"/>
      <c r="T52" s="24"/>
      <c r="U52" s="24"/>
      <c r="V52" s="24"/>
      <c r="W52" s="24"/>
      <c r="X52" s="24"/>
    </row>
    <row r="53" spans="14:24" x14ac:dyDescent="0.2">
      <c r="N53" s="24"/>
      <c r="O53" s="24"/>
      <c r="P53" s="24"/>
      <c r="Q53" s="24"/>
      <c r="R53" s="24"/>
      <c r="T53" s="24"/>
      <c r="U53" s="24"/>
      <c r="V53" s="24"/>
      <c r="W53" s="24"/>
      <c r="X53" s="24"/>
    </row>
    <row r="54" spans="14:24" x14ac:dyDescent="0.2">
      <c r="N54" s="24"/>
      <c r="O54" s="24"/>
      <c r="P54" s="24"/>
      <c r="Q54" s="24"/>
      <c r="R54" s="24"/>
      <c r="T54" s="24"/>
      <c r="U54" s="24"/>
      <c r="V54" s="24"/>
      <c r="W54" s="24"/>
      <c r="X54" s="24"/>
    </row>
    <row r="55" spans="14:24" x14ac:dyDescent="0.2">
      <c r="N55" s="24"/>
      <c r="O55" s="24"/>
      <c r="P55" s="24"/>
      <c r="Q55" s="24"/>
      <c r="R55" s="24"/>
      <c r="T55" s="24"/>
      <c r="U55" s="24"/>
      <c r="V55" s="24"/>
      <c r="W55" s="24"/>
      <c r="X55" s="24"/>
    </row>
    <row r="56" spans="14:24" x14ac:dyDescent="0.2">
      <c r="N56" s="24"/>
      <c r="O56" s="24"/>
      <c r="P56" s="24"/>
      <c r="Q56" s="24"/>
      <c r="R56" s="24"/>
      <c r="T56" s="24"/>
      <c r="U56" s="24"/>
      <c r="V56" s="24"/>
      <c r="W56" s="24"/>
      <c r="X56" s="24"/>
    </row>
    <row r="57" spans="14:24" x14ac:dyDescent="0.2">
      <c r="N57" s="24"/>
      <c r="O57" s="24"/>
      <c r="P57" s="24"/>
      <c r="Q57" s="24"/>
      <c r="R57" s="24"/>
      <c r="T57" s="24"/>
      <c r="U57" s="24"/>
      <c r="V57" s="24"/>
      <c r="W57" s="24"/>
      <c r="X57" s="24"/>
    </row>
    <row r="58" spans="14:24" x14ac:dyDescent="0.2">
      <c r="N58" s="24"/>
      <c r="O58" s="24"/>
      <c r="P58" s="24"/>
      <c r="Q58" s="24"/>
      <c r="R58" s="24"/>
      <c r="T58" s="24"/>
      <c r="U58" s="24"/>
      <c r="V58" s="24"/>
      <c r="W58" s="24"/>
      <c r="X58" s="24"/>
    </row>
  </sheetData>
  <sheetProtection selectLockedCells="1"/>
  <conditionalFormatting sqref="D41:J41">
    <cfRule type="cellIs" dxfId="65" priority="1" operator="lessThan">
      <formula>0</formula>
    </cfRule>
  </conditionalFormatting>
  <conditionalFormatting sqref="W30">
    <cfRule type="cellIs" dxfId="64" priority="2" operator="greaterThan">
      <formula>1</formula>
    </cfRule>
  </conditionalFormatting>
  <conditionalFormatting sqref="AA30:AG30">
    <cfRule type="cellIs" dxfId="63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rgb="FF00B050"/>
  </sheetPr>
  <dimension ref="A1:AH41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171</v>
      </c>
      <c r="B2" s="19" t="s">
        <v>9</v>
      </c>
      <c r="C2" s="19">
        <v>6</v>
      </c>
      <c r="D2" s="157">
        <f>D$34*Q2</f>
        <v>567.10764000000006</v>
      </c>
      <c r="E2" s="157">
        <f>D2*R2</f>
        <v>357.27781320000003</v>
      </c>
      <c r="F2" s="157">
        <f>E2*S2</f>
        <v>4030.0937328959999</v>
      </c>
      <c r="G2" s="157">
        <f>E2*T2</f>
        <v>26.617197083400001</v>
      </c>
      <c r="H2" s="157">
        <f>E2*U2</f>
        <v>13.900885172159247</v>
      </c>
      <c r="I2" s="157">
        <f>D$37*W2</f>
        <v>49.713479199999988</v>
      </c>
      <c r="J2" s="157">
        <f>I2*V2</f>
        <v>182.87766554013086</v>
      </c>
      <c r="K2" s="157">
        <f>I2*X2</f>
        <v>2.0382526471999998</v>
      </c>
      <c r="L2" s="158"/>
      <c r="M2" s="158"/>
      <c r="N2" s="158"/>
      <c r="O2" s="158"/>
      <c r="Q2" s="161">
        <f>AE2</f>
        <v>0.99</v>
      </c>
      <c r="R2" s="116">
        <v>0.63</v>
      </c>
      <c r="S2" s="115">
        <v>11.28</v>
      </c>
      <c r="T2" s="116">
        <v>7.4499999999999997E-2</v>
      </c>
      <c r="U2" s="20">
        <v>3.8907776129881569E-2</v>
      </c>
      <c r="V2" s="115">
        <v>3.6786334105566065</v>
      </c>
      <c r="W2" s="161">
        <f>(AF2/SUM(AF$2:AF$22))*0.98</f>
        <v>0.10779999999999999</v>
      </c>
      <c r="X2" s="20">
        <v>4.1000000000000002E-2</v>
      </c>
      <c r="Y2" s="22"/>
      <c r="Z2" s="23"/>
      <c r="AA2" s="1"/>
      <c r="AB2" s="1"/>
      <c r="AC2" s="1"/>
      <c r="AE2" s="20">
        <v>0.99</v>
      </c>
      <c r="AF2" s="20">
        <v>0.11</v>
      </c>
      <c r="AG2" s="181"/>
      <c r="AH2" s="181"/>
    </row>
    <row r="3" spans="1:34" x14ac:dyDescent="0.2">
      <c r="A3" s="18" t="s">
        <v>616</v>
      </c>
      <c r="B3" s="19" t="s">
        <v>9</v>
      </c>
      <c r="C3" s="19">
        <v>6</v>
      </c>
      <c r="D3" s="157">
        <f>D$34*Q3</f>
        <v>5.7283600000000048</v>
      </c>
      <c r="E3" s="157">
        <f t="shared" ref="E3:F4" si="0">D3*R3</f>
        <v>3.643236960000003</v>
      </c>
      <c r="F3" s="157">
        <f t="shared" si="0"/>
        <v>40.075606560000033</v>
      </c>
      <c r="G3" s="157">
        <f t="shared" ref="G3:G4" si="1">E3*T3</f>
        <v>0.18835535083200017</v>
      </c>
      <c r="H3" s="157">
        <f t="shared" ref="H3:H4" si="2">E3*U3</f>
        <v>0.13479976752000011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1.0000000000000009E-2</v>
      </c>
      <c r="R3" s="116">
        <v>0.63600000000000001</v>
      </c>
      <c r="S3" s="115">
        <v>11</v>
      </c>
      <c r="T3" s="116">
        <v>5.1700000000000003E-2</v>
      </c>
      <c r="U3" s="20">
        <v>3.6999999999999998E-2</v>
      </c>
      <c r="V3" s="115">
        <v>2</v>
      </c>
      <c r="W3" s="161">
        <f t="shared" ref="W3:W4" si="5">(AF3/SUM(AF$2:AF$22))*0.98</f>
        <v>0</v>
      </c>
      <c r="X3" s="20">
        <v>2.7E-2</v>
      </c>
      <c r="Y3" s="22"/>
      <c r="Z3" s="23"/>
      <c r="AA3" s="1"/>
      <c r="AB3" s="1"/>
      <c r="AC3" s="1"/>
      <c r="AE3" s="20">
        <f>1-AE2</f>
        <v>1.0000000000000009E-2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6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48</v>
      </c>
      <c r="B7" s="19" t="s">
        <v>256</v>
      </c>
      <c r="C7" s="19">
        <v>6</v>
      </c>
      <c r="D7" s="158"/>
      <c r="E7" s="158"/>
      <c r="F7" s="158"/>
      <c r="G7" s="158"/>
      <c r="H7" s="158"/>
      <c r="I7" s="157">
        <f t="shared" ref="I7:I12" si="6">D$37*W7</f>
        <v>189.36316167999996</v>
      </c>
      <c r="J7" s="157">
        <f>I7*V7</f>
        <v>900.76717084429811</v>
      </c>
      <c r="K7" s="157">
        <f>I7*X7</f>
        <v>6.4383474971199988</v>
      </c>
      <c r="L7" s="157">
        <f>((D$2+D$3+D$4)*AA7)</f>
        <v>62.874479360000002</v>
      </c>
      <c r="M7" s="157">
        <f t="shared" ref="M7:N12" si="7">L7*Y7</f>
        <v>47.153337694349538</v>
      </c>
      <c r="N7" s="157">
        <f t="shared" si="7"/>
        <v>351.62871046425124</v>
      </c>
      <c r="O7" s="157">
        <f>M7*AH7</f>
        <v>2.7820469239666226</v>
      </c>
      <c r="Q7" s="14"/>
      <c r="R7" s="149"/>
      <c r="S7" s="148"/>
      <c r="T7" s="149"/>
      <c r="U7" s="149"/>
      <c r="V7" s="21">
        <v>4.7568236760140383</v>
      </c>
      <c r="W7" s="161">
        <f t="shared" ref="W7:W12" si="8">(AF7/SUM(AF$2:AF$22))*0.98</f>
        <v>0.41061999999999999</v>
      </c>
      <c r="X7" s="20">
        <v>3.4000000000000002E-2</v>
      </c>
      <c r="Y7" s="20">
        <v>0.749959891108823</v>
      </c>
      <c r="Z7" s="21">
        <v>7.457132997530894</v>
      </c>
      <c r="AA7" s="161">
        <f>(AG7/SUM(AG$7:AG$27))*0.98</f>
        <v>0.10976</v>
      </c>
      <c r="AB7" s="8">
        <v>0.11515131498282011</v>
      </c>
      <c r="AC7" s="161">
        <f>(AH7/SUM(AH$7:AH$27))*0.98</f>
        <v>8.4163027656477429E-2</v>
      </c>
      <c r="AE7" s="181"/>
      <c r="AF7" s="20">
        <v>0.41899999999999998</v>
      </c>
      <c r="AG7" s="20">
        <v>0.112</v>
      </c>
      <c r="AH7" s="20">
        <v>5.8999999999999997E-2</v>
      </c>
    </row>
    <row r="8" spans="1:34" x14ac:dyDescent="0.2">
      <c r="A8" s="187" t="s">
        <v>570</v>
      </c>
      <c r="B8" s="19" t="s">
        <v>256</v>
      </c>
      <c r="C8" s="19">
        <v>6</v>
      </c>
      <c r="D8" s="158"/>
      <c r="E8" s="158"/>
      <c r="F8" s="158"/>
      <c r="G8" s="158"/>
      <c r="H8" s="158"/>
      <c r="I8" s="157">
        <f t="shared" si="6"/>
        <v>187.55539879999995</v>
      </c>
      <c r="J8" s="157">
        <f>I8*V8</f>
        <v>804.48449024749721</v>
      </c>
      <c r="K8" s="157">
        <f>I8*X8</f>
        <v>7.6897713507999983</v>
      </c>
      <c r="L8" s="157">
        <f>((D$2+D$3+D$4)*AA8)</f>
        <v>39.296549600000006</v>
      </c>
      <c r="M8" s="157">
        <f t="shared" si="7"/>
        <v>27.391508066345079</v>
      </c>
      <c r="N8" s="157">
        <f t="shared" si="7"/>
        <v>213.06022464029101</v>
      </c>
      <c r="O8" s="157">
        <f t="shared" ref="O8:O12" si="9">M8*AH8</f>
        <v>1.0956603226538031</v>
      </c>
      <c r="Q8" s="14"/>
      <c r="R8" s="149"/>
      <c r="S8" s="148"/>
      <c r="T8" s="149"/>
      <c r="U8" s="149"/>
      <c r="V8" s="21">
        <v>4.2893166253527086</v>
      </c>
      <c r="W8" s="161">
        <f t="shared" si="8"/>
        <v>0.40669999999999995</v>
      </c>
      <c r="X8" s="20">
        <v>4.1000000000000002E-2</v>
      </c>
      <c r="Y8" s="20">
        <v>0.69704613624258438</v>
      </c>
      <c r="Z8" s="21">
        <v>7.7783313034184536</v>
      </c>
      <c r="AA8" s="161">
        <f t="shared" ref="AA8:AA12" si="10">(AG8/SUM(AG$7:AG$27))*0.98</f>
        <v>6.8600000000000008E-2</v>
      </c>
      <c r="AB8" s="8">
        <v>3.4989224075568495E-2</v>
      </c>
      <c r="AC8" s="161">
        <f t="shared" ref="AC8:AC12" si="11">(AH8/SUM(AH$7:AH$27))*0.98</f>
        <v>5.7059679767103355E-2</v>
      </c>
      <c r="AE8" s="181"/>
      <c r="AF8" s="20">
        <v>0.41499999999999998</v>
      </c>
      <c r="AG8" s="20">
        <v>7.0000000000000007E-2</v>
      </c>
      <c r="AH8" s="20">
        <v>0.04</v>
      </c>
    </row>
    <row r="9" spans="1:34" x14ac:dyDescent="0.2">
      <c r="A9" s="18" t="s">
        <v>694</v>
      </c>
      <c r="B9" s="19" t="s">
        <v>256</v>
      </c>
      <c r="C9" s="19">
        <v>6</v>
      </c>
      <c r="D9" s="158"/>
      <c r="E9" s="158"/>
      <c r="F9" s="158"/>
      <c r="G9" s="158"/>
      <c r="H9" s="158"/>
      <c r="I9" s="157">
        <f t="shared" si="6"/>
        <v>14.010162319999997</v>
      </c>
      <c r="J9" s="157">
        <f>I9*V9</f>
        <v>58.562478497599983</v>
      </c>
      <c r="K9" s="157">
        <f>I9*X9</f>
        <v>0.51837600583999988</v>
      </c>
      <c r="L9" s="157">
        <f>((D$2+D$3+D$4)*AA9)</f>
        <v>6.73655136</v>
      </c>
      <c r="M9" s="157">
        <f t="shared" si="7"/>
        <v>4.7762149142399997</v>
      </c>
      <c r="N9" s="157">
        <f t="shared" si="7"/>
        <v>33.433504399679997</v>
      </c>
      <c r="O9" s="157">
        <f t="shared" si="9"/>
        <v>0.14328644742719998</v>
      </c>
      <c r="Q9" s="14"/>
      <c r="R9" s="149"/>
      <c r="S9" s="148"/>
      <c r="T9" s="149"/>
      <c r="U9" s="149"/>
      <c r="V9" s="21">
        <v>4.18</v>
      </c>
      <c r="W9" s="161">
        <f t="shared" si="8"/>
        <v>3.0380000000000001E-2</v>
      </c>
      <c r="X9" s="20">
        <v>3.6999999999999998E-2</v>
      </c>
      <c r="Y9" s="20">
        <v>0.70899999999999996</v>
      </c>
      <c r="Z9" s="21">
        <v>7</v>
      </c>
      <c r="AA9" s="161">
        <f t="shared" si="10"/>
        <v>1.176E-2</v>
      </c>
      <c r="AB9" s="8">
        <v>4.8163610572365808E-3</v>
      </c>
      <c r="AC9" s="161">
        <f t="shared" si="11"/>
        <v>4.2794759825327516E-2</v>
      </c>
      <c r="AE9" s="181"/>
      <c r="AF9" s="20">
        <v>3.1E-2</v>
      </c>
      <c r="AG9" s="20">
        <v>1.2E-2</v>
      </c>
      <c r="AH9" s="20">
        <v>0.03</v>
      </c>
    </row>
    <row r="10" spans="1:34" x14ac:dyDescent="0.2">
      <c r="A10" s="186"/>
      <c r="B10" s="19" t="s">
        <v>256</v>
      </c>
      <c r="C10" s="19">
        <v>6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7.1663052743998279E-3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B11" s="19" t="s">
        <v>256</v>
      </c>
      <c r="C11" s="19">
        <v>6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1.4894940866877114E-2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6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524</v>
      </c>
      <c r="B15" s="19" t="s">
        <v>257</v>
      </c>
      <c r="C15" s="19">
        <v>6</v>
      </c>
      <c r="D15" s="158"/>
      <c r="E15" s="158"/>
      <c r="F15" s="158"/>
      <c r="G15" s="158"/>
      <c r="H15" s="158"/>
      <c r="I15" s="157">
        <f t="shared" ref="I15:I22" si="15">D$37*W15</f>
        <v>6.7791107999999989</v>
      </c>
      <c r="J15" s="157">
        <f t="shared" ref="J15:J22" si="16">I15*V15</f>
        <v>39.708913834515045</v>
      </c>
      <c r="K15" s="157">
        <f t="shared" ref="K15:K22" si="17">I15*X15</f>
        <v>0.49317966100344179</v>
      </c>
      <c r="L15" s="157">
        <f t="shared" ref="L15:L22" si="18">((D$2+D$3+D$4)*AA15)</f>
        <v>119.01240736</v>
      </c>
      <c r="M15" s="157">
        <f t="shared" ref="M15:N22" si="19">L15*Y15</f>
        <v>71.126713359302286</v>
      </c>
      <c r="N15" s="157">
        <f t="shared" si="19"/>
        <v>1059.7880290536041</v>
      </c>
      <c r="O15" s="157">
        <f t="shared" ref="O15:O22" si="20">M15*AH15</f>
        <v>7.7528117561639496</v>
      </c>
      <c r="Q15" s="14"/>
      <c r="R15" s="149"/>
      <c r="S15" s="148"/>
      <c r="T15" s="149"/>
      <c r="U15" s="149"/>
      <c r="V15" s="21">
        <v>5.8575401709786261</v>
      </c>
      <c r="W15" s="161">
        <f t="shared" ref="W15:W22" si="21">(AF15/SUM(AF$2:AF$22))*0.98</f>
        <v>1.47E-2</v>
      </c>
      <c r="X15" s="20">
        <v>7.2749904161979753E-2</v>
      </c>
      <c r="Y15" s="20">
        <v>0.59764116143076973</v>
      </c>
      <c r="Z15" s="21">
        <v>14.9</v>
      </c>
      <c r="AA15" s="161">
        <f t="shared" ref="AA15:AA22" si="22">(AG15/SUM(AG$7:AG$27))*0.98</f>
        <v>0.20776</v>
      </c>
      <c r="AB15" s="8">
        <v>0.25548478660812679</v>
      </c>
      <c r="AC15" s="161">
        <f t="shared" ref="AC15:AC22" si="23">(AH15/SUM(AH$7:AH$27))*0.98</f>
        <v>0.15548762736535665</v>
      </c>
      <c r="AE15" s="181"/>
      <c r="AF15" s="20">
        <v>1.4999999999999999E-2</v>
      </c>
      <c r="AG15" s="20">
        <v>0.21199999999999999</v>
      </c>
      <c r="AH15" s="20">
        <v>0.109</v>
      </c>
    </row>
    <row r="16" spans="1:34" x14ac:dyDescent="0.2">
      <c r="A16" s="18" t="s">
        <v>502</v>
      </c>
      <c r="B16" s="19" t="s">
        <v>257</v>
      </c>
      <c r="C16" s="19">
        <v>6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102.73240824</v>
      </c>
      <c r="M16" s="157">
        <f t="shared" si="19"/>
        <v>62.386214338574327</v>
      </c>
      <c r="N16" s="157">
        <f t="shared" si="19"/>
        <v>742.03480683449322</v>
      </c>
      <c r="O16" s="157">
        <f t="shared" si="20"/>
        <v>4.3670350037002033</v>
      </c>
      <c r="Q16" s="14"/>
      <c r="R16" s="149"/>
      <c r="S16" s="148"/>
      <c r="T16" s="149"/>
      <c r="U16" s="149"/>
      <c r="V16" s="21">
        <v>2.5527950310559007</v>
      </c>
      <c r="W16" s="161">
        <f t="shared" si="21"/>
        <v>0</v>
      </c>
      <c r="X16" s="20">
        <v>0</v>
      </c>
      <c r="Y16" s="20">
        <v>0.6072690731909034</v>
      </c>
      <c r="Z16" s="21">
        <v>11.894211160296067</v>
      </c>
      <c r="AA16" s="161">
        <f t="shared" si="22"/>
        <v>0.17934</v>
      </c>
      <c r="AB16" s="8">
        <v>0.10098833470408203</v>
      </c>
      <c r="AC16" s="161">
        <f t="shared" si="23"/>
        <v>9.9854439592430885E-2</v>
      </c>
      <c r="AE16" s="181"/>
      <c r="AF16" s="20">
        <v>0</v>
      </c>
      <c r="AG16" s="20">
        <v>0.183</v>
      </c>
      <c r="AH16" s="20">
        <v>7.0000000000000007E-2</v>
      </c>
    </row>
    <row r="17" spans="1:34" x14ac:dyDescent="0.2">
      <c r="A17" s="18" t="s">
        <v>617</v>
      </c>
      <c r="B17" s="19" t="s">
        <v>257</v>
      </c>
      <c r="C17" s="19">
        <v>6</v>
      </c>
      <c r="D17" s="158"/>
      <c r="E17" s="158"/>
      <c r="F17" s="158"/>
      <c r="G17" s="158"/>
      <c r="H17" s="158"/>
      <c r="I17" s="157">
        <f t="shared" si="15"/>
        <v>4.519407199999999</v>
      </c>
      <c r="J17" s="157">
        <f t="shared" si="16"/>
        <v>31.618738920028076</v>
      </c>
      <c r="K17" s="157">
        <f t="shared" si="17"/>
        <v>0.34386496773716252</v>
      </c>
      <c r="L17" s="157">
        <f t="shared" si="18"/>
        <v>85.32965055999999</v>
      </c>
      <c r="M17" s="157">
        <f t="shared" si="19"/>
        <v>51.314136045715102</v>
      </c>
      <c r="N17" s="157">
        <f t="shared" si="19"/>
        <v>650.91951539715728</v>
      </c>
      <c r="O17" s="157">
        <f t="shared" si="20"/>
        <v>3.8485602034286326</v>
      </c>
      <c r="Q17" s="14"/>
      <c r="R17" s="149"/>
      <c r="S17" s="148"/>
      <c r="T17" s="149"/>
      <c r="U17" s="149"/>
      <c r="V17" s="21">
        <v>6.9962137777777764</v>
      </c>
      <c r="W17" s="161">
        <f t="shared" si="21"/>
        <v>9.7999999999999997E-3</v>
      </c>
      <c r="X17" s="20">
        <v>7.608629904761903E-2</v>
      </c>
      <c r="Y17" s="20">
        <v>0.60136348513033344</v>
      </c>
      <c r="Z17" s="21">
        <v>12.684994146978553</v>
      </c>
      <c r="AA17" s="161">
        <f t="shared" si="22"/>
        <v>0.14895999999999998</v>
      </c>
      <c r="AB17" s="8">
        <v>8.4993689866582373E-2</v>
      </c>
      <c r="AC17" s="161">
        <f t="shared" si="23"/>
        <v>0.10698689956331878</v>
      </c>
      <c r="AE17" s="181"/>
      <c r="AF17" s="20">
        <v>0.01</v>
      </c>
      <c r="AG17" s="20">
        <v>0.152</v>
      </c>
      <c r="AH17" s="20">
        <v>7.4999999999999997E-2</v>
      </c>
    </row>
    <row r="18" spans="1:34" x14ac:dyDescent="0.2">
      <c r="A18" s="18" t="s">
        <v>585</v>
      </c>
      <c r="B18" s="19" t="s">
        <v>257</v>
      </c>
      <c r="C18" s="19">
        <v>6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19.648274800000003</v>
      </c>
      <c r="M18" s="157">
        <f t="shared" si="19"/>
        <v>12.704648106926047</v>
      </c>
      <c r="N18" s="157">
        <f t="shared" si="19"/>
        <v>159.02429591523125</v>
      </c>
      <c r="O18" s="157">
        <f t="shared" si="20"/>
        <v>0.62252775723937637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0.64660374695726697</v>
      </c>
      <c r="Z18" s="21">
        <v>12.517016967084496</v>
      </c>
      <c r="AA18" s="161">
        <f t="shared" si="22"/>
        <v>3.4300000000000004E-2</v>
      </c>
      <c r="AB18" s="8">
        <v>8.6851063600337328E-2</v>
      </c>
      <c r="AC18" s="161">
        <f t="shared" si="23"/>
        <v>6.9898107714701604E-2</v>
      </c>
      <c r="AE18" s="181"/>
      <c r="AF18" s="20">
        <v>0</v>
      </c>
      <c r="AG18" s="20">
        <v>3.5000000000000003E-2</v>
      </c>
      <c r="AH18" s="20">
        <v>4.9000000000000002E-2</v>
      </c>
    </row>
    <row r="19" spans="1:34" x14ac:dyDescent="0.2">
      <c r="A19" s="18" t="s">
        <v>676</v>
      </c>
      <c r="B19" s="19" t="s">
        <v>257</v>
      </c>
      <c r="C19" s="19">
        <v>6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15.15724056</v>
      </c>
      <c r="M19" s="157">
        <f t="shared" si="19"/>
        <v>9.5047790608555704</v>
      </c>
      <c r="N19" s="157">
        <f t="shared" si="19"/>
        <v>109.30495919983906</v>
      </c>
      <c r="O19" s="157">
        <f t="shared" si="20"/>
        <v>0.47523895304277852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0.6270784595145048</v>
      </c>
      <c r="Z19" s="21">
        <v>11.5</v>
      </c>
      <c r="AA19" s="161">
        <f t="shared" si="22"/>
        <v>2.6460000000000001E-2</v>
      </c>
      <c r="AB19" s="8">
        <v>5.2675072579768667E-2</v>
      </c>
      <c r="AC19" s="161">
        <f t="shared" si="23"/>
        <v>7.1324599708879194E-2</v>
      </c>
      <c r="AE19" s="181"/>
      <c r="AF19" s="20">
        <v>0</v>
      </c>
      <c r="AG19" s="20">
        <v>2.7E-2</v>
      </c>
      <c r="AH19" s="20">
        <v>0.05</v>
      </c>
    </row>
    <row r="20" spans="1:34" x14ac:dyDescent="0.2">
      <c r="B20" s="19" t="s">
        <v>257</v>
      </c>
      <c r="C20" s="19">
        <v>6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2.2509684315908614E-2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6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1.8264449891116155E-3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6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618</v>
      </c>
      <c r="B24" s="19" t="s">
        <v>10</v>
      </c>
      <c r="C24" s="19">
        <v>6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70.733789279999996</v>
      </c>
      <c r="M24" s="157">
        <f t="shared" ref="M24:N27" si="24">L24*Y24</f>
        <v>46.773212267423354</v>
      </c>
      <c r="N24" s="157">
        <f t="shared" si="24"/>
        <v>502.81203187480105</v>
      </c>
      <c r="O24" s="157">
        <f t="shared" ref="O24:O27" si="25">M24*AH24</f>
        <v>4.0224962549984085</v>
      </c>
      <c r="Q24" s="14"/>
      <c r="R24" s="149"/>
      <c r="S24" s="148"/>
      <c r="T24" s="149"/>
      <c r="U24" s="149"/>
      <c r="V24" s="150"/>
      <c r="W24" s="165"/>
      <c r="X24" s="149"/>
      <c r="Y24" s="20">
        <v>0.66125698543126821</v>
      </c>
      <c r="Z24" s="115">
        <v>10.75</v>
      </c>
      <c r="AA24" s="161">
        <f t="shared" ref="AA24:AA27" si="26">(AG24/SUM(AG$7:AG$27))*0.98</f>
        <v>0.12347999999999999</v>
      </c>
      <c r="AB24" s="8">
        <v>0.11728049214373987</v>
      </c>
      <c r="AC24" s="161">
        <f t="shared" ref="AC24:AC27" si="27">(AH24/SUM(AH$7:AH$27))*0.98</f>
        <v>0.12267831149927221</v>
      </c>
      <c r="AE24" s="181"/>
      <c r="AF24" s="181"/>
      <c r="AG24" s="20">
        <v>0.126</v>
      </c>
      <c r="AH24" s="20">
        <v>8.5999999999999993E-2</v>
      </c>
    </row>
    <row r="25" spans="1:34" x14ac:dyDescent="0.2">
      <c r="A25" s="18" t="s">
        <v>619</v>
      </c>
      <c r="B25" s="19" t="s">
        <v>10</v>
      </c>
      <c r="C25" s="19">
        <v>6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30.875860399999997</v>
      </c>
      <c r="M25" s="157">
        <f t="shared" si="24"/>
        <v>19.041281685697637</v>
      </c>
      <c r="N25" s="157">
        <f t="shared" si="24"/>
        <v>181.51781277728381</v>
      </c>
      <c r="O25" s="157">
        <f t="shared" si="25"/>
        <v>1.3328897179988348</v>
      </c>
      <c r="Q25" s="14"/>
      <c r="R25" s="149"/>
      <c r="S25" s="148"/>
      <c r="T25" s="149"/>
      <c r="U25" s="149"/>
      <c r="V25" s="150"/>
      <c r="W25" s="165"/>
      <c r="X25" s="149"/>
      <c r="Y25" s="20">
        <v>0.61670448819938439</v>
      </c>
      <c r="Z25" s="115">
        <v>9.5328568619215481</v>
      </c>
      <c r="AA25" s="161">
        <f t="shared" si="26"/>
        <v>5.3899999999999997E-2</v>
      </c>
      <c r="AB25" s="8">
        <v>4.611590903692217E-2</v>
      </c>
      <c r="AC25" s="161">
        <f t="shared" si="27"/>
        <v>9.9854439592430885E-2</v>
      </c>
      <c r="AE25" s="181"/>
      <c r="AF25" s="181"/>
      <c r="AG25" s="20">
        <v>5.5E-2</v>
      </c>
      <c r="AH25" s="20">
        <v>7.0000000000000007E-2</v>
      </c>
    </row>
    <row r="26" spans="1:34" x14ac:dyDescent="0.2">
      <c r="A26" s="18" t="s">
        <v>463</v>
      </c>
      <c r="B26" s="19" t="s">
        <v>10</v>
      </c>
      <c r="C26" s="19">
        <v>6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8.9820684800000006</v>
      </c>
      <c r="M26" s="157">
        <f t="shared" si="24"/>
        <v>6.8061067770092194</v>
      </c>
      <c r="N26" s="157">
        <f t="shared" si="24"/>
        <v>64.828198975070606</v>
      </c>
      <c r="O26" s="157">
        <f t="shared" si="25"/>
        <v>0.33349923207345178</v>
      </c>
      <c r="Q26" s="14"/>
      <c r="R26" s="149"/>
      <c r="S26" s="148"/>
      <c r="T26" s="149"/>
      <c r="U26" s="149"/>
      <c r="V26" s="150"/>
      <c r="W26" s="165"/>
      <c r="X26" s="149"/>
      <c r="Y26" s="20">
        <v>0.75774380836263888</v>
      </c>
      <c r="Z26" s="115">
        <v>9.5250046905020493</v>
      </c>
      <c r="AA26" s="161">
        <f t="shared" si="26"/>
        <v>1.5679999999999999E-2</v>
      </c>
      <c r="AB26" s="8">
        <v>2.9256375898518251E-2</v>
      </c>
      <c r="AC26" s="161">
        <f t="shared" si="27"/>
        <v>6.9898107714701604E-2</v>
      </c>
      <c r="AE26" s="181"/>
      <c r="AF26" s="181"/>
      <c r="AG26" s="20">
        <v>1.6E-2</v>
      </c>
      <c r="AH26" s="20">
        <v>4.9000000000000002E-2</v>
      </c>
    </row>
    <row r="27" spans="1:34" x14ac:dyDescent="0.2">
      <c r="B27" s="19" t="s">
        <v>10</v>
      </c>
      <c r="C27" s="19">
        <v>6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21">
        <v>0</v>
      </c>
      <c r="AA27" s="161">
        <f t="shared" si="26"/>
        <v>0</v>
      </c>
      <c r="AB27" s="8">
        <v>0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0.98000000000000009</v>
      </c>
      <c r="AB30" s="161">
        <f t="shared" ref="AB30" si="28">SUM(AB2:AB4,AB7:AB12,AB15:AB22,AB24:AB27)</f>
        <v>0.97499999999999998</v>
      </c>
      <c r="AC30" s="161">
        <f>SUM(AC7:AC27)</f>
        <v>0.98000000000000009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1034</v>
      </c>
      <c r="E31" s="48">
        <v>0.55400000000000005</v>
      </c>
      <c r="F31" s="2">
        <f>1-E31</f>
        <v>0.44599999999999995</v>
      </c>
      <c r="G31" s="114">
        <v>4.4000000000000004</v>
      </c>
      <c r="H31" s="134">
        <v>3.7999999999999999E-2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572.83600000000001</v>
      </c>
      <c r="E34" s="167">
        <f>SUM(E2:E4)</f>
        <v>360.92105016000005</v>
      </c>
      <c r="F34" s="167">
        <f>SUM(F2:F4)</f>
        <v>4070.1693394559998</v>
      </c>
      <c r="G34" s="167">
        <f>SUM(G2:G4)</f>
        <v>26.805552434232002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461.16399999999993</v>
      </c>
      <c r="E37" s="167">
        <f>D37*G31</f>
        <v>2029.1215999999999</v>
      </c>
      <c r="F37" s="167">
        <f>D37*H31</f>
        <v>17.524231999999998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451.94071999999994</v>
      </c>
      <c r="E40" s="168">
        <f>SUM(J2:J4,J7:J12,J15:J22)</f>
        <v>2018.0194578840694</v>
      </c>
      <c r="F40" s="168">
        <f>SUM(K2:K4,K7:K12,K15:K22)</f>
        <v>17.5217921297006</v>
      </c>
      <c r="G40" s="168">
        <f>SUM(L7:L12,L15:L22,L24:L27)</f>
        <v>561.37927999999988</v>
      </c>
      <c r="H40" s="168">
        <f>SUM(M7:M12,M15:M22,M24:M27)</f>
        <v>358.97815231643818</v>
      </c>
      <c r="I40" s="168">
        <f>SUM(N7:N12,N15:N22,N24:N27)</f>
        <v>4068.3520895317029</v>
      </c>
      <c r="J40" s="168">
        <f>SUM(O7:O12,O15:O22,O24:O27)</f>
        <v>26.77605257269326</v>
      </c>
    </row>
    <row r="41" spans="1:32" ht="15" thickTop="1" x14ac:dyDescent="0.2">
      <c r="D41" s="169">
        <f>D37-D40</f>
        <v>9.2232799999999884</v>
      </c>
      <c r="E41" s="169">
        <f>E37-E40</f>
        <v>11.102142115930519</v>
      </c>
      <c r="F41" s="169">
        <f>F37-F40</f>
        <v>2.4398702993977395E-3</v>
      </c>
      <c r="G41" s="169">
        <f>SUM(D2:D4)-G40</f>
        <v>11.456720000000132</v>
      </c>
      <c r="H41" s="169">
        <f>E34-H40</f>
        <v>1.942897843561866</v>
      </c>
      <c r="I41" s="169">
        <f>F34-I40</f>
        <v>1.8172499242969025</v>
      </c>
      <c r="J41" s="169">
        <f>G34-J40</f>
        <v>2.9499861538742067E-2</v>
      </c>
    </row>
  </sheetData>
  <sheetProtection selectLockedCells="1"/>
  <conditionalFormatting sqref="D41:J41">
    <cfRule type="cellIs" dxfId="62" priority="1" operator="lessThan">
      <formula>0</formula>
    </cfRule>
  </conditionalFormatting>
  <conditionalFormatting sqref="W30">
    <cfRule type="cellIs" dxfId="61" priority="2" operator="greaterThan">
      <formula>1</formula>
    </cfRule>
  </conditionalFormatting>
  <conditionalFormatting sqref="AA30:AG30">
    <cfRule type="cellIs" dxfId="60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rgb="FF002CB8"/>
  </sheetPr>
  <dimension ref="A1:AH52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620</v>
      </c>
      <c r="B2" s="19" t="s">
        <v>9</v>
      </c>
      <c r="C2" s="19">
        <v>7</v>
      </c>
      <c r="D2" s="157">
        <f>D$34*Q2</f>
        <v>557.65688</v>
      </c>
      <c r="E2" s="157">
        <f t="shared" ref="E2" si="0">D2*R2</f>
        <v>346.49565326417127</v>
      </c>
      <c r="F2" s="157">
        <f>E2*S2</f>
        <v>3825.3120120364506</v>
      </c>
      <c r="G2" s="157">
        <f t="shared" ref="G2" si="1">E2*T2</f>
        <v>23.249858334025895</v>
      </c>
      <c r="H2" s="157">
        <f t="shared" ref="H2" si="2">E2*U2</f>
        <v>14.500165092478301</v>
      </c>
      <c r="I2" s="157">
        <f>D$37*W2</f>
        <v>40.492267199999993</v>
      </c>
      <c r="J2" s="157">
        <f>I2*V2</f>
        <v>153.69788333470098</v>
      </c>
      <c r="K2" s="157">
        <f>I2*X2</f>
        <v>1.9031365583999997</v>
      </c>
      <c r="L2" s="158"/>
      <c r="M2" s="158"/>
      <c r="N2" s="158"/>
      <c r="O2" s="158"/>
      <c r="Q2" s="161">
        <f>AE2</f>
        <v>0.97</v>
      </c>
      <c r="R2" s="116">
        <v>0.62134202175389863</v>
      </c>
      <c r="S2" s="115">
        <v>11.04</v>
      </c>
      <c r="T2" s="116">
        <v>6.7100000000000007E-2</v>
      </c>
      <c r="U2" s="20">
        <v>4.18480432752305E-2</v>
      </c>
      <c r="V2" s="115">
        <v>3.7957341972370715</v>
      </c>
      <c r="W2" s="161">
        <f>(AF2/SUM(AF$2:AF$22))*0.98</f>
        <v>8.8200000000000001E-2</v>
      </c>
      <c r="X2" s="20">
        <v>4.7E-2</v>
      </c>
      <c r="Y2" s="22"/>
      <c r="Z2" s="23"/>
      <c r="AA2" s="1"/>
      <c r="AB2" s="1"/>
      <c r="AC2" s="1"/>
      <c r="AE2" s="20">
        <v>0.97</v>
      </c>
      <c r="AF2" s="20">
        <v>0.09</v>
      </c>
      <c r="AG2" s="181"/>
      <c r="AH2" s="181"/>
    </row>
    <row r="3" spans="1:34" x14ac:dyDescent="0.2">
      <c r="A3" s="18" t="s">
        <v>207</v>
      </c>
      <c r="B3" s="19" t="s">
        <v>9</v>
      </c>
      <c r="C3" s="19">
        <v>7</v>
      </c>
      <c r="D3" s="157">
        <f>D$34*Q3</f>
        <v>17.247120000000017</v>
      </c>
      <c r="E3" s="157">
        <f>D3*R3</f>
        <v>10.692748815936689</v>
      </c>
      <c r="F3" s="157">
        <f>E3*S3</f>
        <v>111.71131622432495</v>
      </c>
      <c r="G3" s="157">
        <f>E3*T3</f>
        <v>0.53838066733964074</v>
      </c>
      <c r="H3" s="157">
        <f>E3*U3</f>
        <v>0.59540735857821636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3.0000000000000027E-2</v>
      </c>
      <c r="R3" s="116">
        <v>0.61997300511254505</v>
      </c>
      <c r="S3" s="115">
        <v>10.447389922582689</v>
      </c>
      <c r="T3" s="116">
        <v>5.035007149305025E-2</v>
      </c>
      <c r="U3" s="20">
        <v>5.5683283019873173E-2</v>
      </c>
      <c r="V3" s="115">
        <v>2.277372262773723</v>
      </c>
      <c r="W3" s="161">
        <f t="shared" ref="W3" si="5">(AF3/SUM(AF$2:AF$22))*0.98</f>
        <v>0</v>
      </c>
      <c r="X3" s="20">
        <v>7.2992700729927014E-3</v>
      </c>
      <c r="Y3" s="22"/>
      <c r="Z3" s="23"/>
      <c r="AA3" s="1"/>
      <c r="AB3" s="1"/>
      <c r="AC3" s="1"/>
      <c r="AE3" s="20">
        <f>1-AE2</f>
        <v>3.0000000000000027E-2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7</v>
      </c>
      <c r="D4" s="157">
        <f>D$34*Q4</f>
        <v>0</v>
      </c>
      <c r="E4" s="157">
        <f>D4*R4</f>
        <v>0</v>
      </c>
      <c r="F4" s="157">
        <f>E4*S4</f>
        <v>0</v>
      </c>
      <c r="G4" s="157">
        <f>E4*T4</f>
        <v>0</v>
      </c>
      <c r="H4" s="157">
        <f>E4*U4</f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ref="W4" si="6">(AF4/SUM(AF$2:AF$22))*0.98</f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503</v>
      </c>
      <c r="B7" s="19" t="s">
        <v>256</v>
      </c>
      <c r="C7" s="19">
        <v>7</v>
      </c>
      <c r="D7" s="158"/>
      <c r="E7" s="158"/>
      <c r="F7" s="158"/>
      <c r="G7" s="158"/>
      <c r="H7" s="158"/>
      <c r="I7" s="157">
        <f t="shared" ref="I7:I12" si="7">D$37*W7</f>
        <v>272.64793247999995</v>
      </c>
      <c r="J7" s="157">
        <f>I7*V7</f>
        <v>1160.5043291467803</v>
      </c>
      <c r="K7" s="157">
        <f>I7*X7</f>
        <v>8.179437974399999</v>
      </c>
      <c r="L7" s="157">
        <f>((D$2+D$3+D$4)*AA7)</f>
        <v>49.016315039999995</v>
      </c>
      <c r="M7" s="157">
        <f t="shared" ref="M7:N12" si="8">L7*Y7</f>
        <v>36.690119766097098</v>
      </c>
      <c r="N7" s="157">
        <f t="shared" si="8"/>
        <v>271.13998507145755</v>
      </c>
      <c r="O7" s="157">
        <f>M7*AH7</f>
        <v>1.2474640720473014</v>
      </c>
      <c r="Q7" s="14"/>
      <c r="R7" s="149"/>
      <c r="S7" s="148"/>
      <c r="T7" s="149"/>
      <c r="U7" s="149"/>
      <c r="V7" s="21">
        <v>4.2564207936251597</v>
      </c>
      <c r="W7" s="161">
        <f t="shared" ref="W7:W12" si="9">(AF7/SUM(AF$2:AF$22))*0.98</f>
        <v>0.59387999999999996</v>
      </c>
      <c r="X7" s="20">
        <v>0.03</v>
      </c>
      <c r="Y7" s="20">
        <v>0.74852872428610662</v>
      </c>
      <c r="Z7" s="21">
        <v>7.39</v>
      </c>
      <c r="AA7" s="161">
        <f>(AG7/SUM(AG$7:AG$27))*0.98</f>
        <v>8.5259999999999989E-2</v>
      </c>
      <c r="AB7" s="8">
        <v>8.6548073411343282E-2</v>
      </c>
      <c r="AC7" s="161">
        <f>(AH7/SUM(AH$7:AH$27))*0.98</f>
        <v>4.3104786545924978E-2</v>
      </c>
      <c r="AE7" s="181"/>
      <c r="AF7" s="20">
        <v>0.60599999999999998</v>
      </c>
      <c r="AG7" s="20">
        <v>8.6999999999999994E-2</v>
      </c>
      <c r="AH7" s="20">
        <v>3.4000000000000002E-2</v>
      </c>
    </row>
    <row r="8" spans="1:34" x14ac:dyDescent="0.2">
      <c r="A8" s="186" t="s">
        <v>26</v>
      </c>
      <c r="B8" s="19" t="s">
        <v>256</v>
      </c>
      <c r="C8" s="19">
        <v>7</v>
      </c>
      <c r="D8" s="158"/>
      <c r="E8" s="158"/>
      <c r="F8" s="158"/>
      <c r="G8" s="158"/>
      <c r="H8" s="158"/>
      <c r="I8" s="157">
        <f t="shared" si="7"/>
        <v>96.731527199999988</v>
      </c>
      <c r="J8" s="157">
        <f>I8*V8</f>
        <v>430.34655548075796</v>
      </c>
      <c r="K8" s="157">
        <f>I8*X8</f>
        <v>2.7084827615999996</v>
      </c>
      <c r="L8" s="157">
        <f>((D$2+D$3+D$4)*AA8)</f>
        <v>24.226454559999997</v>
      </c>
      <c r="M8" s="157">
        <f t="shared" si="8"/>
        <v>16.724852452526708</v>
      </c>
      <c r="N8" s="157">
        <f t="shared" si="8"/>
        <v>123.76390814869764</v>
      </c>
      <c r="O8" s="157">
        <f t="shared" ref="O8:O12" si="10">M8*AH8</f>
        <v>0.63554439319601486</v>
      </c>
      <c r="Q8" s="14"/>
      <c r="R8" s="149"/>
      <c r="S8" s="148"/>
      <c r="T8" s="149"/>
      <c r="U8" s="149"/>
      <c r="V8" s="21">
        <v>4.4488758519338045</v>
      </c>
      <c r="W8" s="161">
        <f t="shared" si="9"/>
        <v>0.2107</v>
      </c>
      <c r="X8" s="20">
        <v>2.8000000000000001E-2</v>
      </c>
      <c r="Y8" s="20">
        <v>0.690354934565659</v>
      </c>
      <c r="Z8" s="21">
        <v>7.4</v>
      </c>
      <c r="AA8" s="161">
        <f t="shared" ref="AA8:AA12" si="11">(AG8/SUM(AG$7:AG$27))*0.98</f>
        <v>4.2139999999999997E-2</v>
      </c>
      <c r="AB8" s="8">
        <v>4.092025767842479E-2</v>
      </c>
      <c r="AC8" s="161">
        <f t="shared" ref="AC8:AC12" si="12">(AH8/SUM(AH$7:AH$27))*0.98</f>
        <v>4.8175937904269085E-2</v>
      </c>
      <c r="AE8" s="181"/>
      <c r="AF8" s="20">
        <v>0.215</v>
      </c>
      <c r="AG8" s="20">
        <v>4.2999999999999997E-2</v>
      </c>
      <c r="AH8" s="20">
        <v>3.7999999999999999E-2</v>
      </c>
    </row>
    <row r="9" spans="1:34" x14ac:dyDescent="0.2">
      <c r="A9" s="186" t="s">
        <v>162</v>
      </c>
      <c r="B9" s="19" t="s">
        <v>256</v>
      </c>
      <c r="C9" s="19">
        <v>7</v>
      </c>
      <c r="D9" s="158"/>
      <c r="E9" s="158"/>
      <c r="F9" s="158"/>
      <c r="G9" s="158"/>
      <c r="H9" s="158"/>
      <c r="I9" s="157">
        <f t="shared" si="7"/>
        <v>17.096735039999995</v>
      </c>
      <c r="J9" s="157">
        <f>I9*V9</f>
        <v>76.803881847514418</v>
      </c>
      <c r="K9" s="157">
        <f>I9*X9</f>
        <v>0.49724953187603343</v>
      </c>
      <c r="L9" s="157">
        <f>((D$2+D$3+D$4)*AA9)</f>
        <v>6.7608710399999996</v>
      </c>
      <c r="M9" s="157">
        <f t="shared" si="8"/>
        <v>4.9246526065857994</v>
      </c>
      <c r="N9" s="157">
        <f t="shared" si="8"/>
        <v>32.502707203466272</v>
      </c>
      <c r="O9" s="157">
        <f t="shared" si="10"/>
        <v>0.12804096777123078</v>
      </c>
      <c r="Q9" s="14"/>
      <c r="R9" s="149"/>
      <c r="S9" s="148"/>
      <c r="T9" s="149"/>
      <c r="U9" s="149"/>
      <c r="V9" s="21">
        <v>4.4923128110614057</v>
      </c>
      <c r="W9" s="161">
        <f t="shared" si="9"/>
        <v>3.7239999999999995E-2</v>
      </c>
      <c r="X9" s="20">
        <v>2.9084473188164563E-2</v>
      </c>
      <c r="Y9" s="20">
        <v>0.72840504980047649</v>
      </c>
      <c r="Z9" s="21">
        <v>6.6</v>
      </c>
      <c r="AA9" s="161">
        <f t="shared" si="11"/>
        <v>1.176E-2</v>
      </c>
      <c r="AB9" s="8">
        <v>6.0625889618527939E-2</v>
      </c>
      <c r="AC9" s="161">
        <f t="shared" si="12"/>
        <v>3.2962483829236743E-2</v>
      </c>
      <c r="AE9" s="181"/>
      <c r="AF9" s="20">
        <v>3.7999999999999999E-2</v>
      </c>
      <c r="AG9" s="20">
        <v>1.2E-2</v>
      </c>
      <c r="AH9" s="20">
        <v>2.5999999999999999E-2</v>
      </c>
    </row>
    <row r="10" spans="1:34" x14ac:dyDescent="0.2">
      <c r="A10" s="186" t="s">
        <v>665</v>
      </c>
      <c r="B10" s="19" t="s">
        <v>256</v>
      </c>
      <c r="C10" s="19">
        <v>7</v>
      </c>
      <c r="D10" s="158"/>
      <c r="E10" s="158"/>
      <c r="F10" s="158"/>
      <c r="G10" s="158"/>
      <c r="H10" s="158"/>
      <c r="I10" s="157">
        <f t="shared" si="7"/>
        <v>18.446477279999996</v>
      </c>
      <c r="J10" s="157">
        <f t="shared" ref="J10:J12" si="13">I10*V10</f>
        <v>76.921810257599986</v>
      </c>
      <c r="K10" s="157">
        <f t="shared" ref="K10:K12" si="14">I10*X10</f>
        <v>0.47960840927999987</v>
      </c>
      <c r="L10" s="157">
        <f t="shared" ref="L10:L12" si="15">((D$2+D$3+D$4)*AA10)</f>
        <v>18.592395360000001</v>
      </c>
      <c r="M10" s="157">
        <f t="shared" si="8"/>
        <v>13.6654105896</v>
      </c>
      <c r="N10" s="157">
        <f t="shared" si="8"/>
        <v>99.484189092288005</v>
      </c>
      <c r="O10" s="157">
        <f t="shared" si="10"/>
        <v>0.40996231768800001</v>
      </c>
      <c r="Q10" s="14"/>
      <c r="R10" s="149"/>
      <c r="S10" s="148"/>
      <c r="T10" s="149"/>
      <c r="U10" s="149"/>
      <c r="V10" s="21">
        <v>4.17</v>
      </c>
      <c r="W10" s="161">
        <f t="shared" si="9"/>
        <v>4.018E-2</v>
      </c>
      <c r="X10" s="20">
        <v>2.5999999999999999E-2</v>
      </c>
      <c r="Y10" s="20">
        <v>0.73499999999999999</v>
      </c>
      <c r="Z10" s="21">
        <v>7.28</v>
      </c>
      <c r="AA10" s="161">
        <f t="shared" si="11"/>
        <v>3.2340000000000001E-2</v>
      </c>
      <c r="AB10" s="8">
        <v>2.100701999793686E-2</v>
      </c>
      <c r="AC10" s="161">
        <f t="shared" si="12"/>
        <v>3.8033635187580857E-2</v>
      </c>
      <c r="AE10" s="181"/>
      <c r="AF10" s="20">
        <v>4.1000000000000002E-2</v>
      </c>
      <c r="AG10" s="20">
        <v>3.3000000000000002E-2</v>
      </c>
      <c r="AH10" s="20">
        <v>0.03</v>
      </c>
    </row>
    <row r="11" spans="1:34" x14ac:dyDescent="0.2">
      <c r="A11" s="186"/>
      <c r="B11" s="19" t="s">
        <v>256</v>
      </c>
      <c r="C11" s="19">
        <v>7</v>
      </c>
      <c r="D11" s="158"/>
      <c r="E11" s="158"/>
      <c r="F11" s="158"/>
      <c r="G11" s="158"/>
      <c r="H11" s="158"/>
      <c r="I11" s="157">
        <f t="shared" si="7"/>
        <v>0</v>
      </c>
      <c r="J11" s="157">
        <f t="shared" si="13"/>
        <v>0</v>
      </c>
      <c r="K11" s="157">
        <f t="shared" si="14"/>
        <v>0</v>
      </c>
      <c r="L11" s="157">
        <f t="shared" si="15"/>
        <v>0</v>
      </c>
      <c r="M11" s="157">
        <f t="shared" si="8"/>
        <v>0</v>
      </c>
      <c r="N11" s="157">
        <f t="shared" si="8"/>
        <v>0</v>
      </c>
      <c r="O11" s="157">
        <f t="shared" si="10"/>
        <v>0</v>
      </c>
      <c r="Q11" s="14"/>
      <c r="R11" s="149"/>
      <c r="S11" s="148"/>
      <c r="T11" s="149"/>
      <c r="U11" s="149"/>
      <c r="V11" s="21">
        <v>0</v>
      </c>
      <c r="W11" s="161">
        <f t="shared" si="9"/>
        <v>0</v>
      </c>
      <c r="X11" s="20">
        <v>0</v>
      </c>
      <c r="Y11" s="20">
        <v>0</v>
      </c>
      <c r="Z11" s="21">
        <v>0</v>
      </c>
      <c r="AA11" s="161">
        <f t="shared" si="11"/>
        <v>0</v>
      </c>
      <c r="AB11" s="8">
        <v>1.4721221052939397E-2</v>
      </c>
      <c r="AC11" s="161">
        <f t="shared" si="12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7</v>
      </c>
      <c r="D12" s="158"/>
      <c r="E12" s="158"/>
      <c r="F12" s="158"/>
      <c r="G12" s="158"/>
      <c r="H12" s="158"/>
      <c r="I12" s="157">
        <f t="shared" si="7"/>
        <v>0</v>
      </c>
      <c r="J12" s="157">
        <f t="shared" si="13"/>
        <v>0</v>
      </c>
      <c r="K12" s="157">
        <f t="shared" si="14"/>
        <v>0</v>
      </c>
      <c r="L12" s="157">
        <f t="shared" si="15"/>
        <v>0</v>
      </c>
      <c r="M12" s="157">
        <f t="shared" si="8"/>
        <v>0</v>
      </c>
      <c r="N12" s="157">
        <f t="shared" si="8"/>
        <v>0</v>
      </c>
      <c r="O12" s="157">
        <f t="shared" si="10"/>
        <v>0</v>
      </c>
      <c r="Q12" s="14"/>
      <c r="R12" s="149"/>
      <c r="S12" s="148"/>
      <c r="T12" s="149"/>
      <c r="U12" s="149"/>
      <c r="V12" s="21">
        <v>0</v>
      </c>
      <c r="W12" s="161">
        <f t="shared" si="9"/>
        <v>0</v>
      </c>
      <c r="X12" s="20">
        <v>0</v>
      </c>
      <c r="Y12" s="20">
        <v>0</v>
      </c>
      <c r="Z12" s="21">
        <v>0</v>
      </c>
      <c r="AA12" s="161">
        <f t="shared" si="11"/>
        <v>0</v>
      </c>
      <c r="AB12" s="8">
        <v>0</v>
      </c>
      <c r="AC12" s="161">
        <f t="shared" si="12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60</v>
      </c>
      <c r="B15" s="19" t="s">
        <v>257</v>
      </c>
      <c r="C15" s="19">
        <v>7</v>
      </c>
      <c r="D15" s="158"/>
      <c r="E15" s="158"/>
      <c r="F15" s="158"/>
      <c r="G15" s="158"/>
      <c r="H15" s="158"/>
      <c r="I15" s="157">
        <f t="shared" ref="I15:I22" si="16">D$37*W15</f>
        <v>4.4991407999999993</v>
      </c>
      <c r="J15" s="157">
        <f t="shared" ref="J15:J22" si="17">I15*V15</f>
        <v>0</v>
      </c>
      <c r="K15" s="157">
        <f t="shared" ref="K15:K22" si="18">I15*X15</f>
        <v>0</v>
      </c>
      <c r="L15" s="157">
        <f t="shared" ref="L15:L22" si="19">((D$2+D$3+D$4)*AA15)</f>
        <v>93.52538272000001</v>
      </c>
      <c r="M15" s="157">
        <f t="shared" ref="M15:N22" si="20">L15*Y15</f>
        <v>56.502779348435524</v>
      </c>
      <c r="N15" s="157">
        <f t="shared" si="20"/>
        <v>612.4901281370411</v>
      </c>
      <c r="O15" s="157">
        <f t="shared" ref="O15:O22" si="21">M15*AH15</f>
        <v>3.3901667609061312</v>
      </c>
      <c r="Q15" s="14"/>
      <c r="R15" s="149"/>
      <c r="S15" s="148"/>
      <c r="T15" s="149"/>
      <c r="U15" s="149"/>
      <c r="V15" s="21">
        <v>0</v>
      </c>
      <c r="W15" s="161">
        <f t="shared" ref="W15:W22" si="22">(AF15/SUM(AF$2:AF$22))*0.98</f>
        <v>9.7999999999999997E-3</v>
      </c>
      <c r="X15" s="20">
        <v>0</v>
      </c>
      <c r="Y15" s="20">
        <v>0.60414379182596645</v>
      </c>
      <c r="Z15" s="21">
        <v>10.84</v>
      </c>
      <c r="AA15" s="161">
        <f t="shared" ref="AA15:AA21" si="23">(AG15/SUM(AG$7:AG$27))*0.98</f>
        <v>0.16268000000000002</v>
      </c>
      <c r="AB15" s="8">
        <v>0.17942503850764749</v>
      </c>
      <c r="AC15" s="161">
        <f t="shared" ref="AC15:AC21" si="24">(AH15/SUM(AH$7:AH$27))*0.98</f>
        <v>7.6067270375161714E-2</v>
      </c>
      <c r="AE15" s="181"/>
      <c r="AF15" s="20">
        <v>0.01</v>
      </c>
      <c r="AG15" s="20">
        <v>0.16600000000000001</v>
      </c>
      <c r="AH15" s="20">
        <v>0.06</v>
      </c>
    </row>
    <row r="16" spans="1:34" x14ac:dyDescent="0.2">
      <c r="A16" s="18" t="s">
        <v>243</v>
      </c>
      <c r="B16" s="19" t="s">
        <v>257</v>
      </c>
      <c r="C16" s="19">
        <v>7</v>
      </c>
      <c r="D16" s="158"/>
      <c r="E16" s="158"/>
      <c r="F16" s="158"/>
      <c r="G16" s="158"/>
      <c r="H16" s="158"/>
      <c r="I16" s="157">
        <f t="shared" si="16"/>
        <v>0</v>
      </c>
      <c r="J16" s="157">
        <f t="shared" si="17"/>
        <v>0</v>
      </c>
      <c r="K16" s="157">
        <f t="shared" si="18"/>
        <v>0</v>
      </c>
      <c r="L16" s="157">
        <f t="shared" si="19"/>
        <v>83.384076160000006</v>
      </c>
      <c r="M16" s="157">
        <f t="shared" si="20"/>
        <v>47.694389978675531</v>
      </c>
      <c r="N16" s="157">
        <f t="shared" si="20"/>
        <v>672.49089869932493</v>
      </c>
      <c r="O16" s="157">
        <f t="shared" si="21"/>
        <v>3.9586343682300691</v>
      </c>
      <c r="Q16" s="14"/>
      <c r="R16" s="149"/>
      <c r="S16" s="148"/>
      <c r="T16" s="149"/>
      <c r="U16" s="149"/>
      <c r="V16" s="21">
        <v>0</v>
      </c>
      <c r="W16" s="161">
        <f t="shared" si="22"/>
        <v>0</v>
      </c>
      <c r="X16" s="20">
        <v>0</v>
      </c>
      <c r="Y16" s="20">
        <v>0.57198439048671623</v>
      </c>
      <c r="Z16" s="21">
        <v>14.1</v>
      </c>
      <c r="AA16" s="161">
        <f t="shared" si="23"/>
        <v>0.14504</v>
      </c>
      <c r="AB16" s="8">
        <v>0.10762371294118071</v>
      </c>
      <c r="AC16" s="161">
        <f t="shared" si="24"/>
        <v>0.10522639068564038</v>
      </c>
      <c r="AE16" s="181"/>
      <c r="AF16" s="20">
        <v>0</v>
      </c>
      <c r="AG16" s="20">
        <v>0.14799999999999999</v>
      </c>
      <c r="AH16" s="20">
        <v>8.3000000000000004E-2</v>
      </c>
    </row>
    <row r="17" spans="1:34" x14ac:dyDescent="0.2">
      <c r="A17" s="18" t="s">
        <v>523</v>
      </c>
      <c r="B17" s="19" t="s">
        <v>257</v>
      </c>
      <c r="C17" s="19">
        <v>7</v>
      </c>
      <c r="D17" s="158"/>
      <c r="E17" s="158"/>
      <c r="F17" s="158"/>
      <c r="G17" s="158"/>
      <c r="H17" s="158"/>
      <c r="I17" s="157">
        <f t="shared" si="16"/>
        <v>0</v>
      </c>
      <c r="J17" s="157">
        <f t="shared" si="17"/>
        <v>0</v>
      </c>
      <c r="K17" s="157">
        <f t="shared" si="18"/>
        <v>0</v>
      </c>
      <c r="L17" s="157">
        <f t="shared" si="19"/>
        <v>57.467403839999996</v>
      </c>
      <c r="M17" s="157">
        <f t="shared" si="20"/>
        <v>34.325522061748764</v>
      </c>
      <c r="N17" s="157">
        <f t="shared" si="20"/>
        <v>409.84673341728023</v>
      </c>
      <c r="O17" s="157">
        <f t="shared" si="21"/>
        <v>2.5057631105076594</v>
      </c>
      <c r="Q17" s="14"/>
      <c r="R17" s="149"/>
      <c r="S17" s="148"/>
      <c r="T17" s="149"/>
      <c r="U17" s="149"/>
      <c r="V17" s="21">
        <v>0</v>
      </c>
      <c r="W17" s="161">
        <f t="shared" si="22"/>
        <v>0</v>
      </c>
      <c r="X17" s="20">
        <v>0</v>
      </c>
      <c r="Y17" s="20">
        <v>0.5973042066998091</v>
      </c>
      <c r="Z17" s="21">
        <v>11.94</v>
      </c>
      <c r="AA17" s="161">
        <f t="shared" si="23"/>
        <v>9.9959999999999993E-2</v>
      </c>
      <c r="AB17" s="8">
        <v>6.0141004490805408E-2</v>
      </c>
      <c r="AC17" s="161">
        <f t="shared" si="24"/>
        <v>9.2548512289780088E-2</v>
      </c>
      <c r="AE17" s="181"/>
      <c r="AF17" s="20">
        <v>0</v>
      </c>
      <c r="AG17" s="20">
        <v>0.10199999999999999</v>
      </c>
      <c r="AH17" s="20">
        <v>7.2999999999999995E-2</v>
      </c>
    </row>
    <row r="18" spans="1:34" x14ac:dyDescent="0.2">
      <c r="A18" s="18" t="s">
        <v>657</v>
      </c>
      <c r="B18" s="19" t="s">
        <v>257</v>
      </c>
      <c r="C18" s="19">
        <v>7</v>
      </c>
      <c r="D18" s="158"/>
      <c r="E18" s="158"/>
      <c r="F18" s="158"/>
      <c r="G18" s="158"/>
      <c r="H18" s="158"/>
      <c r="I18" s="157">
        <f t="shared" si="16"/>
        <v>0</v>
      </c>
      <c r="J18" s="157">
        <f t="shared" si="17"/>
        <v>0</v>
      </c>
      <c r="K18" s="157">
        <f t="shared" si="18"/>
        <v>0</v>
      </c>
      <c r="L18" s="157">
        <f t="shared" si="19"/>
        <v>49.016315039999995</v>
      </c>
      <c r="M18" s="157">
        <f t="shared" si="20"/>
        <v>28.208674713124026</v>
      </c>
      <c r="N18" s="157">
        <f t="shared" si="20"/>
        <v>332.58027486773221</v>
      </c>
      <c r="O18" s="157">
        <f t="shared" si="21"/>
        <v>1.9746072299186821</v>
      </c>
      <c r="Q18" s="14"/>
      <c r="R18" s="149"/>
      <c r="S18" s="148"/>
      <c r="T18" s="149"/>
      <c r="U18" s="149"/>
      <c r="V18" s="21">
        <v>2.3346938775510209</v>
      </c>
      <c r="W18" s="161">
        <f t="shared" si="22"/>
        <v>0</v>
      </c>
      <c r="X18" s="20">
        <v>8.1632653061224497E-3</v>
      </c>
      <c r="Y18" s="20">
        <v>0.57549562202103943</v>
      </c>
      <c r="Z18" s="21">
        <v>11.79</v>
      </c>
      <c r="AA18" s="161">
        <f t="shared" si="23"/>
        <v>8.5259999999999989E-2</v>
      </c>
      <c r="AB18" s="8">
        <v>7.2371601418819084E-2</v>
      </c>
      <c r="AC18" s="161">
        <f t="shared" si="24"/>
        <v>8.8745148771022006E-2</v>
      </c>
      <c r="AE18" s="181"/>
      <c r="AF18" s="20">
        <v>0</v>
      </c>
      <c r="AG18" s="20">
        <v>8.6999999999999994E-2</v>
      </c>
      <c r="AH18" s="20">
        <v>7.0000000000000007E-2</v>
      </c>
    </row>
    <row r="19" spans="1:34" x14ac:dyDescent="0.2">
      <c r="A19" s="18" t="s">
        <v>476</v>
      </c>
      <c r="B19" s="19" t="s">
        <v>257</v>
      </c>
      <c r="C19" s="19">
        <v>7</v>
      </c>
      <c r="D19" s="158"/>
      <c r="E19" s="158"/>
      <c r="F19" s="158"/>
      <c r="G19" s="158"/>
      <c r="H19" s="158"/>
      <c r="I19" s="157">
        <f t="shared" si="16"/>
        <v>0</v>
      </c>
      <c r="J19" s="157">
        <f t="shared" si="17"/>
        <v>0</v>
      </c>
      <c r="K19" s="157">
        <f t="shared" si="18"/>
        <v>0</v>
      </c>
      <c r="L19" s="157">
        <f t="shared" si="19"/>
        <v>61.411245279999996</v>
      </c>
      <c r="M19" s="157">
        <f t="shared" si="20"/>
        <v>40.838478111199997</v>
      </c>
      <c r="N19" s="157">
        <f t="shared" si="20"/>
        <v>532.12536978893593</v>
      </c>
      <c r="O19" s="157">
        <f t="shared" si="21"/>
        <v>2.8586934677840001</v>
      </c>
      <c r="Q19" s="14"/>
      <c r="R19" s="149"/>
      <c r="S19" s="148"/>
      <c r="T19" s="149"/>
      <c r="U19" s="149"/>
      <c r="V19" s="21">
        <v>0</v>
      </c>
      <c r="W19" s="161">
        <f t="shared" si="22"/>
        <v>0</v>
      </c>
      <c r="X19" s="20">
        <v>0</v>
      </c>
      <c r="Y19" s="20">
        <v>0.66500000000000004</v>
      </c>
      <c r="Z19" s="21">
        <v>13.03</v>
      </c>
      <c r="AA19" s="161">
        <f t="shared" si="23"/>
        <v>0.10682</v>
      </c>
      <c r="AB19" s="8">
        <v>2.0087981085509972E-2</v>
      </c>
      <c r="AC19" s="161">
        <f t="shared" si="24"/>
        <v>8.8745148771022006E-2</v>
      </c>
      <c r="AE19" s="181"/>
      <c r="AF19" s="20">
        <v>0</v>
      </c>
      <c r="AG19" s="20">
        <v>0.109</v>
      </c>
      <c r="AH19" s="20">
        <v>7.0000000000000007E-2</v>
      </c>
    </row>
    <row r="20" spans="1:34" x14ac:dyDescent="0.2">
      <c r="A20" s="18" t="s">
        <v>621</v>
      </c>
      <c r="B20" s="19" t="s">
        <v>257</v>
      </c>
      <c r="C20" s="19">
        <v>7</v>
      </c>
      <c r="D20" s="158"/>
      <c r="E20" s="158"/>
      <c r="F20" s="158"/>
      <c r="G20" s="158"/>
      <c r="H20" s="158"/>
      <c r="I20" s="157">
        <f t="shared" si="16"/>
        <v>0</v>
      </c>
      <c r="J20" s="157">
        <f t="shared" si="17"/>
        <v>0</v>
      </c>
      <c r="K20" s="157">
        <f t="shared" si="18"/>
        <v>0</v>
      </c>
      <c r="L20" s="157">
        <f t="shared" si="19"/>
        <v>8.4510887999999991</v>
      </c>
      <c r="M20" s="157">
        <f t="shared" si="20"/>
        <v>4.3482729906967634</v>
      </c>
      <c r="N20" s="157">
        <f t="shared" si="20"/>
        <v>64.702302101567838</v>
      </c>
      <c r="O20" s="157">
        <f t="shared" si="21"/>
        <v>0.17393091962787055</v>
      </c>
      <c r="Q20" s="14"/>
      <c r="R20" s="149"/>
      <c r="S20" s="148"/>
      <c r="T20" s="149"/>
      <c r="U20" s="149"/>
      <c r="V20" s="21">
        <v>0</v>
      </c>
      <c r="W20" s="161">
        <f t="shared" si="22"/>
        <v>0</v>
      </c>
      <c r="X20" s="20">
        <v>0</v>
      </c>
      <c r="Y20" s="20">
        <v>0.51452222235515543</v>
      </c>
      <c r="Z20" s="21">
        <v>14.88</v>
      </c>
      <c r="AA20" s="161">
        <f t="shared" si="23"/>
        <v>1.47E-2</v>
      </c>
      <c r="AB20" s="8">
        <v>7.7912972139078204E-2</v>
      </c>
      <c r="AC20" s="161">
        <f t="shared" si="24"/>
        <v>5.0711513583441149E-2</v>
      </c>
      <c r="AE20" s="181"/>
      <c r="AF20" s="20">
        <v>0</v>
      </c>
      <c r="AG20" s="20">
        <v>1.4999999999999999E-2</v>
      </c>
      <c r="AH20" s="20">
        <v>0.04</v>
      </c>
    </row>
    <row r="21" spans="1:34" x14ac:dyDescent="0.2">
      <c r="B21" s="19" t="s">
        <v>257</v>
      </c>
      <c r="C21" s="19">
        <v>7</v>
      </c>
      <c r="D21" s="158"/>
      <c r="E21" s="158"/>
      <c r="F21" s="158"/>
      <c r="G21" s="158"/>
      <c r="H21" s="158"/>
      <c r="I21" s="157">
        <f t="shared" si="16"/>
        <v>0</v>
      </c>
      <c r="J21" s="157">
        <f t="shared" si="17"/>
        <v>0</v>
      </c>
      <c r="K21" s="157">
        <f t="shared" si="18"/>
        <v>0</v>
      </c>
      <c r="L21" s="157">
        <f t="shared" si="19"/>
        <v>0</v>
      </c>
      <c r="M21" s="157">
        <f t="shared" si="20"/>
        <v>0</v>
      </c>
      <c r="N21" s="157">
        <f t="shared" si="20"/>
        <v>0</v>
      </c>
      <c r="O21" s="157">
        <f t="shared" si="21"/>
        <v>0</v>
      </c>
      <c r="Q21" s="14"/>
      <c r="R21" s="149"/>
      <c r="S21" s="148"/>
      <c r="T21" s="149"/>
      <c r="U21" s="149"/>
      <c r="V21" s="21">
        <v>0</v>
      </c>
      <c r="W21" s="161">
        <f t="shared" si="22"/>
        <v>0</v>
      </c>
      <c r="X21" s="20">
        <v>0</v>
      </c>
      <c r="Y21" s="20">
        <v>0</v>
      </c>
      <c r="Z21" s="21">
        <v>0</v>
      </c>
      <c r="AA21" s="161">
        <f t="shared" si="23"/>
        <v>0</v>
      </c>
      <c r="AB21" s="8">
        <v>2.9270861327960175E-2</v>
      </c>
      <c r="AC21" s="161">
        <f t="shared" si="24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7</v>
      </c>
      <c r="D22" s="158"/>
      <c r="E22" s="158"/>
      <c r="F22" s="158"/>
      <c r="G22" s="158"/>
      <c r="H22" s="158"/>
      <c r="I22" s="157">
        <f t="shared" si="16"/>
        <v>0</v>
      </c>
      <c r="J22" s="157">
        <f t="shared" si="17"/>
        <v>0</v>
      </c>
      <c r="K22" s="157">
        <f t="shared" si="18"/>
        <v>0</v>
      </c>
      <c r="L22" s="157">
        <f t="shared" si="19"/>
        <v>0</v>
      </c>
      <c r="M22" s="157">
        <f t="shared" si="20"/>
        <v>0</v>
      </c>
      <c r="N22" s="157">
        <f t="shared" si="20"/>
        <v>0</v>
      </c>
      <c r="O22" s="157">
        <f t="shared" si="21"/>
        <v>0</v>
      </c>
      <c r="Q22" s="14"/>
      <c r="R22" s="149"/>
      <c r="S22" s="148"/>
      <c r="T22" s="149"/>
      <c r="U22" s="149"/>
      <c r="V22" s="21">
        <v>0</v>
      </c>
      <c r="W22" s="161">
        <f t="shared" si="22"/>
        <v>0</v>
      </c>
      <c r="X22" s="20">
        <v>0</v>
      </c>
      <c r="Y22" s="20">
        <v>0</v>
      </c>
      <c r="Z22" s="21">
        <v>0</v>
      </c>
      <c r="AA22" s="161">
        <v>0</v>
      </c>
      <c r="AB22" s="8">
        <v>1.9963981202266081E-2</v>
      </c>
      <c r="AC22" s="161"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157</v>
      </c>
      <c r="B24" s="19" t="s">
        <v>10</v>
      </c>
      <c r="C24" s="19">
        <v>7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77.186611040000017</v>
      </c>
      <c r="M24" s="157">
        <f t="shared" ref="M24:N27" si="25">L24*Y24</f>
        <v>51.302760687430293</v>
      </c>
      <c r="N24" s="157">
        <f t="shared" si="25"/>
        <v>541.24412525238961</v>
      </c>
      <c r="O24" s="157">
        <f t="shared" ref="O24:O27" si="26">M24*AH24</f>
        <v>4.6685512225561565</v>
      </c>
      <c r="Q24" s="14"/>
      <c r="R24" s="149"/>
      <c r="S24" s="148"/>
      <c r="T24" s="149"/>
      <c r="U24" s="149"/>
      <c r="V24" s="150"/>
      <c r="W24" s="165"/>
      <c r="X24" s="149"/>
      <c r="Y24" s="20">
        <v>0.66465880540919109</v>
      </c>
      <c r="Z24" s="115">
        <v>10.55</v>
      </c>
      <c r="AA24" s="161">
        <f t="shared" ref="AA24:AA27" si="27">(AG24/SUM(AG$7:AG$27))*0.98</f>
        <v>0.13426000000000002</v>
      </c>
      <c r="AB24" s="8">
        <v>8.9148774761302313E-2</v>
      </c>
      <c r="AC24" s="161">
        <f t="shared" ref="AC24:AC27" si="28">(AH24/SUM(AH$7:AH$27))*0.98</f>
        <v>0.1153686934023286</v>
      </c>
      <c r="AE24" s="181"/>
      <c r="AF24" s="181"/>
      <c r="AG24" s="20">
        <v>0.13700000000000001</v>
      </c>
      <c r="AH24" s="20">
        <v>9.0999999999999998E-2</v>
      </c>
    </row>
    <row r="25" spans="1:34" x14ac:dyDescent="0.2">
      <c r="A25" s="186" t="s">
        <v>558</v>
      </c>
      <c r="B25" s="19" t="s">
        <v>10</v>
      </c>
      <c r="C25" s="19">
        <v>7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27.043484159999998</v>
      </c>
      <c r="M25" s="157">
        <f t="shared" si="25"/>
        <v>16.96859514208894</v>
      </c>
      <c r="N25" s="157">
        <f t="shared" si="25"/>
        <v>187.84234822292458</v>
      </c>
      <c r="O25" s="157">
        <f t="shared" si="26"/>
        <v>1.4592991822196488</v>
      </c>
      <c r="Q25" s="14"/>
      <c r="R25" s="149"/>
      <c r="S25" s="148"/>
      <c r="T25" s="149"/>
      <c r="U25" s="149"/>
      <c r="V25" s="150"/>
      <c r="W25" s="165"/>
      <c r="X25" s="149"/>
      <c r="Y25" s="20">
        <v>0.62745595359296125</v>
      </c>
      <c r="Z25" s="115">
        <v>11.07</v>
      </c>
      <c r="AA25" s="161">
        <f t="shared" si="27"/>
        <v>4.7039999999999998E-2</v>
      </c>
      <c r="AB25" s="8">
        <v>3.3310197927779797E-2</v>
      </c>
      <c r="AC25" s="161">
        <f t="shared" si="28"/>
        <v>0.10902975420439845</v>
      </c>
      <c r="AE25" s="181"/>
      <c r="AF25" s="181"/>
      <c r="AG25" s="20">
        <v>4.8000000000000001E-2</v>
      </c>
      <c r="AH25" s="20">
        <v>8.5999999999999993E-2</v>
      </c>
    </row>
    <row r="26" spans="1:34" x14ac:dyDescent="0.2">
      <c r="A26" s="186" t="s">
        <v>217</v>
      </c>
      <c r="B26" s="19" t="s">
        <v>10</v>
      </c>
      <c r="C26" s="19">
        <v>7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7.3242769599999997</v>
      </c>
      <c r="M26" s="157">
        <f t="shared" si="25"/>
        <v>4.9658597788800005</v>
      </c>
      <c r="N26" s="157">
        <f t="shared" si="25"/>
        <v>51.781666585229672</v>
      </c>
      <c r="O26" s="157">
        <f t="shared" si="26"/>
        <v>0.35754190407935998</v>
      </c>
      <c r="Q26" s="14"/>
      <c r="R26" s="149"/>
      <c r="S26" s="148"/>
      <c r="T26" s="149"/>
      <c r="U26" s="149"/>
      <c r="V26" s="150"/>
      <c r="W26" s="165"/>
      <c r="X26" s="149"/>
      <c r="Y26" s="20">
        <v>0.67800000000000005</v>
      </c>
      <c r="Z26" s="21">
        <v>10.427532973335083</v>
      </c>
      <c r="AA26" s="161">
        <f t="shared" si="27"/>
        <v>1.274E-2</v>
      </c>
      <c r="AB26" s="8">
        <v>4.8459962150580752E-2</v>
      </c>
      <c r="AC26" s="161">
        <f t="shared" si="28"/>
        <v>9.1280724450194056E-2</v>
      </c>
      <c r="AE26" s="181"/>
      <c r="AF26" s="181"/>
      <c r="AG26" s="20">
        <v>1.2999999999999999E-2</v>
      </c>
      <c r="AH26" s="20">
        <v>7.1999999999999995E-2</v>
      </c>
    </row>
    <row r="27" spans="1:34" x14ac:dyDescent="0.2">
      <c r="A27" s="186"/>
      <c r="B27" s="19" t="s">
        <v>10</v>
      </c>
      <c r="C27" s="19">
        <v>7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5"/>
        <v>0</v>
      </c>
      <c r="N27" s="157">
        <f t="shared" si="25"/>
        <v>0</v>
      </c>
      <c r="O27" s="157">
        <f t="shared" si="26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21">
        <v>0</v>
      </c>
      <c r="AA27" s="161">
        <f t="shared" si="27"/>
        <v>0</v>
      </c>
      <c r="AB27" s="8">
        <v>1.34614502878979E-2</v>
      </c>
      <c r="AC27" s="161">
        <f t="shared" si="28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6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0.98000000000000009</v>
      </c>
      <c r="X30" s="31"/>
      <c r="Y30" s="31"/>
      <c r="Z30" s="32"/>
      <c r="AA30" s="161">
        <f>SUM(AA7:AA27)</f>
        <v>0.98000000000000009</v>
      </c>
      <c r="AB30" s="161">
        <f t="shared" ref="AB30" si="29">SUM(AB2:AB4,AB7:AB12,AB15:AB22,AB24:AB27)</f>
        <v>0.9750000000000002</v>
      </c>
      <c r="AC30" s="161">
        <f>SUM(AC7:AC27)</f>
        <v>0.98000000000000009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1034</v>
      </c>
      <c r="E31" s="48">
        <v>0.55600000000000005</v>
      </c>
      <c r="F31" s="2">
        <f>1-E31</f>
        <v>0.44399999999999995</v>
      </c>
      <c r="G31" s="114">
        <v>4.2</v>
      </c>
      <c r="H31" s="134">
        <v>0.03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574.904</v>
      </c>
      <c r="E34" s="167">
        <f>SUM(E2:E4)</f>
        <v>357.18840208010795</v>
      </c>
      <c r="F34" s="167">
        <f>SUM(F2:F4)</f>
        <v>3937.0233282607755</v>
      </c>
      <c r="G34" s="167">
        <f>SUM(G2:G4)</f>
        <v>23.788239001365536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459.09599999999995</v>
      </c>
      <c r="E37" s="167">
        <f>D37*G31</f>
        <v>1928.2031999999999</v>
      </c>
      <c r="F37" s="167">
        <f>D37*H31</f>
        <v>13.772879999999997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449.91408000000001</v>
      </c>
      <c r="E40" s="168">
        <f>SUM(J2:J4,J7:J12,J15:J22)</f>
        <v>1898.2744600673536</v>
      </c>
      <c r="F40" s="168">
        <f>SUM(K2:K4,K7:K12,K15:K22)</f>
        <v>13.76791523555603</v>
      </c>
      <c r="G40" s="168">
        <f>SUM(L7:L12,L15:L22,L24:L27)</f>
        <v>563.40592000000004</v>
      </c>
      <c r="H40" s="168">
        <f>SUM(M7:M12,M15:M22,M24:M27)</f>
        <v>357.16036822708941</v>
      </c>
      <c r="I40" s="168">
        <f>SUM(N7:N12,N15:N22,N24:N27)</f>
        <v>3931.9946365883357</v>
      </c>
      <c r="J40" s="168">
        <f>SUM(O7:O12,O15:O22,O24:O27)</f>
        <v>23.768199916532126</v>
      </c>
    </row>
    <row r="41" spans="1:32" ht="15" thickTop="1" x14ac:dyDescent="0.2">
      <c r="D41" s="169">
        <f>D37-D40</f>
        <v>9.1819199999999341</v>
      </c>
      <c r="E41" s="169">
        <f>E37-E40</f>
        <v>29.928739932646295</v>
      </c>
      <c r="F41" s="169">
        <f>F37-F40</f>
        <v>4.9647644439669847E-3</v>
      </c>
      <c r="G41" s="169">
        <f>SUM(D2:D4)-G40</f>
        <v>11.498079999999959</v>
      </c>
      <c r="H41" s="169">
        <f>E34-H40</f>
        <v>2.8033853018541777E-2</v>
      </c>
      <c r="I41" s="169">
        <f>F34-I40</f>
        <v>5.0286916724398907</v>
      </c>
      <c r="J41" s="169">
        <f>G34-J40</f>
        <v>2.0039084833410215E-2</v>
      </c>
    </row>
    <row r="52" spans="14:15" x14ac:dyDescent="0.2">
      <c r="N52" s="24"/>
      <c r="O52" s="24"/>
    </row>
  </sheetData>
  <sheetProtection selectLockedCells="1"/>
  <conditionalFormatting sqref="D41:J41">
    <cfRule type="cellIs" dxfId="59" priority="1" operator="lessThan">
      <formula>0</formula>
    </cfRule>
  </conditionalFormatting>
  <conditionalFormatting sqref="W30">
    <cfRule type="cellIs" dxfId="58" priority="2" operator="greaterThan">
      <formula>1</formula>
    </cfRule>
  </conditionalFormatting>
  <conditionalFormatting sqref="AA30:AG30">
    <cfRule type="cellIs" dxfId="57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0"/>
  </sheetPr>
  <dimension ref="A1:AH53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622</v>
      </c>
      <c r="B2" s="19" t="s">
        <v>9</v>
      </c>
      <c r="C2" s="19">
        <v>11</v>
      </c>
      <c r="D2" s="157">
        <f>D$34*Q2</f>
        <v>518.21550000000002</v>
      </c>
      <c r="E2" s="157">
        <f>D2*R2</f>
        <v>312.4839465</v>
      </c>
      <c r="F2" s="157">
        <f>E2*S2</f>
        <v>3506.0698797300001</v>
      </c>
      <c r="G2" s="157">
        <f>E2*T2</f>
        <v>19.498998261600001</v>
      </c>
      <c r="H2" s="157">
        <f>E2*U2</f>
        <v>15.157748978709568</v>
      </c>
      <c r="I2" s="157">
        <f>D$37*W2</f>
        <v>121.4009104</v>
      </c>
      <c r="J2" s="157">
        <f>I2*V2</f>
        <v>718.69338956800004</v>
      </c>
      <c r="K2" s="157">
        <f>I2*X2</f>
        <v>7.0412528032000008</v>
      </c>
      <c r="L2" s="158"/>
      <c r="M2" s="158"/>
      <c r="N2" s="158"/>
      <c r="O2" s="158"/>
      <c r="Q2" s="161">
        <f>AE2</f>
        <v>0.95</v>
      </c>
      <c r="R2" s="116">
        <v>0.60299999999999998</v>
      </c>
      <c r="S2" s="115">
        <v>11.22</v>
      </c>
      <c r="T2" s="116">
        <v>6.2399999999999997E-2</v>
      </c>
      <c r="U2" s="20">
        <v>4.8507288609495235E-2</v>
      </c>
      <c r="V2" s="115">
        <v>5.92</v>
      </c>
      <c r="W2" s="161">
        <f>(AF2/SUM(AF$2:AF$22))*0.98</f>
        <v>0.24304000000000001</v>
      </c>
      <c r="X2" s="20">
        <v>5.8000000000000003E-2</v>
      </c>
      <c r="Y2" s="22"/>
      <c r="Z2" s="23"/>
      <c r="AA2" s="1"/>
      <c r="AB2" s="1"/>
      <c r="AC2" s="1"/>
      <c r="AE2" s="20">
        <v>0.95</v>
      </c>
      <c r="AF2" s="20">
        <v>0.248</v>
      </c>
      <c r="AG2" s="181"/>
      <c r="AH2" s="181"/>
    </row>
    <row r="3" spans="1:34" x14ac:dyDescent="0.2">
      <c r="A3" s="18" t="s">
        <v>462</v>
      </c>
      <c r="B3" s="19" t="s">
        <v>9</v>
      </c>
      <c r="C3" s="19">
        <v>11</v>
      </c>
      <c r="D3" s="157">
        <f>D$34*Q3</f>
        <v>27.274500000000025</v>
      </c>
      <c r="E3" s="157">
        <f t="shared" ref="E3:F4" si="0">D3*R3</f>
        <v>17.380543915852233</v>
      </c>
      <c r="F3" s="157">
        <f t="shared" si="0"/>
        <v>189.44792868278935</v>
      </c>
      <c r="G3" s="157">
        <f t="shared" ref="G3:G4" si="1">E3*T3</f>
        <v>1.0269939572373437</v>
      </c>
      <c r="H3" s="157">
        <f t="shared" ref="H3:H4" si="2">E3*U3</f>
        <v>0.63528105117521527</v>
      </c>
      <c r="I3" s="157">
        <f t="shared" ref="I3:I4" si="3">D$37*W3</f>
        <v>3.9161583999999996</v>
      </c>
      <c r="J3" s="157">
        <f>I3*V3</f>
        <v>16.750404114751259</v>
      </c>
      <c r="K3" s="157">
        <f>I3*X3</f>
        <v>0.10601038092884311</v>
      </c>
      <c r="L3" s="158"/>
      <c r="M3" s="158"/>
      <c r="N3" s="158"/>
      <c r="O3" s="158"/>
      <c r="Q3" s="161">
        <f t="shared" ref="Q3:Q4" si="4">AE3</f>
        <v>5.0000000000000044E-2</v>
      </c>
      <c r="R3" s="116">
        <v>0.63724518931060947</v>
      </c>
      <c r="S3" s="115">
        <v>10.9</v>
      </c>
      <c r="T3" s="116">
        <v>5.9088712195057125E-2</v>
      </c>
      <c r="U3" s="20">
        <v>3.6551275624682605E-2</v>
      </c>
      <c r="V3" s="115">
        <v>4.2772539830746528</v>
      </c>
      <c r="W3" s="161">
        <f t="shared" ref="W3:W4" si="5">(AF3/SUM(AF$2:AF$22))*0.98</f>
        <v>7.8399999999999997E-3</v>
      </c>
      <c r="X3" s="20">
        <v>2.7069993115917661E-2</v>
      </c>
      <c r="Y3" s="22"/>
      <c r="Z3" s="23"/>
      <c r="AA3" s="1"/>
      <c r="AB3" s="1"/>
      <c r="AC3" s="1"/>
      <c r="AE3" s="20">
        <f>1-AE2</f>
        <v>5.0000000000000044E-2</v>
      </c>
      <c r="AF3" s="20">
        <v>8.0000000000000002E-3</v>
      </c>
      <c r="AG3" s="181"/>
      <c r="AH3" s="181"/>
    </row>
    <row r="4" spans="1:34" x14ac:dyDescent="0.2">
      <c r="B4" s="19" t="s">
        <v>9</v>
      </c>
      <c r="C4" s="19">
        <v>11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173</v>
      </c>
      <c r="B7" s="19" t="s">
        <v>256</v>
      </c>
      <c r="C7" s="19">
        <v>11</v>
      </c>
      <c r="D7" s="158"/>
      <c r="E7" s="158"/>
      <c r="F7" s="158"/>
      <c r="G7" s="158"/>
      <c r="H7" s="158"/>
      <c r="I7" s="157">
        <f t="shared" ref="I7:I12" si="6">D$37*W7</f>
        <v>161.54153400000001</v>
      </c>
      <c r="J7" s="157">
        <f>I7*V7</f>
        <v>743.09105639999996</v>
      </c>
      <c r="K7" s="157">
        <f>I7*X7</f>
        <v>5.9770367580000006</v>
      </c>
      <c r="L7" s="157">
        <f>((D$2+D$3+D$4)*AA7)</f>
        <v>22.452368400000005</v>
      </c>
      <c r="M7" s="157">
        <f t="shared" ref="M7:N12" si="7">L7*Y7</f>
        <v>16.143252879600002</v>
      </c>
      <c r="N7" s="157">
        <f t="shared" si="7"/>
        <v>122.02092464884409</v>
      </c>
      <c r="O7" s="157">
        <f>M7*AH7</f>
        <v>0.48429758638800002</v>
      </c>
      <c r="Q7" s="14"/>
      <c r="R7" s="149"/>
      <c r="S7" s="148"/>
      <c r="T7" s="149"/>
      <c r="U7" s="149"/>
      <c r="V7" s="21">
        <v>4.5999999999999996</v>
      </c>
      <c r="W7" s="161">
        <f t="shared" ref="W7:W12" si="8">(AF7/SUM(AF$2:AF$22))*0.98</f>
        <v>0.32340000000000002</v>
      </c>
      <c r="X7" s="20">
        <v>3.6999999999999998E-2</v>
      </c>
      <c r="Y7" s="20">
        <v>0.71899999999999997</v>
      </c>
      <c r="Z7" s="21">
        <v>7.558633043718233</v>
      </c>
      <c r="AA7" s="161">
        <f>(AG7/SUM(AG$7:AG$27))*0.98</f>
        <v>4.1160000000000009E-2</v>
      </c>
      <c r="AB7" s="8">
        <v>9.3727079934566485E-2</v>
      </c>
      <c r="AC7" s="161">
        <f>(AH7/SUM(AH$7:AH$27))*0.98</f>
        <v>4.2424242424242427E-2</v>
      </c>
      <c r="AE7" s="181"/>
      <c r="AF7" s="20">
        <v>0.33</v>
      </c>
      <c r="AG7" s="20">
        <v>4.2000000000000003E-2</v>
      </c>
      <c r="AH7" s="20">
        <v>0.03</v>
      </c>
    </row>
    <row r="8" spans="1:34" x14ac:dyDescent="0.2">
      <c r="A8" s="186" t="s">
        <v>480</v>
      </c>
      <c r="B8" s="19" t="s">
        <v>256</v>
      </c>
      <c r="C8" s="19">
        <v>11</v>
      </c>
      <c r="D8" s="158"/>
      <c r="E8" s="158"/>
      <c r="F8" s="158"/>
      <c r="G8" s="158"/>
      <c r="H8" s="158"/>
      <c r="I8" s="157">
        <f t="shared" si="6"/>
        <v>80.281247199999996</v>
      </c>
      <c r="J8" s="157">
        <f>I8*V8</f>
        <v>351.63186273599996</v>
      </c>
      <c r="K8" s="157">
        <f>I8*X8</f>
        <v>2.9704061463999998</v>
      </c>
      <c r="L8" s="157">
        <f>((D$2+D$3+D$4)*AA8)</f>
        <v>17.106566400000002</v>
      </c>
      <c r="M8" s="157">
        <f t="shared" si="7"/>
        <v>12.487793472000002</v>
      </c>
      <c r="N8" s="157">
        <f t="shared" si="7"/>
        <v>95.281864191360015</v>
      </c>
      <c r="O8" s="157">
        <f t="shared" ref="O8:O12" si="9">M8*AH8</f>
        <v>0.37463380416000003</v>
      </c>
      <c r="Q8" s="14"/>
      <c r="R8" s="149"/>
      <c r="S8" s="148"/>
      <c r="T8" s="149"/>
      <c r="U8" s="149"/>
      <c r="V8" s="21">
        <v>4.38</v>
      </c>
      <c r="W8" s="161">
        <f t="shared" si="8"/>
        <v>0.16072</v>
      </c>
      <c r="X8" s="20">
        <v>3.6999999999999998E-2</v>
      </c>
      <c r="Y8" s="20">
        <v>0.73</v>
      </c>
      <c r="Z8" s="21">
        <v>7.63</v>
      </c>
      <c r="AA8" s="161">
        <f t="shared" ref="AA8:AA12" si="10">(AG8/SUM(AG$7:AG$27))*0.98</f>
        <v>3.1360000000000006E-2</v>
      </c>
      <c r="AB8" s="8">
        <v>0.11770674506824931</v>
      </c>
      <c r="AC8" s="161">
        <f t="shared" ref="AC8:AC12" si="11">(AH8/SUM(AH$7:AH$27))*0.98</f>
        <v>4.2424242424242427E-2</v>
      </c>
      <c r="AE8" s="181"/>
      <c r="AF8" s="20">
        <v>0.16400000000000001</v>
      </c>
      <c r="AG8" s="20">
        <v>3.2000000000000001E-2</v>
      </c>
      <c r="AH8" s="20">
        <v>0.03</v>
      </c>
    </row>
    <row r="9" spans="1:34" x14ac:dyDescent="0.2">
      <c r="A9" s="186" t="s">
        <v>623</v>
      </c>
      <c r="B9" s="19" t="s">
        <v>256</v>
      </c>
      <c r="C9" s="19">
        <v>11</v>
      </c>
      <c r="D9" s="158"/>
      <c r="E9" s="158"/>
      <c r="F9" s="158"/>
      <c r="G9" s="158"/>
      <c r="H9" s="158"/>
      <c r="I9" s="157">
        <f t="shared" si="6"/>
        <v>39.161583999999998</v>
      </c>
      <c r="J9" s="157">
        <f>I9*V9</f>
        <v>169.56965872000001</v>
      </c>
      <c r="K9" s="157">
        <f>I9*X9</f>
        <v>1.3706554399999999</v>
      </c>
      <c r="L9" s="157">
        <f>((D$2+D$3+D$4)*AA9)</f>
        <v>14.433665400000002</v>
      </c>
      <c r="M9" s="157">
        <f t="shared" si="7"/>
        <v>9.5978783655315034</v>
      </c>
      <c r="N9" s="157">
        <f t="shared" si="7"/>
        <v>79.568530181425103</v>
      </c>
      <c r="O9" s="157">
        <f t="shared" si="9"/>
        <v>0.33592574279360266</v>
      </c>
      <c r="Q9" s="14"/>
      <c r="R9" s="149"/>
      <c r="S9" s="148"/>
      <c r="T9" s="149"/>
      <c r="U9" s="149"/>
      <c r="V9" s="21">
        <v>4.33</v>
      </c>
      <c r="W9" s="161">
        <f t="shared" si="8"/>
        <v>7.8399999999999997E-2</v>
      </c>
      <c r="X9" s="20">
        <v>3.5000000000000003E-2</v>
      </c>
      <c r="Y9" s="20">
        <v>0.66496472652965211</v>
      </c>
      <c r="Z9" s="21">
        <v>8.2902207291120238</v>
      </c>
      <c r="AA9" s="161">
        <f t="shared" si="10"/>
        <v>2.6460000000000004E-2</v>
      </c>
      <c r="AB9" s="8">
        <v>1.8213381069160487E-2</v>
      </c>
      <c r="AC9" s="161">
        <f t="shared" si="11"/>
        <v>4.9494949494949515E-2</v>
      </c>
      <c r="AE9" s="181"/>
      <c r="AF9" s="20">
        <v>0.08</v>
      </c>
      <c r="AG9" s="20">
        <v>2.7E-2</v>
      </c>
      <c r="AH9" s="20">
        <v>3.5000000000000003E-2</v>
      </c>
    </row>
    <row r="10" spans="1:34" x14ac:dyDescent="0.2">
      <c r="A10" s="190" t="s">
        <v>686</v>
      </c>
      <c r="B10" s="19" t="s">
        <v>256</v>
      </c>
      <c r="C10" s="19">
        <v>11</v>
      </c>
      <c r="D10" s="158"/>
      <c r="E10" s="158"/>
      <c r="F10" s="158"/>
      <c r="G10" s="158"/>
      <c r="H10" s="158"/>
      <c r="I10" s="157">
        <f t="shared" si="6"/>
        <v>83.218366000000003</v>
      </c>
      <c r="J10" s="157">
        <f t="shared" ref="J10:J12" si="12">I10*V10</f>
        <v>354.51023915999997</v>
      </c>
      <c r="K10" s="157">
        <f t="shared" ref="K10:K12" si="13">I10*X10</f>
        <v>2.995861176</v>
      </c>
      <c r="L10" s="157">
        <f t="shared" ref="L10:L12" si="14">((D$2+D$3+D$4)*AA10)</f>
        <v>13.364505000000003</v>
      </c>
      <c r="M10" s="157">
        <f t="shared" si="7"/>
        <v>9.0744988950000032</v>
      </c>
      <c r="N10" s="157">
        <f t="shared" si="7"/>
        <v>66.062351955600022</v>
      </c>
      <c r="O10" s="157">
        <f t="shared" si="9"/>
        <v>0.27223496685000009</v>
      </c>
      <c r="Q10" s="14"/>
      <c r="R10" s="149"/>
      <c r="S10" s="148"/>
      <c r="T10" s="149"/>
      <c r="U10" s="149"/>
      <c r="V10" s="21">
        <v>4.26</v>
      </c>
      <c r="W10" s="161">
        <f t="shared" si="8"/>
        <v>0.1666</v>
      </c>
      <c r="X10" s="20">
        <v>3.5999999999999997E-2</v>
      </c>
      <c r="Y10" s="20">
        <v>0.67900000000000005</v>
      </c>
      <c r="Z10" s="21">
        <v>7.28</v>
      </c>
      <c r="AA10" s="161">
        <f t="shared" si="10"/>
        <v>2.4500000000000004E-2</v>
      </c>
      <c r="AB10" s="8">
        <v>9.8319978366045672E-3</v>
      </c>
      <c r="AC10" s="161">
        <f t="shared" si="11"/>
        <v>4.2424242424242427E-2</v>
      </c>
      <c r="AE10" s="181"/>
      <c r="AF10" s="20">
        <v>0.17</v>
      </c>
      <c r="AG10" s="20">
        <v>2.5000000000000001E-2</v>
      </c>
      <c r="AH10" s="20">
        <v>0.03</v>
      </c>
    </row>
    <row r="11" spans="1:34" x14ac:dyDescent="0.2">
      <c r="A11" s="186"/>
      <c r="B11" s="19" t="s">
        <v>256</v>
      </c>
      <c r="C11" s="19">
        <v>11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0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11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550</v>
      </c>
      <c r="B15" s="19" t="s">
        <v>257</v>
      </c>
      <c r="C15" s="19">
        <v>11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119.74596480000001</v>
      </c>
      <c r="M15" s="157">
        <f t="shared" ref="M15:N22" si="19">L15*Y15</f>
        <v>73.284530457599999</v>
      </c>
      <c r="N15" s="157">
        <f t="shared" si="19"/>
        <v>847.43656784899952</v>
      </c>
      <c r="O15" s="157">
        <f t="shared" ref="O15:O22" si="20">M15*AH15</f>
        <v>4.3237872969983995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0.61199999999999999</v>
      </c>
      <c r="Z15" s="21">
        <v>11.563648734016223</v>
      </c>
      <c r="AA15" s="161">
        <f t="shared" ref="AA15:AA22" si="22">(AG15/SUM(AG$7:AG$27))*0.98</f>
        <v>0.21952000000000002</v>
      </c>
      <c r="AB15" s="8">
        <v>0.1390248423636668</v>
      </c>
      <c r="AC15" s="161">
        <f t="shared" ref="AC15:AC22" si="23">(AH15/SUM(AH$7:AH$27))*0.98</f>
        <v>8.3434343434343444E-2</v>
      </c>
      <c r="AE15" s="181"/>
      <c r="AF15" s="20">
        <v>0</v>
      </c>
      <c r="AG15" s="20">
        <v>0.224</v>
      </c>
      <c r="AH15" s="20">
        <v>5.8999999999999997E-2</v>
      </c>
    </row>
    <row r="16" spans="1:34" x14ac:dyDescent="0.2">
      <c r="A16" s="18" t="s">
        <v>521</v>
      </c>
      <c r="B16" s="19" t="s">
        <v>257</v>
      </c>
      <c r="C16" s="19">
        <v>11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78.583289400000012</v>
      </c>
      <c r="M16" s="157">
        <f t="shared" si="19"/>
        <v>42.762883472475352</v>
      </c>
      <c r="N16" s="157">
        <f t="shared" si="19"/>
        <v>564.89769067139946</v>
      </c>
      <c r="O16" s="157">
        <f t="shared" si="20"/>
        <v>2.7368245422384225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0.54417273441948011</v>
      </c>
      <c r="Z16" s="21">
        <v>13.21</v>
      </c>
      <c r="AA16" s="161">
        <f t="shared" si="22"/>
        <v>0.14406000000000002</v>
      </c>
      <c r="AB16" s="8">
        <v>0.15474265316641159</v>
      </c>
      <c r="AC16" s="161">
        <f t="shared" si="23"/>
        <v>9.0505050505050533E-2</v>
      </c>
      <c r="AE16" s="181"/>
      <c r="AF16" s="20">
        <v>0</v>
      </c>
      <c r="AG16" s="20">
        <v>0.14699999999999999</v>
      </c>
      <c r="AH16" s="20">
        <v>6.4000000000000001E-2</v>
      </c>
    </row>
    <row r="17" spans="1:34" x14ac:dyDescent="0.2">
      <c r="A17" s="18" t="s">
        <v>198</v>
      </c>
      <c r="B17" s="19" t="s">
        <v>257</v>
      </c>
      <c r="C17" s="19">
        <v>11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33.143972400000003</v>
      </c>
      <c r="M17" s="157">
        <f t="shared" si="19"/>
        <v>21.444150142800002</v>
      </c>
      <c r="N17" s="157">
        <f t="shared" si="19"/>
        <v>223.01916148512004</v>
      </c>
      <c r="O17" s="157">
        <f t="shared" si="20"/>
        <v>1.0507633569972001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4.8998256478405319E-2</v>
      </c>
      <c r="Y17" s="20">
        <v>0.64700000000000002</v>
      </c>
      <c r="Z17" s="21">
        <v>10.4</v>
      </c>
      <c r="AA17" s="161">
        <f t="shared" si="22"/>
        <v>6.0760000000000008E-2</v>
      </c>
      <c r="AB17" s="8">
        <v>0.1161120744092163</v>
      </c>
      <c r="AC17" s="161">
        <f t="shared" si="23"/>
        <v>6.9292929292929323E-2</v>
      </c>
      <c r="AE17" s="181"/>
      <c r="AF17" s="20">
        <v>0</v>
      </c>
      <c r="AG17" s="20">
        <v>6.2E-2</v>
      </c>
      <c r="AH17" s="20">
        <v>4.9000000000000002E-2</v>
      </c>
    </row>
    <row r="18" spans="1:34" x14ac:dyDescent="0.2">
      <c r="A18" s="18" t="s">
        <v>624</v>
      </c>
      <c r="B18" s="19" t="s">
        <v>257</v>
      </c>
      <c r="C18" s="19">
        <v>11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90.878634000000019</v>
      </c>
      <c r="M18" s="157">
        <f t="shared" si="19"/>
        <v>51.841235377764569</v>
      </c>
      <c r="N18" s="157">
        <f t="shared" si="19"/>
        <v>679.12018344871581</v>
      </c>
      <c r="O18" s="157">
        <f t="shared" si="20"/>
        <v>3.3178390641769324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0.57044470296246486</v>
      </c>
      <c r="Z18" s="21">
        <v>13.1</v>
      </c>
      <c r="AA18" s="161">
        <f t="shared" si="22"/>
        <v>0.16660000000000003</v>
      </c>
      <c r="AB18" s="8">
        <v>6.4537463353103244E-2</v>
      </c>
      <c r="AC18" s="161">
        <f t="shared" si="23"/>
        <v>9.0505050505050533E-2</v>
      </c>
      <c r="AE18" s="181"/>
      <c r="AF18" s="20">
        <v>0</v>
      </c>
      <c r="AG18" s="20">
        <v>0.17</v>
      </c>
      <c r="AH18" s="20">
        <v>6.4000000000000001E-2</v>
      </c>
    </row>
    <row r="19" spans="1:34" x14ac:dyDescent="0.2">
      <c r="B19" s="19" t="s">
        <v>257</v>
      </c>
      <c r="C19" s="19">
        <v>11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0</v>
      </c>
      <c r="M19" s="157">
        <f t="shared" si="19"/>
        <v>0</v>
      </c>
      <c r="N19" s="157">
        <f t="shared" si="19"/>
        <v>0</v>
      </c>
      <c r="O19" s="157">
        <f t="shared" si="20"/>
        <v>0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</v>
      </c>
      <c r="Z19" s="21">
        <v>0</v>
      </c>
      <c r="AA19" s="161">
        <f t="shared" si="22"/>
        <v>0</v>
      </c>
      <c r="AB19" s="8">
        <v>1.5108689806533021E-2</v>
      </c>
      <c r="AC19" s="161">
        <f t="shared" si="23"/>
        <v>0</v>
      </c>
      <c r="AE19" s="181"/>
      <c r="AF19" s="20">
        <v>0</v>
      </c>
      <c r="AG19" s="20">
        <v>0</v>
      </c>
      <c r="AH19" s="20">
        <v>0</v>
      </c>
    </row>
    <row r="20" spans="1:34" x14ac:dyDescent="0.2">
      <c r="B20" s="19" t="s">
        <v>257</v>
      </c>
      <c r="C20" s="19">
        <v>11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4.1433466025726281E-3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11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11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6" t="s">
        <v>121</v>
      </c>
      <c r="B24" s="19" t="s">
        <v>10</v>
      </c>
      <c r="C24" s="19">
        <v>11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41.697255600000005</v>
      </c>
      <c r="M24" s="157">
        <f t="shared" ref="M24:N27" si="24">L24*Y24</f>
        <v>24.417783144591585</v>
      </c>
      <c r="N24" s="157">
        <f t="shared" si="24"/>
        <v>283.6294339954681</v>
      </c>
      <c r="O24" s="157">
        <f t="shared" ref="O24:O27" si="25">M24*AH24</f>
        <v>2.3929427481699754</v>
      </c>
      <c r="Q24" s="14"/>
      <c r="R24" s="149"/>
      <c r="S24" s="148"/>
      <c r="T24" s="149"/>
      <c r="U24" s="149"/>
      <c r="V24" s="150"/>
      <c r="W24" s="165"/>
      <c r="X24" s="149"/>
      <c r="Y24" s="20">
        <v>0.58559688864970727</v>
      </c>
      <c r="Z24" s="115">
        <v>11.615691412931996</v>
      </c>
      <c r="AA24" s="161">
        <f t="shared" ref="AA24:AA27" si="26">(AG24/SUM(AG$7:AG$27))*0.98</f>
        <v>7.6440000000000008E-2</v>
      </c>
      <c r="AB24" s="8">
        <v>8.729723877618624E-2</v>
      </c>
      <c r="AC24" s="161">
        <f t="shared" ref="AC24:AC27" si="27">(AH24/SUM(AH$7:AH$27))*0.98</f>
        <v>0.13858585858585865</v>
      </c>
      <c r="AE24" s="181"/>
      <c r="AF24" s="181"/>
      <c r="AG24" s="20">
        <v>7.8E-2</v>
      </c>
      <c r="AH24" s="20">
        <v>9.8000000000000004E-2</v>
      </c>
    </row>
    <row r="25" spans="1:34" x14ac:dyDescent="0.2">
      <c r="A25" s="186" t="s">
        <v>218</v>
      </c>
      <c r="B25" s="19" t="s">
        <v>10</v>
      </c>
      <c r="C25" s="19">
        <v>11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48.112218000000006</v>
      </c>
      <c r="M25" s="157">
        <f t="shared" si="24"/>
        <v>29.197297667490407</v>
      </c>
      <c r="N25" s="157">
        <f t="shared" si="24"/>
        <v>306.86359848532419</v>
      </c>
      <c r="O25" s="157">
        <f t="shared" si="25"/>
        <v>2.0438108367243286</v>
      </c>
      <c r="Q25" s="14"/>
      <c r="R25" s="149"/>
      <c r="S25" s="148"/>
      <c r="T25" s="149"/>
      <c r="U25" s="149"/>
      <c r="V25" s="150"/>
      <c r="W25" s="165"/>
      <c r="X25" s="149"/>
      <c r="Y25" s="20">
        <v>0.60685827594750263</v>
      </c>
      <c r="Z25" s="115">
        <v>10.51</v>
      </c>
      <c r="AA25" s="161">
        <f t="shared" si="26"/>
        <v>8.8200000000000014E-2</v>
      </c>
      <c r="AB25" s="8">
        <v>7.2579869582103482E-2</v>
      </c>
      <c r="AC25" s="161">
        <f t="shared" si="27"/>
        <v>9.8989898989899031E-2</v>
      </c>
      <c r="AE25" s="181"/>
      <c r="AF25" s="181"/>
      <c r="AG25" s="20">
        <v>0.09</v>
      </c>
      <c r="AH25" s="20">
        <v>7.0000000000000007E-2</v>
      </c>
    </row>
    <row r="26" spans="1:34" x14ac:dyDescent="0.2">
      <c r="A26" s="186" t="s">
        <v>522</v>
      </c>
      <c r="B26" s="19" t="s">
        <v>10</v>
      </c>
      <c r="C26" s="19">
        <v>11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43.300996200000014</v>
      </c>
      <c r="M26" s="157">
        <f t="shared" si="24"/>
        <v>27.149724617400008</v>
      </c>
      <c r="N26" s="157">
        <f t="shared" si="24"/>
        <v>350.2314475644601</v>
      </c>
      <c r="O26" s="157">
        <f t="shared" si="25"/>
        <v>2.7149724617400008</v>
      </c>
      <c r="Q26" s="14"/>
      <c r="R26" s="149"/>
      <c r="S26" s="148"/>
      <c r="T26" s="149"/>
      <c r="U26" s="149"/>
      <c r="V26" s="150"/>
      <c r="W26" s="165"/>
      <c r="X26" s="149"/>
      <c r="Y26" s="20">
        <v>0.627</v>
      </c>
      <c r="Z26" s="115">
        <v>12.9</v>
      </c>
      <c r="AA26" s="161">
        <f t="shared" si="26"/>
        <v>7.938000000000002E-2</v>
      </c>
      <c r="AB26" s="8">
        <v>3.6421728617919272E-2</v>
      </c>
      <c r="AC26" s="161">
        <f t="shared" si="27"/>
        <v>0.14141414141414146</v>
      </c>
      <c r="AE26" s="181"/>
      <c r="AF26" s="181"/>
      <c r="AG26" s="20">
        <v>8.1000000000000003E-2</v>
      </c>
      <c r="AH26" s="20">
        <v>0.1</v>
      </c>
    </row>
    <row r="27" spans="1:34" x14ac:dyDescent="0.2">
      <c r="A27" s="186" t="s">
        <v>625</v>
      </c>
      <c r="B27" s="19" t="s">
        <v>10</v>
      </c>
      <c r="C27" s="19">
        <v>11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11.760764400000001</v>
      </c>
      <c r="M27" s="157">
        <f t="shared" si="24"/>
        <v>7.2446308704000009</v>
      </c>
      <c r="N27" s="157">
        <f t="shared" si="24"/>
        <v>75.344161052160018</v>
      </c>
      <c r="O27" s="157">
        <f t="shared" si="25"/>
        <v>0.46365637570560009</v>
      </c>
      <c r="Q27" s="14"/>
      <c r="R27" s="149"/>
      <c r="S27" s="148"/>
      <c r="T27" s="149"/>
      <c r="U27" s="149"/>
      <c r="V27" s="150"/>
      <c r="W27" s="165"/>
      <c r="X27" s="149"/>
      <c r="Y27" s="20">
        <v>0.61599999999999999</v>
      </c>
      <c r="Z27" s="115">
        <v>10.4</v>
      </c>
      <c r="AA27" s="161">
        <f t="shared" si="26"/>
        <v>2.1560000000000003E-2</v>
      </c>
      <c r="AB27" s="8">
        <v>4.5552889413706506E-2</v>
      </c>
      <c r="AC27" s="161">
        <f t="shared" si="27"/>
        <v>9.0505050505050533E-2</v>
      </c>
      <c r="AE27" s="181"/>
      <c r="AF27" s="181"/>
      <c r="AG27" s="20">
        <v>2.1999999999999999E-2</v>
      </c>
      <c r="AH27" s="20">
        <v>6.4000000000000001E-2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0.9800000000000002</v>
      </c>
      <c r="AB30" s="161">
        <f t="shared" ref="AB30" si="28">SUM(AB2:AB4,AB7:AB12,AB15:AB22,AB24:AB27)</f>
        <v>0.97499999999999998</v>
      </c>
      <c r="AC30" s="161">
        <f>SUM(AC7:AC27)</f>
        <v>0.9800000000000002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0.99999999999999989</v>
      </c>
    </row>
    <row r="31" spans="1:34" s="28" customFormat="1" x14ac:dyDescent="0.2">
      <c r="A31" s="44"/>
      <c r="B31" s="29"/>
      <c r="C31" s="29"/>
      <c r="D31" s="47">
        <v>1045</v>
      </c>
      <c r="E31" s="48">
        <v>0.52200000000000002</v>
      </c>
      <c r="F31" s="2">
        <f>1-E31</f>
        <v>0.47799999999999998</v>
      </c>
      <c r="G31" s="114">
        <v>4.75</v>
      </c>
      <c r="H31" s="134">
        <v>4.1000000000000002E-2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545.49</v>
      </c>
      <c r="E34" s="167">
        <f>SUM(E2:E4)</f>
        <v>329.86449041585223</v>
      </c>
      <c r="F34" s="167">
        <f>SUM(F2:F4)</f>
        <v>3695.5178084127897</v>
      </c>
      <c r="G34" s="167">
        <f>SUM(G2:G4)</f>
        <v>20.525992218837345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499.51</v>
      </c>
      <c r="E37" s="167">
        <f>D37*G31</f>
        <v>2372.6725000000001</v>
      </c>
      <c r="F37" s="167">
        <f>D37*H31</f>
        <v>20.47991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489.51980000000003</v>
      </c>
      <c r="E40" s="168">
        <f>SUM(J2:J4,J7:J12,J15:J22)</f>
        <v>2354.2466106987513</v>
      </c>
      <c r="F40" s="168">
        <f>SUM(K2:K4,K7:K12,K15:K22)</f>
        <v>20.461222704528844</v>
      </c>
      <c r="G40" s="168">
        <f>SUM(L7:L12,L15:L22,L24:L27)</f>
        <v>534.58019999999999</v>
      </c>
      <c r="H40" s="168">
        <f>SUM(M7:M12,M15:M22,M24:M27)</f>
        <v>324.64565936265348</v>
      </c>
      <c r="I40" s="168">
        <f>SUM(N7:N12,N15:N22,N24:N27)</f>
        <v>3693.4759155288766</v>
      </c>
      <c r="J40" s="168">
        <f>SUM(O7:O12,O15:O22,O24:O27)</f>
        <v>20.511688782942461</v>
      </c>
    </row>
    <row r="41" spans="1:32" ht="15" thickTop="1" x14ac:dyDescent="0.2">
      <c r="D41" s="169">
        <f>D37-D40</f>
        <v>9.9901999999999589</v>
      </c>
      <c r="E41" s="169">
        <f>E37-E40</f>
        <v>18.425889301248844</v>
      </c>
      <c r="F41" s="169">
        <f>F37-F40</f>
        <v>1.8687295471156773E-2</v>
      </c>
      <c r="G41" s="169">
        <f>SUM(D2:D4)-G40</f>
        <v>10.909800000000018</v>
      </c>
      <c r="H41" s="169">
        <f>E34-H40</f>
        <v>5.2188310531987554</v>
      </c>
      <c r="I41" s="169">
        <f>F34-I40</f>
        <v>2.0418928839130785</v>
      </c>
      <c r="J41" s="169">
        <f>G34-J40</f>
        <v>1.4303435894884586E-2</v>
      </c>
    </row>
    <row r="42" spans="1:32" x14ac:dyDescent="0.2">
      <c r="N42" s="24"/>
      <c r="O42" s="24"/>
    </row>
    <row r="43" spans="1:32" x14ac:dyDescent="0.2">
      <c r="N43" s="24"/>
      <c r="O43" s="24"/>
    </row>
    <row r="44" spans="1:32" x14ac:dyDescent="0.2">
      <c r="N44" s="24"/>
      <c r="O44" s="24"/>
    </row>
    <row r="45" spans="1:32" x14ac:dyDescent="0.2">
      <c r="N45" s="24"/>
      <c r="O45" s="24"/>
    </row>
    <row r="46" spans="1:32" x14ac:dyDescent="0.2">
      <c r="N46" s="24"/>
      <c r="O46" s="24"/>
    </row>
    <row r="47" spans="1:32" x14ac:dyDescent="0.2">
      <c r="N47" s="24"/>
      <c r="O47" s="24"/>
    </row>
    <row r="48" spans="1:32" x14ac:dyDescent="0.2">
      <c r="N48" s="24"/>
      <c r="O48" s="24"/>
    </row>
    <row r="49" spans="14:15" x14ac:dyDescent="0.2">
      <c r="N49" s="24"/>
      <c r="O49" s="24"/>
    </row>
    <row r="50" spans="14:15" x14ac:dyDescent="0.2">
      <c r="N50" s="24"/>
      <c r="O50" s="24"/>
    </row>
    <row r="51" spans="14:15" x14ac:dyDescent="0.2">
      <c r="N51" s="24"/>
      <c r="O51" s="24"/>
    </row>
    <row r="52" spans="14:15" x14ac:dyDescent="0.2">
      <c r="N52" s="24"/>
      <c r="O52" s="24"/>
    </row>
    <row r="53" spans="14:15" x14ac:dyDescent="0.2">
      <c r="N53" s="24"/>
      <c r="O53" s="24"/>
    </row>
  </sheetData>
  <sheetProtection selectLockedCells="1"/>
  <conditionalFormatting sqref="D41:J41">
    <cfRule type="cellIs" dxfId="56" priority="1" operator="lessThan">
      <formula>0</formula>
    </cfRule>
  </conditionalFormatting>
  <conditionalFormatting sqref="W30">
    <cfRule type="cellIs" dxfId="55" priority="2" operator="greaterThan">
      <formula>1</formula>
    </cfRule>
  </conditionalFormatting>
  <conditionalFormatting sqref="AA30:AG30">
    <cfRule type="cellIs" dxfId="54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rgb="FF36C0B3"/>
  </sheetPr>
  <dimension ref="A1:AH46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208</v>
      </c>
      <c r="B2" s="19" t="s">
        <v>9</v>
      </c>
      <c r="C2" s="19">
        <v>9</v>
      </c>
      <c r="D2" s="157">
        <f>D$34*Q2</f>
        <v>624.40289999999993</v>
      </c>
      <c r="E2" s="157">
        <f>D2*R2</f>
        <v>408.98323722422987</v>
      </c>
      <c r="F2" s="157">
        <f>E2*S2</f>
        <v>4480.3963671244492</v>
      </c>
      <c r="G2" s="157">
        <f>E2*T2</f>
        <v>29.896674641091202</v>
      </c>
      <c r="H2" s="157">
        <f>E2*U2</f>
        <v>12.408233141275876</v>
      </c>
      <c r="I2" s="157">
        <f>D$37*W2</f>
        <v>70.871493000000001</v>
      </c>
      <c r="J2" s="157">
        <f>I2*V2</f>
        <v>336.16586305667852</v>
      </c>
      <c r="K2" s="157">
        <f>I2*X2</f>
        <v>3.7631583657528882</v>
      </c>
      <c r="L2" s="158"/>
      <c r="M2" s="158"/>
      <c r="N2" s="158"/>
      <c r="O2" s="158"/>
      <c r="Q2" s="161">
        <f>AE2</f>
        <v>0.99</v>
      </c>
      <c r="R2" s="116">
        <v>0.65499893934546094</v>
      </c>
      <c r="S2" s="115">
        <v>10.954963331829708</v>
      </c>
      <c r="T2" s="116">
        <v>7.3099999999999998E-2</v>
      </c>
      <c r="U2" s="20">
        <v>3.0339221786913763E-2</v>
      </c>
      <c r="V2" s="115">
        <v>4.7433156665216369</v>
      </c>
      <c r="W2" s="161">
        <f>(AF2/SUM(AF$2:AF$22))*0.98</f>
        <v>0.16170000000000001</v>
      </c>
      <c r="X2" s="20">
        <v>5.3098336248580062E-2</v>
      </c>
      <c r="Y2" s="22"/>
      <c r="Z2" s="23"/>
      <c r="AA2" s="1"/>
      <c r="AB2" s="1"/>
      <c r="AC2" s="1"/>
      <c r="AE2" s="20">
        <v>0.99</v>
      </c>
      <c r="AF2" s="20">
        <v>0.16500000000000001</v>
      </c>
      <c r="AG2" s="181"/>
      <c r="AH2" s="181"/>
    </row>
    <row r="3" spans="1:34" x14ac:dyDescent="0.2">
      <c r="A3" s="18" t="s">
        <v>464</v>
      </c>
      <c r="B3" s="19" t="s">
        <v>9</v>
      </c>
      <c r="C3" s="19">
        <v>9</v>
      </c>
      <c r="D3" s="157">
        <f>D$34*Q3</f>
        <v>6.3071000000000046</v>
      </c>
      <c r="E3" s="157">
        <f t="shared" ref="E3:F4" si="0">D3*R3</f>
        <v>3.8325650501358539</v>
      </c>
      <c r="F3" s="157">
        <f t="shared" si="0"/>
        <v>42.423822390540963</v>
      </c>
      <c r="G3" s="157">
        <f t="shared" ref="G3:G4" si="1">E3*T3</f>
        <v>0.22292674849442606</v>
      </c>
      <c r="H3" s="157">
        <f t="shared" ref="H3:H4" si="2">E3*U3</f>
        <v>0.20347278271423191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1.0000000000000009E-2</v>
      </c>
      <c r="R3" s="116">
        <v>0.6076588368879281</v>
      </c>
      <c r="S3" s="115">
        <v>11.069302630372094</v>
      </c>
      <c r="T3" s="116">
        <v>5.8166461776434537E-2</v>
      </c>
      <c r="U3" s="20">
        <v>5.3090496848062461E-2</v>
      </c>
      <c r="V3" s="115">
        <v>2.7656249999999996</v>
      </c>
      <c r="W3" s="161">
        <f t="shared" ref="W3:W4" si="5">(AF3/SUM(AF$2:AF$22))*0.98</f>
        <v>0</v>
      </c>
      <c r="X3" s="20">
        <v>1.5625E-2</v>
      </c>
      <c r="Y3" s="22"/>
      <c r="Z3" s="23"/>
      <c r="AA3" s="1"/>
      <c r="AB3" s="1"/>
      <c r="AC3" s="1"/>
      <c r="AE3" s="20">
        <f>1-AE2</f>
        <v>1.0000000000000009E-2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9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481</v>
      </c>
      <c r="B7" s="19" t="s">
        <v>256</v>
      </c>
      <c r="C7" s="19">
        <v>9</v>
      </c>
      <c r="D7" s="158"/>
      <c r="E7" s="158"/>
      <c r="F7" s="158"/>
      <c r="G7" s="158"/>
      <c r="H7" s="158"/>
      <c r="I7" s="157">
        <f t="shared" ref="I7:I12" si="6">D$37*W7</f>
        <v>202.7354224</v>
      </c>
      <c r="J7" s="157">
        <f>I7*V7</f>
        <v>954.88383950399998</v>
      </c>
      <c r="K7" s="157">
        <f>I7*X7</f>
        <v>6.4875335168000001</v>
      </c>
      <c r="L7" s="157">
        <f>((D$2+D$3+D$4)*AA7)</f>
        <v>45.739089199999995</v>
      </c>
      <c r="M7" s="157">
        <f t="shared" ref="M7:N12" si="7">L7*Y7</f>
        <v>35.23341853337844</v>
      </c>
      <c r="N7" s="157">
        <f t="shared" si="7"/>
        <v>288.56169778836943</v>
      </c>
      <c r="O7" s="157">
        <f>M7*AH7</f>
        <v>1.4445701598685161</v>
      </c>
      <c r="Q7" s="14"/>
      <c r="R7" s="149"/>
      <c r="S7" s="148"/>
      <c r="T7" s="149"/>
      <c r="U7" s="149"/>
      <c r="V7" s="21">
        <v>4.71</v>
      </c>
      <c r="W7" s="161">
        <f t="shared" ref="W7:W12" si="8">(AF7/SUM(AF$2:AF$22))*0.98</f>
        <v>0.46255999999999997</v>
      </c>
      <c r="X7" s="20">
        <v>3.2000000000000001E-2</v>
      </c>
      <c r="Y7" s="20">
        <v>0.77031307683709727</v>
      </c>
      <c r="Z7" s="21">
        <v>8.19</v>
      </c>
      <c r="AA7" s="161">
        <f>(AG7/SUM(AG$7:AG$27))*0.98</f>
        <v>7.2520000000000001E-2</v>
      </c>
      <c r="AB7" s="8">
        <v>0.1220035318382197</v>
      </c>
      <c r="AC7" s="161">
        <f>(AH7/SUM(AH$7:AH$27))*0.98</f>
        <v>5.2938076416337278E-2</v>
      </c>
      <c r="AE7" s="181"/>
      <c r="AF7" s="20">
        <v>0.47199999999999998</v>
      </c>
      <c r="AG7" s="20">
        <v>7.3999999999999996E-2</v>
      </c>
      <c r="AH7" s="20">
        <v>4.1000000000000002E-2</v>
      </c>
    </row>
    <row r="8" spans="1:34" x14ac:dyDescent="0.2">
      <c r="A8" s="186" t="s">
        <v>626</v>
      </c>
      <c r="B8" s="19" t="s">
        <v>256</v>
      </c>
      <c r="C8" s="19">
        <v>9</v>
      </c>
      <c r="D8" s="158"/>
      <c r="E8" s="158"/>
      <c r="F8" s="158"/>
      <c r="G8" s="158"/>
      <c r="H8" s="158"/>
      <c r="I8" s="157">
        <f t="shared" si="6"/>
        <v>131.86392940000002</v>
      </c>
      <c r="J8" s="157">
        <f>I8*V8</f>
        <v>573.60809289000008</v>
      </c>
      <c r="K8" s="157">
        <f>I8*X8</f>
        <v>5.0108293172000007</v>
      </c>
      <c r="L8" s="157">
        <f>((D$2+D$3+D$4)*AA8)</f>
        <v>20.397161399999998</v>
      </c>
      <c r="M8" s="157">
        <f t="shared" si="7"/>
        <v>15.109531036107557</v>
      </c>
      <c r="N8" s="157">
        <f t="shared" si="7"/>
        <v>117.23737698493431</v>
      </c>
      <c r="O8" s="157">
        <f t="shared" ref="O8:O12" si="9">M8*AH8</f>
        <v>0.55905264833597956</v>
      </c>
      <c r="Q8" s="14"/>
      <c r="R8" s="149"/>
      <c r="S8" s="148"/>
      <c r="T8" s="149"/>
      <c r="U8" s="149"/>
      <c r="V8" s="21">
        <v>4.3499999999999996</v>
      </c>
      <c r="W8" s="161">
        <f t="shared" si="8"/>
        <v>0.30086000000000002</v>
      </c>
      <c r="X8" s="20">
        <v>3.7999999999999999E-2</v>
      </c>
      <c r="Y8" s="20">
        <v>0.74076636154418807</v>
      </c>
      <c r="Z8" s="21">
        <v>7.7591671577873429</v>
      </c>
      <c r="AA8" s="161">
        <f t="shared" ref="AA8:AA12" si="10">(AG8/SUM(AG$7:AG$27))*0.98</f>
        <v>3.2340000000000001E-2</v>
      </c>
      <c r="AB8" s="8">
        <v>6.9707707494243057E-2</v>
      </c>
      <c r="AC8" s="161">
        <f t="shared" ref="AC8:AC12" si="11">(AH8/SUM(AH$7:AH$27))*0.98</f>
        <v>4.7773386034255585E-2</v>
      </c>
      <c r="AE8" s="181"/>
      <c r="AF8" s="20">
        <v>0.307</v>
      </c>
      <c r="AG8" s="20">
        <v>3.3000000000000002E-2</v>
      </c>
      <c r="AH8" s="20">
        <v>3.6999999999999998E-2</v>
      </c>
    </row>
    <row r="9" spans="1:34" x14ac:dyDescent="0.2">
      <c r="A9" s="186" t="s">
        <v>193</v>
      </c>
      <c r="B9" s="19" t="s">
        <v>256</v>
      </c>
      <c r="C9" s="19">
        <v>9</v>
      </c>
      <c r="D9" s="158"/>
      <c r="E9" s="158"/>
      <c r="F9" s="158"/>
      <c r="G9" s="158"/>
      <c r="H9" s="158"/>
      <c r="I9" s="157">
        <f t="shared" si="6"/>
        <v>17.610492199999999</v>
      </c>
      <c r="J9" s="157">
        <f>I9*V9</f>
        <v>73.051263821083509</v>
      </c>
      <c r="K9" s="157">
        <f>I9*X9</f>
        <v>0.61636722700000002</v>
      </c>
      <c r="L9" s="157">
        <f>((D$2+D$3+D$4)*AA9)</f>
        <v>7.4171495999999992</v>
      </c>
      <c r="M9" s="157">
        <f t="shared" si="7"/>
        <v>5.1994218695999992</v>
      </c>
      <c r="N9" s="157">
        <f t="shared" si="7"/>
        <v>40.83669505263326</v>
      </c>
      <c r="O9" s="157">
        <f t="shared" si="9"/>
        <v>0.13518496860959997</v>
      </c>
      <c r="Q9" s="14"/>
      <c r="R9" s="149"/>
      <c r="S9" s="148"/>
      <c r="T9" s="149"/>
      <c r="U9" s="149"/>
      <c r="V9" s="21">
        <v>4.148167069463482</v>
      </c>
      <c r="W9" s="161">
        <f t="shared" si="8"/>
        <v>4.018E-2</v>
      </c>
      <c r="X9" s="20">
        <v>3.5000000000000003E-2</v>
      </c>
      <c r="Y9" s="20">
        <v>0.70099999999999996</v>
      </c>
      <c r="Z9" s="21">
        <v>7.8540837956230121</v>
      </c>
      <c r="AA9" s="161">
        <f t="shared" si="10"/>
        <v>1.176E-2</v>
      </c>
      <c r="AB9" s="8">
        <v>2.3044401513163112E-2</v>
      </c>
      <c r="AC9" s="161">
        <f t="shared" si="11"/>
        <v>3.3570487483530954E-2</v>
      </c>
      <c r="AE9" s="181"/>
      <c r="AF9" s="20">
        <v>4.1000000000000002E-2</v>
      </c>
      <c r="AG9" s="20">
        <v>1.2E-2</v>
      </c>
      <c r="AH9" s="20">
        <v>2.5999999999999999E-2</v>
      </c>
    </row>
    <row r="10" spans="1:34" x14ac:dyDescent="0.2">
      <c r="A10" s="186"/>
      <c r="B10" s="19" t="s">
        <v>256</v>
      </c>
      <c r="C10" s="19">
        <v>9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1.8477734236269725E-2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A11" s="186"/>
      <c r="B11" s="19" t="s">
        <v>256</v>
      </c>
      <c r="C11" s="19">
        <v>9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6.9745705418589033E-4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9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103</v>
      </c>
      <c r="B15" s="19" t="s">
        <v>257</v>
      </c>
      <c r="C15" s="19">
        <v>9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122.3829684</v>
      </c>
      <c r="M15" s="157">
        <f t="shared" ref="M15:N22" si="19">L15*Y15</f>
        <v>78.325099776000002</v>
      </c>
      <c r="N15" s="157">
        <f t="shared" si="19"/>
        <v>966.57125326129233</v>
      </c>
      <c r="O15" s="157">
        <f t="shared" ref="O15:O22" si="20">M15*AH15</f>
        <v>5.9527075829760001</v>
      </c>
      <c r="Q15" s="14"/>
      <c r="R15" s="149"/>
      <c r="S15" s="148"/>
      <c r="T15" s="149"/>
      <c r="U15" s="149"/>
      <c r="V15" s="21">
        <v>2.6131479140328695</v>
      </c>
      <c r="W15" s="161">
        <f t="shared" ref="W15:W22" si="21">(AF15/SUM(AF$2:AF$22))*0.98</f>
        <v>0</v>
      </c>
      <c r="X15" s="20">
        <v>0</v>
      </c>
      <c r="Y15" s="20">
        <v>0.64</v>
      </c>
      <c r="Z15" s="21">
        <v>12.340504589532159</v>
      </c>
      <c r="AA15" s="161">
        <f t="shared" ref="AA15:AA22" si="22">(AG15/SUM(AG$7:AG$27))*0.98</f>
        <v>0.19404000000000002</v>
      </c>
      <c r="AB15" s="8">
        <v>0.16950561878668605</v>
      </c>
      <c r="AC15" s="161">
        <f t="shared" ref="AC15:AC22" si="23">(AH15/SUM(AH$7:AH$27))*0.98</f>
        <v>9.8129117259552021E-2</v>
      </c>
      <c r="AE15" s="181"/>
      <c r="AF15" s="20">
        <v>0</v>
      </c>
      <c r="AG15" s="20">
        <v>0.19800000000000001</v>
      </c>
      <c r="AH15" s="20">
        <v>7.5999999999999998E-2</v>
      </c>
    </row>
    <row r="16" spans="1:34" x14ac:dyDescent="0.2">
      <c r="A16" s="18" t="s">
        <v>586</v>
      </c>
      <c r="B16" s="19" t="s">
        <v>257</v>
      </c>
      <c r="C16" s="19">
        <v>9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142.78012979999997</v>
      </c>
      <c r="M16" s="157">
        <f t="shared" si="19"/>
        <v>89.808701644199985</v>
      </c>
      <c r="N16" s="157">
        <f t="shared" si="19"/>
        <v>1151.4668800917343</v>
      </c>
      <c r="O16" s="157">
        <f t="shared" si="20"/>
        <v>7.6337396397569997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0.629</v>
      </c>
      <c r="Z16" s="21">
        <v>12.821328657590033</v>
      </c>
      <c r="AA16" s="161">
        <f t="shared" si="22"/>
        <v>0.22638</v>
      </c>
      <c r="AB16" s="8">
        <v>0.15073293874139865</v>
      </c>
      <c r="AC16" s="161">
        <f t="shared" si="23"/>
        <v>0.10974967061923584</v>
      </c>
      <c r="AE16" s="181"/>
      <c r="AF16" s="20">
        <v>0</v>
      </c>
      <c r="AG16" s="20">
        <v>0.23100000000000001</v>
      </c>
      <c r="AH16" s="20">
        <v>8.5000000000000006E-2</v>
      </c>
    </row>
    <row r="17" spans="1:34" x14ac:dyDescent="0.2">
      <c r="A17" s="186" t="s">
        <v>203</v>
      </c>
      <c r="B17" s="19" t="s">
        <v>257</v>
      </c>
      <c r="C17" s="19">
        <v>9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110.02105239999997</v>
      </c>
      <c r="M17" s="157">
        <f t="shared" si="19"/>
        <v>70.876581235276305</v>
      </c>
      <c r="N17" s="157">
        <f t="shared" si="19"/>
        <v>760.50650732479369</v>
      </c>
      <c r="O17" s="157">
        <f t="shared" si="20"/>
        <v>6.4497688924101437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0.64420926440144033</v>
      </c>
      <c r="Z17" s="21">
        <v>10.730011155592795</v>
      </c>
      <c r="AA17" s="161">
        <f t="shared" si="22"/>
        <v>0.17443999999999998</v>
      </c>
      <c r="AB17" s="8">
        <v>0.14682001894922639</v>
      </c>
      <c r="AC17" s="161">
        <f t="shared" si="23"/>
        <v>0.11749670619235834</v>
      </c>
      <c r="AE17" s="181"/>
      <c r="AF17" s="20">
        <v>0</v>
      </c>
      <c r="AG17" s="20">
        <v>0.17799999999999999</v>
      </c>
      <c r="AH17" s="20">
        <v>9.0999999999999998E-2</v>
      </c>
    </row>
    <row r="18" spans="1:34" x14ac:dyDescent="0.2">
      <c r="A18" s="186" t="s">
        <v>244</v>
      </c>
      <c r="B18" s="19" t="s">
        <v>257</v>
      </c>
      <c r="C18" s="19">
        <v>9</v>
      </c>
      <c r="D18" s="158"/>
      <c r="E18" s="158"/>
      <c r="F18" s="158"/>
      <c r="G18" s="158"/>
      <c r="H18" s="158"/>
      <c r="I18" s="157">
        <f t="shared" si="15"/>
        <v>6.442863</v>
      </c>
      <c r="J18" s="157">
        <f t="shared" si="16"/>
        <v>44.588742341925034</v>
      </c>
      <c r="K18" s="157">
        <f t="shared" si="17"/>
        <v>0.33533646220945618</v>
      </c>
      <c r="L18" s="157">
        <f t="shared" si="18"/>
        <v>22.869544599999998</v>
      </c>
      <c r="M18" s="157">
        <f t="shared" si="19"/>
        <v>14.599334398252845</v>
      </c>
      <c r="N18" s="157">
        <f t="shared" si="19"/>
        <v>128.60373070278661</v>
      </c>
      <c r="O18" s="157">
        <f t="shared" si="20"/>
        <v>1.1679467518602276</v>
      </c>
      <c r="Q18" s="14"/>
      <c r="R18" s="149"/>
      <c r="S18" s="148"/>
      <c r="T18" s="149"/>
      <c r="U18" s="149"/>
      <c r="V18" s="21">
        <v>6.9206410786516859</v>
      </c>
      <c r="W18" s="161">
        <f t="shared" si="21"/>
        <v>1.47E-2</v>
      </c>
      <c r="X18" s="20">
        <v>5.2047740609951841E-2</v>
      </c>
      <c r="Y18" s="20">
        <v>0.63837451307416271</v>
      </c>
      <c r="Z18" s="21">
        <v>8.8088762949478774</v>
      </c>
      <c r="AA18" s="161">
        <f t="shared" si="22"/>
        <v>3.6260000000000001E-2</v>
      </c>
      <c r="AB18" s="8">
        <v>4.1138075122283672E-2</v>
      </c>
      <c r="AC18" s="161">
        <f t="shared" si="23"/>
        <v>0.10329380764163371</v>
      </c>
      <c r="AE18" s="181"/>
      <c r="AF18" s="20">
        <v>1.4999999999999999E-2</v>
      </c>
      <c r="AG18" s="20">
        <v>3.6999999999999998E-2</v>
      </c>
      <c r="AH18" s="20">
        <v>0.08</v>
      </c>
    </row>
    <row r="19" spans="1:34" x14ac:dyDescent="0.2">
      <c r="A19" s="186" t="s">
        <v>577</v>
      </c>
      <c r="B19" s="19" t="s">
        <v>257</v>
      </c>
      <c r="C19" s="19">
        <v>9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6.1809579999999986</v>
      </c>
      <c r="M19" s="157">
        <f t="shared" si="19"/>
        <v>3.7456605479999991</v>
      </c>
      <c r="N19" s="157">
        <f t="shared" si="19"/>
        <v>39.704001808799987</v>
      </c>
      <c r="O19" s="157">
        <f t="shared" si="20"/>
        <v>0.24346793561999996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0.60599999999999998</v>
      </c>
      <c r="Z19" s="21">
        <v>10.6</v>
      </c>
      <c r="AA19" s="161">
        <f t="shared" si="22"/>
        <v>9.7999999999999997E-3</v>
      </c>
      <c r="AB19" s="8">
        <v>3.4599412088359975E-2</v>
      </c>
      <c r="AC19" s="161">
        <f t="shared" si="23"/>
        <v>8.3926218708827396E-2</v>
      </c>
      <c r="AE19" s="181"/>
      <c r="AF19" s="20">
        <v>0</v>
      </c>
      <c r="AG19" s="20">
        <v>0.01</v>
      </c>
      <c r="AH19" s="20">
        <v>6.5000000000000002E-2</v>
      </c>
    </row>
    <row r="20" spans="1:34" x14ac:dyDescent="0.2">
      <c r="A20" s="186" t="s">
        <v>627</v>
      </c>
      <c r="B20" s="19" t="s">
        <v>257</v>
      </c>
      <c r="C20" s="19">
        <v>9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16.070490799999998</v>
      </c>
      <c r="M20" s="157">
        <f t="shared" si="19"/>
        <v>9.3530256455999989</v>
      </c>
      <c r="N20" s="157">
        <f t="shared" si="19"/>
        <v>121.21521236697599</v>
      </c>
      <c r="O20" s="157">
        <f t="shared" si="20"/>
        <v>0.7669481029391999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0.58199999999999996</v>
      </c>
      <c r="Z20" s="21">
        <v>12.96</v>
      </c>
      <c r="AA20" s="161">
        <f t="shared" si="22"/>
        <v>2.5479999999999999E-2</v>
      </c>
      <c r="AB20" s="8">
        <v>4.1015619403726288E-3</v>
      </c>
      <c r="AC20" s="161">
        <f t="shared" si="23"/>
        <v>0.10587615283267456</v>
      </c>
      <c r="AE20" s="181"/>
      <c r="AF20" s="20">
        <v>0</v>
      </c>
      <c r="AG20" s="20">
        <v>2.5999999999999999E-2</v>
      </c>
      <c r="AH20" s="20">
        <v>8.2000000000000003E-2</v>
      </c>
    </row>
    <row r="21" spans="1:34" x14ac:dyDescent="0.2">
      <c r="A21" s="186"/>
      <c r="B21" s="19" t="s">
        <v>257</v>
      </c>
      <c r="C21" s="19">
        <v>9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1.1789061749343221E-2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A22" s="186"/>
      <c r="B22" s="19" t="s">
        <v>257</v>
      </c>
      <c r="C22" s="19">
        <v>9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6.9183240052310092E-3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163"/>
      <c r="AC23" s="163"/>
      <c r="AE23" s="132"/>
      <c r="AF23" s="132"/>
      <c r="AG23" s="27"/>
      <c r="AH23" s="27"/>
    </row>
    <row r="24" spans="1:34" x14ac:dyDescent="0.2">
      <c r="A24" s="18" t="s">
        <v>88</v>
      </c>
      <c r="B24" s="19" t="s">
        <v>10</v>
      </c>
      <c r="C24" s="19">
        <v>9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96.422944799999982</v>
      </c>
      <c r="M24" s="157">
        <f t="shared" ref="M24:N27" si="24">L24*Y24</f>
        <v>66.462875643477659</v>
      </c>
      <c r="N24" s="157">
        <f t="shared" si="24"/>
        <v>709.67573884925434</v>
      </c>
      <c r="O24" s="157">
        <f t="shared" ref="O24:O27" si="25">M24*AH24</f>
        <v>4.6524012950434361</v>
      </c>
      <c r="Q24" s="14"/>
      <c r="R24" s="149"/>
      <c r="S24" s="148"/>
      <c r="T24" s="149"/>
      <c r="U24" s="149"/>
      <c r="V24" s="150"/>
      <c r="W24" s="165"/>
      <c r="X24" s="149"/>
      <c r="Y24" s="20">
        <v>0.68928485622726665</v>
      </c>
      <c r="Z24" s="115">
        <v>10.677776608043869</v>
      </c>
      <c r="AA24" s="161">
        <f t="shared" ref="AA24:AA27" si="26">(AG24/SUM(AG$7:AG$27))*0.98</f>
        <v>0.15287999999999999</v>
      </c>
      <c r="AB24" s="8">
        <v>6.1946892407587266E-2</v>
      </c>
      <c r="AC24" s="161">
        <f t="shared" ref="AC24:AC27" si="27">(AH24/SUM(AH$7:AH$27))*0.98</f>
        <v>9.0382081686429513E-2</v>
      </c>
      <c r="AE24" s="181"/>
      <c r="AF24" s="181"/>
      <c r="AG24" s="20">
        <v>0.156</v>
      </c>
      <c r="AH24" s="20">
        <v>7.0000000000000007E-2</v>
      </c>
    </row>
    <row r="25" spans="1:34" x14ac:dyDescent="0.2">
      <c r="A25" s="18" t="s">
        <v>557</v>
      </c>
      <c r="B25" s="19" t="s">
        <v>10</v>
      </c>
      <c r="C25" s="19">
        <v>9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6.1809579999999986</v>
      </c>
      <c r="M25" s="157">
        <f t="shared" si="24"/>
        <v>3.894003539999999</v>
      </c>
      <c r="N25" s="157">
        <f t="shared" si="24"/>
        <v>35.824832567999991</v>
      </c>
      <c r="O25" s="157">
        <f t="shared" si="25"/>
        <v>0.15576014159999996</v>
      </c>
      <c r="Q25" s="14"/>
      <c r="R25" s="149"/>
      <c r="S25" s="148"/>
      <c r="T25" s="149"/>
      <c r="U25" s="149"/>
      <c r="V25" s="150"/>
      <c r="W25" s="165"/>
      <c r="X25" s="149"/>
      <c r="Y25" s="20">
        <v>0.63</v>
      </c>
      <c r="Z25" s="115">
        <v>9.1999999999999993</v>
      </c>
      <c r="AA25" s="161">
        <f t="shared" si="26"/>
        <v>9.7999999999999997E-3</v>
      </c>
      <c r="AB25" s="8">
        <v>3.9883448794435047E-2</v>
      </c>
      <c r="AC25" s="161">
        <f t="shared" si="27"/>
        <v>5.1646903820816853E-2</v>
      </c>
      <c r="AE25" s="181"/>
      <c r="AF25" s="181"/>
      <c r="AG25" s="20">
        <v>0.01</v>
      </c>
      <c r="AH25" s="20">
        <v>0.04</v>
      </c>
    </row>
    <row r="26" spans="1:34" x14ac:dyDescent="0.2">
      <c r="A26" s="18" t="s">
        <v>628</v>
      </c>
      <c r="B26" s="19" t="s">
        <v>10</v>
      </c>
      <c r="C26" s="19">
        <v>9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21.633353</v>
      </c>
      <c r="M26" s="157">
        <f t="shared" si="24"/>
        <v>14.125933296664611</v>
      </c>
      <c r="N26" s="157">
        <f t="shared" si="24"/>
        <v>153.21384902721334</v>
      </c>
      <c r="O26" s="157">
        <f t="shared" si="25"/>
        <v>0.93231159757986437</v>
      </c>
      <c r="Q26" s="14"/>
      <c r="R26" s="149"/>
      <c r="S26" s="148"/>
      <c r="T26" s="149"/>
      <c r="U26" s="149"/>
      <c r="V26" s="150"/>
      <c r="W26" s="165"/>
      <c r="X26" s="149"/>
      <c r="Y26" s="20">
        <v>0.6529701288868448</v>
      </c>
      <c r="Z26" s="115">
        <v>10.84628150292837</v>
      </c>
      <c r="AA26" s="161">
        <f t="shared" si="26"/>
        <v>3.4300000000000004E-2</v>
      </c>
      <c r="AB26" s="8">
        <v>4.2632384400887881E-2</v>
      </c>
      <c r="AC26" s="161">
        <f t="shared" si="27"/>
        <v>8.5217391304347814E-2</v>
      </c>
      <c r="AE26" s="181"/>
      <c r="AF26" s="181"/>
      <c r="AG26" s="20">
        <v>3.5000000000000003E-2</v>
      </c>
      <c r="AH26" s="20">
        <v>6.6000000000000003E-2</v>
      </c>
    </row>
    <row r="27" spans="1:34" x14ac:dyDescent="0.2">
      <c r="B27" s="19" t="s">
        <v>10</v>
      </c>
      <c r="C27" s="19">
        <v>9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3.1001430878106674E-2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0.98000000000000009</v>
      </c>
      <c r="X30" s="31"/>
      <c r="Y30" s="31"/>
      <c r="Z30" s="32"/>
      <c r="AA30" s="161">
        <f>SUM(AA7:AA27)</f>
        <v>0.98000000000000009</v>
      </c>
      <c r="AB30" s="161">
        <f t="shared" ref="AB30" si="28">SUM(AB2:AB4,AB7:AB12,AB15:AB22,AB24:AB27)</f>
        <v>0.97499999999999976</v>
      </c>
      <c r="AC30" s="161">
        <f>SUM(AC7:AC27)</f>
        <v>0.97999999999999987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1069</v>
      </c>
      <c r="E31" s="48">
        <v>0.59</v>
      </c>
      <c r="F31" s="2">
        <f>1-E31</f>
        <v>0.41000000000000003</v>
      </c>
      <c r="G31" s="114">
        <v>4.55</v>
      </c>
      <c r="H31" s="134">
        <v>3.6999999999999998E-2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630.70999999999992</v>
      </c>
      <c r="E34" s="167">
        <f>SUM(E2:E4)</f>
        <v>412.81580227436569</v>
      </c>
      <c r="F34" s="167">
        <f>SUM(F2:F4)</f>
        <v>4522.8201895149905</v>
      </c>
      <c r="G34" s="167">
        <f>SUM(G2:G4)</f>
        <v>30.119601389585629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438.29</v>
      </c>
      <c r="E37" s="167">
        <f>D37*G31</f>
        <v>1994.2194999999999</v>
      </c>
      <c r="F37" s="167">
        <f>D37*H31</f>
        <v>16.216729999999998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429.52420000000001</v>
      </c>
      <c r="E40" s="168">
        <f>SUM(J2:J4,J7:J12,J15:J22)</f>
        <v>1982.2978016136872</v>
      </c>
      <c r="F40" s="168">
        <f>SUM(K2:K4,K7:K12,K15:K22)</f>
        <v>16.213224888962344</v>
      </c>
      <c r="G40" s="168">
        <f>SUM(L7:L12,L15:L22,L24:L27)</f>
        <v>618.09580000000005</v>
      </c>
      <c r="H40" s="168">
        <f>SUM(M7:M12,M15:M22,M24:M27)</f>
        <v>406.73358716655736</v>
      </c>
      <c r="I40" s="168">
        <f>SUM(N7:N12,N15:N22,N24:N27)</f>
        <v>4513.4177758267888</v>
      </c>
      <c r="J40" s="168">
        <f>SUM(O7:O12,O15:O22,O24:O27)</f>
        <v>30.093859716599965</v>
      </c>
    </row>
    <row r="41" spans="1:32" ht="15" thickTop="1" x14ac:dyDescent="0.2">
      <c r="D41" s="169">
        <f>D37-D40</f>
        <v>8.7658000000000129</v>
      </c>
      <c r="E41" s="169">
        <f>E37-E40</f>
        <v>11.921698386312755</v>
      </c>
      <c r="F41" s="169">
        <f>F37-F40</f>
        <v>3.5051110376542738E-3</v>
      </c>
      <c r="G41" s="169">
        <f>SUM(D2:D4)-G40</f>
        <v>12.614199999999869</v>
      </c>
      <c r="H41" s="169">
        <f>E34-H40</f>
        <v>6.082215107808338</v>
      </c>
      <c r="I41" s="169">
        <f>F34-I40</f>
        <v>9.4024136882017046</v>
      </c>
      <c r="J41" s="169">
        <f>G34-J40</f>
        <v>2.5741672985663655E-2</v>
      </c>
    </row>
    <row r="42" spans="1:32" x14ac:dyDescent="0.2">
      <c r="N42" s="24"/>
      <c r="O42" s="24"/>
    </row>
    <row r="43" spans="1:32" x14ac:dyDescent="0.2">
      <c r="A43" s="53"/>
      <c r="B43" s="27"/>
      <c r="C43" s="26"/>
      <c r="D43" s="27"/>
      <c r="E43" s="27"/>
      <c r="F43" s="26"/>
      <c r="G43" s="27"/>
      <c r="H43" s="19"/>
      <c r="I43" s="19"/>
      <c r="J43" s="19"/>
      <c r="K43" s="19"/>
      <c r="L43" s="19"/>
      <c r="M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C43" s="19"/>
    </row>
    <row r="44" spans="1:32" x14ac:dyDescent="0.2">
      <c r="A44" s="53"/>
      <c r="B44" s="27"/>
      <c r="C44" s="26"/>
      <c r="D44" s="27"/>
      <c r="E44" s="27"/>
      <c r="F44" s="26"/>
      <c r="G44" s="27"/>
      <c r="H44" s="19"/>
      <c r="I44" s="19"/>
      <c r="J44" s="19"/>
      <c r="K44" s="19"/>
      <c r="L44" s="19"/>
      <c r="M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C44" s="19"/>
    </row>
    <row r="45" spans="1:32" x14ac:dyDescent="0.2">
      <c r="A45" s="53"/>
      <c r="B45" s="27"/>
      <c r="C45" s="26"/>
      <c r="D45" s="27"/>
      <c r="E45" s="27"/>
      <c r="F45" s="26"/>
      <c r="G45" s="27"/>
      <c r="H45" s="19"/>
      <c r="I45" s="19"/>
      <c r="J45" s="19"/>
      <c r="K45" s="19"/>
      <c r="L45" s="19"/>
      <c r="M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C45" s="19"/>
    </row>
    <row r="46" spans="1:32" x14ac:dyDescent="0.2">
      <c r="A46" s="53"/>
      <c r="B46" s="27"/>
      <c r="C46" s="26"/>
      <c r="D46" s="27"/>
      <c r="E46" s="27"/>
      <c r="F46" s="26"/>
      <c r="G46" s="27"/>
      <c r="H46" s="19"/>
      <c r="I46" s="19"/>
      <c r="J46" s="19"/>
      <c r="K46" s="19"/>
      <c r="L46" s="19"/>
      <c r="M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C46" s="19"/>
    </row>
  </sheetData>
  <sheetProtection selectLockedCells="1"/>
  <conditionalFormatting sqref="D41:J41">
    <cfRule type="cellIs" dxfId="53" priority="1" operator="lessThan">
      <formula>0</formula>
    </cfRule>
  </conditionalFormatting>
  <conditionalFormatting sqref="W30">
    <cfRule type="cellIs" dxfId="52" priority="2" operator="greaterThan">
      <formula>1</formula>
    </cfRule>
  </conditionalFormatting>
  <conditionalFormatting sqref="AA30:AG30">
    <cfRule type="cellIs" dxfId="51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rgb="FFFF3300"/>
  </sheetPr>
  <dimension ref="A1:AH49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53</v>
      </c>
      <c r="B2" s="19" t="s">
        <v>9</v>
      </c>
      <c r="C2" s="19">
        <v>10</v>
      </c>
      <c r="D2" s="157">
        <f>D$34*Q2</f>
        <v>660.53988000000004</v>
      </c>
      <c r="E2" s="157">
        <f>D2*R2</f>
        <v>438.97811428608662</v>
      </c>
      <c r="F2" s="157">
        <f>E2*S2</f>
        <v>5188.7213108615442</v>
      </c>
      <c r="G2" s="157">
        <f>E2*T2</f>
        <v>42.317490217178751</v>
      </c>
      <c r="H2" s="157">
        <f>E2*U2</f>
        <v>11.641744819906185</v>
      </c>
      <c r="I2" s="157">
        <f>D$37*W2</f>
        <v>58.280913600000005</v>
      </c>
      <c r="J2" s="157">
        <f>I2*V2</f>
        <v>326.22201775695424</v>
      </c>
      <c r="K2" s="157">
        <f>I2*X2</f>
        <v>2.9723265936000001</v>
      </c>
      <c r="L2" s="158"/>
      <c r="M2" s="158"/>
      <c r="N2" s="158"/>
      <c r="O2" s="158"/>
      <c r="Q2" s="161">
        <f>AE2</f>
        <v>0.99</v>
      </c>
      <c r="R2" s="116">
        <v>0.66457473284744983</v>
      </c>
      <c r="S2" s="115">
        <v>11.82</v>
      </c>
      <c r="T2" s="116">
        <v>9.64E-2</v>
      </c>
      <c r="U2" s="20">
        <v>2.652010303256061E-2</v>
      </c>
      <c r="V2" s="115">
        <v>5.5974074119001838</v>
      </c>
      <c r="W2" s="161">
        <f>(AF2/SUM(AF$2:AF$22))*0.98</f>
        <v>0.13720000000000002</v>
      </c>
      <c r="X2" s="20">
        <v>5.0999999999999997E-2</v>
      </c>
      <c r="Y2" s="22"/>
      <c r="Z2" s="23"/>
      <c r="AA2" s="1"/>
      <c r="AB2" s="1"/>
      <c r="AC2" s="1"/>
      <c r="AE2" s="20">
        <v>0.99</v>
      </c>
      <c r="AF2" s="20">
        <v>0.14000000000000001</v>
      </c>
      <c r="AG2" s="181"/>
      <c r="AH2" s="181"/>
    </row>
    <row r="3" spans="1:34" x14ac:dyDescent="0.2">
      <c r="A3" s="18" t="s">
        <v>629</v>
      </c>
      <c r="B3" s="19" t="s">
        <v>9</v>
      </c>
      <c r="C3" s="19">
        <v>10</v>
      </c>
      <c r="D3" s="157">
        <f>D$34*Q3</f>
        <v>6.6721200000000058</v>
      </c>
      <c r="E3" s="157">
        <f t="shared" ref="E3:F4" si="0">D3*R3</f>
        <v>4.0077092943128338</v>
      </c>
      <c r="F3" s="157">
        <f t="shared" si="0"/>
        <v>45.314959961112272</v>
      </c>
      <c r="G3" s="157">
        <f t="shared" ref="G3:G4" si="1">E3*T3</f>
        <v>0.27026856818356987</v>
      </c>
      <c r="H3" s="157">
        <f t="shared" ref="H3:H4" si="2">E3*U3</f>
        <v>0.16408350361211849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1.0000000000000009E-2</v>
      </c>
      <c r="R3" s="116">
        <v>0.60066505013591343</v>
      </c>
      <c r="S3" s="115">
        <v>11.306947843102483</v>
      </c>
      <c r="T3" s="116">
        <v>6.7437168800415795E-2</v>
      </c>
      <c r="U3" s="20">
        <v>4.0941967483759924E-2</v>
      </c>
      <c r="V3" s="115">
        <v>3.3529411764705883</v>
      </c>
      <c r="W3" s="161">
        <f t="shared" ref="W3:W4" si="5">(AF3/SUM(AF$2:AF$22))*0.98</f>
        <v>0</v>
      </c>
      <c r="X3" s="20">
        <v>2.3529411764705885E-2</v>
      </c>
      <c r="Y3" s="22"/>
      <c r="Z3" s="23"/>
      <c r="AA3" s="1"/>
      <c r="AB3" s="1"/>
      <c r="AC3" s="1"/>
      <c r="AE3" s="20">
        <f>1-AE2</f>
        <v>1.0000000000000009E-2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10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573</v>
      </c>
      <c r="B7" s="19" t="s">
        <v>256</v>
      </c>
      <c r="C7" s="19">
        <v>10</v>
      </c>
      <c r="D7" s="158"/>
      <c r="E7" s="158"/>
      <c r="F7" s="158"/>
      <c r="G7" s="158"/>
      <c r="H7" s="158"/>
      <c r="I7" s="157">
        <f t="shared" ref="I7:I12" si="6">D$37*W7</f>
        <v>205.64836656</v>
      </c>
      <c r="J7" s="157">
        <f>I7*V7</f>
        <v>958.1256582082076</v>
      </c>
      <c r="K7" s="157">
        <f>I7*X7</f>
        <v>8.0202862958400001</v>
      </c>
      <c r="L7" s="157">
        <f>((D$2+D$3+D$4)*AA7)</f>
        <v>18.962165039999999</v>
      </c>
      <c r="M7" s="157">
        <f t="shared" ref="M7:N12" si="7">L7*Y7</f>
        <v>14.938583102731767</v>
      </c>
      <c r="N7" s="157">
        <f t="shared" si="7"/>
        <v>124.79251505220481</v>
      </c>
      <c r="O7" s="157">
        <f>M7*AH7</f>
        <v>0.89631498616390604</v>
      </c>
      <c r="Q7" s="14"/>
      <c r="R7" s="149"/>
      <c r="S7" s="148"/>
      <c r="T7" s="149"/>
      <c r="U7" s="149"/>
      <c r="V7" s="21">
        <v>4.6590482299243776</v>
      </c>
      <c r="W7" s="161">
        <f t="shared" ref="W7:W12" si="8">(AF7/SUM(AF$2:AF$22))*0.98</f>
        <v>0.48411999999999999</v>
      </c>
      <c r="X7" s="20">
        <v>3.9E-2</v>
      </c>
      <c r="Y7" s="20">
        <v>0.78780999275237662</v>
      </c>
      <c r="Z7" s="21">
        <v>8.3537049125753047</v>
      </c>
      <c r="AA7" s="161">
        <f>(AG7/SUM(AG$7:AG$27))*0.98</f>
        <v>2.8420000000000001E-2</v>
      </c>
      <c r="AB7" s="8">
        <v>0.10371538121132873</v>
      </c>
      <c r="AC7" s="161">
        <f>(AH7/SUM(AH$7:AH$27))*0.98</f>
        <v>6.0481685900652282E-2</v>
      </c>
      <c r="AE7" s="181"/>
      <c r="AF7" s="20">
        <v>0.49399999999999999</v>
      </c>
      <c r="AG7" s="20">
        <v>2.9000000000000001E-2</v>
      </c>
      <c r="AH7" s="20">
        <v>0.06</v>
      </c>
    </row>
    <row r="8" spans="1:34" x14ac:dyDescent="0.2">
      <c r="A8" s="186" t="s">
        <v>574</v>
      </c>
      <c r="B8" s="19" t="s">
        <v>256</v>
      </c>
      <c r="C8" s="19">
        <v>10</v>
      </c>
      <c r="D8" s="158"/>
      <c r="E8" s="158"/>
      <c r="F8" s="158"/>
      <c r="G8" s="158"/>
      <c r="H8" s="158"/>
      <c r="I8" s="157">
        <f t="shared" si="6"/>
        <v>77.014064399999995</v>
      </c>
      <c r="J8" s="157">
        <f>I8*V8</f>
        <v>312.50759336215913</v>
      </c>
      <c r="K8" s="157">
        <f>I8*X8</f>
        <v>3.1575766403999999</v>
      </c>
      <c r="L8" s="157">
        <f>((D$2+D$3+D$4)*AA8)</f>
        <v>50.34781752</v>
      </c>
      <c r="M8" s="157">
        <f t="shared" si="7"/>
        <v>38.524417361453523</v>
      </c>
      <c r="N8" s="157">
        <f t="shared" si="7"/>
        <v>346.7197562530817</v>
      </c>
      <c r="O8" s="157">
        <f t="shared" ref="O8:O12" si="9">M8*AH8</f>
        <v>3.9680149882297124</v>
      </c>
      <c r="Q8" s="14"/>
      <c r="R8" s="149"/>
      <c r="S8" s="148"/>
      <c r="T8" s="149"/>
      <c r="U8" s="149"/>
      <c r="V8" s="21">
        <v>4.0577989981029896</v>
      </c>
      <c r="W8" s="161">
        <f t="shared" si="8"/>
        <v>0.18129999999999999</v>
      </c>
      <c r="X8" s="20">
        <v>4.1000000000000002E-2</v>
      </c>
      <c r="Y8" s="20">
        <v>0.76516558728986039</v>
      </c>
      <c r="Z8" s="21">
        <v>9</v>
      </c>
      <c r="AA8" s="161">
        <f t="shared" ref="AA8:AA12" si="10">(AG8/SUM(AG$7:AG$27))*0.98</f>
        <v>7.5459999999999999E-2</v>
      </c>
      <c r="AB8" s="8">
        <v>5.0130531502141203E-2</v>
      </c>
      <c r="AC8" s="161">
        <f t="shared" ref="AC8:AC12" si="11">(AH8/SUM(AH$7:AH$27))*0.98</f>
        <v>0.10382689412945308</v>
      </c>
      <c r="AE8" s="181"/>
      <c r="AF8" s="20">
        <v>0.185</v>
      </c>
      <c r="AG8" s="20">
        <v>7.6999999999999999E-2</v>
      </c>
      <c r="AH8" s="20">
        <v>0.10299999999999999</v>
      </c>
    </row>
    <row r="9" spans="1:34" x14ac:dyDescent="0.2">
      <c r="A9" s="186" t="s">
        <v>174</v>
      </c>
      <c r="B9" s="19" t="s">
        <v>256</v>
      </c>
      <c r="C9" s="19">
        <v>10</v>
      </c>
      <c r="D9" s="158"/>
      <c r="E9" s="158"/>
      <c r="F9" s="158"/>
      <c r="G9" s="158"/>
      <c r="H9" s="158"/>
      <c r="I9" s="157">
        <f t="shared" si="6"/>
        <v>60.778667039999995</v>
      </c>
      <c r="J9" s="157">
        <f>I9*V9</f>
        <v>259.06507361475451</v>
      </c>
      <c r="K9" s="157">
        <f>I9*X9</f>
        <v>2.1272533463999999</v>
      </c>
      <c r="L9" s="157">
        <f>((D$2+D$3+D$4)*AA9)</f>
        <v>17.654429520000001</v>
      </c>
      <c r="M9" s="157">
        <f t="shared" si="7"/>
        <v>14.044362895595675</v>
      </c>
      <c r="N9" s="157">
        <f t="shared" si="7"/>
        <v>115.50399797945147</v>
      </c>
      <c r="O9" s="157">
        <f t="shared" si="9"/>
        <v>0.70221814477978384</v>
      </c>
      <c r="Q9" s="14"/>
      <c r="R9" s="149"/>
      <c r="S9" s="148"/>
      <c r="T9" s="149"/>
      <c r="U9" s="149"/>
      <c r="V9" s="21">
        <v>4.2624342755700315</v>
      </c>
      <c r="W9" s="161">
        <f t="shared" si="8"/>
        <v>0.14307999999999998</v>
      </c>
      <c r="X9" s="20">
        <v>3.5000000000000003E-2</v>
      </c>
      <c r="Y9" s="20">
        <v>0.79551496578721936</v>
      </c>
      <c r="Z9" s="21">
        <v>8.2242248251555523</v>
      </c>
      <c r="AA9" s="161">
        <f t="shared" si="10"/>
        <v>2.6460000000000001E-2</v>
      </c>
      <c r="AB9" s="8">
        <v>3.9200736462205031E-2</v>
      </c>
      <c r="AC9" s="161">
        <f t="shared" si="11"/>
        <v>5.0401404917210235E-2</v>
      </c>
      <c r="AE9" s="181"/>
      <c r="AF9" s="20">
        <v>0.14599999999999999</v>
      </c>
      <c r="AG9" s="20">
        <v>2.7E-2</v>
      </c>
      <c r="AH9" s="20">
        <v>0.05</v>
      </c>
    </row>
    <row r="10" spans="1:34" x14ac:dyDescent="0.2">
      <c r="A10" s="186"/>
      <c r="B10" s="19" t="s">
        <v>256</v>
      </c>
      <c r="C10" s="19">
        <v>10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9.7662724555475783E-3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A11" s="186"/>
      <c r="B11" s="19" t="s">
        <v>256</v>
      </c>
      <c r="C11" s="19">
        <v>10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3.7259624067627183E-3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10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B13" s="25"/>
      <c r="D13" s="4"/>
      <c r="E13" s="4"/>
      <c r="F13" s="4"/>
      <c r="G13" s="4"/>
      <c r="H13" s="4"/>
      <c r="I13" s="5"/>
      <c r="J13" s="5"/>
      <c r="K13" s="5"/>
      <c r="L13" s="5"/>
      <c r="M13" s="5"/>
      <c r="N13" s="5"/>
      <c r="O13" s="5"/>
      <c r="P13" s="25"/>
      <c r="Q13" s="4"/>
      <c r="R13" s="25"/>
      <c r="S13" s="25"/>
      <c r="T13" s="25"/>
      <c r="U13" s="25"/>
      <c r="V13" s="184"/>
      <c r="W13" s="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A14" s="51"/>
      <c r="B14" s="27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27"/>
      <c r="Q14" s="3"/>
      <c r="S14" s="27"/>
      <c r="V14" s="185"/>
      <c r="W14" s="3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248</v>
      </c>
      <c r="B15" s="19" t="s">
        <v>257</v>
      </c>
      <c r="C15" s="19">
        <v>10</v>
      </c>
      <c r="D15" s="158"/>
      <c r="E15" s="158"/>
      <c r="F15" s="158"/>
      <c r="G15" s="158"/>
      <c r="H15" s="158"/>
      <c r="I15" s="157">
        <f t="shared" ref="I15:I22" si="15">D$37*W15</f>
        <v>10.407306</v>
      </c>
      <c r="J15" s="157">
        <f t="shared" ref="J15:J22" si="16">I15*V15</f>
        <v>73.465399938020838</v>
      </c>
      <c r="K15" s="157">
        <f t="shared" ref="K15:K22" si="17">I15*X15</f>
        <v>0.75480587276612099</v>
      </c>
      <c r="L15" s="157">
        <f t="shared" ref="L15:L22" si="18">((D$2+D$3+D$4)*AA15)</f>
        <v>69.309982559999995</v>
      </c>
      <c r="M15" s="157">
        <f t="shared" ref="M15:N22" si="19">L15*Y15</f>
        <v>45.120798646559997</v>
      </c>
      <c r="N15" s="157">
        <f t="shared" si="19"/>
        <v>541.44958375872</v>
      </c>
      <c r="O15" s="157">
        <f t="shared" ref="O15:O22" si="20">M15*AH15</f>
        <v>4.5120798646560001</v>
      </c>
      <c r="Q15" s="14"/>
      <c r="R15" s="149"/>
      <c r="S15" s="148"/>
      <c r="T15" s="149"/>
      <c r="U15" s="149"/>
      <c r="V15" s="21">
        <v>7.0590218004564136</v>
      </c>
      <c r="W15" s="161">
        <f t="shared" ref="W15:W22" si="21">(AF15/SUM(AF$2:AF$22))*0.98</f>
        <v>2.4500000000000001E-2</v>
      </c>
      <c r="X15" s="20">
        <v>7.2526537873117303E-2</v>
      </c>
      <c r="Y15" s="20">
        <v>0.65100000000000002</v>
      </c>
      <c r="Z15" s="21">
        <v>12</v>
      </c>
      <c r="AA15" s="161">
        <f t="shared" ref="AA15:AA22" si="22">(AG15/SUM(AG$7:AG$27))*0.98</f>
        <v>0.10388</v>
      </c>
      <c r="AB15" s="8">
        <v>0.21722484672017489</v>
      </c>
      <c r="AC15" s="161">
        <f t="shared" ref="AC15:AC22" si="23">(AH15/SUM(AH$7:AH$27))*0.98</f>
        <v>0.10080280983442047</v>
      </c>
      <c r="AE15" s="181"/>
      <c r="AF15" s="20">
        <v>2.5000000000000001E-2</v>
      </c>
      <c r="AG15" s="20">
        <v>0.106</v>
      </c>
      <c r="AH15" s="20">
        <v>0.1</v>
      </c>
    </row>
    <row r="16" spans="1:34" x14ac:dyDescent="0.2">
      <c r="A16" s="18" t="s">
        <v>520</v>
      </c>
      <c r="B16" s="19" t="s">
        <v>257</v>
      </c>
      <c r="C16" s="19">
        <v>10</v>
      </c>
      <c r="D16" s="158"/>
      <c r="E16" s="158"/>
      <c r="F16" s="158"/>
      <c r="G16" s="158"/>
      <c r="H16" s="158"/>
      <c r="I16" s="157">
        <f t="shared" si="15"/>
        <v>4.1629224000000002</v>
      </c>
      <c r="J16" s="157">
        <f t="shared" si="16"/>
        <v>18.371860673135078</v>
      </c>
      <c r="K16" s="157">
        <f t="shared" si="17"/>
        <v>0.16044962072211075</v>
      </c>
      <c r="L16" s="157">
        <f t="shared" si="18"/>
        <v>111.1575192</v>
      </c>
      <c r="M16" s="157">
        <f t="shared" si="19"/>
        <v>73.697435229600003</v>
      </c>
      <c r="N16" s="157">
        <f t="shared" si="19"/>
        <v>929.81767578878191</v>
      </c>
      <c r="O16" s="157">
        <f t="shared" si="20"/>
        <v>6.0431896888272005</v>
      </c>
      <c r="Q16" s="14"/>
      <c r="R16" s="149"/>
      <c r="S16" s="148"/>
      <c r="T16" s="149"/>
      <c r="U16" s="149"/>
      <c r="V16" s="21">
        <v>4.4132123801142864</v>
      </c>
      <c r="W16" s="161">
        <f t="shared" si="21"/>
        <v>9.7999999999999997E-3</v>
      </c>
      <c r="X16" s="20">
        <v>3.8542544228571431E-2</v>
      </c>
      <c r="Y16" s="20">
        <v>0.66300000000000003</v>
      </c>
      <c r="Z16" s="21">
        <v>12.616689751712389</v>
      </c>
      <c r="AA16" s="161">
        <f t="shared" si="22"/>
        <v>0.1666</v>
      </c>
      <c r="AB16" s="8">
        <v>0.12440894648492244</v>
      </c>
      <c r="AC16" s="161">
        <f t="shared" si="23"/>
        <v>8.265830406422478E-2</v>
      </c>
      <c r="AE16" s="181"/>
      <c r="AF16" s="20">
        <v>0.01</v>
      </c>
      <c r="AG16" s="20">
        <v>0.17</v>
      </c>
      <c r="AH16" s="20">
        <v>8.2000000000000003E-2</v>
      </c>
    </row>
    <row r="17" spans="1:34" x14ac:dyDescent="0.2">
      <c r="A17" s="18" t="s">
        <v>50</v>
      </c>
      <c r="B17" s="19" t="s">
        <v>257</v>
      </c>
      <c r="C17" s="19">
        <v>10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97.426296239999985</v>
      </c>
      <c r="M17" s="157">
        <f t="shared" si="19"/>
        <v>52.978061664055602</v>
      </c>
      <c r="N17" s="157">
        <f t="shared" si="19"/>
        <v>821.15995579286187</v>
      </c>
      <c r="O17" s="157">
        <f t="shared" si="20"/>
        <v>6.8341699546631727</v>
      </c>
      <c r="Q17" s="14"/>
      <c r="R17" s="149"/>
      <c r="S17" s="148"/>
      <c r="T17" s="149"/>
      <c r="U17" s="149"/>
      <c r="V17" s="21">
        <v>2.2978723404255321</v>
      </c>
      <c r="W17" s="161">
        <f t="shared" si="21"/>
        <v>0</v>
      </c>
      <c r="X17" s="20">
        <v>0</v>
      </c>
      <c r="Y17" s="20">
        <v>0.54377579471510873</v>
      </c>
      <c r="Z17" s="21">
        <v>15.5</v>
      </c>
      <c r="AA17" s="161">
        <f t="shared" si="22"/>
        <v>0.14601999999999998</v>
      </c>
      <c r="AB17" s="8">
        <v>7.7981679720058858E-2</v>
      </c>
      <c r="AC17" s="161">
        <f t="shared" si="23"/>
        <v>0.13003562468640242</v>
      </c>
      <c r="AE17" s="181"/>
      <c r="AF17" s="20">
        <v>0</v>
      </c>
      <c r="AG17" s="20">
        <v>0.14899999999999999</v>
      </c>
      <c r="AH17" s="20">
        <v>0.129</v>
      </c>
    </row>
    <row r="18" spans="1:34" x14ac:dyDescent="0.2">
      <c r="A18" s="18" t="s">
        <v>562</v>
      </c>
      <c r="B18" s="19" t="s">
        <v>257</v>
      </c>
      <c r="C18" s="19">
        <v>10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36.616594559999996</v>
      </c>
      <c r="M18" s="157">
        <f t="shared" si="19"/>
        <v>25.631616191999996</v>
      </c>
      <c r="N18" s="157">
        <f t="shared" si="19"/>
        <v>287.07410135039993</v>
      </c>
      <c r="O18" s="157">
        <f t="shared" si="20"/>
        <v>2.1786873763199996</v>
      </c>
      <c r="Q18" s="14"/>
      <c r="R18" s="149"/>
      <c r="S18" s="148"/>
      <c r="T18" s="149"/>
      <c r="U18" s="149"/>
      <c r="V18" s="21">
        <v>2.2453416149068328</v>
      </c>
      <c r="W18" s="161">
        <f t="shared" si="21"/>
        <v>0</v>
      </c>
      <c r="X18" s="20">
        <v>0</v>
      </c>
      <c r="Y18" s="20">
        <v>0.7</v>
      </c>
      <c r="Z18" s="21">
        <v>11.2</v>
      </c>
      <c r="AA18" s="161">
        <f t="shared" si="22"/>
        <v>5.4879999999999998E-2</v>
      </c>
      <c r="AB18" s="8">
        <v>5.5229034872814407E-2</v>
      </c>
      <c r="AC18" s="161">
        <f t="shared" si="23"/>
        <v>8.56823883592574E-2</v>
      </c>
      <c r="AE18" s="181"/>
      <c r="AF18" s="20">
        <v>0</v>
      </c>
      <c r="AG18" s="20">
        <v>5.6000000000000001E-2</v>
      </c>
      <c r="AH18" s="20">
        <v>8.5000000000000006E-2</v>
      </c>
    </row>
    <row r="19" spans="1:34" x14ac:dyDescent="0.2">
      <c r="A19" s="18" t="s">
        <v>630</v>
      </c>
      <c r="B19" s="19" t="s">
        <v>257</v>
      </c>
      <c r="C19" s="19">
        <v>10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38.578197839999994</v>
      </c>
      <c r="M19" s="157">
        <f t="shared" si="19"/>
        <v>24.666538407496827</v>
      </c>
      <c r="N19" s="157">
        <f t="shared" si="19"/>
        <v>313.26503777520969</v>
      </c>
      <c r="O19" s="157">
        <f t="shared" si="20"/>
        <v>2.1953219182672177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0.63939063482953074</v>
      </c>
      <c r="Z19" s="21">
        <v>12.7</v>
      </c>
      <c r="AA19" s="161">
        <f t="shared" si="22"/>
        <v>5.7819999999999996E-2</v>
      </c>
      <c r="AB19" s="8">
        <v>1.9707617912673323E-2</v>
      </c>
      <c r="AC19" s="161">
        <f t="shared" si="23"/>
        <v>8.9714500752634221E-2</v>
      </c>
      <c r="AE19" s="181"/>
      <c r="AF19" s="20">
        <v>0</v>
      </c>
      <c r="AG19" s="20">
        <v>5.8999999999999997E-2</v>
      </c>
      <c r="AH19" s="20">
        <v>8.8999999999999996E-2</v>
      </c>
    </row>
    <row r="20" spans="1:34" x14ac:dyDescent="0.2">
      <c r="A20" s="18" t="s">
        <v>561</v>
      </c>
      <c r="B20" s="19" t="s">
        <v>257</v>
      </c>
      <c r="C20" s="19">
        <v>10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64.73290824</v>
      </c>
      <c r="M20" s="157">
        <f t="shared" si="19"/>
        <v>39.163409485199999</v>
      </c>
      <c r="N20" s="157">
        <f t="shared" si="19"/>
        <v>509.12432330759998</v>
      </c>
      <c r="O20" s="157">
        <f t="shared" si="20"/>
        <v>3.6030336726384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0.60499999999999998</v>
      </c>
      <c r="Z20" s="21">
        <v>13</v>
      </c>
      <c r="AA20" s="161">
        <f t="shared" si="22"/>
        <v>9.7020000000000009E-2</v>
      </c>
      <c r="AB20" s="8">
        <v>0</v>
      </c>
      <c r="AC20" s="161">
        <f t="shared" si="23"/>
        <v>9.2738585047666827E-2</v>
      </c>
      <c r="AE20" s="181"/>
      <c r="AF20" s="20">
        <v>0</v>
      </c>
      <c r="AG20" s="20">
        <v>9.9000000000000005E-2</v>
      </c>
      <c r="AH20" s="20">
        <v>9.1999999999999998E-2</v>
      </c>
    </row>
    <row r="21" spans="1:34" x14ac:dyDescent="0.2">
      <c r="B21" s="19" t="s">
        <v>257</v>
      </c>
      <c r="C21" s="19">
        <v>10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10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56</v>
      </c>
      <c r="B24" s="19" t="s">
        <v>10</v>
      </c>
      <c r="C24" s="19">
        <v>10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132.73515528000001</v>
      </c>
      <c r="M24" s="157">
        <f t="shared" ref="M24:N27" si="24">L24*Y24</f>
        <v>96.243603028615581</v>
      </c>
      <c r="N24" s="157">
        <f t="shared" si="24"/>
        <v>1116.4257951319407</v>
      </c>
      <c r="O24" s="157">
        <f t="shared" ref="O24:O27" si="25">M24*AH24</f>
        <v>10.798062778820285</v>
      </c>
      <c r="Q24" s="14"/>
      <c r="R24" s="149"/>
      <c r="S24" s="148"/>
      <c r="T24" s="149"/>
      <c r="U24" s="149"/>
      <c r="V24" s="150"/>
      <c r="W24" s="165"/>
      <c r="X24" s="149"/>
      <c r="Y24" s="20">
        <v>0.72507997467282259</v>
      </c>
      <c r="Z24" s="115">
        <v>11.6</v>
      </c>
      <c r="AA24" s="161">
        <f t="shared" ref="AA24:AA27" si="26">(AG24/SUM(AG$7:AG$27))*0.98</f>
        <v>0.19894000000000001</v>
      </c>
      <c r="AB24" s="8">
        <v>0.22538575593678439</v>
      </c>
      <c r="AC24" s="161">
        <f t="shared" ref="AC24:AC27" si="27">(AH24/SUM(AH$7:AH$27))*0.98</f>
        <v>0.11309583542398395</v>
      </c>
      <c r="AE24" s="181"/>
      <c r="AF24" s="181"/>
      <c r="AG24" s="20">
        <v>0.20300000000000001</v>
      </c>
      <c r="AH24" s="20">
        <v>0.11219512195121951</v>
      </c>
    </row>
    <row r="25" spans="1:34" x14ac:dyDescent="0.2">
      <c r="A25" s="18" t="s">
        <v>219</v>
      </c>
      <c r="B25" s="19" t="s">
        <v>10</v>
      </c>
      <c r="C25" s="19">
        <v>10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16.346693999999999</v>
      </c>
      <c r="M25" s="157">
        <f t="shared" si="24"/>
        <v>12.057466725121639</v>
      </c>
      <c r="N25" s="157">
        <f t="shared" si="24"/>
        <v>126.09607276156643</v>
      </c>
      <c r="O25" s="157">
        <f t="shared" si="25"/>
        <v>0.84402267075851478</v>
      </c>
      <c r="Q25" s="14"/>
      <c r="R25" s="149"/>
      <c r="S25" s="148"/>
      <c r="T25" s="149"/>
      <c r="U25" s="149"/>
      <c r="V25" s="150"/>
      <c r="W25" s="165"/>
      <c r="X25" s="149"/>
      <c r="Y25" s="20">
        <v>0.73760888440938821</v>
      </c>
      <c r="Z25" s="115">
        <v>10.457924175635188</v>
      </c>
      <c r="AA25" s="161">
        <f t="shared" si="26"/>
        <v>2.4500000000000001E-2</v>
      </c>
      <c r="AB25" s="8">
        <v>2.446747763533617E-2</v>
      </c>
      <c r="AC25" s="161">
        <f t="shared" si="27"/>
        <v>7.0561966884094343E-2</v>
      </c>
      <c r="AE25" s="181"/>
      <c r="AF25" s="181"/>
      <c r="AG25" s="20">
        <v>2.5000000000000001E-2</v>
      </c>
      <c r="AH25" s="20">
        <v>7.0000000000000007E-2</v>
      </c>
    </row>
    <row r="26" spans="1:34" x14ac:dyDescent="0.2">
      <c r="B26" s="19" t="s">
        <v>10</v>
      </c>
      <c r="C26" s="19">
        <v>10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0</v>
      </c>
      <c r="M26" s="157">
        <f t="shared" si="24"/>
        <v>0</v>
      </c>
      <c r="N26" s="157">
        <f t="shared" si="24"/>
        <v>0</v>
      </c>
      <c r="O26" s="157">
        <f t="shared" si="25"/>
        <v>0</v>
      </c>
      <c r="Q26" s="14"/>
      <c r="R26" s="149"/>
      <c r="S26" s="148"/>
      <c r="T26" s="149"/>
      <c r="U26" s="149"/>
      <c r="V26" s="150"/>
      <c r="W26" s="165"/>
      <c r="X26" s="149"/>
      <c r="Y26" s="20">
        <v>0.66700000000000004</v>
      </c>
      <c r="Z26" s="115">
        <v>10.8</v>
      </c>
      <c r="AA26" s="161">
        <f t="shared" si="26"/>
        <v>0</v>
      </c>
      <c r="AB26" s="8">
        <v>2.4055756679250383E-2</v>
      </c>
      <c r="AC26" s="161">
        <f t="shared" si="27"/>
        <v>0</v>
      </c>
      <c r="AE26" s="181"/>
      <c r="AF26" s="181"/>
      <c r="AG26" s="20">
        <v>0</v>
      </c>
      <c r="AH26" s="20">
        <v>0</v>
      </c>
    </row>
    <row r="27" spans="1:34" x14ac:dyDescent="0.2">
      <c r="A27" s="43"/>
      <c r="B27" s="19" t="s">
        <v>10</v>
      </c>
      <c r="C27" s="19">
        <v>10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0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0.9750000000000002</v>
      </c>
      <c r="AC30" s="161">
        <f>SUM(AC7:AC27)</f>
        <v>0.97999999999999987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1092</v>
      </c>
      <c r="E31" s="48">
        <v>0.61099999999999999</v>
      </c>
      <c r="F31" s="2">
        <f>1-E31</f>
        <v>0.38900000000000001</v>
      </c>
      <c r="G31" s="114">
        <v>4.6500000000000004</v>
      </c>
      <c r="H31" s="134">
        <v>4.0500000000000001E-2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667.21199999999999</v>
      </c>
      <c r="E34" s="167">
        <f>SUM(E2:E4)</f>
        <v>442.98582358039948</v>
      </c>
      <c r="F34" s="167">
        <f>SUM(F2:F4)</f>
        <v>5234.0362708226567</v>
      </c>
      <c r="G34" s="167">
        <f>SUM(G2:G4)</f>
        <v>42.587758785362318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424.78800000000001</v>
      </c>
      <c r="E37" s="167">
        <f>D37*G31</f>
        <v>1975.2642000000003</v>
      </c>
      <c r="F37" s="167">
        <f>D37*H31</f>
        <v>17.203914000000001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1" t="s">
        <v>353</v>
      </c>
      <c r="E39" s="172" t="s">
        <v>354</v>
      </c>
      <c r="F39" s="11" t="s">
        <v>355</v>
      </c>
      <c r="G39" s="11" t="s">
        <v>351</v>
      </c>
      <c r="H39" s="172" t="s">
        <v>352</v>
      </c>
      <c r="I39" s="11" t="s">
        <v>356</v>
      </c>
      <c r="J39" s="171" t="s">
        <v>357</v>
      </c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E39" s="38"/>
      <c r="AF39" s="38"/>
    </row>
    <row r="40" spans="1:32" ht="15" thickBot="1" x14ac:dyDescent="0.25">
      <c r="D40" s="168">
        <f>SUM(I2:I22)</f>
        <v>416.29224000000005</v>
      </c>
      <c r="E40" s="168">
        <f>SUM(J2:J4,J7:J12,J15:J22)</f>
        <v>1947.7576035532315</v>
      </c>
      <c r="F40" s="168">
        <f>SUM(K2:K4,K7:K12,K15:K22)</f>
        <v>17.192698369728234</v>
      </c>
      <c r="G40" s="168">
        <f>SUM(L7:L12,L15:L22,L24:L27)</f>
        <v>653.86775999999998</v>
      </c>
      <c r="H40" s="168">
        <f>SUM(M7:M12,M15:M22,M24:M27)</f>
        <v>437.0662927384306</v>
      </c>
      <c r="I40" s="168">
        <f>SUM(N7:N12,N15:N22,N24:N27)</f>
        <v>5231.4288149518179</v>
      </c>
      <c r="J40" s="168">
        <f>SUM(O7:O12,O15:O22,O24:O27)</f>
        <v>42.575116044124194</v>
      </c>
      <c r="Q40" s="19"/>
      <c r="R40" s="19"/>
      <c r="S40" s="19"/>
      <c r="T40" s="19"/>
      <c r="U40" s="19"/>
      <c r="V40" s="19"/>
      <c r="W40" s="19"/>
      <c r="X40" s="19"/>
      <c r="Y40" s="19"/>
      <c r="Z40" s="19"/>
      <c r="AC40" s="19"/>
    </row>
    <row r="41" spans="1:32" ht="15" thickTop="1" x14ac:dyDescent="0.2">
      <c r="D41" s="169">
        <f>D37-D40</f>
        <v>8.4957599999999616</v>
      </c>
      <c r="E41" s="169">
        <f>E37-E40</f>
        <v>27.506596446768754</v>
      </c>
      <c r="F41" s="169">
        <f>F37-F40</f>
        <v>1.1215630271767196E-2</v>
      </c>
      <c r="G41" s="169">
        <f>SUM(D2:D4)-G40</f>
        <v>13.344240000000013</v>
      </c>
      <c r="H41" s="169">
        <f>E34-H40</f>
        <v>5.9195308419688786</v>
      </c>
      <c r="I41" s="169">
        <f>F34-I40</f>
        <v>2.6074558708387485</v>
      </c>
      <c r="J41" s="169">
        <f>G34-J40</f>
        <v>1.26427412381247E-2</v>
      </c>
      <c r="Q41" s="19"/>
      <c r="R41" s="19"/>
      <c r="S41" s="19"/>
      <c r="T41" s="19"/>
      <c r="U41" s="19"/>
      <c r="V41" s="19"/>
      <c r="W41" s="19"/>
      <c r="X41" s="19"/>
      <c r="Y41" s="19"/>
      <c r="Z41" s="19"/>
      <c r="AC41" s="19"/>
    </row>
    <row r="42" spans="1:32" x14ac:dyDescent="0.2">
      <c r="I42" s="27"/>
      <c r="J42" s="26"/>
      <c r="K42" s="27"/>
      <c r="L42" s="27"/>
      <c r="M42" s="26"/>
      <c r="N42" s="27"/>
      <c r="Q42" s="19"/>
      <c r="R42" s="19"/>
      <c r="S42" s="19"/>
      <c r="T42" s="19"/>
      <c r="U42" s="19"/>
      <c r="V42" s="19"/>
      <c r="W42" s="19"/>
      <c r="X42" s="19"/>
      <c r="Y42" s="19"/>
      <c r="Z42" s="19"/>
      <c r="AC42" s="19"/>
    </row>
    <row r="48" spans="1:32" x14ac:dyDescent="0.2">
      <c r="N48" s="24"/>
      <c r="O48" s="24"/>
    </row>
    <row r="49" spans="14:15" x14ac:dyDescent="0.2">
      <c r="N49" s="24"/>
      <c r="O49" s="24"/>
    </row>
  </sheetData>
  <sheetProtection selectLockedCells="1"/>
  <conditionalFormatting sqref="D41:J41">
    <cfRule type="cellIs" dxfId="50" priority="1" operator="lessThan">
      <formula>0</formula>
    </cfRule>
  </conditionalFormatting>
  <conditionalFormatting sqref="W30">
    <cfRule type="cellIs" dxfId="49" priority="2" operator="greaterThan">
      <formula>1</formula>
    </cfRule>
  </conditionalFormatting>
  <conditionalFormatting sqref="AA30:AG30">
    <cfRule type="cellIs" dxfId="48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9">
    <tabColor rgb="FF808080"/>
  </sheetPr>
  <dimension ref="A1:AH46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11</v>
      </c>
      <c r="B2" s="19" t="s">
        <v>9</v>
      </c>
      <c r="C2" s="19">
        <v>13</v>
      </c>
      <c r="D2" s="157">
        <f>D$34*Q2</f>
        <v>542.29499999999996</v>
      </c>
      <c r="E2" s="157">
        <f>D2*R2</f>
        <v>363.89972198767197</v>
      </c>
      <c r="F2" s="157">
        <f>E2*S2</f>
        <v>4127.4649398998135</v>
      </c>
      <c r="G2" s="157">
        <f>E2*T2</f>
        <v>25.109080817149369</v>
      </c>
      <c r="H2" s="157">
        <f>E2*U2</f>
        <v>13.894698426490692</v>
      </c>
      <c r="I2" s="157">
        <f>D$37*W2</f>
        <v>30.579772999999999</v>
      </c>
      <c r="J2" s="157">
        <f>I2*V2</f>
        <v>58.522448980284132</v>
      </c>
      <c r="K2" s="157">
        <f>I2*X2</f>
        <v>1.652763725478072</v>
      </c>
      <c r="L2" s="158"/>
      <c r="M2" s="158"/>
      <c r="N2" s="158"/>
      <c r="O2" s="158"/>
      <c r="Q2" s="161">
        <f>AE2</f>
        <v>0.9</v>
      </c>
      <c r="R2" s="116">
        <v>0.67103646905774905</v>
      </c>
      <c r="S2" s="115">
        <v>11.342314078601142</v>
      </c>
      <c r="T2" s="116">
        <v>6.9000000000000006E-2</v>
      </c>
      <c r="U2" s="20">
        <v>3.8182767358534583E-2</v>
      </c>
      <c r="V2" s="115">
        <v>1.9137633552833808</v>
      </c>
      <c r="W2" s="161">
        <f>(AF2/SUM(AF$2:AF$22))*0.98</f>
        <v>7.1539999999999992E-2</v>
      </c>
      <c r="X2" s="20">
        <v>5.404761263198625E-2</v>
      </c>
      <c r="Y2" s="22"/>
      <c r="Z2" s="23"/>
      <c r="AA2" s="1"/>
      <c r="AB2" s="1"/>
      <c r="AC2" s="1"/>
      <c r="AE2" s="20">
        <v>0.9</v>
      </c>
      <c r="AF2" s="20">
        <v>7.2999999999999995E-2</v>
      </c>
      <c r="AG2" s="181"/>
      <c r="AH2" s="181"/>
    </row>
    <row r="3" spans="1:34" x14ac:dyDescent="0.2">
      <c r="A3" s="18" t="s">
        <v>495</v>
      </c>
      <c r="B3" s="19" t="s">
        <v>9</v>
      </c>
      <c r="C3" s="19">
        <v>13</v>
      </c>
      <c r="D3" s="157">
        <f>D$34*Q3</f>
        <v>60.254999999999981</v>
      </c>
      <c r="E3" s="157">
        <f t="shared" ref="E3:F4" si="0">D3*R3</f>
        <v>36.663003368804048</v>
      </c>
      <c r="F3" s="157">
        <f t="shared" si="0"/>
        <v>407.71298044231008</v>
      </c>
      <c r="G3" s="157">
        <f t="shared" ref="G3:G4" si="1">E3*T3</f>
        <v>2.1866946563676231</v>
      </c>
      <c r="H3" s="157">
        <f t="shared" ref="H3:H4" si="2">E3*U3</f>
        <v>1.7163365407472921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9.9999999999999978E-2</v>
      </c>
      <c r="R3" s="116">
        <v>0.60846408379062422</v>
      </c>
      <c r="S3" s="115">
        <v>11.120555955031945</v>
      </c>
      <c r="T3" s="116">
        <v>5.9643085820629896E-2</v>
      </c>
      <c r="U3" s="20">
        <v>4.6813855468471929E-2</v>
      </c>
      <c r="V3" s="115">
        <v>1.8159509202453987</v>
      </c>
      <c r="W3" s="161">
        <f t="shared" ref="W3:W4" si="5">(AF3/SUM(AF$2:AF$22))*0.98</f>
        <v>0</v>
      </c>
      <c r="X3" s="20">
        <v>6.1349693251533744E-3</v>
      </c>
      <c r="Y3" s="22"/>
      <c r="Z3" s="23"/>
      <c r="AA3" s="1"/>
      <c r="AB3" s="1"/>
      <c r="AC3" s="1"/>
      <c r="AE3" s="20">
        <f>1-AE2</f>
        <v>9.9999999999999978E-2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13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86</v>
      </c>
      <c r="B7" s="19" t="s">
        <v>256</v>
      </c>
      <c r="C7" s="19">
        <v>13</v>
      </c>
      <c r="D7" s="158"/>
      <c r="E7" s="158"/>
      <c r="F7" s="158"/>
      <c r="G7" s="158"/>
      <c r="H7" s="158"/>
      <c r="I7" s="157">
        <f t="shared" ref="I7:I12" si="6">D$37*W7</f>
        <v>260.556422</v>
      </c>
      <c r="J7" s="157">
        <f>I7*V7</f>
        <v>1156.8705136800002</v>
      </c>
      <c r="K7" s="157">
        <f>I7*X7</f>
        <v>9.3591640216440837</v>
      </c>
      <c r="L7" s="157">
        <f>((D$2+D$3+D$4)*AA7)</f>
        <v>49.011417000000002</v>
      </c>
      <c r="M7" s="157">
        <f t="shared" ref="M7:N12" si="7">L7*Y7</f>
        <v>38.390217826885419</v>
      </c>
      <c r="N7" s="157">
        <f t="shared" si="7"/>
        <v>291.76565548432916</v>
      </c>
      <c r="O7" s="157">
        <f>M7*AH7</f>
        <v>1.3052674061141043</v>
      </c>
      <c r="Q7" s="14"/>
      <c r="R7" s="149"/>
      <c r="S7" s="148"/>
      <c r="T7" s="149"/>
      <c r="U7" s="149"/>
      <c r="V7" s="21">
        <v>4.4400000000000004</v>
      </c>
      <c r="W7" s="161">
        <f t="shared" ref="W7:W12" si="8">(AF7/SUM(AF$2:AF$22))*0.98</f>
        <v>0.60955999999999999</v>
      </c>
      <c r="X7" s="20">
        <v>3.5919913045336815E-2</v>
      </c>
      <c r="Y7" s="20">
        <v>0.78329132632271004</v>
      </c>
      <c r="Z7" s="21">
        <v>7.6</v>
      </c>
      <c r="AA7" s="161">
        <f>(AG7/SUM(AG$7:AG$27))*0.98</f>
        <v>8.134000000000001E-2</v>
      </c>
      <c r="AB7" s="8">
        <v>6.733848381973366E-2</v>
      </c>
      <c r="AC7" s="161">
        <f>(AH7/SUM(AH$7:AH$27))*0.98</f>
        <v>4.7062146892655379E-2</v>
      </c>
      <c r="AE7" s="181"/>
      <c r="AF7" s="20">
        <v>0.622</v>
      </c>
      <c r="AG7" s="20">
        <v>8.3000000000000004E-2</v>
      </c>
      <c r="AH7" s="20">
        <v>3.4000000000000002E-2</v>
      </c>
    </row>
    <row r="8" spans="1:34" x14ac:dyDescent="0.2">
      <c r="A8" s="186" t="s">
        <v>486</v>
      </c>
      <c r="B8" s="19" t="s">
        <v>256</v>
      </c>
      <c r="C8" s="19">
        <v>13</v>
      </c>
      <c r="D8" s="158"/>
      <c r="E8" s="158"/>
      <c r="F8" s="158"/>
      <c r="G8" s="158"/>
      <c r="H8" s="158"/>
      <c r="I8" s="157">
        <f t="shared" si="6"/>
        <v>11.310327000000001</v>
      </c>
      <c r="J8" s="157">
        <f>I8*V8</f>
        <v>45.241308000000004</v>
      </c>
      <c r="K8" s="157">
        <f>I8*X8</f>
        <v>0.31668915600000003</v>
      </c>
      <c r="L8" s="157">
        <f>((D$2+D$3+D$4)*AA8)</f>
        <v>14.171975999999999</v>
      </c>
      <c r="M8" s="157">
        <f t="shared" si="7"/>
        <v>11.450956608</v>
      </c>
      <c r="N8" s="157">
        <f t="shared" si="7"/>
        <v>81.301791916799999</v>
      </c>
      <c r="O8" s="157">
        <f t="shared" ref="O8:O12" si="9">M8*AH8</f>
        <v>0.34352869823999999</v>
      </c>
      <c r="Q8" s="14"/>
      <c r="R8" s="149"/>
      <c r="S8" s="148"/>
      <c r="T8" s="149"/>
      <c r="U8" s="149"/>
      <c r="V8" s="21">
        <v>4</v>
      </c>
      <c r="W8" s="161">
        <f t="shared" si="8"/>
        <v>2.6460000000000001E-2</v>
      </c>
      <c r="X8" s="20">
        <v>2.8000000000000001E-2</v>
      </c>
      <c r="Y8" s="20">
        <v>0.80800000000000005</v>
      </c>
      <c r="Z8" s="21">
        <v>7.1</v>
      </c>
      <c r="AA8" s="161">
        <f t="shared" ref="AA8:AA12" si="10">(AG8/SUM(AG$7:AG$27))*0.98</f>
        <v>2.3519999999999999E-2</v>
      </c>
      <c r="AB8" s="8">
        <v>7.7565598830027963E-2</v>
      </c>
      <c r="AC8" s="161">
        <f t="shared" ref="AC8:AC12" si="11">(AH8/SUM(AH$7:AH$27))*0.98</f>
        <v>4.1525423728813564E-2</v>
      </c>
      <c r="AE8" s="181"/>
      <c r="AF8" s="20">
        <v>2.7E-2</v>
      </c>
      <c r="AG8" s="20">
        <v>2.4E-2</v>
      </c>
      <c r="AH8" s="20">
        <v>0.03</v>
      </c>
    </row>
    <row r="9" spans="1:34" x14ac:dyDescent="0.2">
      <c r="A9" s="18" t="s">
        <v>505</v>
      </c>
      <c r="B9" s="19" t="s">
        <v>256</v>
      </c>
      <c r="C9" s="19">
        <v>13</v>
      </c>
      <c r="D9" s="158"/>
      <c r="E9" s="158"/>
      <c r="F9" s="158"/>
      <c r="G9" s="158"/>
      <c r="H9" s="158"/>
      <c r="I9" s="157">
        <f t="shared" si="6"/>
        <v>103.46854700000002</v>
      </c>
      <c r="J9" s="157">
        <f>I9*V9</f>
        <v>445.58861597607017</v>
      </c>
      <c r="K9" s="157">
        <f>I9*X9</f>
        <v>3.8283362390000004</v>
      </c>
      <c r="L9" s="157">
        <f>((D$2+D$3+D$4)*AA9)</f>
        <v>15.352973999999998</v>
      </c>
      <c r="M9" s="157">
        <f t="shared" si="7"/>
        <v>9.5465221125711928</v>
      </c>
      <c r="N9" s="157">
        <f t="shared" si="7"/>
        <v>71.598915844283951</v>
      </c>
      <c r="O9" s="157">
        <f t="shared" si="9"/>
        <v>0.28639566337713579</v>
      </c>
      <c r="Q9" s="14"/>
      <c r="R9" s="149"/>
      <c r="S9" s="148"/>
      <c r="T9" s="149"/>
      <c r="U9" s="149"/>
      <c r="V9" s="21">
        <v>4.3065127412688042</v>
      </c>
      <c r="W9" s="161">
        <f t="shared" si="8"/>
        <v>0.24206</v>
      </c>
      <c r="X9" s="20">
        <v>3.6999999999999998E-2</v>
      </c>
      <c r="Y9" s="20">
        <v>0.62180279290326379</v>
      </c>
      <c r="Z9" s="21">
        <v>7.5</v>
      </c>
      <c r="AA9" s="161">
        <f t="shared" si="10"/>
        <v>2.5479999999999999E-2</v>
      </c>
      <c r="AB9" s="8">
        <v>3.1936167277749304E-2</v>
      </c>
      <c r="AC9" s="161">
        <f t="shared" si="11"/>
        <v>4.1525423728813564E-2</v>
      </c>
      <c r="AE9" s="181"/>
      <c r="AF9" s="20">
        <v>0.247</v>
      </c>
      <c r="AG9" s="20">
        <v>2.5999999999999999E-2</v>
      </c>
      <c r="AH9" s="20">
        <v>0.03</v>
      </c>
    </row>
    <row r="10" spans="1:34" x14ac:dyDescent="0.2">
      <c r="A10" s="18" t="s">
        <v>543</v>
      </c>
      <c r="B10" s="19" t="s">
        <v>256</v>
      </c>
      <c r="C10" s="19">
        <v>13</v>
      </c>
      <c r="D10" s="158"/>
      <c r="E10" s="158"/>
      <c r="F10" s="158"/>
      <c r="G10" s="158"/>
      <c r="H10" s="158"/>
      <c r="I10" s="157">
        <f t="shared" si="6"/>
        <v>8.7969210000000011</v>
      </c>
      <c r="J10" s="157">
        <f t="shared" ref="J10:J12" si="12">I10*V10</f>
        <v>36.790341960662985</v>
      </c>
      <c r="K10" s="157">
        <f t="shared" ref="K10:K12" si="13">I10*X10</f>
        <v>0.21112610400000004</v>
      </c>
      <c r="L10" s="157">
        <f t="shared" ref="L10:L12" si="14">((D$2+D$3+D$4)*AA10)</f>
        <v>33.658442999999998</v>
      </c>
      <c r="M10" s="157">
        <f t="shared" si="7"/>
        <v>24.706825341141354</v>
      </c>
      <c r="N10" s="157">
        <f t="shared" si="7"/>
        <v>191.23082814043408</v>
      </c>
      <c r="O10" s="157">
        <f t="shared" si="9"/>
        <v>0.98827301364565412</v>
      </c>
      <c r="Q10" s="14"/>
      <c r="R10" s="149"/>
      <c r="S10" s="148"/>
      <c r="T10" s="149"/>
      <c r="U10" s="149"/>
      <c r="V10" s="21">
        <v>4.182183966488159</v>
      </c>
      <c r="W10" s="161">
        <f t="shared" si="8"/>
        <v>2.0580000000000001E-2</v>
      </c>
      <c r="X10" s="20">
        <v>2.4E-2</v>
      </c>
      <c r="Y10" s="20">
        <v>0.73404540255000372</v>
      </c>
      <c r="Z10" s="21">
        <v>7.74</v>
      </c>
      <c r="AA10" s="161">
        <f t="shared" si="10"/>
        <v>5.586E-2</v>
      </c>
      <c r="AB10" s="8">
        <v>1.4932385521307857E-2</v>
      </c>
      <c r="AC10" s="161">
        <f t="shared" si="11"/>
        <v>5.5367231638418092E-2</v>
      </c>
      <c r="AE10" s="181"/>
      <c r="AF10" s="20">
        <v>2.1000000000000001E-2</v>
      </c>
      <c r="AG10" s="20">
        <v>5.7000000000000002E-2</v>
      </c>
      <c r="AH10" s="20">
        <v>0.04</v>
      </c>
    </row>
    <row r="11" spans="1:34" x14ac:dyDescent="0.2">
      <c r="B11" s="19" t="s">
        <v>256</v>
      </c>
      <c r="C11" s="19">
        <v>13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7.3836965287373425E-3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13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49</v>
      </c>
      <c r="B15" s="19" t="s">
        <v>257</v>
      </c>
      <c r="C15" s="19">
        <v>13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155.30123700000001</v>
      </c>
      <c r="M15" s="157">
        <f t="shared" ref="M15:N22" si="19">L15*Y15</f>
        <v>97.431002286752246</v>
      </c>
      <c r="N15" s="157">
        <f t="shared" si="19"/>
        <v>1446.8503839582709</v>
      </c>
      <c r="O15" s="157">
        <f t="shared" ref="O15:O22" si="20">M15*AH15</f>
        <v>10.230255240108985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0.6273678443833145</v>
      </c>
      <c r="Z15" s="21">
        <v>14.85</v>
      </c>
      <c r="AA15" s="161">
        <f t="shared" ref="AA15:AA22" si="22">(AG15/SUM(AG$7:AG$27))*0.98</f>
        <v>0.25774000000000002</v>
      </c>
      <c r="AB15" s="8">
        <v>0.11431128412235328</v>
      </c>
      <c r="AC15" s="161">
        <f t="shared" ref="AC15:AC22" si="23">(AH15/SUM(AH$7:AH$27))*0.98</f>
        <v>0.14533898305084747</v>
      </c>
      <c r="AE15" s="181"/>
      <c r="AF15" s="20">
        <v>0</v>
      </c>
      <c r="AG15" s="20">
        <v>0.26300000000000001</v>
      </c>
      <c r="AH15" s="20">
        <v>0.105</v>
      </c>
    </row>
    <row r="16" spans="1:34" x14ac:dyDescent="0.2">
      <c r="A16" s="186" t="s">
        <v>154</v>
      </c>
      <c r="B16" s="19" t="s">
        <v>257</v>
      </c>
      <c r="C16" s="19">
        <v>13</v>
      </c>
      <c r="D16" s="158"/>
      <c r="E16" s="158"/>
      <c r="F16" s="158"/>
      <c r="G16" s="158"/>
      <c r="H16" s="158"/>
      <c r="I16" s="157">
        <f t="shared" si="15"/>
        <v>4.1890100000000006</v>
      </c>
      <c r="J16" s="157">
        <f t="shared" si="16"/>
        <v>0</v>
      </c>
      <c r="K16" s="157">
        <f t="shared" si="17"/>
        <v>0</v>
      </c>
      <c r="L16" s="157">
        <f t="shared" si="18"/>
        <v>111.01381199999999</v>
      </c>
      <c r="M16" s="157">
        <f t="shared" si="19"/>
        <v>73.460912239923474</v>
      </c>
      <c r="N16" s="157">
        <f t="shared" si="19"/>
        <v>859.49267320710464</v>
      </c>
      <c r="O16" s="157">
        <f t="shared" si="20"/>
        <v>3.6730456119961739</v>
      </c>
      <c r="Q16" s="14"/>
      <c r="R16" s="149"/>
      <c r="S16" s="148"/>
      <c r="T16" s="149"/>
      <c r="U16" s="149"/>
      <c r="V16" s="21">
        <v>0</v>
      </c>
      <c r="W16" s="161">
        <f t="shared" si="21"/>
        <v>9.7999999999999997E-3</v>
      </c>
      <c r="X16" s="20">
        <v>0</v>
      </c>
      <c r="Y16" s="20">
        <v>0.66172767979468605</v>
      </c>
      <c r="Z16" s="21">
        <v>11.7</v>
      </c>
      <c r="AA16" s="161">
        <f t="shared" si="22"/>
        <v>0.18423999999999999</v>
      </c>
      <c r="AB16" s="8">
        <v>0.11974476710111195</v>
      </c>
      <c r="AC16" s="161">
        <f t="shared" si="23"/>
        <v>6.9209039548022613E-2</v>
      </c>
      <c r="AE16" s="181"/>
      <c r="AF16" s="20">
        <v>0.01</v>
      </c>
      <c r="AG16" s="20">
        <v>0.188</v>
      </c>
      <c r="AH16" s="20">
        <v>0.05</v>
      </c>
    </row>
    <row r="17" spans="1:34" x14ac:dyDescent="0.2">
      <c r="A17" s="18" t="s">
        <v>131</v>
      </c>
      <c r="B17" s="19" t="s">
        <v>257</v>
      </c>
      <c r="C17" s="19">
        <v>13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60.230897999999989</v>
      </c>
      <c r="M17" s="157">
        <f t="shared" si="19"/>
        <v>45.578120404055198</v>
      </c>
      <c r="N17" s="157">
        <f t="shared" si="19"/>
        <v>467.24420400302046</v>
      </c>
      <c r="O17" s="157">
        <f t="shared" si="20"/>
        <v>2.5067966222230358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0.75672324201533914</v>
      </c>
      <c r="Z17" s="21">
        <v>10.25150225285395</v>
      </c>
      <c r="AA17" s="161">
        <f t="shared" si="22"/>
        <v>9.9959999999999993E-2</v>
      </c>
      <c r="AB17" s="8">
        <v>0.12636730898852205</v>
      </c>
      <c r="AC17" s="161">
        <f t="shared" si="23"/>
        <v>7.6129943502824871E-2</v>
      </c>
      <c r="AE17" s="181"/>
      <c r="AF17" s="20">
        <v>0</v>
      </c>
      <c r="AG17" s="20">
        <v>0.10199999999999999</v>
      </c>
      <c r="AH17" s="20">
        <v>5.5E-2</v>
      </c>
    </row>
    <row r="18" spans="1:34" x14ac:dyDescent="0.2">
      <c r="A18" s="18" t="s">
        <v>465</v>
      </c>
      <c r="B18" s="19" t="s">
        <v>257</v>
      </c>
      <c r="C18" s="19">
        <v>13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11.809979999999999</v>
      </c>
      <c r="M18" s="157">
        <f t="shared" si="19"/>
        <v>7.41342729324667</v>
      </c>
      <c r="N18" s="157">
        <f t="shared" si="19"/>
        <v>96.374554812206711</v>
      </c>
      <c r="O18" s="157">
        <f t="shared" si="20"/>
        <v>0.54118019240700688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0.62772564333272962</v>
      </c>
      <c r="Z18" s="21">
        <v>13</v>
      </c>
      <c r="AA18" s="161">
        <f t="shared" si="22"/>
        <v>1.9599999999999999E-2</v>
      </c>
      <c r="AB18" s="8">
        <v>7.9410025759840117E-2</v>
      </c>
      <c r="AC18" s="161">
        <f t="shared" si="23"/>
        <v>0.10104519774011302</v>
      </c>
      <c r="AE18" s="181"/>
      <c r="AF18" s="20">
        <v>0</v>
      </c>
      <c r="AG18" s="20">
        <v>0.02</v>
      </c>
      <c r="AH18" s="20">
        <v>7.2999999999999995E-2</v>
      </c>
    </row>
    <row r="19" spans="1:34" x14ac:dyDescent="0.2">
      <c r="A19" s="18" t="s">
        <v>631</v>
      </c>
      <c r="B19" s="19" t="s">
        <v>257</v>
      </c>
      <c r="C19" s="19">
        <v>13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14.171975999999999</v>
      </c>
      <c r="M19" s="157">
        <f t="shared" si="19"/>
        <v>7.5944034011607711</v>
      </c>
      <c r="N19" s="157">
        <f t="shared" si="19"/>
        <v>95.917314956660547</v>
      </c>
      <c r="O19" s="157">
        <f t="shared" si="20"/>
        <v>0.48604181767428933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0.53587470097047663</v>
      </c>
      <c r="Z19" s="21">
        <v>12.63</v>
      </c>
      <c r="AA19" s="161">
        <f t="shared" si="22"/>
        <v>2.3519999999999999E-2</v>
      </c>
      <c r="AB19" s="8">
        <v>4.9865651337289124E-2</v>
      </c>
      <c r="AC19" s="161">
        <f t="shared" si="23"/>
        <v>8.858757062146895E-2</v>
      </c>
      <c r="AE19" s="181"/>
      <c r="AF19" s="20">
        <v>0</v>
      </c>
      <c r="AG19" s="20">
        <v>2.4E-2</v>
      </c>
      <c r="AH19" s="20">
        <v>6.4000000000000001E-2</v>
      </c>
    </row>
    <row r="20" spans="1:34" x14ac:dyDescent="0.2">
      <c r="B20" s="19" t="s">
        <v>257</v>
      </c>
      <c r="C20" s="19">
        <v>13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1.5945331092137506E-2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13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13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632</v>
      </c>
      <c r="B24" s="19" t="s">
        <v>10</v>
      </c>
      <c r="C24" s="19">
        <v>13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65.545389</v>
      </c>
      <c r="M24" s="157">
        <f t="shared" ref="M24:N27" si="24">L24*Y24</f>
        <v>44.069829796177089</v>
      </c>
      <c r="N24" s="157">
        <f t="shared" si="24"/>
        <v>482.55391213149016</v>
      </c>
      <c r="O24" s="157">
        <f t="shared" ref="O24:O27" si="25">M24*AH24</f>
        <v>3.7459355326750527</v>
      </c>
      <c r="Q24" s="14"/>
      <c r="R24" s="149"/>
      <c r="S24" s="148"/>
      <c r="T24" s="149"/>
      <c r="U24" s="149"/>
      <c r="V24" s="150"/>
      <c r="W24" s="165"/>
      <c r="X24" s="149"/>
      <c r="Y24" s="20">
        <v>0.67235591196471634</v>
      </c>
      <c r="Z24" s="115">
        <v>10.949756655818764</v>
      </c>
      <c r="AA24" s="161">
        <f t="shared" ref="AA24:AA27" si="26">(AG24/SUM(AG$7:AG$27))*0.98</f>
        <v>0.10878</v>
      </c>
      <c r="AB24" s="8">
        <v>0.23022113205181891</v>
      </c>
      <c r="AC24" s="161">
        <f t="shared" ref="AC24:AC27" si="27">(AH24/SUM(AH$7:AH$27))*0.98</f>
        <v>0.11765536723163844</v>
      </c>
      <c r="AE24" s="181"/>
      <c r="AF24" s="181"/>
      <c r="AG24" s="20">
        <v>0.111</v>
      </c>
      <c r="AH24" s="20">
        <v>8.5000000000000006E-2</v>
      </c>
    </row>
    <row r="25" spans="1:34" x14ac:dyDescent="0.2">
      <c r="A25" s="18" t="s">
        <v>70</v>
      </c>
      <c r="B25" s="19" t="s">
        <v>10</v>
      </c>
      <c r="C25" s="19">
        <v>13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7.0859879999999995</v>
      </c>
      <c r="M25" s="157">
        <f t="shared" si="24"/>
        <v>4.1532045760676457</v>
      </c>
      <c r="N25" s="157">
        <f t="shared" si="24"/>
        <v>54.282383809204127</v>
      </c>
      <c r="O25" s="157">
        <f t="shared" si="25"/>
        <v>0.24919227456405874</v>
      </c>
      <c r="Q25" s="14"/>
      <c r="R25" s="149"/>
      <c r="S25" s="148"/>
      <c r="T25" s="149"/>
      <c r="U25" s="149"/>
      <c r="V25" s="150"/>
      <c r="W25" s="165"/>
      <c r="X25" s="149"/>
      <c r="Y25" s="20">
        <v>0.58611510153102797</v>
      </c>
      <c r="Z25" s="115">
        <v>13.07</v>
      </c>
      <c r="AA25" s="161">
        <f t="shared" si="26"/>
        <v>1.176E-2</v>
      </c>
      <c r="AB25" s="8">
        <v>2.6598810973024269E-2</v>
      </c>
      <c r="AC25" s="161">
        <f t="shared" si="27"/>
        <v>8.3050847457627128E-2</v>
      </c>
      <c r="AE25" s="181"/>
      <c r="AF25" s="181"/>
      <c r="AG25" s="20">
        <v>1.2E-2</v>
      </c>
      <c r="AH25" s="20">
        <v>0.06</v>
      </c>
    </row>
    <row r="26" spans="1:34" x14ac:dyDescent="0.2">
      <c r="A26" s="18" t="s">
        <v>19</v>
      </c>
      <c r="B26" s="19" t="s">
        <v>10</v>
      </c>
      <c r="C26" s="19">
        <v>13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53.144909999999996</v>
      </c>
      <c r="M26" s="157">
        <f t="shared" si="24"/>
        <v>35.388403875992303</v>
      </c>
      <c r="N26" s="157">
        <f t="shared" si="24"/>
        <v>396.046323115132</v>
      </c>
      <c r="O26" s="157">
        <f t="shared" si="25"/>
        <v>2.901849117831369</v>
      </c>
      <c r="Q26" s="14"/>
      <c r="R26" s="149"/>
      <c r="S26" s="148"/>
      <c r="T26" s="149"/>
      <c r="U26" s="149"/>
      <c r="V26" s="150"/>
      <c r="W26" s="165"/>
      <c r="X26" s="149"/>
      <c r="Y26" s="20">
        <v>0.66588510312638227</v>
      </c>
      <c r="Z26" s="115">
        <v>11.191415258595828</v>
      </c>
      <c r="AA26" s="161">
        <f t="shared" si="26"/>
        <v>8.8200000000000001E-2</v>
      </c>
      <c r="AB26" s="8">
        <v>1.3379356596346597E-2</v>
      </c>
      <c r="AC26" s="161">
        <f t="shared" si="27"/>
        <v>0.1135028248587571</v>
      </c>
      <c r="AE26" s="181"/>
      <c r="AF26" s="181"/>
      <c r="AG26" s="20">
        <v>0.09</v>
      </c>
      <c r="AH26" s="20">
        <v>8.2000000000000003E-2</v>
      </c>
    </row>
    <row r="27" spans="1:34" x14ac:dyDescent="0.2">
      <c r="B27" s="19" t="s">
        <v>10</v>
      </c>
      <c r="C27" s="19">
        <v>13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0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0.9800000000000002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0.97500000000000009</v>
      </c>
      <c r="AC30" s="161">
        <f>SUM(AC7:AC27)</f>
        <v>0.98000000000000009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1030</v>
      </c>
      <c r="E31" s="48">
        <v>0.58499999999999996</v>
      </c>
      <c r="F31" s="2">
        <f>1-E31</f>
        <v>0.41500000000000004</v>
      </c>
      <c r="G31" s="114">
        <v>4.0999999999999996</v>
      </c>
      <c r="H31" s="134">
        <v>3.5999999999999997E-2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602.54999999999995</v>
      </c>
      <c r="E34" s="167">
        <f>SUM(E2:E4)</f>
        <v>400.56272535647599</v>
      </c>
      <c r="F34" s="167">
        <f>SUM(F2:F4)</f>
        <v>4535.1779203421238</v>
      </c>
      <c r="G34" s="167">
        <f>SUM(G2:G4)</f>
        <v>27.295775473516994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427.45000000000005</v>
      </c>
      <c r="E37" s="167">
        <f>D37*G31</f>
        <v>1752.5450000000001</v>
      </c>
      <c r="F37" s="167">
        <f>D37*H31</f>
        <v>15.388200000000001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418.90099999999995</v>
      </c>
      <c r="E40" s="168">
        <f>SUM(J2:J4,J7:J12,J15:J22)</f>
        <v>1743.0132285970174</v>
      </c>
      <c r="F40" s="168">
        <f>SUM(K2:K4,K7:K12,K15:K22)</f>
        <v>15.368079246122157</v>
      </c>
      <c r="G40" s="168">
        <f>SUM(L7:L12,L15:L22,L24:L27)</f>
        <v>590.49899999999991</v>
      </c>
      <c r="H40" s="168">
        <f>SUM(M7:M12,M15:M22,M24:M27)</f>
        <v>399.18382576197337</v>
      </c>
      <c r="I40" s="168">
        <f>SUM(N7:N12,N15:N22,N24:N27)</f>
        <v>4534.6589413789361</v>
      </c>
      <c r="J40" s="168">
        <f>SUM(O7:O12,O15:O22,O24:O27)</f>
        <v>27.257761190856865</v>
      </c>
    </row>
    <row r="41" spans="1:32" ht="15" thickTop="1" x14ac:dyDescent="0.2">
      <c r="D41" s="169">
        <f>D37-D40</f>
        <v>8.5490000000000919</v>
      </c>
      <c r="E41" s="169">
        <f>E37-E40</f>
        <v>9.531771402982713</v>
      </c>
      <c r="F41" s="169">
        <f>F37-F40</f>
        <v>2.0120753877844066E-2</v>
      </c>
      <c r="G41" s="169">
        <f>SUM(D2:D4)-G40</f>
        <v>12.051000000000045</v>
      </c>
      <c r="H41" s="169">
        <f>E34-H40</f>
        <v>1.3788995945026272</v>
      </c>
      <c r="I41" s="169">
        <f>F34-I40</f>
        <v>0.51897896318769199</v>
      </c>
      <c r="J41" s="169">
        <f>G34-J40</f>
        <v>3.8014282660128629E-2</v>
      </c>
    </row>
    <row r="42" spans="1:32" x14ac:dyDescent="0.2">
      <c r="A42" s="51"/>
      <c r="B42" s="24"/>
      <c r="C42" s="27"/>
      <c r="D42" s="26"/>
      <c r="E42" s="27"/>
      <c r="F42" s="27"/>
      <c r="G42" s="26"/>
      <c r="H42" s="27"/>
      <c r="I42" s="19"/>
      <c r="J42" s="19"/>
      <c r="K42" s="19"/>
      <c r="L42" s="19"/>
      <c r="M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C42" s="19"/>
    </row>
    <row r="43" spans="1:32" x14ac:dyDescent="0.2">
      <c r="A43" s="51"/>
      <c r="B43" s="24"/>
      <c r="C43" s="27"/>
      <c r="D43" s="26"/>
      <c r="E43" s="27"/>
      <c r="F43" s="27"/>
      <c r="G43" s="26"/>
      <c r="H43" s="27"/>
      <c r="I43" s="19"/>
      <c r="J43" s="19"/>
      <c r="K43" s="19"/>
      <c r="L43" s="19"/>
      <c r="M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C43" s="19"/>
    </row>
    <row r="44" spans="1:32" x14ac:dyDescent="0.2">
      <c r="A44" s="51"/>
      <c r="B44" s="24"/>
      <c r="C44" s="27"/>
      <c r="D44" s="26"/>
      <c r="E44" s="27"/>
      <c r="F44" s="27"/>
      <c r="G44" s="26"/>
      <c r="H44" s="27"/>
      <c r="I44" s="19"/>
      <c r="J44" s="19"/>
      <c r="K44" s="19"/>
      <c r="L44" s="19"/>
      <c r="M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C44" s="19"/>
    </row>
    <row r="45" spans="1:32" x14ac:dyDescent="0.2">
      <c r="A45" s="51"/>
      <c r="B45" s="24"/>
      <c r="C45" s="27"/>
      <c r="D45" s="26"/>
      <c r="E45" s="27"/>
      <c r="F45" s="27"/>
      <c r="G45" s="26"/>
      <c r="H45" s="27"/>
      <c r="I45" s="19"/>
      <c r="J45" s="19"/>
      <c r="K45" s="19"/>
      <c r="L45" s="19"/>
      <c r="M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C45" s="19"/>
    </row>
    <row r="46" spans="1:32" x14ac:dyDescent="0.2">
      <c r="N46" s="24"/>
      <c r="O46" s="24"/>
    </row>
  </sheetData>
  <sheetProtection selectLockedCells="1"/>
  <conditionalFormatting sqref="D41:J41">
    <cfRule type="cellIs" dxfId="47" priority="1" operator="lessThan">
      <formula>0</formula>
    </cfRule>
  </conditionalFormatting>
  <conditionalFormatting sqref="W30">
    <cfRule type="cellIs" dxfId="46" priority="2" operator="greaterThan">
      <formula>1</formula>
    </cfRule>
  </conditionalFormatting>
  <conditionalFormatting sqref="AA30:AG30">
    <cfRule type="cellIs" dxfId="45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>
    <tabColor rgb="FF6AE4FC"/>
  </sheetPr>
  <dimension ref="A1:AH41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175</v>
      </c>
      <c r="B2" s="19" t="s">
        <v>9</v>
      </c>
      <c r="C2" s="19">
        <v>5</v>
      </c>
      <c r="D2" s="157">
        <f>D$34*Q2</f>
        <v>667.03229999999996</v>
      </c>
      <c r="E2" s="157">
        <f>D2*R2</f>
        <v>445.5775764</v>
      </c>
      <c r="F2" s="157">
        <f>E2*S2</f>
        <v>4785.5031705359997</v>
      </c>
      <c r="G2" s="157">
        <f>E2*T2</f>
        <v>32.215258773720002</v>
      </c>
      <c r="H2" s="157">
        <f>E2*U2</f>
        <v>12.272600328966291</v>
      </c>
      <c r="I2" s="157">
        <f>D$37*W2</f>
        <v>59.850756000000011</v>
      </c>
      <c r="J2" s="157">
        <f>I2*V2</f>
        <v>226.83436524000004</v>
      </c>
      <c r="K2" s="157">
        <f>I2*X2</f>
        <v>1.5955992236678396</v>
      </c>
      <c r="L2" s="158"/>
      <c r="M2" s="158"/>
      <c r="N2" s="158"/>
      <c r="O2" s="158"/>
      <c r="Q2" s="161">
        <f>AE2</f>
        <v>0.99</v>
      </c>
      <c r="R2" s="116">
        <v>0.66800000000000004</v>
      </c>
      <c r="S2" s="115">
        <v>10.74</v>
      </c>
      <c r="T2" s="116">
        <v>7.2300000000000003E-2</v>
      </c>
      <c r="U2" s="20">
        <v>2.7543128242946049E-2</v>
      </c>
      <c r="V2" s="115">
        <v>3.79</v>
      </c>
      <c r="W2" s="161">
        <f>(AF2/SUM(AF$2:AF$22))*0.98</f>
        <v>0.13720000000000002</v>
      </c>
      <c r="X2" s="20">
        <v>2.665963356699854E-2</v>
      </c>
      <c r="Y2" s="22"/>
      <c r="Z2" s="23"/>
      <c r="AA2" s="1"/>
      <c r="AB2" s="1"/>
      <c r="AC2" s="1"/>
      <c r="AE2" s="20">
        <v>0.99</v>
      </c>
      <c r="AF2" s="20">
        <v>0.14000000000000001</v>
      </c>
      <c r="AG2" s="181"/>
      <c r="AH2" s="181"/>
    </row>
    <row r="3" spans="1:34" x14ac:dyDescent="0.2">
      <c r="A3" s="18" t="s">
        <v>587</v>
      </c>
      <c r="B3" s="19" t="s">
        <v>9</v>
      </c>
      <c r="C3" s="19">
        <v>5</v>
      </c>
      <c r="D3" s="157">
        <f>D$34*Q3</f>
        <v>6.7377000000000056</v>
      </c>
      <c r="E3" s="157">
        <f t="shared" ref="E3:F4" si="0">D3*R3</f>
        <v>4.0688821880684412</v>
      </c>
      <c r="F3" s="157">
        <f t="shared" si="0"/>
        <v>41.583975962059469</v>
      </c>
      <c r="G3" s="157">
        <f t="shared" ref="G3:G4" si="1">E3*T3</f>
        <v>0.27352406176017979</v>
      </c>
      <c r="H3" s="157">
        <f t="shared" ref="H3:H4" si="2">E3*U3</f>
        <v>0.17437897120395998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1.0000000000000009E-2</v>
      </c>
      <c r="R3" s="116">
        <v>0.60389779718129888</v>
      </c>
      <c r="S3" s="115">
        <v>10.220000000000001</v>
      </c>
      <c r="T3" s="116">
        <v>6.7223391859872389E-2</v>
      </c>
      <c r="U3" s="20">
        <v>4.2856726526835191E-2</v>
      </c>
      <c r="V3" s="115">
        <v>3.7126436781609198</v>
      </c>
      <c r="W3" s="161">
        <f t="shared" ref="W3:W4" si="5">(AF3/SUM(AF$2:AF$22))*0.98</f>
        <v>0</v>
      </c>
      <c r="X3" s="20">
        <v>3.4482758620689669E-2</v>
      </c>
      <c r="Y3" s="22"/>
      <c r="Z3" s="23"/>
      <c r="AA3" s="1"/>
      <c r="AB3" s="1"/>
      <c r="AC3" s="1"/>
      <c r="AE3" s="20">
        <f>1-AE2</f>
        <v>1.0000000000000009E-2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5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15</v>
      </c>
      <c r="B7" s="19" t="s">
        <v>256</v>
      </c>
      <c r="C7" s="19">
        <v>5</v>
      </c>
      <c r="D7" s="158"/>
      <c r="E7" s="158"/>
      <c r="F7" s="158"/>
      <c r="G7" s="158"/>
      <c r="H7" s="158"/>
      <c r="I7" s="157">
        <f t="shared" ref="I7:I12" si="6">D$37*W7</f>
        <v>214.18020540000001</v>
      </c>
      <c r="J7" s="157">
        <f>I7*V7</f>
        <v>965.95272635399999</v>
      </c>
      <c r="K7" s="157">
        <f>I7*X7</f>
        <v>10.70901027</v>
      </c>
      <c r="L7" s="157">
        <f>((D$2+D$3+D$4)*AA7)</f>
        <v>86.498592599999995</v>
      </c>
      <c r="M7" s="157">
        <f t="shared" ref="M7:N12" si="7">L7*Y7</f>
        <v>71.847002291877516</v>
      </c>
      <c r="N7" s="157">
        <f t="shared" si="7"/>
        <v>540.59903372044425</v>
      </c>
      <c r="O7" s="157">
        <f>M7*AH7</f>
        <v>3.7567060021896741</v>
      </c>
      <c r="Q7" s="14"/>
      <c r="R7" s="149"/>
      <c r="S7" s="148"/>
      <c r="T7" s="149"/>
      <c r="U7" s="149"/>
      <c r="V7" s="21">
        <v>4.51</v>
      </c>
      <c r="W7" s="161">
        <f t="shared" ref="W7:W12" si="8">(AF7/SUM(AF$2:AF$22))*0.98</f>
        <v>0.49097999999999997</v>
      </c>
      <c r="X7" s="20">
        <v>0.05</v>
      </c>
      <c r="Y7" s="20">
        <v>0.8306146970982915</v>
      </c>
      <c r="Z7" s="21">
        <v>7.5243088295356806</v>
      </c>
      <c r="AA7" s="161">
        <f>(AG7/SUM(AG$7:AG$27))*0.98</f>
        <v>0.12837999999999999</v>
      </c>
      <c r="AB7" s="8">
        <v>0.17226888316103126</v>
      </c>
      <c r="AC7" s="161">
        <f>(AH7/SUM(AH$7:AH$27))*0.98</f>
        <v>6.9689508351185342E-2</v>
      </c>
      <c r="AE7" s="181"/>
      <c r="AF7" s="20">
        <v>0.501</v>
      </c>
      <c r="AG7" s="20">
        <v>0.13100000000000001</v>
      </c>
      <c r="AH7" s="20">
        <v>5.2287581699346407E-2</v>
      </c>
    </row>
    <row r="8" spans="1:34" x14ac:dyDescent="0.2">
      <c r="A8" s="186" t="s">
        <v>504</v>
      </c>
      <c r="B8" s="19" t="s">
        <v>256</v>
      </c>
      <c r="C8" s="19">
        <v>5</v>
      </c>
      <c r="D8" s="158"/>
      <c r="E8" s="158"/>
      <c r="F8" s="158"/>
      <c r="G8" s="158"/>
      <c r="H8" s="158"/>
      <c r="I8" s="157">
        <f t="shared" si="6"/>
        <v>34.627937400000008</v>
      </c>
      <c r="J8" s="157">
        <f>I8*V8</f>
        <v>145.09047328492619</v>
      </c>
      <c r="K8" s="157">
        <f>I8*X8</f>
        <v>1.0388381220000003</v>
      </c>
      <c r="L8" s="157">
        <f>((D$2+D$3+D$4)*AA8)</f>
        <v>13.205891999999999</v>
      </c>
      <c r="M8" s="157">
        <f t="shared" si="7"/>
        <v>9.8825858576512271</v>
      </c>
      <c r="N8" s="157">
        <f t="shared" si="7"/>
        <v>66.055292511883863</v>
      </c>
      <c r="O8" s="157">
        <f t="shared" ref="O8:O12" si="9">M8*AH8</f>
        <v>0.29647757572953681</v>
      </c>
      <c r="Q8" s="14"/>
      <c r="R8" s="149"/>
      <c r="S8" s="148"/>
      <c r="T8" s="149"/>
      <c r="U8" s="149"/>
      <c r="V8" s="21">
        <v>4.1899831228447972</v>
      </c>
      <c r="W8" s="161">
        <f t="shared" si="8"/>
        <v>7.9380000000000006E-2</v>
      </c>
      <c r="X8" s="20">
        <v>0.03</v>
      </c>
      <c r="Y8" s="20">
        <v>0.74834671203211633</v>
      </c>
      <c r="Z8" s="21">
        <v>6.6840089692459381</v>
      </c>
      <c r="AA8" s="161">
        <f t="shared" ref="AA8:AA12" si="10">(AG8/SUM(AG$7:AG$27))*0.98</f>
        <v>1.9599999999999999E-2</v>
      </c>
      <c r="AB8" s="8">
        <v>3.8812397966613718E-2</v>
      </c>
      <c r="AC8" s="161">
        <f t="shared" ref="AC8:AC12" si="11">(AH8/SUM(AH$7:AH$27))*0.98</f>
        <v>3.998435541649259E-2</v>
      </c>
      <c r="AE8" s="181"/>
      <c r="AF8" s="20">
        <v>8.1000000000000003E-2</v>
      </c>
      <c r="AG8" s="20">
        <v>0.02</v>
      </c>
      <c r="AH8" s="20">
        <v>0.03</v>
      </c>
    </row>
    <row r="9" spans="1:34" x14ac:dyDescent="0.2">
      <c r="A9" s="186" t="s">
        <v>190</v>
      </c>
      <c r="B9" s="19" t="s">
        <v>256</v>
      </c>
      <c r="C9" s="19">
        <v>5</v>
      </c>
      <c r="D9" s="158"/>
      <c r="E9" s="158"/>
      <c r="F9" s="158"/>
      <c r="G9" s="158"/>
      <c r="H9" s="158"/>
      <c r="I9" s="157">
        <f t="shared" si="6"/>
        <v>110.29639320000001</v>
      </c>
      <c r="J9" s="157">
        <f>I9*V9</f>
        <v>474.27449076000005</v>
      </c>
      <c r="K9" s="157">
        <f>I9*X9</f>
        <v>3.6397809756000004</v>
      </c>
      <c r="L9" s="157">
        <f>((D$2+D$3+D$4)*AA9)</f>
        <v>27.072078600000001</v>
      </c>
      <c r="M9" s="157">
        <f t="shared" si="7"/>
        <v>19.9521219282</v>
      </c>
      <c r="N9" s="157">
        <f t="shared" si="7"/>
        <v>143.4184040946781</v>
      </c>
      <c r="O9" s="157">
        <f t="shared" si="9"/>
        <v>0.6783721455588001</v>
      </c>
      <c r="Q9" s="14"/>
      <c r="R9" s="149"/>
      <c r="S9" s="148"/>
      <c r="T9" s="149"/>
      <c r="U9" s="149"/>
      <c r="V9" s="21">
        <v>4.3</v>
      </c>
      <c r="W9" s="161">
        <f t="shared" si="8"/>
        <v>0.25284000000000001</v>
      </c>
      <c r="X9" s="20">
        <v>3.3000000000000002E-2</v>
      </c>
      <c r="Y9" s="20">
        <v>0.73699999999999999</v>
      </c>
      <c r="Z9" s="21">
        <v>7.1881278898949033</v>
      </c>
      <c r="AA9" s="161">
        <f t="shared" si="10"/>
        <v>4.018E-2</v>
      </c>
      <c r="AB9" s="8">
        <v>3.1632841041911976E-2</v>
      </c>
      <c r="AC9" s="161">
        <f t="shared" si="11"/>
        <v>4.5315602805358277E-2</v>
      </c>
      <c r="AE9" s="181"/>
      <c r="AF9" s="20">
        <v>0.25800000000000001</v>
      </c>
      <c r="AG9" s="20">
        <v>4.1000000000000002E-2</v>
      </c>
      <c r="AH9" s="20">
        <v>3.4000000000000002E-2</v>
      </c>
    </row>
    <row r="10" spans="1:34" x14ac:dyDescent="0.2">
      <c r="B10" s="19" t="s">
        <v>256</v>
      </c>
      <c r="C10" s="19">
        <v>5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5.8004810822843405E-3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B11" s="19" t="s">
        <v>256</v>
      </c>
      <c r="C11" s="19">
        <v>5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4.7695903319167005E-3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5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16</v>
      </c>
      <c r="B15" s="19" t="s">
        <v>257</v>
      </c>
      <c r="C15" s="19">
        <v>5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139.32216059999999</v>
      </c>
      <c r="M15" s="157">
        <f t="shared" ref="M15:N22" si="19">L15*Y15</f>
        <v>97.804156741199989</v>
      </c>
      <c r="N15" s="157">
        <f t="shared" si="19"/>
        <v>1007.3828144343599</v>
      </c>
      <c r="O15" s="157">
        <f t="shared" ref="O15:O22" si="20">M15*AH15</f>
        <v>6.4550743449191996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0.70199999999999996</v>
      </c>
      <c r="Z15" s="21">
        <v>10.3</v>
      </c>
      <c r="AA15" s="161">
        <f t="shared" ref="AA15:AA22" si="22">(AG15/SUM(AG$7:AG$27))*0.98</f>
        <v>0.20677999999999999</v>
      </c>
      <c r="AB15" s="8">
        <v>0.21754526431185253</v>
      </c>
      <c r="AC15" s="161">
        <f t="shared" ref="AC15:AC22" si="23">(AH15/SUM(AH$7:AH$27))*0.98</f>
        <v>8.7965581916283703E-2</v>
      </c>
      <c r="AE15" s="181"/>
      <c r="AF15" s="20">
        <v>0</v>
      </c>
      <c r="AG15" s="20">
        <v>0.21099999999999999</v>
      </c>
      <c r="AH15" s="20">
        <v>6.6000000000000003E-2</v>
      </c>
    </row>
    <row r="16" spans="1:34" x14ac:dyDescent="0.2">
      <c r="A16" s="18" t="s">
        <v>17</v>
      </c>
      <c r="B16" s="19" t="s">
        <v>257</v>
      </c>
      <c r="C16" s="19">
        <v>5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118.85302799999999</v>
      </c>
      <c r="M16" s="157">
        <f t="shared" si="19"/>
        <v>75.828231864000003</v>
      </c>
      <c r="N16" s="157">
        <f t="shared" si="19"/>
        <v>1059.3203991400801</v>
      </c>
      <c r="O16" s="157">
        <f t="shared" si="20"/>
        <v>6.8245408677599997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0.63800000000000001</v>
      </c>
      <c r="Z16" s="21">
        <v>13.97</v>
      </c>
      <c r="AA16" s="161">
        <f t="shared" si="22"/>
        <v>0.1764</v>
      </c>
      <c r="AB16" s="8">
        <v>0.11259283959625212</v>
      </c>
      <c r="AC16" s="161">
        <f t="shared" si="23"/>
        <v>0.11995306624947777</v>
      </c>
      <c r="AE16" s="181"/>
      <c r="AF16" s="20">
        <v>0</v>
      </c>
      <c r="AG16" s="20">
        <v>0.18</v>
      </c>
      <c r="AH16" s="20">
        <v>0.09</v>
      </c>
    </row>
    <row r="17" spans="1:34" x14ac:dyDescent="0.2">
      <c r="A17" s="18" t="s">
        <v>633</v>
      </c>
      <c r="B17" s="19" t="s">
        <v>257</v>
      </c>
      <c r="C17" s="19">
        <v>5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99.704484600000001</v>
      </c>
      <c r="M17" s="157">
        <f t="shared" si="19"/>
        <v>59.4238728216</v>
      </c>
      <c r="N17" s="157">
        <f t="shared" si="19"/>
        <v>834.31117441526396</v>
      </c>
      <c r="O17" s="157">
        <f t="shared" si="20"/>
        <v>5.5264201724088</v>
      </c>
      <c r="Q17" s="14"/>
      <c r="R17" s="149"/>
      <c r="S17" s="148"/>
      <c r="T17" s="149"/>
      <c r="U17" s="149"/>
      <c r="V17" s="21">
        <v>2.4768472906403942</v>
      </c>
      <c r="W17" s="161">
        <f t="shared" si="21"/>
        <v>0</v>
      </c>
      <c r="X17" s="20">
        <v>1.4778325123152709E-2</v>
      </c>
      <c r="Y17" s="20">
        <v>0.59599999999999997</v>
      </c>
      <c r="Z17" s="21">
        <v>14.04</v>
      </c>
      <c r="AA17" s="161">
        <f t="shared" si="22"/>
        <v>0.14798</v>
      </c>
      <c r="AB17" s="8">
        <v>6.732665020365261E-2</v>
      </c>
      <c r="AC17" s="161">
        <f t="shared" si="23"/>
        <v>0.12395150179112704</v>
      </c>
      <c r="AE17" s="181"/>
      <c r="AF17" s="20">
        <v>0</v>
      </c>
      <c r="AG17" s="20">
        <v>0.151</v>
      </c>
      <c r="AH17" s="20">
        <v>9.2999999999999999E-2</v>
      </c>
    </row>
    <row r="18" spans="1:34" x14ac:dyDescent="0.2">
      <c r="A18" s="18" t="s">
        <v>663</v>
      </c>
      <c r="B18" s="19" t="s">
        <v>257</v>
      </c>
      <c r="C18" s="19">
        <v>5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55.464746400000003</v>
      </c>
      <c r="M18" s="157">
        <f t="shared" si="19"/>
        <v>33.278847839999997</v>
      </c>
      <c r="N18" s="157">
        <f t="shared" si="19"/>
        <v>359.41155667200002</v>
      </c>
      <c r="O18" s="157">
        <f t="shared" si="20"/>
        <v>2.1631251095999997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0.6</v>
      </c>
      <c r="Z18" s="21">
        <v>10.8</v>
      </c>
      <c r="AA18" s="161">
        <f t="shared" si="22"/>
        <v>8.2320000000000004E-2</v>
      </c>
      <c r="AB18" s="8">
        <v>5.820001817091993E-2</v>
      </c>
      <c r="AC18" s="161">
        <f t="shared" si="23"/>
        <v>8.6632770069067291E-2</v>
      </c>
      <c r="AE18" s="181"/>
      <c r="AF18" s="20">
        <v>0</v>
      </c>
      <c r="AG18" s="20">
        <v>8.4000000000000005E-2</v>
      </c>
      <c r="AH18" s="20">
        <v>6.5000000000000002E-2</v>
      </c>
    </row>
    <row r="19" spans="1:34" x14ac:dyDescent="0.2">
      <c r="A19" s="18" t="s">
        <v>634</v>
      </c>
      <c r="B19" s="19" t="s">
        <v>257</v>
      </c>
      <c r="C19" s="19">
        <v>5</v>
      </c>
      <c r="D19" s="158"/>
      <c r="E19" s="158"/>
      <c r="F19" s="158"/>
      <c r="G19" s="158"/>
      <c r="H19" s="158"/>
      <c r="I19" s="157">
        <f t="shared" si="15"/>
        <v>8.5501079999999998</v>
      </c>
      <c r="J19" s="157">
        <f t="shared" si="16"/>
        <v>0</v>
      </c>
      <c r="K19" s="157">
        <f t="shared" si="17"/>
        <v>0</v>
      </c>
      <c r="L19" s="157">
        <f t="shared" si="18"/>
        <v>11.225008200000001</v>
      </c>
      <c r="M19" s="157">
        <f t="shared" si="19"/>
        <v>7.3748303874000012</v>
      </c>
      <c r="N19" s="157">
        <f t="shared" si="19"/>
        <v>76.698236028960011</v>
      </c>
      <c r="O19" s="157">
        <f t="shared" si="20"/>
        <v>0.39824084091960005</v>
      </c>
      <c r="Q19" s="14"/>
      <c r="R19" s="149"/>
      <c r="S19" s="148"/>
      <c r="T19" s="149"/>
      <c r="U19" s="149"/>
      <c r="V19" s="21">
        <v>0</v>
      </c>
      <c r="W19" s="161">
        <f t="shared" si="21"/>
        <v>1.9599999999999999E-2</v>
      </c>
      <c r="X19" s="20">
        <v>0</v>
      </c>
      <c r="Y19" s="20">
        <v>0.65700000000000003</v>
      </c>
      <c r="Z19" s="21">
        <v>10.4</v>
      </c>
      <c r="AA19" s="161">
        <f t="shared" si="22"/>
        <v>1.6660000000000001E-2</v>
      </c>
      <c r="AB19" s="8">
        <v>4.1588881440112538E-2</v>
      </c>
      <c r="AC19" s="161">
        <f t="shared" si="23"/>
        <v>7.197183974968667E-2</v>
      </c>
      <c r="AE19" s="181"/>
      <c r="AF19" s="20">
        <v>0.02</v>
      </c>
      <c r="AG19" s="20">
        <v>1.7000000000000001E-2</v>
      </c>
      <c r="AH19" s="20">
        <v>5.3999999999999999E-2</v>
      </c>
    </row>
    <row r="20" spans="1:34" x14ac:dyDescent="0.2">
      <c r="B20" s="19" t="s">
        <v>257</v>
      </c>
      <c r="C20" s="19">
        <v>5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1.1847873943922642E-2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5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1.0656048748898988E-2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5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57</v>
      </c>
      <c r="B24" s="19" t="s">
        <v>10</v>
      </c>
      <c r="C24" s="19">
        <v>5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63.388281599999999</v>
      </c>
      <c r="M24" s="157">
        <f t="shared" ref="M24:N27" si="24">L24*Y24</f>
        <v>43.144029170386133</v>
      </c>
      <c r="N24" s="157">
        <f t="shared" si="24"/>
        <v>431.83305588632311</v>
      </c>
      <c r="O24" s="157">
        <f t="shared" ref="O24:O27" si="25">M24*AH24</f>
        <v>4.0123947128459108</v>
      </c>
      <c r="Q24" s="14"/>
      <c r="R24" s="149"/>
      <c r="S24" s="148"/>
      <c r="T24" s="149"/>
      <c r="U24" s="149"/>
      <c r="V24" s="150"/>
      <c r="W24" s="165"/>
      <c r="X24" s="149"/>
      <c r="Y24" s="20">
        <v>0.68063099489963352</v>
      </c>
      <c r="Z24" s="115">
        <v>10.009103558244657</v>
      </c>
      <c r="AA24" s="161">
        <f t="shared" ref="AA24:AA27" si="26">(AG24/SUM(AG$7:AG$27))*0.98</f>
        <v>9.4079999999999997E-2</v>
      </c>
      <c r="AB24" s="8">
        <v>9.6811652968729178E-2</v>
      </c>
      <c r="AC24" s="161">
        <f t="shared" ref="AC24:AC27" si="27">(AH24/SUM(AH$7:AH$27))*0.98</f>
        <v>0.12395150179112704</v>
      </c>
      <c r="AE24" s="181"/>
      <c r="AF24" s="181"/>
      <c r="AG24" s="20">
        <v>9.6000000000000002E-2</v>
      </c>
      <c r="AH24" s="20">
        <v>9.2999999999999999E-2</v>
      </c>
    </row>
    <row r="25" spans="1:34" x14ac:dyDescent="0.2">
      <c r="A25" s="18" t="s">
        <v>220</v>
      </c>
      <c r="B25" s="19" t="s">
        <v>10</v>
      </c>
      <c r="C25" s="19">
        <v>5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21.789721799999999</v>
      </c>
      <c r="M25" s="157">
        <f t="shared" si="24"/>
        <v>14.097950004599999</v>
      </c>
      <c r="N25" s="157">
        <f t="shared" si="24"/>
        <v>139.56970504553999</v>
      </c>
      <c r="O25" s="157">
        <f t="shared" si="25"/>
        <v>0.95866060031279998</v>
      </c>
      <c r="Q25" s="14"/>
      <c r="R25" s="149"/>
      <c r="S25" s="148"/>
      <c r="T25" s="149"/>
      <c r="U25" s="149"/>
      <c r="V25" s="150"/>
      <c r="W25" s="165"/>
      <c r="X25" s="149"/>
      <c r="Y25" s="20">
        <v>0.64700000000000002</v>
      </c>
      <c r="Z25" s="115">
        <v>9.9</v>
      </c>
      <c r="AA25" s="161">
        <f t="shared" si="26"/>
        <v>3.2340000000000001E-2</v>
      </c>
      <c r="AB25" s="8">
        <v>5.2694290929165631E-2</v>
      </c>
      <c r="AC25" s="161">
        <f t="shared" si="27"/>
        <v>9.0631205610716553E-2</v>
      </c>
      <c r="AE25" s="181"/>
      <c r="AF25" s="181"/>
      <c r="AG25" s="20">
        <v>3.3000000000000002E-2</v>
      </c>
      <c r="AH25" s="20">
        <v>6.8000000000000005E-2</v>
      </c>
    </row>
    <row r="26" spans="1:34" x14ac:dyDescent="0.2">
      <c r="A26" s="18" t="s">
        <v>482</v>
      </c>
      <c r="B26" s="19" t="s">
        <v>10</v>
      </c>
      <c r="C26" s="19">
        <v>5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23.7706056</v>
      </c>
      <c r="M26" s="157">
        <f t="shared" si="24"/>
        <v>15.705785629597729</v>
      </c>
      <c r="N26" s="157">
        <f t="shared" si="24"/>
        <v>166.56462687307157</v>
      </c>
      <c r="O26" s="157">
        <f t="shared" si="25"/>
        <v>1.4135207066637956</v>
      </c>
      <c r="Q26" s="14"/>
      <c r="R26" s="149"/>
      <c r="S26" s="148"/>
      <c r="T26" s="149"/>
      <c r="U26" s="149"/>
      <c r="V26" s="150"/>
      <c r="W26" s="165"/>
      <c r="X26" s="149"/>
      <c r="Y26" s="20">
        <v>0.66072299098672227</v>
      </c>
      <c r="Z26" s="115">
        <v>10.605303727002275</v>
      </c>
      <c r="AA26" s="161">
        <f t="shared" si="26"/>
        <v>3.5279999999999999E-2</v>
      </c>
      <c r="AB26" s="8">
        <v>2.4998304401732552E-2</v>
      </c>
      <c r="AC26" s="161">
        <f t="shared" si="27"/>
        <v>0.11995306624947777</v>
      </c>
      <c r="AE26" s="181"/>
      <c r="AF26" s="181"/>
      <c r="AG26" s="20">
        <v>3.5999999999999997E-2</v>
      </c>
      <c r="AH26" s="20">
        <v>0.09</v>
      </c>
    </row>
    <row r="27" spans="1:34" x14ac:dyDescent="0.2">
      <c r="B27" s="19" t="s">
        <v>10</v>
      </c>
      <c r="C27" s="19">
        <v>5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2.7453981701003237E-2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0.97999999999999987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0.97499999999999987</v>
      </c>
      <c r="AC30" s="161">
        <f>SUM(AC7:AC27)</f>
        <v>0.98000000000000009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1110</v>
      </c>
      <c r="E31" s="48">
        <v>0.60699999999999998</v>
      </c>
      <c r="F31" s="2">
        <f>1-E31</f>
        <v>0.39300000000000002</v>
      </c>
      <c r="G31" s="114">
        <v>4.2</v>
      </c>
      <c r="H31" s="134">
        <v>3.9E-2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673.77</v>
      </c>
      <c r="E34" s="167">
        <f>SUM(E2:E4)</f>
        <v>449.64645858806841</v>
      </c>
      <c r="F34" s="167">
        <f>SUM(F2:F4)</f>
        <v>4827.0871464980592</v>
      </c>
      <c r="G34" s="167">
        <f>SUM(G2:G4)</f>
        <v>32.48878283548018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436.23</v>
      </c>
      <c r="E37" s="167">
        <f>D37*G31</f>
        <v>1832.1660000000002</v>
      </c>
      <c r="F37" s="167">
        <f>D37*H31</f>
        <v>17.012969999999999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427.50540000000007</v>
      </c>
      <c r="E40" s="168">
        <f>SUM(J2:J4,J7:J12,J15:J22)</f>
        <v>1812.1520556389264</v>
      </c>
      <c r="F40" s="168">
        <f>SUM(K2:K4,K7:K12,K15:K22)</f>
        <v>16.983228591267839</v>
      </c>
      <c r="G40" s="168">
        <f>SUM(L7:L12,L15:L22,L24:L27)</f>
        <v>660.29460000000006</v>
      </c>
      <c r="H40" s="168">
        <f>SUM(M7:M12,M15:M22,M24:M27)</f>
        <v>448.33941453651261</v>
      </c>
      <c r="I40" s="168">
        <f>SUM(N7:N12,N15:N22,N24:N27)</f>
        <v>4825.1642988226049</v>
      </c>
      <c r="J40" s="168">
        <f>SUM(O7:O12,O15:O22,O24:O27)</f>
        <v>32.483533078908117</v>
      </c>
    </row>
    <row r="41" spans="1:32" ht="15" thickTop="1" x14ac:dyDescent="0.2">
      <c r="D41" s="169">
        <f>D37-D40</f>
        <v>8.7245999999999526</v>
      </c>
      <c r="E41" s="169">
        <f>E37-E40</f>
        <v>20.013944361073754</v>
      </c>
      <c r="F41" s="169">
        <f>F37-F40</f>
        <v>2.9741408732160579E-2</v>
      </c>
      <c r="G41" s="169">
        <f>SUM(D2:D4)-G40</f>
        <v>13.475399999999922</v>
      </c>
      <c r="H41" s="169">
        <f>E34-H40</f>
        <v>1.3070440515558062</v>
      </c>
      <c r="I41" s="169">
        <f>F34-I40</f>
        <v>1.9228476754542498</v>
      </c>
      <c r="J41" s="169">
        <f>G34-J40</f>
        <v>5.2497565720628359E-3</v>
      </c>
    </row>
  </sheetData>
  <sheetProtection selectLockedCells="1"/>
  <conditionalFormatting sqref="D41:J41">
    <cfRule type="cellIs" dxfId="44" priority="1" operator="lessThan">
      <formula>0</formula>
    </cfRule>
  </conditionalFormatting>
  <conditionalFormatting sqref="W30">
    <cfRule type="cellIs" dxfId="43" priority="2" operator="greaterThan">
      <formula>1</formula>
    </cfRule>
  </conditionalFormatting>
  <conditionalFormatting sqref="AA30:AG30">
    <cfRule type="cellIs" dxfId="42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>
    <tabColor rgb="FF057AFB"/>
  </sheetPr>
  <dimension ref="A1:AH41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AC22" sqref="AC2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46</v>
      </c>
      <c r="B2" s="19" t="s">
        <v>9</v>
      </c>
      <c r="C2" s="19">
        <v>10</v>
      </c>
      <c r="D2" s="157">
        <f>D$34*Q2</f>
        <v>605.21471999999994</v>
      </c>
      <c r="E2" s="157">
        <f>D2*R2</f>
        <v>403.22042572745528</v>
      </c>
      <c r="F2" s="157">
        <f>E2*S2</f>
        <v>4520.7123721191228</v>
      </c>
      <c r="G2" s="157">
        <f>E2*T2</f>
        <v>28.144785715776379</v>
      </c>
      <c r="H2" s="157">
        <f>E2*U2</f>
        <v>16.334362899087708</v>
      </c>
      <c r="I2" s="157">
        <f>D$37*W2</f>
        <v>25.023398400000001</v>
      </c>
      <c r="J2" s="157">
        <f>I2*V2</f>
        <v>55.022129781943526</v>
      </c>
      <c r="K2" s="157">
        <f>I2*X2</f>
        <v>0.80746585895939871</v>
      </c>
      <c r="L2" s="158"/>
      <c r="M2" s="158"/>
      <c r="N2" s="158"/>
      <c r="O2" s="158"/>
      <c r="Q2" s="161">
        <f>AE2</f>
        <v>0.96</v>
      </c>
      <c r="R2" s="116">
        <v>0.66624358661906857</v>
      </c>
      <c r="S2" s="115">
        <v>11.211516291525278</v>
      </c>
      <c r="T2" s="116">
        <v>6.9800000000000001E-2</v>
      </c>
      <c r="U2" s="20">
        <v>4.0509760559918735E-2</v>
      </c>
      <c r="V2" s="115">
        <v>2.1988272297156697</v>
      </c>
      <c r="W2" s="161">
        <f>(AF2/SUM(AF$2:AF$22))*0.98</f>
        <v>5.8799999999999998E-2</v>
      </c>
      <c r="X2" s="20">
        <v>3.2268433170108447E-2</v>
      </c>
      <c r="Y2" s="22"/>
      <c r="Z2" s="23"/>
      <c r="AA2" s="1"/>
      <c r="AB2" s="1"/>
      <c r="AC2" s="1"/>
      <c r="AE2" s="20">
        <v>0.96</v>
      </c>
      <c r="AF2" s="20">
        <v>0.06</v>
      </c>
      <c r="AG2" s="181"/>
      <c r="AH2" s="181"/>
    </row>
    <row r="3" spans="1:34" x14ac:dyDescent="0.2">
      <c r="A3" s="18" t="s">
        <v>635</v>
      </c>
      <c r="B3" s="19" t="s">
        <v>9</v>
      </c>
      <c r="C3" s="19">
        <v>10</v>
      </c>
      <c r="D3" s="157">
        <f>D$34*Q3</f>
        <v>25.217280000000024</v>
      </c>
      <c r="E3" s="157">
        <f t="shared" ref="E3:F4" si="0">D3*R3</f>
        <v>15.631473331449063</v>
      </c>
      <c r="F3" s="157">
        <f t="shared" si="0"/>
        <v>164.92402007411778</v>
      </c>
      <c r="G3" s="157">
        <f t="shared" ref="G3:G4" si="1">E3*T3</f>
        <v>0.8632685331305876</v>
      </c>
      <c r="H3" s="157">
        <f t="shared" ref="H3:H4" si="2">E3*U3</f>
        <v>0.65209895868144907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4.0000000000000036E-2</v>
      </c>
      <c r="R3" s="116">
        <v>0.61987150602479923</v>
      </c>
      <c r="S3" s="115">
        <v>10.550766173928471</v>
      </c>
      <c r="T3" s="116">
        <v>5.5226306236519113E-2</v>
      </c>
      <c r="U3" s="20">
        <v>4.1717050264832481E-2</v>
      </c>
      <c r="V3" s="115">
        <v>3.1511111111111112</v>
      </c>
      <c r="W3" s="161">
        <f t="shared" ref="W3:W4" si="5">(AF3/SUM(AF$2:AF$22))*0.98</f>
        <v>0</v>
      </c>
      <c r="X3" s="20">
        <v>1.3333333333333336E-2</v>
      </c>
      <c r="Y3" s="22"/>
      <c r="Z3" s="23"/>
      <c r="AA3" s="1"/>
      <c r="AB3" s="1"/>
      <c r="AC3" s="1"/>
      <c r="AE3" s="20">
        <f>1-AE2</f>
        <v>4.0000000000000036E-2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10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483</v>
      </c>
      <c r="B7" s="19" t="s">
        <v>256</v>
      </c>
      <c r="C7" s="19">
        <v>10</v>
      </c>
      <c r="D7" s="158"/>
      <c r="E7" s="158"/>
      <c r="F7" s="158"/>
      <c r="G7" s="158"/>
      <c r="H7" s="158"/>
      <c r="I7" s="157">
        <f t="shared" ref="I7:I12" si="6">D$37*W7</f>
        <v>237.72228480000001</v>
      </c>
      <c r="J7" s="157">
        <f>I7*V7</f>
        <v>1007.9424875520001</v>
      </c>
      <c r="K7" s="157">
        <f>I7*X7</f>
        <v>7.6071131136000005</v>
      </c>
      <c r="L7" s="157">
        <f>((D$2+D$3+D$4)*AA7)</f>
        <v>45.718928640000001</v>
      </c>
      <c r="M7" s="157">
        <f t="shared" ref="M7:N12" si="7">L7*Y7</f>
        <v>33.237661121279999</v>
      </c>
      <c r="N7" s="157">
        <f t="shared" si="7"/>
        <v>271.5516913608576</v>
      </c>
      <c r="O7" s="157">
        <f>M7*AH7</f>
        <v>1.3295064448512</v>
      </c>
      <c r="Q7" s="14"/>
      <c r="R7" s="149"/>
      <c r="S7" s="148"/>
      <c r="T7" s="149"/>
      <c r="U7" s="149"/>
      <c r="V7" s="21">
        <v>4.24</v>
      </c>
      <c r="W7" s="161">
        <f t="shared" ref="W7:W12" si="8">(AF7/SUM(AF$2:AF$22))*0.98</f>
        <v>0.55859999999999999</v>
      </c>
      <c r="X7" s="20">
        <v>3.2000000000000001E-2</v>
      </c>
      <c r="Y7" s="20">
        <v>0.72699999999999998</v>
      </c>
      <c r="Z7" s="21">
        <v>8.17</v>
      </c>
      <c r="AA7" s="161">
        <f t="shared" ref="AA7:AA11" si="9">(AG7/SUM(AG$7:AG$27))*0.98</f>
        <v>7.2520000000000001E-2</v>
      </c>
      <c r="AB7" s="8">
        <v>3.4404333853593171E-2</v>
      </c>
      <c r="AC7" s="161">
        <f t="shared" ref="AC7:AC11" si="10">(AH7/SUM(AH$7:AH$27))*0.98</f>
        <v>5.9393939393939402E-2</v>
      </c>
      <c r="AE7" s="181"/>
      <c r="AF7" s="20">
        <v>0.56999999999999995</v>
      </c>
      <c r="AG7" s="20">
        <v>7.3999999999999996E-2</v>
      </c>
      <c r="AH7" s="20">
        <v>0.04</v>
      </c>
    </row>
    <row r="8" spans="1:34" x14ac:dyDescent="0.2">
      <c r="A8" s="18" t="s">
        <v>519</v>
      </c>
      <c r="B8" s="19" t="s">
        <v>256</v>
      </c>
      <c r="C8" s="19">
        <v>10</v>
      </c>
      <c r="D8" s="158"/>
      <c r="E8" s="158"/>
      <c r="F8" s="158"/>
      <c r="G8" s="158"/>
      <c r="H8" s="158"/>
      <c r="I8" s="157">
        <f t="shared" si="6"/>
        <v>117.19291584000001</v>
      </c>
      <c r="J8" s="157">
        <f>I8*V8</f>
        <v>480.49095494400001</v>
      </c>
      <c r="K8" s="157">
        <f>I8*X8</f>
        <v>3.6329803910400003</v>
      </c>
      <c r="L8" s="157">
        <f>((D$2+D$3+D$4)*AA8)</f>
        <v>30.273344640000001</v>
      </c>
      <c r="M8" s="157">
        <f t="shared" si="7"/>
        <v>21.818445873841096</v>
      </c>
      <c r="N8" s="157">
        <f t="shared" si="7"/>
        <v>169.3111399810069</v>
      </c>
      <c r="O8" s="157">
        <f t="shared" ref="O8:O12" si="11">M8*AH8</f>
        <v>0.67637182208907398</v>
      </c>
      <c r="Q8" s="14"/>
      <c r="R8" s="149"/>
      <c r="S8" s="148"/>
      <c r="T8" s="149"/>
      <c r="U8" s="149"/>
      <c r="V8" s="21">
        <v>4.0999999999999996</v>
      </c>
      <c r="W8" s="161">
        <f t="shared" si="8"/>
        <v>0.27538000000000001</v>
      </c>
      <c r="X8" s="20">
        <v>3.1E-2</v>
      </c>
      <c r="Y8" s="20">
        <v>0.72071474537413704</v>
      </c>
      <c r="Z8" s="21">
        <v>7.76</v>
      </c>
      <c r="AA8" s="161">
        <f t="shared" si="9"/>
        <v>4.802E-2</v>
      </c>
      <c r="AB8" s="8">
        <v>8.7665651879794172E-3</v>
      </c>
      <c r="AC8" s="161">
        <f t="shared" si="10"/>
        <v>4.6030303030303032E-2</v>
      </c>
      <c r="AE8" s="181"/>
      <c r="AF8" s="20">
        <v>0.28100000000000003</v>
      </c>
      <c r="AG8" s="20">
        <v>4.9000000000000002E-2</v>
      </c>
      <c r="AH8" s="20">
        <v>3.1E-2</v>
      </c>
    </row>
    <row r="9" spans="1:34" x14ac:dyDescent="0.2">
      <c r="A9" s="18" t="s">
        <v>677</v>
      </c>
      <c r="B9" s="19" t="s">
        <v>256</v>
      </c>
      <c r="C9" s="19">
        <v>10</v>
      </c>
      <c r="D9" s="158"/>
      <c r="E9" s="158"/>
      <c r="F9" s="158"/>
      <c r="G9" s="158"/>
      <c r="H9" s="158"/>
      <c r="I9" s="157">
        <f t="shared" si="6"/>
        <v>20.435775360000001</v>
      </c>
      <c r="J9" s="157">
        <f t="shared" ref="J9:J12" si="12">I9*V9</f>
        <v>84.308252000166959</v>
      </c>
      <c r="K9" s="157">
        <f t="shared" ref="K9:K12" si="13">I9*X9</f>
        <v>0.65394481152000006</v>
      </c>
      <c r="L9" s="157">
        <f t="shared" ref="L9:L12" si="14">((D$2+D$3+D$4)*AA9)</f>
        <v>21.623817600000002</v>
      </c>
      <c r="M9" s="157">
        <f t="shared" si="7"/>
        <v>15.027952863108744</v>
      </c>
      <c r="N9" s="157">
        <f t="shared" si="7"/>
        <v>117.81381505200257</v>
      </c>
      <c r="O9" s="157">
        <f t="shared" si="11"/>
        <v>0.52597835020880612</v>
      </c>
      <c r="Q9" s="14"/>
      <c r="R9" s="149"/>
      <c r="S9" s="148"/>
      <c r="T9" s="149"/>
      <c r="U9" s="149"/>
      <c r="V9" s="21">
        <v>4.1255225463667928</v>
      </c>
      <c r="W9" s="161">
        <f t="shared" si="8"/>
        <v>4.802E-2</v>
      </c>
      <c r="X9" s="20">
        <v>3.2000000000000001E-2</v>
      </c>
      <c r="Y9" s="20">
        <v>0.69497223575862677</v>
      </c>
      <c r="Z9" s="21">
        <v>7.8396449686248957</v>
      </c>
      <c r="AA9" s="161">
        <f t="shared" si="9"/>
        <v>3.4300000000000004E-2</v>
      </c>
      <c r="AB9" s="8">
        <v>3.893395254108944E-3</v>
      </c>
      <c r="AC9" s="161">
        <f t="shared" si="10"/>
        <v>5.1969696969696978E-2</v>
      </c>
      <c r="AE9" s="181"/>
      <c r="AF9" s="20">
        <v>4.9000000000000002E-2</v>
      </c>
      <c r="AG9" s="20">
        <v>3.5000000000000003E-2</v>
      </c>
      <c r="AH9" s="20">
        <v>3.5000000000000003E-2</v>
      </c>
    </row>
    <row r="10" spans="1:34" x14ac:dyDescent="0.2">
      <c r="B10" s="19" t="s">
        <v>256</v>
      </c>
      <c r="C10" s="19">
        <v>10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si="12"/>
        <v>0</v>
      </c>
      <c r="K10" s="157">
        <f t="shared" si="13"/>
        <v>0</v>
      </c>
      <c r="L10" s="157">
        <f t="shared" si="14"/>
        <v>0</v>
      </c>
      <c r="M10" s="157">
        <f t="shared" si="7"/>
        <v>0</v>
      </c>
      <c r="N10" s="157">
        <f t="shared" si="7"/>
        <v>0</v>
      </c>
      <c r="O10" s="157">
        <f t="shared" si="11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9"/>
        <v>0</v>
      </c>
      <c r="AB10" s="8">
        <v>0</v>
      </c>
      <c r="AC10" s="161">
        <f t="shared" si="10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B11" s="19" t="s">
        <v>256</v>
      </c>
      <c r="C11" s="19">
        <v>10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11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9"/>
        <v>0</v>
      </c>
      <c r="AB11" s="8">
        <v>0</v>
      </c>
      <c r="AC11" s="161">
        <f t="shared" si="10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10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11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ref="AA12" si="15">(AG12/SUM(AG$7:AG$27))*0.98</f>
        <v>0</v>
      </c>
      <c r="AB12" s="8">
        <v>0</v>
      </c>
      <c r="AC12" s="161">
        <f t="shared" ref="AC12" si="16">(AH12/SUM(AH$7:AH$27))*0.98</f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61</v>
      </c>
      <c r="B15" s="19" t="s">
        <v>257</v>
      </c>
      <c r="C15" s="19">
        <v>10</v>
      </c>
      <c r="D15" s="158"/>
      <c r="E15" s="158"/>
      <c r="F15" s="158"/>
      <c r="G15" s="158"/>
      <c r="H15" s="158"/>
      <c r="I15" s="157">
        <f t="shared" ref="I15:I22" si="17">D$37*W15</f>
        <v>12.511699200000001</v>
      </c>
      <c r="J15" s="157">
        <f t="shared" ref="J15:J22" si="18">I15*V15</f>
        <v>91.973417960264896</v>
      </c>
      <c r="K15" s="157">
        <f t="shared" ref="K15:K22" si="19">I15*X15</f>
        <v>2.1761588139317252</v>
      </c>
      <c r="L15" s="157">
        <f t="shared" ref="L15:L22" si="20">((D$2+D$3+D$4)*AA15)</f>
        <v>140.86372607999999</v>
      </c>
      <c r="M15" s="157">
        <f t="shared" ref="M15:N22" si="21">L15*Y15</f>
        <v>104.09829357311999</v>
      </c>
      <c r="N15" s="157">
        <f t="shared" si="21"/>
        <v>1275.0401129399734</v>
      </c>
      <c r="O15" s="157">
        <f t="shared" ref="O15:O22" si="22">M15*AH15</f>
        <v>9.4729447151539183</v>
      </c>
      <c r="Q15" s="14"/>
      <c r="R15" s="149"/>
      <c r="S15" s="148"/>
      <c r="T15" s="149"/>
      <c r="U15" s="149"/>
      <c r="V15" s="21">
        <v>7.3509933774834435</v>
      </c>
      <c r="W15" s="161">
        <f t="shared" ref="W15:W22" si="23">(AF15/SUM(AF$2:AF$22))*0.98</f>
        <v>2.9399999999999999E-2</v>
      </c>
      <c r="X15" s="20">
        <v>0.17392991784295175</v>
      </c>
      <c r="Y15" s="20">
        <v>0.73899999999999999</v>
      </c>
      <c r="Z15" s="21">
        <v>12.24842472604384</v>
      </c>
      <c r="AA15" s="161">
        <f t="shared" ref="AA15:AA22" si="24">(AG15/SUM(AG$7:AG$27))*0.98</f>
        <v>0.22344</v>
      </c>
      <c r="AB15" s="8">
        <v>0.19862765039737781</v>
      </c>
      <c r="AC15" s="161">
        <f t="shared" ref="AC15:AC22" si="25">(AH15/SUM(AH$7:AH$27))*0.98</f>
        <v>0.13512121212121211</v>
      </c>
      <c r="AE15" s="181"/>
      <c r="AF15" s="20">
        <v>0.03</v>
      </c>
      <c r="AG15" s="20">
        <v>0.22800000000000001</v>
      </c>
      <c r="AH15" s="20">
        <v>9.0999999999999998E-2</v>
      </c>
    </row>
    <row r="16" spans="1:34" x14ac:dyDescent="0.2">
      <c r="A16" s="18" t="s">
        <v>176</v>
      </c>
      <c r="B16" s="19" t="s">
        <v>257</v>
      </c>
      <c r="C16" s="19">
        <v>10</v>
      </c>
      <c r="D16" s="158"/>
      <c r="E16" s="158"/>
      <c r="F16" s="158"/>
      <c r="G16" s="158"/>
      <c r="H16" s="158"/>
      <c r="I16" s="157">
        <f t="shared" si="17"/>
        <v>0</v>
      </c>
      <c r="J16" s="157">
        <f t="shared" si="18"/>
        <v>0</v>
      </c>
      <c r="K16" s="157">
        <f t="shared" si="19"/>
        <v>0</v>
      </c>
      <c r="L16" s="157">
        <f t="shared" si="20"/>
        <v>93.291327359999997</v>
      </c>
      <c r="M16" s="157">
        <f t="shared" si="21"/>
        <v>52.128575665652221</v>
      </c>
      <c r="N16" s="157">
        <f t="shared" si="21"/>
        <v>750.13020382873549</v>
      </c>
      <c r="O16" s="157">
        <f t="shared" si="22"/>
        <v>4.8479575369056569</v>
      </c>
      <c r="Q16" s="14"/>
      <c r="R16" s="149"/>
      <c r="S16" s="148"/>
      <c r="T16" s="149"/>
      <c r="U16" s="149"/>
      <c r="V16" s="21">
        <v>0</v>
      </c>
      <c r="W16" s="161">
        <f t="shared" si="23"/>
        <v>0</v>
      </c>
      <c r="X16" s="20">
        <v>0</v>
      </c>
      <c r="Y16" s="20">
        <v>0.55877193669347558</v>
      </c>
      <c r="Z16" s="21">
        <v>14.39</v>
      </c>
      <c r="AA16" s="161">
        <f t="shared" si="24"/>
        <v>0.14798</v>
      </c>
      <c r="AB16" s="8">
        <v>0.20131317857431055</v>
      </c>
      <c r="AC16" s="161">
        <f t="shared" si="25"/>
        <v>0.1380909090909091</v>
      </c>
      <c r="AE16" s="181"/>
      <c r="AF16" s="20">
        <v>0</v>
      </c>
      <c r="AG16" s="20">
        <v>0.151</v>
      </c>
      <c r="AH16" s="20">
        <v>9.2999999999999999E-2</v>
      </c>
    </row>
    <row r="17" spans="1:34" x14ac:dyDescent="0.2">
      <c r="A17" s="18" t="s">
        <v>246</v>
      </c>
      <c r="B17" s="19" t="s">
        <v>257</v>
      </c>
      <c r="C17" s="19">
        <v>10</v>
      </c>
      <c r="D17" s="158"/>
      <c r="E17" s="158"/>
      <c r="F17" s="158"/>
      <c r="G17" s="158"/>
      <c r="H17" s="158"/>
      <c r="I17" s="157">
        <f t="shared" si="17"/>
        <v>0</v>
      </c>
      <c r="J17" s="157">
        <f t="shared" si="18"/>
        <v>0</v>
      </c>
      <c r="K17" s="157">
        <f t="shared" si="19"/>
        <v>0</v>
      </c>
      <c r="L17" s="157">
        <f t="shared" si="20"/>
        <v>43.865458559999993</v>
      </c>
      <c r="M17" s="157">
        <f t="shared" si="21"/>
        <v>28.080836275187906</v>
      </c>
      <c r="N17" s="157">
        <f t="shared" si="21"/>
        <v>331.3538680472173</v>
      </c>
      <c r="O17" s="157">
        <f t="shared" si="22"/>
        <v>1.3478801412090196</v>
      </c>
      <c r="Q17" s="14"/>
      <c r="R17" s="149"/>
      <c r="S17" s="148"/>
      <c r="T17" s="149"/>
      <c r="U17" s="149"/>
      <c r="V17" s="21">
        <v>0</v>
      </c>
      <c r="W17" s="161">
        <f t="shared" si="23"/>
        <v>0</v>
      </c>
      <c r="X17" s="20">
        <v>0</v>
      </c>
      <c r="Y17" s="20">
        <v>0.6401582748024488</v>
      </c>
      <c r="Z17" s="21">
        <v>11.8</v>
      </c>
      <c r="AA17" s="161">
        <f t="shared" si="24"/>
        <v>6.9579999999999989E-2</v>
      </c>
      <c r="AB17" s="8">
        <v>9.2163853721224362E-2</v>
      </c>
      <c r="AC17" s="161">
        <f t="shared" si="25"/>
        <v>7.1272727272727279E-2</v>
      </c>
      <c r="AE17" s="181"/>
      <c r="AF17" s="20">
        <v>0</v>
      </c>
      <c r="AG17" s="20">
        <v>7.0999999999999994E-2</v>
      </c>
      <c r="AH17" s="20">
        <v>4.8000000000000001E-2</v>
      </c>
    </row>
    <row r="18" spans="1:34" x14ac:dyDescent="0.2">
      <c r="A18" s="18" t="s">
        <v>636</v>
      </c>
      <c r="B18" s="19" t="s">
        <v>257</v>
      </c>
      <c r="C18" s="19">
        <v>10</v>
      </c>
      <c r="D18" s="158"/>
      <c r="E18" s="158"/>
      <c r="F18" s="158"/>
      <c r="G18" s="158"/>
      <c r="H18" s="158"/>
      <c r="I18" s="157">
        <f t="shared" si="17"/>
        <v>4.1705664000000002</v>
      </c>
      <c r="J18" s="157">
        <f t="shared" si="18"/>
        <v>0</v>
      </c>
      <c r="K18" s="157">
        <f t="shared" si="19"/>
        <v>0</v>
      </c>
      <c r="L18" s="157">
        <f t="shared" si="20"/>
        <v>61.782336000000001</v>
      </c>
      <c r="M18" s="157">
        <f t="shared" si="21"/>
        <v>37.501877952000001</v>
      </c>
      <c r="N18" s="157">
        <f t="shared" si="21"/>
        <v>510.02554014719999</v>
      </c>
      <c r="O18" s="157">
        <f t="shared" si="22"/>
        <v>2.5501277007360001</v>
      </c>
      <c r="Q18" s="14"/>
      <c r="R18" s="149"/>
      <c r="S18" s="148"/>
      <c r="T18" s="149"/>
      <c r="U18" s="149"/>
      <c r="V18" s="21">
        <v>0</v>
      </c>
      <c r="W18" s="161">
        <f t="shared" si="23"/>
        <v>9.7999999999999997E-3</v>
      </c>
      <c r="X18" s="20">
        <v>0</v>
      </c>
      <c r="Y18" s="20">
        <v>0.60699999999999998</v>
      </c>
      <c r="Z18" s="21">
        <v>13.6</v>
      </c>
      <c r="AA18" s="161">
        <f t="shared" si="24"/>
        <v>9.8000000000000004E-2</v>
      </c>
      <c r="AB18" s="8">
        <v>6.0549602613651103E-2</v>
      </c>
      <c r="AC18" s="161">
        <f t="shared" si="25"/>
        <v>0.10096969696969699</v>
      </c>
      <c r="AE18" s="181"/>
      <c r="AF18" s="20">
        <v>0.01</v>
      </c>
      <c r="AG18" s="20">
        <v>0.1</v>
      </c>
      <c r="AH18" s="20">
        <v>6.8000000000000005E-2</v>
      </c>
    </row>
    <row r="19" spans="1:34" x14ac:dyDescent="0.2">
      <c r="A19" s="18" t="s">
        <v>245</v>
      </c>
      <c r="B19" s="19" t="s">
        <v>257</v>
      </c>
      <c r="C19" s="19">
        <v>10</v>
      </c>
      <c r="D19" s="158"/>
      <c r="E19" s="158"/>
      <c r="F19" s="158"/>
      <c r="G19" s="158"/>
      <c r="H19" s="158"/>
      <c r="I19" s="157">
        <f t="shared" si="17"/>
        <v>0</v>
      </c>
      <c r="J19" s="157">
        <f t="shared" si="18"/>
        <v>0</v>
      </c>
      <c r="K19" s="157">
        <f t="shared" si="19"/>
        <v>0</v>
      </c>
      <c r="L19" s="157">
        <f t="shared" si="20"/>
        <v>52.514985600000003</v>
      </c>
      <c r="M19" s="157">
        <f t="shared" si="21"/>
        <v>31.561506345600002</v>
      </c>
      <c r="N19" s="157">
        <f t="shared" si="21"/>
        <v>379.36930627411198</v>
      </c>
      <c r="O19" s="157">
        <f t="shared" si="22"/>
        <v>1.7674443553536001</v>
      </c>
      <c r="Q19" s="14"/>
      <c r="R19" s="149"/>
      <c r="S19" s="148"/>
      <c r="T19" s="149"/>
      <c r="U19" s="149"/>
      <c r="V19" s="21">
        <v>3.4536141389908823</v>
      </c>
      <c r="W19" s="161">
        <f t="shared" si="23"/>
        <v>0</v>
      </c>
      <c r="X19" s="20">
        <v>3.0926741427355627E-2</v>
      </c>
      <c r="Y19" s="20">
        <v>0.60099999999999998</v>
      </c>
      <c r="Z19" s="21">
        <v>12.02</v>
      </c>
      <c r="AA19" s="161">
        <f t="shared" si="24"/>
        <v>8.3299999999999999E-2</v>
      </c>
      <c r="AB19" s="8">
        <v>7.1590670014879301E-2</v>
      </c>
      <c r="AC19" s="161">
        <f t="shared" si="25"/>
        <v>8.3151515151515157E-2</v>
      </c>
      <c r="AE19" s="181"/>
      <c r="AF19" s="20">
        <v>0</v>
      </c>
      <c r="AG19" s="20">
        <v>8.5000000000000006E-2</v>
      </c>
      <c r="AH19" s="20">
        <v>5.6000000000000001E-2</v>
      </c>
    </row>
    <row r="20" spans="1:34" x14ac:dyDescent="0.2">
      <c r="B20" s="19" t="s">
        <v>257</v>
      </c>
      <c r="C20" s="19">
        <v>10</v>
      </c>
      <c r="D20" s="158"/>
      <c r="E20" s="158"/>
      <c r="F20" s="158"/>
      <c r="G20" s="158"/>
      <c r="H20" s="158"/>
      <c r="I20" s="157">
        <f t="shared" si="17"/>
        <v>0</v>
      </c>
      <c r="J20" s="157">
        <f t="shared" si="18"/>
        <v>0</v>
      </c>
      <c r="K20" s="157">
        <f t="shared" si="19"/>
        <v>0</v>
      </c>
      <c r="L20" s="157">
        <f t="shared" si="20"/>
        <v>0</v>
      </c>
      <c r="M20" s="157">
        <f t="shared" si="21"/>
        <v>0</v>
      </c>
      <c r="N20" s="157">
        <f t="shared" si="21"/>
        <v>0</v>
      </c>
      <c r="O20" s="157">
        <f t="shared" si="22"/>
        <v>0</v>
      </c>
      <c r="Q20" s="14"/>
      <c r="R20" s="149"/>
      <c r="S20" s="148"/>
      <c r="T20" s="149"/>
      <c r="U20" s="149"/>
      <c r="V20" s="21">
        <v>0</v>
      </c>
      <c r="W20" s="161">
        <f t="shared" si="23"/>
        <v>0</v>
      </c>
      <c r="X20" s="20">
        <v>0</v>
      </c>
      <c r="Y20" s="20">
        <v>0</v>
      </c>
      <c r="Z20" s="21">
        <v>0</v>
      </c>
      <c r="AA20" s="161">
        <f t="shared" si="24"/>
        <v>0</v>
      </c>
      <c r="AB20" s="8">
        <v>2.491288177342357E-2</v>
      </c>
      <c r="AC20" s="161">
        <f t="shared" si="25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10</v>
      </c>
      <c r="D21" s="158"/>
      <c r="E21" s="158"/>
      <c r="F21" s="158"/>
      <c r="G21" s="158"/>
      <c r="H21" s="158"/>
      <c r="I21" s="157">
        <f t="shared" si="17"/>
        <v>0</v>
      </c>
      <c r="J21" s="157">
        <f t="shared" si="18"/>
        <v>0</v>
      </c>
      <c r="K21" s="157">
        <f t="shared" si="19"/>
        <v>0</v>
      </c>
      <c r="L21" s="157">
        <f t="shared" si="20"/>
        <v>0</v>
      </c>
      <c r="M21" s="157">
        <f t="shared" si="21"/>
        <v>0</v>
      </c>
      <c r="N21" s="157">
        <f t="shared" si="21"/>
        <v>0</v>
      </c>
      <c r="O21" s="157">
        <f t="shared" si="22"/>
        <v>0</v>
      </c>
      <c r="Q21" s="14"/>
      <c r="R21" s="149"/>
      <c r="S21" s="148"/>
      <c r="T21" s="149"/>
      <c r="U21" s="149"/>
      <c r="V21" s="21">
        <v>0</v>
      </c>
      <c r="W21" s="161">
        <f t="shared" si="23"/>
        <v>0</v>
      </c>
      <c r="X21" s="20">
        <v>0</v>
      </c>
      <c r="Y21" s="20">
        <v>0</v>
      </c>
      <c r="Z21" s="21">
        <v>0</v>
      </c>
      <c r="AA21" s="161">
        <f t="shared" si="24"/>
        <v>0</v>
      </c>
      <c r="AB21" s="8">
        <v>0</v>
      </c>
      <c r="AC21" s="161">
        <f t="shared" si="25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10</v>
      </c>
      <c r="D22" s="158"/>
      <c r="E22" s="158"/>
      <c r="F22" s="158"/>
      <c r="G22" s="158"/>
      <c r="H22" s="158"/>
      <c r="I22" s="157">
        <f t="shared" si="17"/>
        <v>0</v>
      </c>
      <c r="J22" s="157">
        <f t="shared" si="18"/>
        <v>0</v>
      </c>
      <c r="K22" s="157">
        <f t="shared" si="19"/>
        <v>0</v>
      </c>
      <c r="L22" s="157">
        <f t="shared" si="20"/>
        <v>0</v>
      </c>
      <c r="M22" s="157">
        <f t="shared" si="21"/>
        <v>0</v>
      </c>
      <c r="N22" s="157">
        <f t="shared" si="21"/>
        <v>0</v>
      </c>
      <c r="O22" s="157">
        <f t="shared" si="22"/>
        <v>0</v>
      </c>
      <c r="Q22" s="14"/>
      <c r="R22" s="149"/>
      <c r="S22" s="148"/>
      <c r="T22" s="149"/>
      <c r="U22" s="149"/>
      <c r="V22" s="21">
        <v>0</v>
      </c>
      <c r="W22" s="161">
        <f t="shared" si="23"/>
        <v>0</v>
      </c>
      <c r="X22" s="20">
        <v>0</v>
      </c>
      <c r="Y22" s="20">
        <v>0</v>
      </c>
      <c r="Z22" s="21">
        <v>0</v>
      </c>
      <c r="AA22" s="161">
        <f t="shared" si="24"/>
        <v>0</v>
      </c>
      <c r="AB22" s="8">
        <v>0</v>
      </c>
      <c r="AC22" s="161">
        <f t="shared" si="25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58</v>
      </c>
      <c r="B24" s="19" t="s">
        <v>10</v>
      </c>
      <c r="C24" s="19">
        <v>10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105.02997120000001</v>
      </c>
      <c r="M24" s="157">
        <f t="shared" ref="M24:N27" si="26">L24*Y24</f>
        <v>71.630440358400008</v>
      </c>
      <c r="N24" s="157">
        <f t="shared" si="26"/>
        <v>694.81527147648001</v>
      </c>
      <c r="O24" s="157">
        <f t="shared" ref="O24:O27" si="27">M24*AH24</f>
        <v>5.5155439075968005</v>
      </c>
      <c r="Q24" s="14"/>
      <c r="R24" s="149"/>
      <c r="S24" s="148"/>
      <c r="T24" s="149"/>
      <c r="U24" s="149"/>
      <c r="V24" s="150"/>
      <c r="W24" s="165"/>
      <c r="X24" s="149"/>
      <c r="Y24" s="20">
        <v>0.68200000000000005</v>
      </c>
      <c r="Z24" s="115">
        <v>9.6999999999999993</v>
      </c>
      <c r="AA24" s="161">
        <f t="shared" ref="AA24:AA27" si="28">(AG24/SUM(AG$7:AG$27))*0.98</f>
        <v>0.1666</v>
      </c>
      <c r="AB24" s="8">
        <v>0.12938839482584544</v>
      </c>
      <c r="AC24" s="161">
        <f t="shared" ref="AC24:AC27" si="29">(AH24/SUM(AH$7:AH$27))*0.98</f>
        <v>0.11433333333333334</v>
      </c>
      <c r="AE24" s="181"/>
      <c r="AF24" s="181"/>
      <c r="AG24" s="20">
        <v>0.17</v>
      </c>
      <c r="AH24" s="20">
        <v>7.6999999999999999E-2</v>
      </c>
    </row>
    <row r="25" spans="1:34" x14ac:dyDescent="0.2">
      <c r="A25" s="18" t="s">
        <v>188</v>
      </c>
      <c r="B25" s="19" t="s">
        <v>10</v>
      </c>
      <c r="C25" s="19">
        <v>10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6.7960569599999996</v>
      </c>
      <c r="M25" s="157">
        <f t="shared" si="26"/>
        <v>5.1519900638318079</v>
      </c>
      <c r="N25" s="157">
        <f t="shared" si="26"/>
        <v>61.777461152208801</v>
      </c>
      <c r="O25" s="157">
        <f t="shared" si="27"/>
        <v>0.30911940382990849</v>
      </c>
      <c r="Q25" s="14"/>
      <c r="R25" s="149"/>
      <c r="S25" s="148"/>
      <c r="T25" s="149"/>
      <c r="U25" s="149"/>
      <c r="V25" s="150"/>
      <c r="W25" s="165"/>
      <c r="X25" s="149"/>
      <c r="Y25" s="20">
        <v>0.75808518000293634</v>
      </c>
      <c r="Z25" s="115">
        <v>11.990989964421948</v>
      </c>
      <c r="AA25" s="161">
        <f t="shared" si="28"/>
        <v>1.078E-2</v>
      </c>
      <c r="AB25" s="8">
        <v>4.9605136578939911E-2</v>
      </c>
      <c r="AC25" s="161">
        <f t="shared" si="29"/>
        <v>8.9090909090909096E-2</v>
      </c>
      <c r="AE25" s="181"/>
      <c r="AF25" s="181"/>
      <c r="AG25" s="20">
        <v>1.0999999999999999E-2</v>
      </c>
      <c r="AH25" s="20">
        <v>0.06</v>
      </c>
    </row>
    <row r="26" spans="1:34" x14ac:dyDescent="0.2">
      <c r="A26" s="18" t="s">
        <v>221</v>
      </c>
      <c r="B26" s="19" t="s">
        <v>10</v>
      </c>
      <c r="C26" s="19">
        <v>10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16.063407359999999</v>
      </c>
      <c r="M26" s="157">
        <f t="shared" si="26"/>
        <v>10.271620227109199</v>
      </c>
      <c r="N26" s="157">
        <f t="shared" si="26"/>
        <v>111.73658039311987</v>
      </c>
      <c r="O26" s="157">
        <f t="shared" si="27"/>
        <v>0.62656883385366113</v>
      </c>
      <c r="Q26" s="14"/>
      <c r="R26" s="149"/>
      <c r="S26" s="148"/>
      <c r="T26" s="149"/>
      <c r="U26" s="149"/>
      <c r="V26" s="150"/>
      <c r="W26" s="165"/>
      <c r="X26" s="149"/>
      <c r="Y26" s="20">
        <v>0.63944218041104328</v>
      </c>
      <c r="Z26" s="115">
        <v>10.878184543682893</v>
      </c>
      <c r="AA26" s="161">
        <f t="shared" si="28"/>
        <v>2.5479999999999999E-2</v>
      </c>
      <c r="AB26" s="8">
        <v>2.0947920738417902E-2</v>
      </c>
      <c r="AC26" s="161">
        <f t="shared" si="29"/>
        <v>9.0575757575757587E-2</v>
      </c>
      <c r="AE26" s="181"/>
      <c r="AF26" s="181"/>
      <c r="AG26" s="20">
        <v>2.5999999999999999E-2</v>
      </c>
      <c r="AH26" s="20">
        <v>6.0999999999999999E-2</v>
      </c>
    </row>
    <row r="27" spans="1:34" x14ac:dyDescent="0.2">
      <c r="B27" s="19" t="s">
        <v>10</v>
      </c>
      <c r="C27" s="19">
        <v>10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6"/>
        <v>0</v>
      </c>
      <c r="N27" s="157">
        <f t="shared" si="26"/>
        <v>0</v>
      </c>
      <c r="O27" s="157">
        <f t="shared" si="27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8"/>
        <v>0</v>
      </c>
      <c r="AB27" s="8">
        <v>0</v>
      </c>
      <c r="AC27" s="161">
        <f t="shared" si="29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0.97999999999999987</v>
      </c>
      <c r="X30" s="31"/>
      <c r="Y30" s="31"/>
      <c r="Z30" s="32"/>
      <c r="AA30" s="161">
        <f>SUM(AA7:AA27)</f>
        <v>0.97999999999999987</v>
      </c>
      <c r="AB30" s="161">
        <f t="shared" ref="AB30" si="30">SUM(AB2:AB4,AB7:AB12,AB15:AB22,AB24:AB27)</f>
        <v>0.89616358353375136</v>
      </c>
      <c r="AC30" s="161">
        <f>SUM(AC7:AC27)</f>
        <v>0.9800000000000002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1056</v>
      </c>
      <c r="E31" s="48">
        <v>0.59699999999999998</v>
      </c>
      <c r="F31" s="2">
        <f>1-E31</f>
        <v>0.40300000000000002</v>
      </c>
      <c r="G31" s="114">
        <v>4.05</v>
      </c>
      <c r="H31" s="134">
        <v>3.5000000000000003E-2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630.43200000000002</v>
      </c>
      <c r="E34" s="167">
        <f>SUM(E2:E4)</f>
        <v>418.85189905890434</v>
      </c>
      <c r="F34" s="167">
        <f>SUM(F2:F4)</f>
        <v>4685.6363921932407</v>
      </c>
      <c r="G34" s="167">
        <f>SUM(G2:G4)</f>
        <v>29.008054248906966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425.56800000000004</v>
      </c>
      <c r="E37" s="167">
        <f>D37*G31</f>
        <v>1723.5504000000001</v>
      </c>
      <c r="F37" s="167">
        <f>D37*H31</f>
        <v>14.894880000000002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417.05664000000002</v>
      </c>
      <c r="E40" s="168">
        <f>SUM(J2:J4,J7:J12,J15:J22)</f>
        <v>1719.7372422383755</v>
      </c>
      <c r="F40" s="168">
        <f>SUM(K2:K4,K7:K12,K15:K22)</f>
        <v>14.877662989051124</v>
      </c>
      <c r="G40" s="168">
        <f>SUM(L7:L12,L15:L22,L24:L27)</f>
        <v>617.82335999999998</v>
      </c>
      <c r="H40" s="168">
        <f>SUM(M7:M12,M15:M22,M24:M27)</f>
        <v>410.50920031913097</v>
      </c>
      <c r="I40" s="168">
        <f>SUM(N7:N12,N15:N22,N24:N27)</f>
        <v>4672.9249906529139</v>
      </c>
      <c r="J40" s="168">
        <f>SUM(O7:O12,O15:O22,O24:O27)</f>
        <v>28.969443211787642</v>
      </c>
    </row>
    <row r="41" spans="1:32" ht="15" thickTop="1" x14ac:dyDescent="0.2">
      <c r="D41" s="169">
        <f>D37-D40</f>
        <v>8.5113600000000247</v>
      </c>
      <c r="E41" s="169">
        <f>E37-E40</f>
        <v>3.8131577616245522</v>
      </c>
      <c r="F41" s="169">
        <f>F37-F40</f>
        <v>1.7217010948877842E-2</v>
      </c>
      <c r="G41" s="169">
        <f>SUM(D2:D4)-G40</f>
        <v>12.608640000000037</v>
      </c>
      <c r="H41" s="169">
        <f>E34-H40</f>
        <v>8.3426987397733683</v>
      </c>
      <c r="I41" s="169">
        <f>F34-I40</f>
        <v>12.711401540326733</v>
      </c>
      <c r="J41" s="169">
        <f>G34-J40</f>
        <v>3.861103711932401E-2</v>
      </c>
    </row>
  </sheetData>
  <sheetProtection selectLockedCells="1"/>
  <conditionalFormatting sqref="D41:J41">
    <cfRule type="cellIs" dxfId="41" priority="1" operator="lessThan">
      <formula>0</formula>
    </cfRule>
  </conditionalFormatting>
  <conditionalFormatting sqref="W30">
    <cfRule type="cellIs" dxfId="40" priority="2" operator="greaterThan">
      <formula>1</formula>
    </cfRule>
  </conditionalFormatting>
  <conditionalFormatting sqref="AA30:AG30">
    <cfRule type="cellIs" dxfId="39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>
    <tabColor rgb="FF00FACA"/>
  </sheetPr>
  <dimension ref="A1:AH47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177</v>
      </c>
      <c r="B2" s="19" t="s">
        <v>9</v>
      </c>
      <c r="C2" s="19">
        <v>10</v>
      </c>
      <c r="D2" s="157">
        <f>D$34*Q2</f>
        <v>596.04948000000002</v>
      </c>
      <c r="E2" s="157">
        <f>D2*R2</f>
        <v>395.77685472000002</v>
      </c>
      <c r="F2" s="157">
        <f>E2*S2</f>
        <v>4527.6872179968004</v>
      </c>
      <c r="G2" s="157">
        <f>E2*T2</f>
        <v>30.751861611744005</v>
      </c>
      <c r="H2" s="157">
        <f>E2*U2</f>
        <v>13.338919533595861</v>
      </c>
      <c r="I2" s="157">
        <f>D$37*W2</f>
        <v>44.242401840000007</v>
      </c>
      <c r="J2" s="157">
        <f>I2*V2</f>
        <v>139.01369284484511</v>
      </c>
      <c r="K2" s="157">
        <f>I2*X2</f>
        <v>1.5714405338178845</v>
      </c>
      <c r="L2" s="158"/>
      <c r="M2" s="158"/>
      <c r="N2" s="158"/>
      <c r="O2" s="158"/>
      <c r="Q2" s="161">
        <f>AE2</f>
        <v>0.97</v>
      </c>
      <c r="R2" s="116">
        <v>0.66400000000000003</v>
      </c>
      <c r="S2" s="115">
        <v>11.44</v>
      </c>
      <c r="T2" s="116">
        <v>7.7700000000000005E-2</v>
      </c>
      <c r="U2" s="20">
        <v>3.3703131889894718E-2</v>
      </c>
      <c r="V2" s="115">
        <v>3.1420919087435579</v>
      </c>
      <c r="W2" s="161">
        <f>(AF2/SUM(AF$2:AF$22))*0.98</f>
        <v>0.11074000000000001</v>
      </c>
      <c r="X2" s="20">
        <v>3.5518879366018712E-2</v>
      </c>
      <c r="Y2" s="22"/>
      <c r="Z2" s="23"/>
      <c r="AA2" s="1"/>
      <c r="AB2" s="1"/>
      <c r="AC2" s="1"/>
      <c r="AE2" s="20">
        <v>0.97</v>
      </c>
      <c r="AF2" s="20">
        <v>0.113</v>
      </c>
      <c r="AG2" s="181"/>
      <c r="AH2" s="181"/>
    </row>
    <row r="3" spans="1:34" x14ac:dyDescent="0.2">
      <c r="A3" s="18" t="s">
        <v>467</v>
      </c>
      <c r="B3" s="19" t="s">
        <v>9</v>
      </c>
      <c r="C3" s="19">
        <v>10</v>
      </c>
      <c r="D3" s="157">
        <f>D$34*Q3</f>
        <v>18.434520000000017</v>
      </c>
      <c r="E3" s="157">
        <f t="shared" ref="E3:F4" si="0">D3*R3</f>
        <v>11.402074644199073</v>
      </c>
      <c r="F3" s="157">
        <f t="shared" si="0"/>
        <v>127.70323601502962</v>
      </c>
      <c r="G3" s="157">
        <f t="shared" ref="G3:G4" si="1">E3*T3</f>
        <v>0.67604782611975667</v>
      </c>
      <c r="H3" s="157">
        <f t="shared" ref="H3:H4" si="2">E3*U3</f>
        <v>0.63452742271405693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3.0000000000000027E-2</v>
      </c>
      <c r="R3" s="116">
        <v>0.61851757703477295</v>
      </c>
      <c r="S3" s="115">
        <v>11.2</v>
      </c>
      <c r="T3" s="116">
        <v>5.929165061760959E-2</v>
      </c>
      <c r="U3" s="20">
        <v>5.5650172667206621E-2</v>
      </c>
      <c r="V3" s="115">
        <v>1.9303482587064675</v>
      </c>
      <c r="W3" s="161">
        <f t="shared" ref="W3:W4" si="5">(AF3/SUM(AF$2:AF$22))*0.98</f>
        <v>0</v>
      </c>
      <c r="X3" s="20">
        <v>4.9751243781094535E-3</v>
      </c>
      <c r="Y3" s="22"/>
      <c r="Z3" s="23"/>
      <c r="AA3" s="1"/>
      <c r="AB3" s="1"/>
      <c r="AC3" s="1"/>
      <c r="AE3" s="20">
        <f>1-AE2</f>
        <v>3.0000000000000027E-2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10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153</v>
      </c>
      <c r="B7" s="19" t="s">
        <v>256</v>
      </c>
      <c r="C7" s="19">
        <v>10</v>
      </c>
      <c r="D7" s="158"/>
      <c r="E7" s="158"/>
      <c r="F7" s="158"/>
      <c r="G7" s="158"/>
      <c r="H7" s="158"/>
      <c r="I7" s="157">
        <f t="shared" ref="I7:I12" si="6">D$37*W7</f>
        <v>146.82213000000002</v>
      </c>
      <c r="J7" s="157">
        <f>I7*V7</f>
        <v>675.381798</v>
      </c>
      <c r="K7" s="157">
        <f>I7*X7</f>
        <v>6.019707330000001</v>
      </c>
      <c r="L7" s="157">
        <f>((D$2+D$3+D$4)*AA7)</f>
        <v>37.938242160000009</v>
      </c>
      <c r="M7" s="157">
        <f t="shared" ref="M7:N12" si="7">L7*Y7</f>
        <v>28.196252740937506</v>
      </c>
      <c r="N7" s="157">
        <f t="shared" si="7"/>
        <v>211.4718955570313</v>
      </c>
      <c r="O7" s="157">
        <f>M7*AH7</f>
        <v>1.5507939007515628</v>
      </c>
      <c r="Q7" s="14"/>
      <c r="R7" s="149"/>
      <c r="S7" s="148"/>
      <c r="T7" s="149"/>
      <c r="U7" s="149"/>
      <c r="V7" s="21">
        <v>4.5999999999999996</v>
      </c>
      <c r="W7" s="161">
        <f t="shared" ref="W7:W12" si="8">(AF7/SUM(AF$2:AF$22))*0.98</f>
        <v>0.36749999999999999</v>
      </c>
      <c r="X7" s="20">
        <v>4.1000000000000002E-2</v>
      </c>
      <c r="Y7" s="20">
        <v>0.74321452802223087</v>
      </c>
      <c r="Z7" s="21">
        <v>7.5</v>
      </c>
      <c r="AA7" s="161">
        <f>(AG7/SUM(AG$7:AG$27))*0.98</f>
        <v>6.174000000000001E-2</v>
      </c>
      <c r="AB7" s="8">
        <v>0.10097043870963301</v>
      </c>
      <c r="AC7" s="161">
        <f>(AH7/SUM(AH$7:AH$27))*0.98</f>
        <v>6.9036183157220612E-2</v>
      </c>
      <c r="AE7" s="181"/>
      <c r="AF7" s="20">
        <v>0.375</v>
      </c>
      <c r="AG7" s="20">
        <v>6.3E-2</v>
      </c>
      <c r="AH7" s="20">
        <v>5.5E-2</v>
      </c>
    </row>
    <row r="8" spans="1:34" x14ac:dyDescent="0.2">
      <c r="A8" s="18" t="s">
        <v>396</v>
      </c>
      <c r="B8" s="19" t="s">
        <v>256</v>
      </c>
      <c r="C8" s="19">
        <v>10</v>
      </c>
      <c r="D8" s="158"/>
      <c r="E8" s="158"/>
      <c r="F8" s="158"/>
      <c r="G8" s="158"/>
      <c r="H8" s="158"/>
      <c r="I8" s="157">
        <f t="shared" si="6"/>
        <v>92.791586160000008</v>
      </c>
      <c r="J8" s="157">
        <f>I8*V8</f>
        <v>405.21146863299469</v>
      </c>
      <c r="K8" s="157">
        <f>I8*X8</f>
        <v>3.8044550325600004</v>
      </c>
      <c r="L8" s="157">
        <f>((D$2+D$3+D$4)*AA8)</f>
        <v>31.916298960000006</v>
      </c>
      <c r="M8" s="157">
        <f t="shared" si="7"/>
        <v>20.639984373688989</v>
      </c>
      <c r="N8" s="157">
        <f t="shared" si="7"/>
        <v>173.27123117974887</v>
      </c>
      <c r="O8" s="157">
        <f t="shared" ref="O8:O12" si="9">M8*AH8</f>
        <v>1.3415989842897844</v>
      </c>
      <c r="Q8" s="14"/>
      <c r="R8" s="149"/>
      <c r="S8" s="148"/>
      <c r="T8" s="149"/>
      <c r="U8" s="149"/>
      <c r="V8" s="21">
        <v>4.3668988256574348</v>
      </c>
      <c r="W8" s="161">
        <f t="shared" si="8"/>
        <v>0.23225999999999999</v>
      </c>
      <c r="X8" s="20">
        <v>4.1000000000000002E-2</v>
      </c>
      <c r="Y8" s="20">
        <v>0.6466910339308648</v>
      </c>
      <c r="Z8" s="21">
        <v>8.3949303469739043</v>
      </c>
      <c r="AA8" s="161">
        <f t="shared" ref="AA8:AA12" si="10">(AG8/SUM(AG$7:AG$27))*0.98</f>
        <v>5.1940000000000007E-2</v>
      </c>
      <c r="AB8" s="8">
        <v>3.6580013622682005E-2</v>
      </c>
      <c r="AC8" s="161">
        <f t="shared" ref="AC8:AC12" si="11">(AH8/SUM(AH$7:AH$27))*0.98</f>
        <v>8.1588216458533466E-2</v>
      </c>
      <c r="AE8" s="181"/>
      <c r="AF8" s="20">
        <v>0.23699999999999999</v>
      </c>
      <c r="AG8" s="20">
        <v>5.2999999999999999E-2</v>
      </c>
      <c r="AH8" s="20">
        <v>6.5000000000000002E-2</v>
      </c>
    </row>
    <row r="9" spans="1:34" x14ac:dyDescent="0.2">
      <c r="A9" s="18" t="s">
        <v>578</v>
      </c>
      <c r="B9" s="19" t="s">
        <v>256</v>
      </c>
      <c r="C9" s="19">
        <v>10</v>
      </c>
      <c r="D9" s="158"/>
      <c r="E9" s="158"/>
      <c r="F9" s="158"/>
      <c r="G9" s="158"/>
      <c r="H9" s="158"/>
      <c r="I9" s="157">
        <f t="shared" si="6"/>
        <v>22.708489440000001</v>
      </c>
      <c r="J9" s="157">
        <f>I9*V9</f>
        <v>89.244363499200006</v>
      </c>
      <c r="K9" s="157">
        <f>I9*X9</f>
        <v>0.84021410927999995</v>
      </c>
      <c r="L9" s="157">
        <f>((D$2+D$3+D$4)*AA9)</f>
        <v>9.0329148000000021</v>
      </c>
      <c r="M9" s="157">
        <f t="shared" si="7"/>
        <v>6.0249541716000019</v>
      </c>
      <c r="N9" s="157">
        <f t="shared" si="7"/>
        <v>42.174679201200014</v>
      </c>
      <c r="O9" s="157">
        <f t="shared" si="9"/>
        <v>0.20484844183440007</v>
      </c>
      <c r="Q9" s="14"/>
      <c r="R9" s="149"/>
      <c r="S9" s="148"/>
      <c r="T9" s="149"/>
      <c r="U9" s="149"/>
      <c r="V9" s="21">
        <v>3.93</v>
      </c>
      <c r="W9" s="161">
        <f t="shared" si="8"/>
        <v>5.6840000000000002E-2</v>
      </c>
      <c r="X9" s="20">
        <v>3.6999999999999998E-2</v>
      </c>
      <c r="Y9" s="20">
        <v>0.66700000000000004</v>
      </c>
      <c r="Z9" s="21">
        <v>7</v>
      </c>
      <c r="AA9" s="161">
        <f t="shared" si="10"/>
        <v>1.4700000000000001E-2</v>
      </c>
      <c r="AB9" s="8">
        <v>2.3793858390666955E-2</v>
      </c>
      <c r="AC9" s="161">
        <f t="shared" si="11"/>
        <v>4.2676913224463653E-2</v>
      </c>
      <c r="AE9" s="181"/>
      <c r="AF9" s="20">
        <v>5.8000000000000003E-2</v>
      </c>
      <c r="AG9" s="20">
        <v>1.4999999999999999E-2</v>
      </c>
      <c r="AH9" s="20">
        <v>3.4000000000000002E-2</v>
      </c>
    </row>
    <row r="10" spans="1:34" x14ac:dyDescent="0.2">
      <c r="A10" s="18" t="s">
        <v>659</v>
      </c>
      <c r="B10" s="19" t="s">
        <v>256</v>
      </c>
      <c r="C10" s="19">
        <v>10</v>
      </c>
      <c r="D10" s="158"/>
      <c r="E10" s="158"/>
      <c r="F10" s="158"/>
      <c r="G10" s="158"/>
      <c r="H10" s="158"/>
      <c r="I10" s="157">
        <f t="shared" si="6"/>
        <v>71.257673760000003</v>
      </c>
      <c r="J10" s="157">
        <f t="shared" ref="J10:J12" si="12">I10*V10</f>
        <v>315.22424771534526</v>
      </c>
      <c r="K10" s="157">
        <f t="shared" ref="K10:K12" si="13">I10*X10</f>
        <v>2.8503069504000003</v>
      </c>
      <c r="L10" s="157">
        <f t="shared" ref="L10:L12" si="14">((D$2+D$3+D$4)*AA10)</f>
        <v>64.434792240000007</v>
      </c>
      <c r="M10" s="157">
        <f t="shared" si="7"/>
        <v>45.8946691012233</v>
      </c>
      <c r="N10" s="157">
        <f t="shared" si="7"/>
        <v>376.33628663003105</v>
      </c>
      <c r="O10" s="157">
        <f t="shared" si="9"/>
        <v>2.6618908078709516</v>
      </c>
      <c r="Q10" s="14"/>
      <c r="R10" s="149"/>
      <c r="S10" s="148"/>
      <c r="T10" s="149"/>
      <c r="U10" s="149"/>
      <c r="V10" s="21">
        <v>4.4237235245292865</v>
      </c>
      <c r="W10" s="161">
        <f t="shared" si="8"/>
        <v>0.17835999999999999</v>
      </c>
      <c r="X10" s="20">
        <v>0.04</v>
      </c>
      <c r="Y10" s="20">
        <v>0.7122653384258556</v>
      </c>
      <c r="Z10" s="21">
        <v>8.1999999999999993</v>
      </c>
      <c r="AA10" s="161">
        <f t="shared" si="10"/>
        <v>0.10486000000000001</v>
      </c>
      <c r="AB10" s="8">
        <v>1.1901303670887882E-2</v>
      </c>
      <c r="AC10" s="161">
        <f t="shared" si="11"/>
        <v>7.2801793147614466E-2</v>
      </c>
      <c r="AE10" s="181"/>
      <c r="AF10" s="20">
        <v>0.182</v>
      </c>
      <c r="AG10" s="20">
        <v>0.107</v>
      </c>
      <c r="AH10" s="20">
        <v>5.8000000000000003E-2</v>
      </c>
    </row>
    <row r="11" spans="1:34" x14ac:dyDescent="0.2">
      <c r="B11" s="19" t="s">
        <v>256</v>
      </c>
      <c r="C11" s="19">
        <v>10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4.0581098624604978E-3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10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54</v>
      </c>
      <c r="B15" s="19" t="s">
        <v>257</v>
      </c>
      <c r="C15" s="19">
        <v>10</v>
      </c>
      <c r="D15" s="158"/>
      <c r="E15" s="158"/>
      <c r="F15" s="158"/>
      <c r="G15" s="158"/>
      <c r="H15" s="158"/>
      <c r="I15" s="157">
        <f t="shared" ref="I15:I22" si="15">D$37*W15</f>
        <v>9.7881420000000006</v>
      </c>
      <c r="J15" s="157">
        <f t="shared" ref="J15:J22" si="16">I15*V15</f>
        <v>64.341061376335063</v>
      </c>
      <c r="K15" s="157">
        <f t="shared" ref="K15:K22" si="17">I15*X15</f>
        <v>1.0669074780000001</v>
      </c>
      <c r="L15" s="157">
        <f t="shared" ref="L15:L22" si="18">((D$2+D$3+D$4)*AA15)</f>
        <v>152.35516296000003</v>
      </c>
      <c r="M15" s="157">
        <f t="shared" ref="M15:N22" si="19">L15*Y15</f>
        <v>103.41876448699821</v>
      </c>
      <c r="N15" s="157">
        <f t="shared" si="19"/>
        <v>1447.8627028179749</v>
      </c>
      <c r="O15" s="157">
        <f t="shared" ref="O15:O22" si="20">M15*AH15</f>
        <v>9.4111075683168366</v>
      </c>
      <c r="Q15" s="14"/>
      <c r="R15" s="149"/>
      <c r="S15" s="148"/>
      <c r="T15" s="149"/>
      <c r="U15" s="149"/>
      <c r="V15" s="21">
        <v>6.5733682016806725</v>
      </c>
      <c r="W15" s="161">
        <f t="shared" ref="W15:W22" si="21">(AF15/SUM(AF$2:AF$22))*0.98</f>
        <v>2.4500000000000001E-2</v>
      </c>
      <c r="X15" s="20">
        <v>0.109</v>
      </c>
      <c r="Y15" s="20">
        <v>0.67880052423395865</v>
      </c>
      <c r="Z15" s="21">
        <v>14</v>
      </c>
      <c r="AA15" s="161">
        <f t="shared" ref="AA15:AA22" si="22">(AG15/SUM(AG$7:AG$27))*0.98</f>
        <v>0.24794000000000005</v>
      </c>
      <c r="AB15" s="8">
        <v>0.13977929597046804</v>
      </c>
      <c r="AC15" s="161">
        <f t="shared" ref="AC15:AC22" si="23">(AH15/SUM(AH$7:AH$27))*0.98</f>
        <v>0.11422350304194684</v>
      </c>
      <c r="AE15" s="181"/>
      <c r="AF15" s="20">
        <v>2.5000000000000001E-2</v>
      </c>
      <c r="AG15" s="20">
        <v>0.253</v>
      </c>
      <c r="AH15" s="20">
        <v>9.0999999999999998E-2</v>
      </c>
    </row>
    <row r="16" spans="1:34" x14ac:dyDescent="0.2">
      <c r="A16" s="18" t="s">
        <v>247</v>
      </c>
      <c r="B16" s="19" t="s">
        <v>257</v>
      </c>
      <c r="C16" s="19">
        <v>10</v>
      </c>
      <c r="D16" s="158"/>
      <c r="E16" s="158"/>
      <c r="F16" s="158"/>
      <c r="G16" s="158"/>
      <c r="H16" s="158"/>
      <c r="I16" s="157">
        <f t="shared" si="15"/>
        <v>3.9152567999999999</v>
      </c>
      <c r="J16" s="157">
        <f t="shared" si="16"/>
        <v>23.815669442314594</v>
      </c>
      <c r="K16" s="157">
        <f t="shared" si="17"/>
        <v>0.37977990960000002</v>
      </c>
      <c r="L16" s="157">
        <f t="shared" si="18"/>
        <v>133.68713904000003</v>
      </c>
      <c r="M16" s="157">
        <f t="shared" si="19"/>
        <v>88.768260322560025</v>
      </c>
      <c r="N16" s="157">
        <f t="shared" si="19"/>
        <v>1207.2483403868164</v>
      </c>
      <c r="O16" s="157">
        <f t="shared" si="20"/>
        <v>7.3677656067724824</v>
      </c>
      <c r="Q16" s="14"/>
      <c r="R16" s="149"/>
      <c r="S16" s="148"/>
      <c r="T16" s="149"/>
      <c r="U16" s="149"/>
      <c r="V16" s="21">
        <v>6.0827860492610837</v>
      </c>
      <c r="W16" s="161">
        <f t="shared" si="21"/>
        <v>9.7999999999999997E-3</v>
      </c>
      <c r="X16" s="20">
        <v>9.7000000000000003E-2</v>
      </c>
      <c r="Y16" s="20">
        <v>0.66400000000000003</v>
      </c>
      <c r="Z16" s="21">
        <v>13.6</v>
      </c>
      <c r="AA16" s="161">
        <f t="shared" si="22"/>
        <v>0.21756000000000003</v>
      </c>
      <c r="AB16" s="8">
        <v>0.13397476484210691</v>
      </c>
      <c r="AC16" s="161">
        <f t="shared" si="23"/>
        <v>0.10418187640089657</v>
      </c>
      <c r="AE16" s="181"/>
      <c r="AF16" s="20">
        <v>0.01</v>
      </c>
      <c r="AG16" s="20">
        <v>0.222</v>
      </c>
      <c r="AH16" s="20">
        <v>8.3000000000000004E-2</v>
      </c>
    </row>
    <row r="17" spans="1:34" x14ac:dyDescent="0.2">
      <c r="A17" s="18" t="s">
        <v>241</v>
      </c>
      <c r="B17" s="19" t="s">
        <v>257</v>
      </c>
      <c r="C17" s="19">
        <v>10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42.153602400000018</v>
      </c>
      <c r="M17" s="157">
        <f t="shared" si="19"/>
        <v>29.04383205360001</v>
      </c>
      <c r="N17" s="157">
        <f t="shared" si="19"/>
        <v>331.32626462693077</v>
      </c>
      <c r="O17" s="157">
        <f t="shared" si="20"/>
        <v>1.9168929155376007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0.68899999999999995</v>
      </c>
      <c r="Z17" s="21">
        <v>11.407801285156603</v>
      </c>
      <c r="AA17" s="161">
        <f t="shared" si="22"/>
        <v>6.8600000000000022E-2</v>
      </c>
      <c r="AB17" s="8">
        <v>0.13483737034533969</v>
      </c>
      <c r="AC17" s="161">
        <f t="shared" si="23"/>
        <v>8.2843419788664732E-2</v>
      </c>
      <c r="AE17" s="181"/>
      <c r="AF17" s="20">
        <v>0</v>
      </c>
      <c r="AG17" s="20">
        <v>7.0000000000000007E-2</v>
      </c>
      <c r="AH17" s="20">
        <v>6.6000000000000003E-2</v>
      </c>
    </row>
    <row r="18" spans="1:34" x14ac:dyDescent="0.2">
      <c r="A18" s="18" t="s">
        <v>205</v>
      </c>
      <c r="B18" s="19" t="s">
        <v>257</v>
      </c>
      <c r="C18" s="19">
        <v>10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45.766768320000004</v>
      </c>
      <c r="M18" s="157">
        <f t="shared" si="19"/>
        <v>28.055028980160003</v>
      </c>
      <c r="N18" s="157">
        <f t="shared" si="19"/>
        <v>303.71081896473197</v>
      </c>
      <c r="O18" s="157">
        <f t="shared" si="20"/>
        <v>2.04801711555168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0.61299999999999999</v>
      </c>
      <c r="Z18" s="21">
        <v>10.825539306322252</v>
      </c>
      <c r="AA18" s="161">
        <f t="shared" si="22"/>
        <v>7.4480000000000005E-2</v>
      </c>
      <c r="AB18" s="8">
        <v>6.3379106516108133E-2</v>
      </c>
      <c r="AC18" s="161">
        <f t="shared" si="23"/>
        <v>9.1629843099583719E-2</v>
      </c>
      <c r="AE18" s="181"/>
      <c r="AF18" s="20">
        <v>0</v>
      </c>
      <c r="AG18" s="20">
        <v>7.5999999999999998E-2</v>
      </c>
      <c r="AH18" s="20">
        <v>7.2999999999999995E-2</v>
      </c>
    </row>
    <row r="19" spans="1:34" x14ac:dyDescent="0.2">
      <c r="A19" s="18" t="s">
        <v>594</v>
      </c>
      <c r="B19" s="19" t="s">
        <v>257</v>
      </c>
      <c r="C19" s="19">
        <v>10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22.281189840000007</v>
      </c>
      <c r="M19" s="157">
        <f t="shared" si="19"/>
        <v>13.368713904000003</v>
      </c>
      <c r="N19" s="157">
        <f t="shared" si="19"/>
        <v>148.39272433440004</v>
      </c>
      <c r="O19" s="157">
        <f t="shared" si="20"/>
        <v>0.81549154814400016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0.6</v>
      </c>
      <c r="Z19" s="21">
        <v>11.1</v>
      </c>
      <c r="AA19" s="161">
        <f t="shared" si="22"/>
        <v>3.6260000000000008E-2</v>
      </c>
      <c r="AB19" s="8">
        <v>2.1686028625809362E-2</v>
      </c>
      <c r="AC19" s="161">
        <f t="shared" si="23"/>
        <v>7.6567403138008319E-2</v>
      </c>
      <c r="AE19" s="181"/>
      <c r="AF19" s="20">
        <v>0</v>
      </c>
      <c r="AG19" s="20">
        <v>3.6999999999999998E-2</v>
      </c>
      <c r="AH19" s="20">
        <v>6.0999999999999999E-2</v>
      </c>
    </row>
    <row r="20" spans="1:34" x14ac:dyDescent="0.2">
      <c r="B20" s="19" t="s">
        <v>257</v>
      </c>
      <c r="C20" s="19">
        <v>10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5.4155903923578511E-2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10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1.4127569434105905E-2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10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1.5301244433247011E-2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178</v>
      </c>
      <c r="B24" s="19" t="s">
        <v>10</v>
      </c>
      <c r="C24" s="19">
        <v>10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39.142630800000013</v>
      </c>
      <c r="M24" s="157">
        <f t="shared" ref="M24:N27" si="24">L24*Y24</f>
        <v>26.089456844396544</v>
      </c>
      <c r="N24" s="157">
        <f t="shared" si="24"/>
        <v>258.28562275952578</v>
      </c>
      <c r="O24" s="157">
        <f t="shared" ref="O24:O27" si="25">M24*AH24</f>
        <v>2.6350351412840509</v>
      </c>
      <c r="Q24" s="14"/>
      <c r="R24" s="149"/>
      <c r="S24" s="148"/>
      <c r="T24" s="149"/>
      <c r="U24" s="149"/>
      <c r="V24" s="150"/>
      <c r="W24" s="165"/>
      <c r="X24" s="149"/>
      <c r="Y24" s="20">
        <v>0.66652282463335433</v>
      </c>
      <c r="Z24" s="115">
        <v>9.9</v>
      </c>
      <c r="AA24" s="161">
        <f t="shared" ref="AA24:AA27" si="26">(AG24/SUM(AG$7:AG$27))*0.98</f>
        <v>6.370000000000002E-2</v>
      </c>
      <c r="AB24" s="8">
        <v>0.12428203305448807</v>
      </c>
      <c r="AC24" s="161">
        <f t="shared" ref="AC24:AC27" si="27">(AH24/SUM(AH$7:AH$27))*0.98</f>
        <v>0.12677553634325966</v>
      </c>
      <c r="AE24" s="181"/>
      <c r="AF24" s="181"/>
      <c r="AG24" s="20">
        <v>6.5000000000000002E-2</v>
      </c>
      <c r="AH24" s="20">
        <v>0.10100000000000001</v>
      </c>
    </row>
    <row r="25" spans="1:34" x14ac:dyDescent="0.2">
      <c r="A25" s="18" t="s">
        <v>703</v>
      </c>
      <c r="B25" s="19" t="s">
        <v>10</v>
      </c>
      <c r="C25" s="19">
        <v>10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23.485578480000004</v>
      </c>
      <c r="M25" s="157">
        <f t="shared" si="24"/>
        <v>15.476996218320004</v>
      </c>
      <c r="N25" s="157">
        <f t="shared" si="24"/>
        <v>150.90071312862003</v>
      </c>
      <c r="O25" s="157">
        <f t="shared" si="25"/>
        <v>1.4509683954675003</v>
      </c>
      <c r="Q25" s="14"/>
      <c r="R25" s="149"/>
      <c r="S25" s="148"/>
      <c r="T25" s="149"/>
      <c r="U25" s="149"/>
      <c r="V25" s="150"/>
      <c r="W25" s="165"/>
      <c r="X25" s="149"/>
      <c r="Y25" s="20">
        <v>0.65900000000000003</v>
      </c>
      <c r="Z25" s="115">
        <v>9.75</v>
      </c>
      <c r="AA25" s="161">
        <f t="shared" si="26"/>
        <v>3.8220000000000004E-2</v>
      </c>
      <c r="AB25" s="8">
        <v>4.0438583704690979E-2</v>
      </c>
      <c r="AC25" s="161">
        <f t="shared" si="27"/>
        <v>0.11767531219980787</v>
      </c>
      <c r="AE25" s="181"/>
      <c r="AF25" s="181"/>
      <c r="AG25" s="20">
        <v>3.9E-2</v>
      </c>
      <c r="AH25" s="20">
        <v>9.375E-2</v>
      </c>
    </row>
    <row r="26" spans="1:34" x14ac:dyDescent="0.2">
      <c r="B26" s="19" t="s">
        <v>10</v>
      </c>
      <c r="C26" s="19">
        <v>10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0</v>
      </c>
      <c r="M26" s="157">
        <f t="shared" si="24"/>
        <v>0</v>
      </c>
      <c r="N26" s="157">
        <f t="shared" si="24"/>
        <v>0</v>
      </c>
      <c r="O26" s="157">
        <f t="shared" si="25"/>
        <v>0</v>
      </c>
      <c r="Q26" s="14"/>
      <c r="R26" s="149"/>
      <c r="S26" s="148"/>
      <c r="T26" s="149"/>
      <c r="U26" s="149"/>
      <c r="V26" s="150"/>
      <c r="W26" s="165"/>
      <c r="X26" s="149"/>
      <c r="Y26" s="20">
        <v>0</v>
      </c>
      <c r="Z26" s="115">
        <v>0</v>
      </c>
      <c r="AA26" s="161">
        <f t="shared" si="26"/>
        <v>0</v>
      </c>
      <c r="AB26" s="8">
        <v>2.8782823517315929E-2</v>
      </c>
      <c r="AC26" s="161">
        <f t="shared" si="27"/>
        <v>0</v>
      </c>
      <c r="AE26" s="181"/>
      <c r="AF26" s="181"/>
      <c r="AG26" s="20">
        <v>0</v>
      </c>
      <c r="AH26" s="20">
        <v>0</v>
      </c>
    </row>
    <row r="27" spans="1:34" x14ac:dyDescent="0.2">
      <c r="A27" s="43"/>
      <c r="B27" s="19" t="s">
        <v>10</v>
      </c>
      <c r="C27" s="19">
        <v>10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2.6951551376411035E-2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0.98000000000000009</v>
      </c>
      <c r="AB30" s="161">
        <f t="shared" ref="AB30" si="28">SUM(AB2:AB4,AB7:AB12,AB15:AB22,AB24:AB27)</f>
        <v>0.97499999999999987</v>
      </c>
      <c r="AC30" s="161">
        <f>SUM(AC7:AC27)</f>
        <v>0.97999999999999987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0.99999999999999989</v>
      </c>
    </row>
    <row r="31" spans="1:34" s="28" customFormat="1" x14ac:dyDescent="0.2">
      <c r="A31" s="44"/>
      <c r="B31" s="29"/>
      <c r="C31" s="29"/>
      <c r="D31" s="47">
        <v>1014</v>
      </c>
      <c r="E31" s="48">
        <v>0.60599999999999998</v>
      </c>
      <c r="F31" s="2">
        <f>1-E31</f>
        <v>0.39400000000000002</v>
      </c>
      <c r="G31" s="114">
        <v>4.3</v>
      </c>
      <c r="H31" s="134">
        <v>4.1500000000000002E-2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614.48400000000004</v>
      </c>
      <c r="E34" s="167">
        <f>SUM(E2:E4)</f>
        <v>407.17892936419906</v>
      </c>
      <c r="F34" s="167">
        <f>SUM(F2:F4)</f>
        <v>4655.3904540118301</v>
      </c>
      <c r="G34" s="167">
        <f>SUM(G2:G4)</f>
        <v>31.427909437863761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399.51600000000002</v>
      </c>
      <c r="E37" s="167">
        <f>D37*G31</f>
        <v>1717.9187999999999</v>
      </c>
      <c r="F37" s="167">
        <f>D37*H31</f>
        <v>16.579914000000002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391.52568000000002</v>
      </c>
      <c r="E40" s="168">
        <f>SUM(J2:J4,J7:J12,J15:J22)</f>
        <v>1712.2323015110348</v>
      </c>
      <c r="F40" s="168">
        <f>SUM(K2:K4,K7:K12,K15:K22)</f>
        <v>16.532811343657887</v>
      </c>
      <c r="G40" s="168">
        <f>SUM(L7:L12,L15:L22,L24:L27)</f>
        <v>602.19432000000006</v>
      </c>
      <c r="H40" s="168">
        <f>SUM(M7:M12,M15:M22,M24:M27)</f>
        <v>404.97691319748452</v>
      </c>
      <c r="I40" s="168">
        <f>SUM(N7:N12,N15:N22,N24:N27)</f>
        <v>4650.9812795870102</v>
      </c>
      <c r="J40" s="168">
        <f>SUM(O7:O12,O15:O22,O24:O27)</f>
        <v>31.404410425820849</v>
      </c>
    </row>
    <row r="41" spans="1:32" ht="15" thickTop="1" x14ac:dyDescent="0.2">
      <c r="D41" s="169">
        <f>D37-D40</f>
        <v>7.990319999999997</v>
      </c>
      <c r="E41" s="169">
        <f>E37-E40</f>
        <v>5.6864984889650714</v>
      </c>
      <c r="F41" s="169">
        <f>F37-F40</f>
        <v>4.7102656342115523E-2</v>
      </c>
      <c r="G41" s="169">
        <f>SUM(D2:D4)-G40</f>
        <v>12.289679999999976</v>
      </c>
      <c r="H41" s="169">
        <f>E34-H40</f>
        <v>2.202016166714543</v>
      </c>
      <c r="I41" s="169">
        <f>F34-I40</f>
        <v>4.4091744248198665</v>
      </c>
      <c r="J41" s="169">
        <f>G34-J40</f>
        <v>2.3499012042911716E-2</v>
      </c>
    </row>
    <row r="42" spans="1:32" x14ac:dyDescent="0.2">
      <c r="N42" s="24"/>
      <c r="O42" s="24"/>
    </row>
    <row r="43" spans="1:32" x14ac:dyDescent="0.2">
      <c r="N43" s="24"/>
      <c r="O43" s="24"/>
    </row>
    <row r="44" spans="1:32" x14ac:dyDescent="0.2">
      <c r="N44" s="24"/>
      <c r="O44" s="24"/>
    </row>
    <row r="45" spans="1:32" x14ac:dyDescent="0.2">
      <c r="N45" s="24"/>
      <c r="O45" s="24"/>
    </row>
    <row r="46" spans="1:32" x14ac:dyDescent="0.2">
      <c r="N46" s="24"/>
      <c r="O46" s="24"/>
    </row>
    <row r="47" spans="1:32" x14ac:dyDescent="0.2">
      <c r="N47" s="24"/>
    </row>
  </sheetData>
  <sheetProtection selectLockedCells="1"/>
  <conditionalFormatting sqref="D41:J41">
    <cfRule type="cellIs" dxfId="38" priority="1" operator="lessThan">
      <formula>0</formula>
    </cfRule>
  </conditionalFormatting>
  <conditionalFormatting sqref="W30">
    <cfRule type="cellIs" dxfId="37" priority="2" operator="greaterThan">
      <formula>1</formula>
    </cfRule>
  </conditionalFormatting>
  <conditionalFormatting sqref="AA30:AG30">
    <cfRule type="cellIs" dxfId="36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>
    <tabColor rgb="FF7030A0"/>
  </sheetPr>
  <dimension ref="A1:AH41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98</v>
      </c>
      <c r="B2" s="19" t="s">
        <v>9</v>
      </c>
      <c r="C2" s="19">
        <v>13</v>
      </c>
      <c r="D2" s="157">
        <f>D$34*Q2</f>
        <v>646.21787999999992</v>
      </c>
      <c r="E2" s="157">
        <f>D2*R2</f>
        <v>425.9364473122526</v>
      </c>
      <c r="F2" s="157">
        <f>E2*S2</f>
        <v>4731.9508707950426</v>
      </c>
      <c r="G2" s="157">
        <f>E2*T2</f>
        <v>30.241487759169932</v>
      </c>
      <c r="H2" s="157">
        <f>E2*U2</f>
        <v>13.443975806147556</v>
      </c>
      <c r="I2" s="157">
        <f>D$37*W2</f>
        <v>26.231405200000008</v>
      </c>
      <c r="J2" s="157">
        <f>I2*V2</f>
        <v>83.650231302493069</v>
      </c>
      <c r="K2" s="157">
        <f>I2*X2</f>
        <v>1.4164958808000003</v>
      </c>
      <c r="L2" s="158"/>
      <c r="M2" s="158"/>
      <c r="N2" s="158"/>
      <c r="O2" s="158"/>
      <c r="Q2" s="161">
        <f>AE2</f>
        <v>0.97</v>
      </c>
      <c r="R2" s="116">
        <v>0.65912203994147089</v>
      </c>
      <c r="S2" s="115">
        <v>11.109523264925166</v>
      </c>
      <c r="T2" s="116">
        <v>7.0999999999999994E-2</v>
      </c>
      <c r="U2" s="20">
        <v>3.1563337420363609E-2</v>
      </c>
      <c r="V2" s="115">
        <v>3.1889344343052213</v>
      </c>
      <c r="W2" s="161">
        <f>(AF2/SUM(AF$2:AF$22))*0.98</f>
        <v>6.370000000000002E-2</v>
      </c>
      <c r="X2" s="20">
        <v>5.3999999999999999E-2</v>
      </c>
      <c r="Y2" s="22"/>
      <c r="Z2" s="23"/>
      <c r="AA2" s="1"/>
      <c r="AB2" s="1"/>
      <c r="AC2" s="1"/>
      <c r="AE2" s="20">
        <v>0.97</v>
      </c>
      <c r="AF2" s="20">
        <v>6.5000000000000002E-2</v>
      </c>
      <c r="AG2" s="181"/>
      <c r="AH2" s="181"/>
    </row>
    <row r="3" spans="1:34" x14ac:dyDescent="0.2">
      <c r="A3" s="18" t="s">
        <v>485</v>
      </c>
      <c r="B3" s="19" t="s">
        <v>9</v>
      </c>
      <c r="C3" s="19">
        <v>13</v>
      </c>
      <c r="D3" s="157">
        <f>D$34*Q3</f>
        <v>19.986120000000017</v>
      </c>
      <c r="E3" s="157">
        <f t="shared" ref="E3:F4" si="0">D3*R3</f>
        <v>12.591255600000011</v>
      </c>
      <c r="F3" s="157">
        <f t="shared" si="0"/>
        <v>133.46730936000012</v>
      </c>
      <c r="G3" s="157">
        <f t="shared" ref="G3:G4" si="1">E3*T3</f>
        <v>0.73029282480000068</v>
      </c>
      <c r="H3" s="157">
        <f t="shared" ref="H3:H4" si="2">E3*U3</f>
        <v>0.3777376680000003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3.0000000000000027E-2</v>
      </c>
      <c r="R3" s="116">
        <v>0.63</v>
      </c>
      <c r="S3" s="115">
        <v>10.6</v>
      </c>
      <c r="T3" s="116">
        <v>5.8000000000000003E-2</v>
      </c>
      <c r="U3" s="20">
        <v>0.03</v>
      </c>
      <c r="V3" s="115">
        <v>2.7</v>
      </c>
      <c r="W3" s="161">
        <f t="shared" ref="W3:W4" si="5">(AF3/SUM(AF$2:AF$22))*0.98</f>
        <v>0</v>
      </c>
      <c r="X3" s="20">
        <v>0.02</v>
      </c>
      <c r="Y3" s="22"/>
      <c r="Z3" s="23"/>
      <c r="AA3" s="1"/>
      <c r="AB3" s="1"/>
      <c r="AC3" s="1"/>
      <c r="AE3" s="20">
        <f>1-AE2</f>
        <v>3.0000000000000027E-2</v>
      </c>
      <c r="AF3" s="20">
        <v>0</v>
      </c>
      <c r="AG3" s="181"/>
      <c r="AH3" s="181"/>
    </row>
    <row r="4" spans="1:34" x14ac:dyDescent="0.2">
      <c r="A4" s="18" t="s">
        <v>637</v>
      </c>
      <c r="B4" s="19" t="s">
        <v>9</v>
      </c>
      <c r="C4" s="19">
        <v>13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0.61699999999999999</v>
      </c>
      <c r="S4" s="21">
        <v>10.8</v>
      </c>
      <c r="T4" s="116">
        <v>4.9000000000000002E-2</v>
      </c>
      <c r="U4" s="20">
        <v>3.4000000000000002E-2</v>
      </c>
      <c r="V4" s="21">
        <v>3.1</v>
      </c>
      <c r="W4" s="161">
        <f t="shared" si="5"/>
        <v>0</v>
      </c>
      <c r="X4" s="20">
        <v>2.9000000000000001E-2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100</v>
      </c>
      <c r="B7" s="19" t="s">
        <v>256</v>
      </c>
      <c r="C7" s="19">
        <v>13</v>
      </c>
      <c r="D7" s="158"/>
      <c r="E7" s="158"/>
      <c r="F7" s="158"/>
      <c r="G7" s="158"/>
      <c r="H7" s="158"/>
      <c r="I7" s="157">
        <f t="shared" ref="I7:I12" si="6">D$37*W7</f>
        <v>227.20432503999999</v>
      </c>
      <c r="J7" s="157">
        <f>I7*V7</f>
        <v>938.35386241519996</v>
      </c>
      <c r="K7" s="157">
        <f>I7*X7</f>
        <v>9.0881730015999995</v>
      </c>
      <c r="L7" s="157">
        <f>((D$2+D$3+D$4)*AA7)</f>
        <v>39.172795199999989</v>
      </c>
      <c r="M7" s="157">
        <f t="shared" ref="M7:N12" si="7">L7*Y7</f>
        <v>30.281067668428712</v>
      </c>
      <c r="N7" s="157">
        <f t="shared" si="7"/>
        <v>208.62430165368994</v>
      </c>
      <c r="O7" s="157">
        <f>M7*AH7</f>
        <v>1.271804842074006</v>
      </c>
      <c r="Q7" s="14"/>
      <c r="R7" s="149"/>
      <c r="S7" s="148"/>
      <c r="T7" s="149"/>
      <c r="U7" s="149"/>
      <c r="V7" s="21">
        <v>4.13</v>
      </c>
      <c r="W7" s="161">
        <f t="shared" ref="W7:W12" si="8">(AF7/SUM(AF$2:AF$22))*0.98</f>
        <v>0.55174000000000001</v>
      </c>
      <c r="X7" s="20">
        <v>0.04</v>
      </c>
      <c r="Y7" s="20">
        <v>0.7730126868360091</v>
      </c>
      <c r="Z7" s="21">
        <v>6.8895953054919312</v>
      </c>
      <c r="AA7" s="161">
        <f>(AG7/SUM(AG$7:AG$27))*0.98</f>
        <v>5.8799999999999984E-2</v>
      </c>
      <c r="AB7" s="8">
        <v>0.1353773558933076</v>
      </c>
      <c r="AC7" s="161">
        <f>(AH7/SUM(AH$7:AH$27))*0.98</f>
        <v>6.596153846153846E-2</v>
      </c>
      <c r="AE7" s="181"/>
      <c r="AF7" s="20">
        <v>0.56299999999999994</v>
      </c>
      <c r="AG7" s="20">
        <v>0.06</v>
      </c>
      <c r="AH7" s="20">
        <v>4.2000000000000003E-2</v>
      </c>
    </row>
    <row r="8" spans="1:34" x14ac:dyDescent="0.2">
      <c r="A8" s="186" t="s">
        <v>542</v>
      </c>
      <c r="B8" s="19" t="s">
        <v>256</v>
      </c>
      <c r="C8" s="19">
        <v>13</v>
      </c>
      <c r="D8" s="158"/>
      <c r="E8" s="158"/>
      <c r="F8" s="158"/>
      <c r="G8" s="158"/>
      <c r="H8" s="158"/>
      <c r="I8" s="157">
        <f t="shared" si="6"/>
        <v>117.43598328000002</v>
      </c>
      <c r="J8" s="157">
        <f>I8*V8</f>
        <v>484.14447840238842</v>
      </c>
      <c r="K8" s="157">
        <f>I8*X8</f>
        <v>4.5800033479200009</v>
      </c>
      <c r="L8" s="157">
        <f>((D$2+D$3+D$4)*AA8)</f>
        <v>31.338236159999987</v>
      </c>
      <c r="M8" s="157">
        <f t="shared" si="7"/>
        <v>21.372677061119994</v>
      </c>
      <c r="N8" s="157">
        <f t="shared" si="7"/>
        <v>168.20296847101434</v>
      </c>
      <c r="O8" s="157">
        <f t="shared" ref="O8:O12" si="9">M8*AH8</f>
        <v>0.6198076347724798</v>
      </c>
      <c r="Q8" s="14"/>
      <c r="R8" s="149"/>
      <c r="S8" s="148"/>
      <c r="T8" s="149"/>
      <c r="U8" s="149"/>
      <c r="V8" s="21">
        <v>4.1226246409335499</v>
      </c>
      <c r="W8" s="161">
        <f t="shared" si="8"/>
        <v>0.28518000000000004</v>
      </c>
      <c r="X8" s="20">
        <v>3.9E-2</v>
      </c>
      <c r="Y8" s="20">
        <v>0.68200000000000005</v>
      </c>
      <c r="Z8" s="21">
        <v>7.87</v>
      </c>
      <c r="AA8" s="161">
        <f t="shared" ref="AA8:AA12" si="10">(AG8/SUM(AG$7:AG$27))*0.98</f>
        <v>4.7039999999999985E-2</v>
      </c>
      <c r="AB8" s="8">
        <v>3.5287060352063145E-2</v>
      </c>
      <c r="AC8" s="161">
        <f t="shared" ref="AC8:AC12" si="11">(AH8/SUM(AH$7:AH$27))*0.98</f>
        <v>4.5544871794871787E-2</v>
      </c>
      <c r="AE8" s="181"/>
      <c r="AF8" s="20">
        <v>0.29099999999999998</v>
      </c>
      <c r="AG8" s="20">
        <v>4.8000000000000001E-2</v>
      </c>
      <c r="AH8" s="20">
        <v>2.9000000000000001E-2</v>
      </c>
    </row>
    <row r="9" spans="1:34" x14ac:dyDescent="0.2">
      <c r="A9" s="18" t="s">
        <v>680</v>
      </c>
      <c r="B9" s="19" t="s">
        <v>256</v>
      </c>
      <c r="C9" s="19">
        <v>13</v>
      </c>
      <c r="D9" s="158"/>
      <c r="E9" s="158"/>
      <c r="F9" s="158"/>
      <c r="G9" s="158"/>
      <c r="H9" s="158"/>
      <c r="I9" s="157">
        <f t="shared" si="6"/>
        <v>28.652765680000002</v>
      </c>
      <c r="J9" s="157">
        <f>I9*V9</f>
        <v>113.75147974960001</v>
      </c>
      <c r="K9" s="157">
        <f>I9*X9</f>
        <v>1.03149956448</v>
      </c>
      <c r="L9" s="157">
        <f>((D$2+D$3+D$4)*AA9)</f>
        <v>15.016238159999997</v>
      </c>
      <c r="M9" s="157">
        <f t="shared" si="7"/>
        <v>11.021918809439997</v>
      </c>
      <c r="N9" s="157">
        <f t="shared" si="7"/>
        <v>81.562199189855988</v>
      </c>
      <c r="O9" s="157">
        <f t="shared" si="9"/>
        <v>0.2865698890454399</v>
      </c>
      <c r="Q9" s="14"/>
      <c r="R9" s="149"/>
      <c r="S9" s="148"/>
      <c r="T9" s="149"/>
      <c r="U9" s="149"/>
      <c r="V9" s="21">
        <v>3.97</v>
      </c>
      <c r="W9" s="161">
        <f t="shared" si="8"/>
        <v>6.9580000000000003E-2</v>
      </c>
      <c r="X9" s="20">
        <v>3.5999999999999997E-2</v>
      </c>
      <c r="Y9" s="20">
        <v>0.73399999999999999</v>
      </c>
      <c r="Z9" s="21">
        <v>7.4</v>
      </c>
      <c r="AA9" s="161">
        <f t="shared" si="10"/>
        <v>2.2539999999999998E-2</v>
      </c>
      <c r="AB9" s="8">
        <v>1.4026782329730186E-2</v>
      </c>
      <c r="AC9" s="161">
        <f t="shared" si="11"/>
        <v>4.0833333333333326E-2</v>
      </c>
      <c r="AE9" s="181"/>
      <c r="AF9" s="20">
        <v>7.0999999999999994E-2</v>
      </c>
      <c r="AG9" s="20">
        <v>2.3E-2</v>
      </c>
      <c r="AH9" s="20">
        <v>2.5999999999999999E-2</v>
      </c>
    </row>
    <row r="10" spans="1:34" x14ac:dyDescent="0.2">
      <c r="A10" s="18" t="s">
        <v>699</v>
      </c>
      <c r="B10" s="19" t="s">
        <v>256</v>
      </c>
      <c r="C10" s="19">
        <v>13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1.8202568396799731E-2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B11" s="19" t="s">
        <v>256</v>
      </c>
      <c r="C11" s="19">
        <v>13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1.6938860595027125E-2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13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179</v>
      </c>
      <c r="B15" s="19" t="s">
        <v>257</v>
      </c>
      <c r="C15" s="19">
        <v>13</v>
      </c>
      <c r="D15" s="158"/>
      <c r="E15" s="158"/>
      <c r="F15" s="158"/>
      <c r="G15" s="158"/>
      <c r="H15" s="158"/>
      <c r="I15" s="157">
        <f t="shared" ref="I15:I22" si="15">D$37*W15</f>
        <v>4.0356008000000001</v>
      </c>
      <c r="J15" s="157">
        <f t="shared" ref="J15:J22" si="16">I15*V15</f>
        <v>18.76137968694097</v>
      </c>
      <c r="K15" s="157">
        <f t="shared" ref="K15:K22" si="17">I15*X15</f>
        <v>0.31477686240000002</v>
      </c>
      <c r="L15" s="157">
        <f t="shared" ref="L15:L22" si="18">((D$2+D$3+D$4)*AA15)</f>
        <v>167.13725951999996</v>
      </c>
      <c r="M15" s="157">
        <f t="shared" ref="M15:N22" si="19">L15*Y15</f>
        <v>118.16604248063996</v>
      </c>
      <c r="N15" s="157">
        <f t="shared" si="19"/>
        <v>1577.5166671165434</v>
      </c>
      <c r="O15" s="157">
        <f t="shared" ref="O15:O22" si="20">M15*AH15</f>
        <v>9.4532833984511964</v>
      </c>
      <c r="Q15" s="14"/>
      <c r="R15" s="149"/>
      <c r="S15" s="148"/>
      <c r="T15" s="149"/>
      <c r="U15" s="149"/>
      <c r="V15" s="21">
        <v>4.6489681751824827</v>
      </c>
      <c r="W15" s="161">
        <f t="shared" ref="W15:W22" si="21">(AF15/SUM(AF$2:AF$22))*0.98</f>
        <v>9.8000000000000014E-3</v>
      </c>
      <c r="X15" s="20">
        <v>7.8E-2</v>
      </c>
      <c r="Y15" s="20">
        <v>0.70699999999999996</v>
      </c>
      <c r="Z15" s="21">
        <v>13.35</v>
      </c>
      <c r="AA15" s="161">
        <f t="shared" ref="AA15:AA22" si="22">(AG15/SUM(AG$7:AG$27))*0.98</f>
        <v>0.25087999999999994</v>
      </c>
      <c r="AB15" s="8">
        <v>0.2255326591937164</v>
      </c>
      <c r="AC15" s="161">
        <f t="shared" ref="AC15:AC22" si="23">(AH15/SUM(AH$7:AH$27))*0.98</f>
        <v>0.12564102564102564</v>
      </c>
      <c r="AE15" s="181"/>
      <c r="AF15" s="20">
        <v>0.01</v>
      </c>
      <c r="AG15" s="20">
        <v>0.25600000000000001</v>
      </c>
      <c r="AH15" s="20">
        <v>0.08</v>
      </c>
    </row>
    <row r="16" spans="1:34" x14ac:dyDescent="0.2">
      <c r="A16" s="18" t="s">
        <v>638</v>
      </c>
      <c r="B16" s="19" t="s">
        <v>257</v>
      </c>
      <c r="C16" s="19">
        <v>13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127.31158439999994</v>
      </c>
      <c r="M16" s="157">
        <f t="shared" si="19"/>
        <v>79.951675003199966</v>
      </c>
      <c r="N16" s="157">
        <f t="shared" si="19"/>
        <v>969.81381778881564</v>
      </c>
      <c r="O16" s="157">
        <f t="shared" si="20"/>
        <v>6.635989025265598</v>
      </c>
      <c r="Q16" s="14"/>
      <c r="R16" s="149"/>
      <c r="S16" s="148"/>
      <c r="T16" s="149"/>
      <c r="U16" s="149"/>
      <c r="V16" s="21">
        <v>2.3532467532467534</v>
      </c>
      <c r="W16" s="161">
        <f t="shared" si="21"/>
        <v>0</v>
      </c>
      <c r="X16" s="20">
        <v>7.7922077922077931E-3</v>
      </c>
      <c r="Y16" s="20">
        <v>0.628</v>
      </c>
      <c r="Z16" s="21">
        <v>12.13</v>
      </c>
      <c r="AA16" s="161">
        <f t="shared" si="22"/>
        <v>0.19109999999999994</v>
      </c>
      <c r="AB16" s="8">
        <v>0.2006370053786376</v>
      </c>
      <c r="AC16" s="161">
        <f t="shared" si="23"/>
        <v>0.13035256410256407</v>
      </c>
      <c r="AE16" s="181"/>
      <c r="AF16" s="20">
        <v>0</v>
      </c>
      <c r="AG16" s="20">
        <v>0.19500000000000001</v>
      </c>
      <c r="AH16" s="20">
        <v>8.3000000000000004E-2</v>
      </c>
    </row>
    <row r="17" spans="1:34" x14ac:dyDescent="0.2">
      <c r="A17" s="18" t="s">
        <v>469</v>
      </c>
      <c r="B17" s="19" t="s">
        <v>257</v>
      </c>
      <c r="C17" s="19">
        <v>13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92.056068719999971</v>
      </c>
      <c r="M17" s="157">
        <f t="shared" si="19"/>
        <v>55.993695014320394</v>
      </c>
      <c r="N17" s="157">
        <f t="shared" si="19"/>
        <v>610.33127565609232</v>
      </c>
      <c r="O17" s="157">
        <f t="shared" si="20"/>
        <v>4.1435334310597094</v>
      </c>
      <c r="Q17" s="14"/>
      <c r="R17" s="149"/>
      <c r="S17" s="148"/>
      <c r="T17" s="149"/>
      <c r="U17" s="149"/>
      <c r="V17" s="21">
        <v>1.9714285714285715</v>
      </c>
      <c r="W17" s="161">
        <f t="shared" si="21"/>
        <v>0</v>
      </c>
      <c r="X17" s="20">
        <v>5.3571428571428581E-3</v>
      </c>
      <c r="Y17" s="20">
        <v>0.60825642234008725</v>
      </c>
      <c r="Z17" s="21">
        <v>10.9</v>
      </c>
      <c r="AA17" s="161">
        <f t="shared" si="22"/>
        <v>0.13817999999999997</v>
      </c>
      <c r="AB17" s="8">
        <v>3.8901744233504301E-2</v>
      </c>
      <c r="AC17" s="161">
        <f t="shared" si="23"/>
        <v>0.11621794871794869</v>
      </c>
      <c r="AE17" s="181"/>
      <c r="AF17" s="20">
        <v>0</v>
      </c>
      <c r="AG17" s="20">
        <v>0.14099999999999999</v>
      </c>
      <c r="AH17" s="20">
        <v>7.3999999999999996E-2</v>
      </c>
    </row>
    <row r="18" spans="1:34" x14ac:dyDescent="0.2">
      <c r="A18" s="18" t="s">
        <v>547</v>
      </c>
      <c r="B18" s="19" t="s">
        <v>257</v>
      </c>
      <c r="C18" s="19">
        <v>13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9.7931987999999972</v>
      </c>
      <c r="M18" s="157">
        <f t="shared" si="19"/>
        <v>5.6267198516291623</v>
      </c>
      <c r="N18" s="157">
        <f t="shared" si="19"/>
        <v>76.016985195509989</v>
      </c>
      <c r="O18" s="157">
        <f t="shared" si="20"/>
        <v>0.33760319109774972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0.57455382725705151</v>
      </c>
      <c r="Z18" s="21">
        <v>13.51</v>
      </c>
      <c r="AA18" s="161">
        <f t="shared" si="22"/>
        <v>1.4699999999999996E-2</v>
      </c>
      <c r="AB18" s="8">
        <v>3.0106379309806204E-2</v>
      </c>
      <c r="AC18" s="161">
        <f t="shared" si="23"/>
        <v>9.4230769230769201E-2</v>
      </c>
      <c r="AE18" s="181"/>
      <c r="AF18" s="20">
        <v>0</v>
      </c>
      <c r="AG18" s="20">
        <v>1.4999999999999999E-2</v>
      </c>
      <c r="AH18" s="20">
        <v>0.06</v>
      </c>
    </row>
    <row r="19" spans="1:34" x14ac:dyDescent="0.2">
      <c r="A19" s="18" t="s">
        <v>700</v>
      </c>
      <c r="B19" s="19" t="s">
        <v>257</v>
      </c>
      <c r="C19" s="19">
        <v>13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22.197917279999995</v>
      </c>
      <c r="M19" s="157">
        <f t="shared" si="19"/>
        <v>13.096771195199997</v>
      </c>
      <c r="N19" s="157">
        <f t="shared" si="19"/>
        <v>156.11351264678396</v>
      </c>
      <c r="O19" s="157">
        <f t="shared" si="20"/>
        <v>0.69412887334559981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0.59</v>
      </c>
      <c r="Z19" s="21">
        <v>11.92</v>
      </c>
      <c r="AA19" s="161">
        <f t="shared" si="22"/>
        <v>3.3319999999999995E-2</v>
      </c>
      <c r="AB19" s="8">
        <v>2.7550988610572424E-2</v>
      </c>
      <c r="AC19" s="161">
        <f t="shared" si="23"/>
        <v>8.3237179487179458E-2</v>
      </c>
      <c r="AE19" s="181"/>
      <c r="AF19" s="20">
        <v>0</v>
      </c>
      <c r="AG19" s="20">
        <v>3.4000000000000002E-2</v>
      </c>
      <c r="AH19" s="20">
        <v>5.2999999999999999E-2</v>
      </c>
    </row>
    <row r="20" spans="1:34" x14ac:dyDescent="0.2">
      <c r="A20" s="187"/>
      <c r="B20" s="19" t="s">
        <v>257</v>
      </c>
      <c r="C20" s="19">
        <v>13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1.2115021358685868E-2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13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13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45</v>
      </c>
      <c r="B24" s="19" t="s">
        <v>10</v>
      </c>
      <c r="C24" s="19">
        <v>13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127.96446431999995</v>
      </c>
      <c r="M24" s="157">
        <f t="shared" ref="M24:N27" si="24">L24*Y24</f>
        <v>88.235084478884062</v>
      </c>
      <c r="N24" s="157">
        <f t="shared" si="24"/>
        <v>887.82414826217337</v>
      </c>
      <c r="O24" s="157">
        <f t="shared" ref="O24:O27" si="25">M24*AH24</f>
        <v>6.7941015048740727</v>
      </c>
      <c r="Q24" s="14"/>
      <c r="R24" s="149"/>
      <c r="S24" s="148"/>
      <c r="T24" s="149"/>
      <c r="U24" s="149"/>
      <c r="V24" s="150"/>
      <c r="W24" s="165"/>
      <c r="X24" s="149"/>
      <c r="Y24" s="20">
        <v>0.6895280259856762</v>
      </c>
      <c r="Z24" s="115">
        <v>10.062030920077405</v>
      </c>
      <c r="AA24" s="161">
        <f t="shared" ref="AA24:AA27" si="26">(AG24/SUM(AG$7:AG$27))*0.98</f>
        <v>0.19207999999999995</v>
      </c>
      <c r="AB24" s="8">
        <v>0.13351592076527255</v>
      </c>
      <c r="AC24" s="161">
        <f t="shared" ref="AC24:AC27" si="27">(AH24/SUM(AH$7:AH$27))*0.98</f>
        <v>0.12092948717948715</v>
      </c>
      <c r="AE24" s="181"/>
      <c r="AF24" s="181"/>
      <c r="AG24" s="20">
        <v>0.19600000000000001</v>
      </c>
      <c r="AH24" s="20">
        <v>7.6999999999999999E-2</v>
      </c>
    </row>
    <row r="25" spans="1:34" x14ac:dyDescent="0.2">
      <c r="A25" s="18" t="s">
        <v>488</v>
      </c>
      <c r="B25" s="19" t="s">
        <v>10</v>
      </c>
      <c r="C25" s="19">
        <v>13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14.363358239999997</v>
      </c>
      <c r="M25" s="157">
        <f t="shared" si="24"/>
        <v>10.054350767999997</v>
      </c>
      <c r="N25" s="157">
        <f t="shared" si="24"/>
        <v>83.451111374399986</v>
      </c>
      <c r="O25" s="157">
        <f t="shared" si="25"/>
        <v>0.50271753839999989</v>
      </c>
      <c r="Q25" s="14"/>
      <c r="R25" s="149"/>
      <c r="S25" s="148"/>
      <c r="T25" s="149"/>
      <c r="U25" s="149"/>
      <c r="V25" s="150"/>
      <c r="W25" s="165"/>
      <c r="X25" s="149"/>
      <c r="Y25" s="20">
        <v>0.7</v>
      </c>
      <c r="Z25" s="115">
        <v>8.3000000000000007</v>
      </c>
      <c r="AA25" s="161">
        <f t="shared" si="26"/>
        <v>2.1559999999999996E-2</v>
      </c>
      <c r="AB25" s="8">
        <v>6.5170854129195169E-2</v>
      </c>
      <c r="AC25" s="161">
        <f t="shared" si="27"/>
        <v>7.852564102564101E-2</v>
      </c>
      <c r="AE25" s="181"/>
      <c r="AF25" s="181"/>
      <c r="AG25" s="20">
        <v>2.1999999999999999E-2</v>
      </c>
      <c r="AH25" s="20">
        <v>0.05</v>
      </c>
    </row>
    <row r="26" spans="1:34" x14ac:dyDescent="0.2">
      <c r="A26" s="18" t="s">
        <v>591</v>
      </c>
      <c r="B26" s="19" t="s">
        <v>10</v>
      </c>
      <c r="C26" s="19">
        <v>13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6.5287991999999981</v>
      </c>
      <c r="M26" s="157">
        <f t="shared" si="24"/>
        <v>4.453760059576144</v>
      </c>
      <c r="N26" s="157">
        <f t="shared" si="24"/>
        <v>43.84454177113944</v>
      </c>
      <c r="O26" s="157">
        <f t="shared" si="25"/>
        <v>0.2226880029788072</v>
      </c>
      <c r="Q26" s="14"/>
      <c r="R26" s="149"/>
      <c r="S26" s="148"/>
      <c r="T26" s="149"/>
      <c r="U26" s="149"/>
      <c r="V26" s="150"/>
      <c r="W26" s="165"/>
      <c r="X26" s="149"/>
      <c r="Y26" s="20">
        <v>0.68217139525077519</v>
      </c>
      <c r="Z26" s="115">
        <v>9.8443879294458547</v>
      </c>
      <c r="AA26" s="161">
        <f t="shared" si="26"/>
        <v>9.7999999999999979E-3</v>
      </c>
      <c r="AB26" s="8">
        <v>2.1636799453681792E-2</v>
      </c>
      <c r="AC26" s="161">
        <f t="shared" si="27"/>
        <v>7.852564102564101E-2</v>
      </c>
      <c r="AE26" s="181"/>
      <c r="AF26" s="181"/>
      <c r="AG26" s="20">
        <v>0.01</v>
      </c>
      <c r="AH26" s="20">
        <v>0.05</v>
      </c>
    </row>
    <row r="27" spans="1:34" x14ac:dyDescent="0.2">
      <c r="B27" s="19" t="s">
        <v>10</v>
      </c>
      <c r="C27" s="19">
        <v>13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0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0.97999999999999987</v>
      </c>
      <c r="AB30" s="161">
        <f t="shared" ref="AB30" si="28">SUM(AB2:AB4,AB7:AB12,AB15:AB22,AB24:AB27)</f>
        <v>0.9750000000000002</v>
      </c>
      <c r="AC30" s="161">
        <f>SUM(AC7:AC27)</f>
        <v>0.97999999999999976</v>
      </c>
      <c r="AD30" s="36"/>
      <c r="AE30" s="161">
        <f>SUM(AE2:AE4,AE7:AE27)</f>
        <v>1</v>
      </c>
      <c r="AF30" s="161">
        <f>SUM(AF2:AF4,AF7:AF27)</f>
        <v>0.99999999999999978</v>
      </c>
      <c r="AG30" s="161">
        <f>SUM(AG7:AG27)</f>
        <v>1.0000000000000002</v>
      </c>
    </row>
    <row r="31" spans="1:34" s="28" customFormat="1" x14ac:dyDescent="0.2">
      <c r="A31" s="44"/>
      <c r="B31" s="29"/>
      <c r="C31" s="29"/>
      <c r="D31" s="47">
        <v>1078</v>
      </c>
      <c r="E31" s="48">
        <v>0.61799999999999999</v>
      </c>
      <c r="F31" s="2">
        <f>1-E31</f>
        <v>0.38200000000000001</v>
      </c>
      <c r="G31" s="114">
        <v>4</v>
      </c>
      <c r="H31" s="134">
        <v>0.04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666.20399999999995</v>
      </c>
      <c r="E34" s="167">
        <f>SUM(E2:E4)</f>
        <v>438.52770291225261</v>
      </c>
      <c r="F34" s="167">
        <f>SUM(F2:F4)</f>
        <v>4865.418180155043</v>
      </c>
      <c r="G34" s="167">
        <f>SUM(G2:G4)</f>
        <v>30.971780583969931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411.79599999999999</v>
      </c>
      <c r="E37" s="167">
        <f>D37*G31</f>
        <v>1647.184</v>
      </c>
      <c r="F37" s="167">
        <f>D37*H31</f>
        <v>16.47184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403.56008000000003</v>
      </c>
      <c r="E40" s="168">
        <f>SUM(J2:J4,J7:J12,J15:J22)</f>
        <v>1638.6614315566223</v>
      </c>
      <c r="F40" s="168">
        <f>SUM(K2:K4,K7:K12,K15:K22)</f>
        <v>16.430948657200002</v>
      </c>
      <c r="G40" s="168">
        <f>SUM(L7:L12,L15:L22,L24:L27)</f>
        <v>652.87991999999986</v>
      </c>
      <c r="H40" s="168">
        <f>SUM(M7:M12,M15:M22,M24:M27)</f>
        <v>438.2537623904384</v>
      </c>
      <c r="I40" s="168">
        <f>SUM(N7:N12,N15:N22,N24:N27)</f>
        <v>4863.301529126019</v>
      </c>
      <c r="J40" s="168">
        <f>SUM(O7:O12,O15:O22,O24:O27)</f>
        <v>30.962227331364659</v>
      </c>
    </row>
    <row r="41" spans="1:32" ht="15" thickTop="1" x14ac:dyDescent="0.2">
      <c r="D41" s="169">
        <f>D37-D40</f>
        <v>8.2359199999999646</v>
      </c>
      <c r="E41" s="169">
        <f>E37-E40</f>
        <v>8.5225684433776223</v>
      </c>
      <c r="F41" s="169">
        <f>F37-F40</f>
        <v>4.0891342799998398E-2</v>
      </c>
      <c r="G41" s="169">
        <f>SUM(D2:D4)-G40</f>
        <v>13.324080000000095</v>
      </c>
      <c r="H41" s="169">
        <f>E34-H40</f>
        <v>0.27394052181421102</v>
      </c>
      <c r="I41" s="169">
        <f>F34-I40</f>
        <v>2.1166510290240694</v>
      </c>
      <c r="J41" s="169">
        <f>G34-J40</f>
        <v>9.5532526052721778E-3</v>
      </c>
    </row>
  </sheetData>
  <sheetProtection selectLockedCells="1"/>
  <conditionalFormatting sqref="D41:J41">
    <cfRule type="cellIs" dxfId="35" priority="1" operator="lessThan">
      <formula>0</formula>
    </cfRule>
  </conditionalFormatting>
  <conditionalFormatting sqref="W30">
    <cfRule type="cellIs" dxfId="34" priority="2" operator="greaterThan">
      <formula>1</formula>
    </cfRule>
  </conditionalFormatting>
  <conditionalFormatting sqref="AA30:AG30">
    <cfRule type="cellIs" dxfId="33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>
    <tabColor rgb="FF002CB8"/>
  </sheetPr>
  <dimension ref="A1:AH45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210</v>
      </c>
      <c r="B2" s="19" t="s">
        <v>9</v>
      </c>
      <c r="C2" s="19">
        <v>11</v>
      </c>
      <c r="D2" s="157">
        <f>D$34*Q2</f>
        <v>540.86283999999989</v>
      </c>
      <c r="E2" s="157">
        <f>D2*R2</f>
        <v>359.13292575999992</v>
      </c>
      <c r="F2" s="157">
        <f>E2*S2</f>
        <v>3882.2269274655991</v>
      </c>
      <c r="G2" s="157">
        <f>E2*T2</f>
        <v>22.697200908031999</v>
      </c>
      <c r="H2" s="157">
        <f>E2*U2</f>
        <v>13.742540428491383</v>
      </c>
      <c r="I2" s="157">
        <f>D$37*W2</f>
        <v>31.51308384</v>
      </c>
      <c r="J2" s="157">
        <f>I2*V2</f>
        <v>97.690559903999997</v>
      </c>
      <c r="K2" s="157">
        <f>I2*X2</f>
        <v>1.0399317667200001</v>
      </c>
      <c r="L2" s="158"/>
      <c r="M2" s="158"/>
      <c r="N2" s="158"/>
      <c r="O2" s="158"/>
      <c r="Q2" s="161">
        <f>AE2</f>
        <v>0.94</v>
      </c>
      <c r="R2" s="116">
        <v>0.66400000000000003</v>
      </c>
      <c r="S2" s="115">
        <v>10.81</v>
      </c>
      <c r="T2" s="116">
        <v>6.3200000000000006E-2</v>
      </c>
      <c r="U2" s="20">
        <v>3.8265888318118731E-2</v>
      </c>
      <c r="V2" s="115">
        <v>3.1</v>
      </c>
      <c r="W2" s="161">
        <f>(AF2/SUM(AF$2:AF$22))*0.98</f>
        <v>7.0559999999999998E-2</v>
      </c>
      <c r="X2" s="20">
        <v>3.3000000000000002E-2</v>
      </c>
      <c r="Y2" s="22"/>
      <c r="Z2" s="23"/>
      <c r="AA2" s="1"/>
      <c r="AB2" s="1"/>
      <c r="AC2" s="1"/>
      <c r="AE2" s="20">
        <v>0.94</v>
      </c>
      <c r="AF2" s="20">
        <v>7.1999999999999995E-2</v>
      </c>
      <c r="AG2" s="181"/>
      <c r="AH2" s="181"/>
    </row>
    <row r="3" spans="1:34" x14ac:dyDescent="0.2">
      <c r="B3" s="19" t="s">
        <v>9</v>
      </c>
      <c r="C3" s="19">
        <v>11</v>
      </c>
      <c r="D3" s="157">
        <f>D$34*Q3</f>
        <v>34.523160000000026</v>
      </c>
      <c r="E3" s="157">
        <f t="shared" ref="E3:F4" si="0">D3*R3</f>
        <v>21.858979791172246</v>
      </c>
      <c r="F3" s="157">
        <f t="shared" si="0"/>
        <v>246.35070224651119</v>
      </c>
      <c r="G3" s="157">
        <f t="shared" ref="G3:G4" si="1">E3*T3</f>
        <v>1.3596285430109136</v>
      </c>
      <c r="H3" s="157">
        <f t="shared" ref="H3:H4" si="2">E3*U3</f>
        <v>1.2989586546575671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6.0000000000000053E-2</v>
      </c>
      <c r="R3" s="116">
        <v>0.63316856832260515</v>
      </c>
      <c r="S3" s="115">
        <v>11.27</v>
      </c>
      <c r="T3" s="116">
        <v>6.2199999999999998E-2</v>
      </c>
      <c r="U3" s="20">
        <v>5.9424486735751125E-2</v>
      </c>
      <c r="V3" s="115">
        <v>1.8461538461538463</v>
      </c>
      <c r="W3" s="161">
        <f t="shared" ref="W3:W4" si="5">(AF3/SUM(AF$2:AF$22))*0.98</f>
        <v>0</v>
      </c>
      <c r="X3" s="20">
        <v>4.0000000000000001E-3</v>
      </c>
      <c r="Y3" s="22"/>
      <c r="Z3" s="23"/>
      <c r="AA3" s="1"/>
      <c r="AB3" s="1"/>
      <c r="AC3" s="1"/>
      <c r="AE3" s="20">
        <f>1-AE2</f>
        <v>6.0000000000000053E-2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11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231</v>
      </c>
      <c r="B7" s="19" t="s">
        <v>256</v>
      </c>
      <c r="C7" s="19">
        <v>11</v>
      </c>
      <c r="D7" s="158"/>
      <c r="E7" s="158"/>
      <c r="F7" s="158"/>
      <c r="G7" s="158"/>
      <c r="H7" s="158"/>
      <c r="I7" s="157">
        <f t="shared" ref="I7:I12" si="6">D$37*W7</f>
        <v>226.28144924000003</v>
      </c>
      <c r="J7" s="157">
        <f>I7*V7</f>
        <v>1055.3703652018612</v>
      </c>
      <c r="K7" s="157">
        <f>I7*X7</f>
        <v>5.430754781760001</v>
      </c>
      <c r="L7" s="157">
        <f>((D$2+D$3+D$4)*AA7)</f>
        <v>72.740298119999977</v>
      </c>
      <c r="M7" s="157">
        <f t="shared" ref="M7:N12" si="7">L7*Y7</f>
        <v>56.354145229868308</v>
      </c>
      <c r="N7" s="157">
        <f t="shared" si="7"/>
        <v>405.18630420275315</v>
      </c>
      <c r="O7" s="157">
        <f>M7*AH7</f>
        <v>2.1414575187349958</v>
      </c>
      <c r="Q7" s="14"/>
      <c r="R7" s="149"/>
      <c r="S7" s="148"/>
      <c r="T7" s="149"/>
      <c r="U7" s="149"/>
      <c r="V7" s="21">
        <v>4.6639720964598732</v>
      </c>
      <c r="W7" s="161">
        <f t="shared" ref="W7:W12" si="8">(AF7/SUM(AF$2:AF$22))*0.98</f>
        <v>0.50666</v>
      </c>
      <c r="X7" s="20">
        <v>2.4E-2</v>
      </c>
      <c r="Y7" s="20">
        <v>0.77473074329308678</v>
      </c>
      <c r="Z7" s="21">
        <v>7.19</v>
      </c>
      <c r="AA7" s="161">
        <f>(AG7/SUM(AG$7:AG$27))*0.98</f>
        <v>0.12641999999999998</v>
      </c>
      <c r="AB7" s="8">
        <v>3.2545431170514526E-2</v>
      </c>
      <c r="AC7" s="161">
        <f>(AH7/SUM(AH$7:AH$27))*0.98</f>
        <v>5.996779388083736E-2</v>
      </c>
      <c r="AE7" s="181"/>
      <c r="AF7" s="20">
        <v>0.51700000000000002</v>
      </c>
      <c r="AG7" s="20">
        <v>0.129</v>
      </c>
      <c r="AH7" s="20">
        <v>3.7999999999999999E-2</v>
      </c>
    </row>
    <row r="8" spans="1:34" x14ac:dyDescent="0.2">
      <c r="A8" s="186" t="s">
        <v>40</v>
      </c>
      <c r="B8" s="19" t="s">
        <v>256</v>
      </c>
      <c r="C8" s="19">
        <v>11</v>
      </c>
      <c r="D8" s="158"/>
      <c r="E8" s="158"/>
      <c r="F8" s="158"/>
      <c r="G8" s="158"/>
      <c r="H8" s="158"/>
      <c r="I8" s="157">
        <f t="shared" si="6"/>
        <v>143.55960416000002</v>
      </c>
      <c r="J8" s="157">
        <f>I8*V8</f>
        <v>610.12831768000012</v>
      </c>
      <c r="K8" s="157">
        <f>I8*X8</f>
        <v>7.177980208000001</v>
      </c>
      <c r="L8" s="157">
        <f>((D$2+D$3+D$4)*AA8)</f>
        <v>24.246766039999994</v>
      </c>
      <c r="M8" s="157">
        <f t="shared" si="7"/>
        <v>18.621516318719994</v>
      </c>
      <c r="N8" s="157">
        <f t="shared" si="7"/>
        <v>124.76415933542397</v>
      </c>
      <c r="O8" s="157">
        <f t="shared" ref="O8:O12" si="9">M8*AH8</f>
        <v>0.55864548956159976</v>
      </c>
      <c r="Q8" s="14"/>
      <c r="R8" s="149"/>
      <c r="S8" s="148"/>
      <c r="T8" s="149"/>
      <c r="U8" s="149"/>
      <c r="V8" s="21">
        <v>4.25</v>
      </c>
      <c r="W8" s="161">
        <f t="shared" si="8"/>
        <v>0.32144</v>
      </c>
      <c r="X8" s="20">
        <v>0.05</v>
      </c>
      <c r="Y8" s="20">
        <v>0.76800000000000002</v>
      </c>
      <c r="Z8" s="21">
        <v>6.7</v>
      </c>
      <c r="AA8" s="161">
        <f t="shared" ref="AA8:AA12" si="10">(AG8/SUM(AG$7:AG$27))*0.98</f>
        <v>4.213999999999999E-2</v>
      </c>
      <c r="AB8" s="8">
        <v>2.0531462947374266E-2</v>
      </c>
      <c r="AC8" s="161">
        <f t="shared" ref="AC8:AC12" si="11">(AH8/SUM(AH$7:AH$27))*0.98</f>
        <v>4.7342995169082122E-2</v>
      </c>
      <c r="AE8" s="181"/>
      <c r="AF8" s="20">
        <v>0.32800000000000001</v>
      </c>
      <c r="AG8" s="20">
        <v>4.2999999999999997E-2</v>
      </c>
      <c r="AH8" s="20">
        <v>0.03</v>
      </c>
    </row>
    <row r="9" spans="1:34" x14ac:dyDescent="0.2">
      <c r="A9" s="190" t="s">
        <v>695</v>
      </c>
      <c r="B9" s="19" t="s">
        <v>256</v>
      </c>
      <c r="C9" s="19">
        <v>11</v>
      </c>
      <c r="D9" s="158"/>
      <c r="E9" s="158"/>
      <c r="F9" s="158"/>
      <c r="G9" s="158"/>
      <c r="H9" s="158"/>
      <c r="I9" s="157">
        <f t="shared" si="6"/>
        <v>27.573948359999999</v>
      </c>
      <c r="J9" s="157">
        <f>I9*V9</f>
        <v>114.9833646612</v>
      </c>
      <c r="K9" s="157">
        <f>I9*X9</f>
        <v>0.93751424424000007</v>
      </c>
      <c r="L9" s="157">
        <f>((D$2+D$3+D$4)*AA9)</f>
        <v>5.6387827999999987</v>
      </c>
      <c r="M9" s="157">
        <f t="shared" si="7"/>
        <v>4.3644178871999992</v>
      </c>
      <c r="N9" s="157">
        <f t="shared" si="7"/>
        <v>33.169575942719995</v>
      </c>
      <c r="O9" s="157">
        <f t="shared" si="9"/>
        <v>8.292393985679998E-2</v>
      </c>
      <c r="Q9" s="14"/>
      <c r="R9" s="149"/>
      <c r="S9" s="148"/>
      <c r="T9" s="149"/>
      <c r="U9" s="149"/>
      <c r="V9" s="21">
        <v>4.17</v>
      </c>
      <c r="W9" s="161">
        <f t="shared" si="8"/>
        <v>6.1739999999999996E-2</v>
      </c>
      <c r="X9" s="20">
        <v>3.4000000000000002E-2</v>
      </c>
      <c r="Y9" s="20">
        <v>0.77400000000000002</v>
      </c>
      <c r="Z9" s="21">
        <v>7.6</v>
      </c>
      <c r="AA9" s="161">
        <f t="shared" si="10"/>
        <v>9.7999999999999979E-3</v>
      </c>
      <c r="AB9" s="8">
        <v>2.1669757785520542E-2</v>
      </c>
      <c r="AC9" s="161">
        <f t="shared" si="11"/>
        <v>2.998389694041868E-2</v>
      </c>
      <c r="AE9" s="181"/>
      <c r="AF9" s="20">
        <v>6.3E-2</v>
      </c>
      <c r="AG9" s="20">
        <v>0.01</v>
      </c>
      <c r="AH9" s="20">
        <v>1.9E-2</v>
      </c>
    </row>
    <row r="10" spans="1:34" x14ac:dyDescent="0.2">
      <c r="A10" s="18" t="s">
        <v>656</v>
      </c>
      <c r="B10" s="19" t="s">
        <v>256</v>
      </c>
      <c r="C10" s="19">
        <v>11</v>
      </c>
      <c r="D10" s="158"/>
      <c r="E10" s="158"/>
      <c r="F10" s="158"/>
      <c r="G10" s="158"/>
      <c r="H10" s="158"/>
      <c r="I10" s="157">
        <f t="shared" si="6"/>
        <v>8.753634400000001</v>
      </c>
      <c r="J10" s="157">
        <f t="shared" ref="J10:J12" si="12">I10*V10</f>
        <v>37.465555232000007</v>
      </c>
      <c r="K10" s="157">
        <f t="shared" ref="K10:K12" si="13">I10*X10</f>
        <v>0.33263810720000003</v>
      </c>
      <c r="L10" s="157">
        <f t="shared" ref="L10:L12" si="14">((D$2+D$3+D$4)*AA10)</f>
        <v>18.044104959999995</v>
      </c>
      <c r="M10" s="157">
        <f t="shared" si="7"/>
        <v>14.182666498559996</v>
      </c>
      <c r="N10" s="157">
        <f t="shared" si="7"/>
        <v>109.20653203891197</v>
      </c>
      <c r="O10" s="157">
        <f t="shared" si="9"/>
        <v>0.36874932896255991</v>
      </c>
      <c r="Q10" s="14"/>
      <c r="R10" s="149"/>
      <c r="S10" s="148"/>
      <c r="T10" s="149"/>
      <c r="U10" s="149"/>
      <c r="V10" s="21">
        <v>4.28</v>
      </c>
      <c r="W10" s="161">
        <f t="shared" si="8"/>
        <v>1.9599999999999999E-2</v>
      </c>
      <c r="X10" s="20">
        <v>3.7999999999999999E-2</v>
      </c>
      <c r="Y10" s="20">
        <v>0.78600000000000003</v>
      </c>
      <c r="Z10" s="21">
        <v>7.7</v>
      </c>
      <c r="AA10" s="161">
        <f t="shared" si="10"/>
        <v>3.1359999999999992E-2</v>
      </c>
      <c r="AB10" s="8">
        <v>0.12975520463349305</v>
      </c>
      <c r="AC10" s="161">
        <f t="shared" si="11"/>
        <v>4.1030595813204507E-2</v>
      </c>
      <c r="AE10" s="181"/>
      <c r="AF10" s="20">
        <v>0.02</v>
      </c>
      <c r="AG10" s="20">
        <v>3.2000000000000001E-2</v>
      </c>
      <c r="AH10" s="20">
        <v>2.5999999999999999E-2</v>
      </c>
    </row>
    <row r="11" spans="1:34" x14ac:dyDescent="0.2">
      <c r="B11" s="19" t="s">
        <v>256</v>
      </c>
      <c r="C11" s="19">
        <v>11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1.0882830690328098E-2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11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80"/>
      <c r="E13" s="180"/>
      <c r="F13" s="180"/>
      <c r="G13" s="180"/>
      <c r="H13" s="180"/>
      <c r="I13" s="180"/>
      <c r="J13" s="180"/>
      <c r="K13" s="180"/>
      <c r="L13" s="180"/>
      <c r="M13" s="180"/>
      <c r="N13" s="180"/>
      <c r="O13" s="180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76"/>
      <c r="E14" s="176"/>
      <c r="F14" s="176"/>
      <c r="G14" s="176"/>
      <c r="H14" s="176"/>
      <c r="I14" s="176"/>
      <c r="J14" s="176"/>
      <c r="K14" s="176"/>
      <c r="L14" s="176"/>
      <c r="M14" s="176"/>
      <c r="N14" s="176"/>
      <c r="O14" s="176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77</v>
      </c>
      <c r="B15" s="19" t="s">
        <v>257</v>
      </c>
      <c r="C15" s="19">
        <v>11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97.550942439999972</v>
      </c>
      <c r="M15" s="157">
        <f t="shared" ref="M15:N22" si="19">L15*Y15</f>
        <v>67.700354053359973</v>
      </c>
      <c r="N15" s="157">
        <f t="shared" si="19"/>
        <v>751.0819543208338</v>
      </c>
      <c r="O15" s="157">
        <f t="shared" ref="O15:O22" si="20">M15*AH15</f>
        <v>3.9943208891482382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0.69399999999999995</v>
      </c>
      <c r="Z15" s="21">
        <v>11.094210138529661</v>
      </c>
      <c r="AA15" s="161">
        <f t="shared" ref="AA15:AA22" si="22">(AG15/SUM(AG$7:AG$27))*0.98</f>
        <v>0.16953999999999997</v>
      </c>
      <c r="AB15" s="8">
        <v>0.14864583888878849</v>
      </c>
      <c r="AC15" s="161">
        <f t="shared" ref="AC15:AC22" si="23">(AH15/SUM(AH$7:AH$27))*0.98</f>
        <v>9.3107890499194837E-2</v>
      </c>
      <c r="AE15" s="181"/>
      <c r="AF15" s="20">
        <v>0</v>
      </c>
      <c r="AG15" s="20">
        <v>0.17299999999999999</v>
      </c>
      <c r="AH15" s="20">
        <v>5.8999999999999997E-2</v>
      </c>
    </row>
    <row r="16" spans="1:34" x14ac:dyDescent="0.2">
      <c r="A16" s="18" t="s">
        <v>64</v>
      </c>
      <c r="B16" s="19" t="s">
        <v>257</v>
      </c>
      <c r="C16" s="19">
        <v>11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77.815202639999981</v>
      </c>
      <c r="M16" s="157">
        <f t="shared" si="19"/>
        <v>48.899113266978127</v>
      </c>
      <c r="N16" s="157">
        <f t="shared" si="19"/>
        <v>640.57838379741349</v>
      </c>
      <c r="O16" s="157">
        <f t="shared" si="20"/>
        <v>3.9119290613582502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0.62840051311312939</v>
      </c>
      <c r="Z16" s="21">
        <v>13.1</v>
      </c>
      <c r="AA16" s="161">
        <f t="shared" si="22"/>
        <v>0.13523999999999997</v>
      </c>
      <c r="AB16" s="8">
        <v>0.13710286467344765</v>
      </c>
      <c r="AC16" s="161">
        <f t="shared" si="23"/>
        <v>0.12624798711755236</v>
      </c>
      <c r="AE16" s="181"/>
      <c r="AF16" s="20">
        <v>0</v>
      </c>
      <c r="AG16" s="20">
        <v>0.13800000000000001</v>
      </c>
      <c r="AH16" s="20">
        <v>0.08</v>
      </c>
    </row>
    <row r="17" spans="1:34" x14ac:dyDescent="0.2">
      <c r="A17" s="18" t="s">
        <v>156</v>
      </c>
      <c r="B17" s="19" t="s">
        <v>257</v>
      </c>
      <c r="C17" s="19">
        <v>11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60.898854239999984</v>
      </c>
      <c r="M17" s="157">
        <f t="shared" si="19"/>
        <v>42.020209425599987</v>
      </c>
      <c r="N17" s="157">
        <f t="shared" si="19"/>
        <v>505.92332148422378</v>
      </c>
      <c r="O17" s="157">
        <f t="shared" si="20"/>
        <v>2.6472731938127994</v>
      </c>
      <c r="Q17" s="14"/>
      <c r="R17" s="149"/>
      <c r="S17" s="148"/>
      <c r="T17" s="149"/>
      <c r="U17" s="149"/>
      <c r="V17" s="21">
        <v>4.8600000000000003</v>
      </c>
      <c r="W17" s="161">
        <f t="shared" si="21"/>
        <v>0</v>
      </c>
      <c r="X17" s="20">
        <v>7.7922077922077939E-3</v>
      </c>
      <c r="Y17" s="20">
        <v>0.69</v>
      </c>
      <c r="Z17" s="21">
        <v>12.04</v>
      </c>
      <c r="AA17" s="161">
        <f t="shared" si="22"/>
        <v>0.10583999999999998</v>
      </c>
      <c r="AB17" s="8">
        <v>6.5358983780264848E-2</v>
      </c>
      <c r="AC17" s="161">
        <f t="shared" si="23"/>
        <v>9.9420289855072466E-2</v>
      </c>
      <c r="AE17" s="181"/>
      <c r="AF17" s="20">
        <v>0</v>
      </c>
      <c r="AG17" s="20">
        <v>0.108</v>
      </c>
      <c r="AH17" s="20">
        <v>6.3E-2</v>
      </c>
    </row>
    <row r="18" spans="1:34" x14ac:dyDescent="0.2">
      <c r="A18" s="18" t="s">
        <v>671</v>
      </c>
      <c r="B18" s="19" t="s">
        <v>257</v>
      </c>
      <c r="C18" s="19">
        <v>11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36.08820991999999</v>
      </c>
      <c r="M18" s="157">
        <f t="shared" si="19"/>
        <v>21.436396692479992</v>
      </c>
      <c r="N18" s="157">
        <f t="shared" si="19"/>
        <v>275.88642543221749</v>
      </c>
      <c r="O18" s="157">
        <f t="shared" si="20"/>
        <v>1.4791113717811195</v>
      </c>
      <c r="Q18" s="14"/>
      <c r="R18" s="149"/>
      <c r="S18" s="148"/>
      <c r="T18" s="149"/>
      <c r="U18" s="149"/>
      <c r="V18" s="21">
        <v>3.83</v>
      </c>
      <c r="W18" s="161">
        <f t="shared" si="21"/>
        <v>0</v>
      </c>
      <c r="X18" s="20">
        <v>3.4632034632034625E-2</v>
      </c>
      <c r="Y18" s="20">
        <v>0.59399999999999997</v>
      </c>
      <c r="Z18" s="21">
        <v>12.87</v>
      </c>
      <c r="AA18" s="161">
        <f t="shared" si="22"/>
        <v>6.2719999999999984E-2</v>
      </c>
      <c r="AB18" s="8">
        <v>4.2240104227868225E-2</v>
      </c>
      <c r="AC18" s="161">
        <f t="shared" si="23"/>
        <v>0.1088888888888889</v>
      </c>
      <c r="AE18" s="181"/>
      <c r="AF18" s="20">
        <v>0</v>
      </c>
      <c r="AG18" s="20">
        <v>6.4000000000000001E-2</v>
      </c>
      <c r="AH18" s="20">
        <v>6.9000000000000006E-2</v>
      </c>
    </row>
    <row r="19" spans="1:34" x14ac:dyDescent="0.2">
      <c r="A19" s="18" t="s">
        <v>660</v>
      </c>
      <c r="B19" s="19" t="s">
        <v>257</v>
      </c>
      <c r="C19" s="19">
        <v>11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29.321670559999991</v>
      </c>
      <c r="M19" s="157">
        <f t="shared" si="19"/>
        <v>16.830638901439993</v>
      </c>
      <c r="N19" s="157">
        <f t="shared" si="19"/>
        <v>227.21362516943992</v>
      </c>
      <c r="O19" s="157">
        <f t="shared" si="20"/>
        <v>1.0098383340863997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0.57399999999999995</v>
      </c>
      <c r="Z19" s="21">
        <v>13.5</v>
      </c>
      <c r="AA19" s="161">
        <f t="shared" si="22"/>
        <v>5.0959999999999984E-2</v>
      </c>
      <c r="AB19" s="8">
        <v>1.4501762014885261E-2</v>
      </c>
      <c r="AC19" s="161">
        <f t="shared" si="23"/>
        <v>9.4685990338164244E-2</v>
      </c>
      <c r="AE19" s="181"/>
      <c r="AF19" s="20">
        <v>0</v>
      </c>
      <c r="AG19" s="20">
        <v>5.1999999999999998E-2</v>
      </c>
      <c r="AH19" s="20">
        <v>0.06</v>
      </c>
    </row>
    <row r="20" spans="1:34" x14ac:dyDescent="0.2">
      <c r="B20" s="19" t="s">
        <v>257</v>
      </c>
      <c r="C20" s="19">
        <v>11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115">
        <v>0</v>
      </c>
      <c r="W20" s="161">
        <f t="shared" si="21"/>
        <v>0</v>
      </c>
      <c r="X20" s="20">
        <v>0</v>
      </c>
      <c r="Y20" s="20">
        <v>0</v>
      </c>
      <c r="Z20" s="115">
        <v>0</v>
      </c>
      <c r="AA20" s="161">
        <f t="shared" si="22"/>
        <v>0</v>
      </c>
      <c r="AB20" s="8">
        <v>1.7121948793519734E-2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11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11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76"/>
      <c r="E23" s="176"/>
      <c r="F23" s="176"/>
      <c r="G23" s="176"/>
      <c r="H23" s="176"/>
      <c r="I23" s="176"/>
      <c r="J23" s="176"/>
      <c r="K23" s="176"/>
      <c r="L23" s="176"/>
      <c r="M23" s="176"/>
      <c r="N23" s="176"/>
      <c r="O23" s="176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6" t="s">
        <v>18</v>
      </c>
      <c r="B24" s="19" t="s">
        <v>10</v>
      </c>
      <c r="C24" s="19">
        <v>11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79.506837479999973</v>
      </c>
      <c r="M24" s="157">
        <f t="shared" ref="M24:N27" si="24">L24*Y24</f>
        <v>52.685122952160945</v>
      </c>
      <c r="N24" s="157">
        <f t="shared" si="24"/>
        <v>616.41593854028304</v>
      </c>
      <c r="O24" s="157">
        <f t="shared" ref="O24:O27" si="25">M24*AH24</f>
        <v>4.0567544673163924</v>
      </c>
      <c r="Q24" s="14"/>
      <c r="R24" s="149"/>
      <c r="S24" s="148"/>
      <c r="T24" s="149"/>
      <c r="U24" s="149"/>
      <c r="V24" s="150"/>
      <c r="W24" s="165"/>
      <c r="X24" s="149"/>
      <c r="Y24" s="20">
        <v>0.6626489572725609</v>
      </c>
      <c r="Z24" s="115">
        <v>11.7</v>
      </c>
      <c r="AA24" s="161">
        <f t="shared" ref="AA24:AA27" si="26">(AG24/SUM(AG$7:AG$27))*0.98</f>
        <v>0.13817999999999997</v>
      </c>
      <c r="AB24" s="8">
        <v>0.13882178462333361</v>
      </c>
      <c r="AC24" s="161">
        <f t="shared" ref="AC24:AC27" si="27">(AH24/SUM(AH$7:AH$27))*0.98</f>
        <v>0.12151368760064411</v>
      </c>
      <c r="AE24" s="181"/>
      <c r="AF24" s="181"/>
      <c r="AG24" s="20">
        <v>0.14099999999999999</v>
      </c>
      <c r="AH24" s="20">
        <v>7.6999999999999999E-2</v>
      </c>
    </row>
    <row r="25" spans="1:34" x14ac:dyDescent="0.2">
      <c r="A25" s="186" t="s">
        <v>65</v>
      </c>
      <c r="B25" s="19" t="s">
        <v>10</v>
      </c>
      <c r="C25" s="19">
        <v>11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62.026610799999979</v>
      </c>
      <c r="M25" s="157">
        <f t="shared" si="24"/>
        <v>37.865483265794772</v>
      </c>
      <c r="N25" s="157">
        <f t="shared" si="24"/>
        <v>427.43839369701141</v>
      </c>
      <c r="O25" s="157">
        <f t="shared" si="25"/>
        <v>3.7865483265794775</v>
      </c>
      <c r="Q25" s="14"/>
      <c r="R25" s="149"/>
      <c r="S25" s="148"/>
      <c r="T25" s="149"/>
      <c r="U25" s="149"/>
      <c r="V25" s="150"/>
      <c r="W25" s="165"/>
      <c r="X25" s="149"/>
      <c r="Y25" s="20">
        <v>0.61047158271937674</v>
      </c>
      <c r="Z25" s="115">
        <v>11.288338529753602</v>
      </c>
      <c r="AA25" s="161">
        <f t="shared" si="26"/>
        <v>0.10779999999999997</v>
      </c>
      <c r="AB25" s="8">
        <v>0.12910308972453613</v>
      </c>
      <c r="AC25" s="161">
        <f t="shared" si="27"/>
        <v>0.15780998389694043</v>
      </c>
      <c r="AE25" s="181"/>
      <c r="AF25" s="181"/>
      <c r="AG25" s="20">
        <v>0.11</v>
      </c>
      <c r="AH25" s="20">
        <v>0.1</v>
      </c>
    </row>
    <row r="26" spans="1:34" x14ac:dyDescent="0.2">
      <c r="B26" s="19" t="s">
        <v>10</v>
      </c>
      <c r="C26" s="19">
        <v>11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0</v>
      </c>
      <c r="M26" s="157">
        <f t="shared" si="24"/>
        <v>0</v>
      </c>
      <c r="N26" s="157">
        <f t="shared" si="24"/>
        <v>0</v>
      </c>
      <c r="O26" s="157">
        <f t="shared" si="25"/>
        <v>0</v>
      </c>
      <c r="Q26" s="14"/>
      <c r="R26" s="149"/>
      <c r="S26" s="148"/>
      <c r="T26" s="149"/>
      <c r="U26" s="149"/>
      <c r="V26" s="150"/>
      <c r="W26" s="165"/>
      <c r="X26" s="149"/>
      <c r="Y26" s="20">
        <v>0</v>
      </c>
      <c r="Z26" s="115">
        <v>0</v>
      </c>
      <c r="AA26" s="161">
        <f t="shared" si="26"/>
        <v>0</v>
      </c>
      <c r="AB26" s="8">
        <v>3.7823124214133433E-2</v>
      </c>
      <c r="AC26" s="161">
        <f t="shared" si="27"/>
        <v>0</v>
      </c>
      <c r="AE26" s="181"/>
      <c r="AF26" s="181"/>
      <c r="AG26" s="20">
        <v>0</v>
      </c>
      <c r="AH26" s="20">
        <v>0</v>
      </c>
    </row>
    <row r="27" spans="1:34" x14ac:dyDescent="0.2">
      <c r="A27" s="43"/>
      <c r="B27" s="19" t="s">
        <v>10</v>
      </c>
      <c r="C27" s="19">
        <v>11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2.8895811831991899E-2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0.97999999999999987</v>
      </c>
      <c r="AB30" s="161">
        <f t="shared" ref="AB30" si="28">SUM(AB2:AB4,AB7:AB12,AB15:AB22,AB24:AB27)</f>
        <v>0.97499999999999964</v>
      </c>
      <c r="AC30" s="161">
        <f>SUM(AC7:AC27)</f>
        <v>0.98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1.0000000000000002</v>
      </c>
    </row>
    <row r="31" spans="1:34" s="28" customFormat="1" x14ac:dyDescent="0.2">
      <c r="A31" s="44"/>
      <c r="B31" s="29"/>
      <c r="C31" s="29"/>
      <c r="D31" s="47">
        <v>1022</v>
      </c>
      <c r="E31" s="48">
        <v>0.56299999999999994</v>
      </c>
      <c r="F31" s="2">
        <f>1-E31</f>
        <v>0.43700000000000006</v>
      </c>
      <c r="G31" s="114">
        <v>4.3</v>
      </c>
      <c r="H31" s="134">
        <v>3.3500000000000002E-2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6">
        <f>D31*E31</f>
        <v>575.38599999999997</v>
      </c>
      <c r="E34" s="167">
        <f>SUM(E2:E4)</f>
        <v>380.99190555117218</v>
      </c>
      <c r="F34" s="167">
        <f>SUM(F2:F4)</f>
        <v>4128.5776297121101</v>
      </c>
      <c r="G34" s="167">
        <f>SUM(G2:G4)</f>
        <v>24.056829451042912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2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3" t="s">
        <v>343</v>
      </c>
      <c r="F36" s="1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446.61400000000003</v>
      </c>
      <c r="E37" s="167">
        <f>D37*G31</f>
        <v>1920.4402</v>
      </c>
      <c r="F37" s="167">
        <f>D37*H31</f>
        <v>14.961569000000003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437.68171999999998</v>
      </c>
      <c r="E40" s="168">
        <f>SUM(J2:J4,J7:J12,J15:J22)</f>
        <v>1915.6381626790617</v>
      </c>
      <c r="F40" s="168">
        <f>SUM(K2:K4,K7:K12,K15:K22)</f>
        <v>14.918819107920003</v>
      </c>
      <c r="G40" s="168">
        <f>SUM(L7:L12,L15:L22,L24:L27)</f>
        <v>563.87827999999979</v>
      </c>
      <c r="H40" s="168">
        <f>SUM(M7:M12,M15:M22,M24:M27)</f>
        <v>380.96006449216213</v>
      </c>
      <c r="I40" s="168">
        <f>SUM(N7:N12,N15:N22,N24:N27)</f>
        <v>4116.8646139612329</v>
      </c>
      <c r="J40" s="168">
        <f>SUM(O7:O12,O15:O22,O24:O27)</f>
        <v>24.037551921198631</v>
      </c>
    </row>
    <row r="41" spans="1:32" ht="15" thickTop="1" x14ac:dyDescent="0.2">
      <c r="D41" s="169">
        <f>D37-D40</f>
        <v>8.9322800000000484</v>
      </c>
      <c r="E41" s="169">
        <f>E37-E40</f>
        <v>4.8020373209383251</v>
      </c>
      <c r="F41" s="169">
        <f>F37-F40</f>
        <v>4.2749892079999796E-2</v>
      </c>
      <c r="G41" s="169">
        <f>SUM(D2:D4)-G40</f>
        <v>11.507720000000177</v>
      </c>
      <c r="H41" s="169">
        <f>E34-H40</f>
        <v>3.1841059010048411E-2</v>
      </c>
      <c r="I41" s="169">
        <f>F34-I40</f>
        <v>11.713015750877275</v>
      </c>
      <c r="J41" s="169">
        <f>G34-J40</f>
        <v>1.9277529844281105E-2</v>
      </c>
    </row>
    <row r="42" spans="1:32" x14ac:dyDescent="0.2">
      <c r="N42" s="24"/>
      <c r="O42" s="24"/>
    </row>
    <row r="43" spans="1:32" x14ac:dyDescent="0.2">
      <c r="N43" s="24"/>
      <c r="O43" s="24"/>
    </row>
    <row r="44" spans="1:32" x14ac:dyDescent="0.2">
      <c r="N44" s="24"/>
      <c r="O44" s="24"/>
    </row>
    <row r="45" spans="1:32" x14ac:dyDescent="0.2">
      <c r="N45" s="24"/>
      <c r="O45" s="24"/>
    </row>
  </sheetData>
  <sheetProtection selectLockedCells="1"/>
  <conditionalFormatting sqref="D41:J41">
    <cfRule type="cellIs" dxfId="32" priority="1" operator="lessThan">
      <formula>0</formula>
    </cfRule>
  </conditionalFormatting>
  <conditionalFormatting sqref="W30">
    <cfRule type="cellIs" dxfId="31" priority="2" operator="greaterThan">
      <formula>1</formula>
    </cfRule>
  </conditionalFormatting>
  <conditionalFormatting sqref="AA30:AG30">
    <cfRule type="cellIs" dxfId="30" priority="3" operator="greaterThan">
      <formula>1</formula>
    </cfRule>
  </conditionalFormatting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>
    <tabColor theme="7" tint="-0.249977111117893"/>
  </sheetPr>
  <dimension ref="A1:AH46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83</v>
      </c>
      <c r="B2" s="19" t="s">
        <v>9</v>
      </c>
      <c r="C2" s="19">
        <v>11</v>
      </c>
      <c r="D2" s="157">
        <f>D$34*Q2</f>
        <v>518.37239999999997</v>
      </c>
      <c r="E2" s="157">
        <f>D2*R2</f>
        <v>345.75439080000001</v>
      </c>
      <c r="F2" s="157">
        <f>E2*S2</f>
        <v>3941.6000551200004</v>
      </c>
      <c r="G2" s="157">
        <f>E2*T2</f>
        <v>25.5858249192</v>
      </c>
      <c r="H2" s="157">
        <f>E2*U2</f>
        <v>12.762952847056509</v>
      </c>
      <c r="I2" s="157">
        <f>D$37*W2</f>
        <v>27.411521199999999</v>
      </c>
      <c r="J2" s="157">
        <f>I2*V2</f>
        <v>94.517947385877136</v>
      </c>
      <c r="K2" s="157">
        <f>I2*X2</f>
        <v>0.497336619910278</v>
      </c>
      <c r="L2" s="158"/>
      <c r="M2" s="158"/>
      <c r="N2" s="158"/>
      <c r="O2" s="158"/>
      <c r="Q2" s="161">
        <f>AE2</f>
        <v>0.94</v>
      </c>
      <c r="R2" s="116">
        <v>0.66700000000000004</v>
      </c>
      <c r="S2" s="115">
        <v>11.4</v>
      </c>
      <c r="T2" s="116">
        <v>7.3999999999999996E-2</v>
      </c>
      <c r="U2" s="20">
        <v>3.6913350015673925E-2</v>
      </c>
      <c r="V2" s="115">
        <v>3.4481102561311752</v>
      </c>
      <c r="W2" s="161">
        <f t="shared" ref="W2:W4" si="0">(AF2/SUM(AF$2:AF$27))*0.98</f>
        <v>5.978E-2</v>
      </c>
      <c r="X2" s="20">
        <v>1.814334258509805E-2</v>
      </c>
      <c r="Y2" s="22"/>
      <c r="Z2" s="23"/>
      <c r="AA2" s="1"/>
      <c r="AB2" s="1"/>
      <c r="AC2" s="1"/>
      <c r="AE2" s="20">
        <v>0.94</v>
      </c>
      <c r="AF2" s="20">
        <v>6.0999999999999999E-2</v>
      </c>
      <c r="AG2" s="181"/>
      <c r="AH2" s="181"/>
    </row>
    <row r="3" spans="1:34" x14ac:dyDescent="0.2">
      <c r="A3" s="18" t="s">
        <v>211</v>
      </c>
      <c r="B3" s="19" t="s">
        <v>9</v>
      </c>
      <c r="C3" s="19">
        <v>11</v>
      </c>
      <c r="D3" s="157">
        <f>D$34*Q3</f>
        <v>16.543800000000029</v>
      </c>
      <c r="E3" s="157">
        <f t="shared" ref="E3:F4" si="1">D3*R3</f>
        <v>10.406050200000019</v>
      </c>
      <c r="F3" s="157">
        <f t="shared" si="1"/>
        <v>112.1772211560002</v>
      </c>
      <c r="G3" s="157">
        <f t="shared" ref="G3:G4" si="2">E3*T3</f>
        <v>0.63476906220000118</v>
      </c>
      <c r="H3" s="157">
        <f t="shared" ref="H3:H4" si="3">E3*U3</f>
        <v>0.44746015860000077</v>
      </c>
      <c r="I3" s="157">
        <f t="shared" ref="I3:I4" si="4">D$37*W3</f>
        <v>2.2468459999999997</v>
      </c>
      <c r="J3" s="157">
        <f>I3*V3</f>
        <v>8.5380147999999991</v>
      </c>
      <c r="K3" s="157">
        <f>I3*X3</f>
        <v>6.7405379999999987E-2</v>
      </c>
      <c r="L3" s="158">
        <v>32.190800000000003</v>
      </c>
      <c r="M3" s="158">
        <v>23.66</v>
      </c>
      <c r="N3" s="158">
        <v>258.72550000000001</v>
      </c>
      <c r="O3" s="158">
        <v>2.3847999999999998</v>
      </c>
      <c r="Q3" s="161">
        <f t="shared" ref="Q3:Q4" si="5">AE3</f>
        <v>3.0000000000000054E-2</v>
      </c>
      <c r="R3" s="116">
        <v>0.629</v>
      </c>
      <c r="S3" s="115">
        <v>10.78</v>
      </c>
      <c r="T3" s="116">
        <v>6.0999999999999999E-2</v>
      </c>
      <c r="U3" s="20">
        <v>4.2999999999999997E-2</v>
      </c>
      <c r="V3" s="115">
        <v>3.8</v>
      </c>
      <c r="W3" s="161">
        <f t="shared" si="0"/>
        <v>4.8999999999999998E-3</v>
      </c>
      <c r="X3" s="20">
        <v>0.03</v>
      </c>
      <c r="Y3" s="22"/>
      <c r="Z3" s="23"/>
      <c r="AA3" s="1"/>
      <c r="AB3" s="1"/>
      <c r="AC3" s="1"/>
      <c r="AE3" s="20">
        <f>1-AE2-AE26</f>
        <v>3.0000000000000054E-2</v>
      </c>
      <c r="AF3" s="20">
        <v>5.0000000000000001E-3</v>
      </c>
      <c r="AG3" s="181"/>
      <c r="AH3" s="181"/>
    </row>
    <row r="4" spans="1:34" x14ac:dyDescent="0.2">
      <c r="A4" s="43"/>
      <c r="B4" s="19" t="s">
        <v>9</v>
      </c>
      <c r="C4" s="19">
        <v>11</v>
      </c>
      <c r="D4" s="157">
        <f>D$34*Q4</f>
        <v>0</v>
      </c>
      <c r="E4" s="157">
        <f t="shared" si="1"/>
        <v>0</v>
      </c>
      <c r="F4" s="157">
        <f t="shared" si="1"/>
        <v>0</v>
      </c>
      <c r="G4" s="157">
        <f t="shared" si="2"/>
        <v>0</v>
      </c>
      <c r="H4" s="157">
        <f t="shared" si="3"/>
        <v>0</v>
      </c>
      <c r="I4" s="157">
        <f t="shared" si="4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5"/>
        <v>0</v>
      </c>
      <c r="R4" s="116">
        <v>0</v>
      </c>
      <c r="S4" s="115">
        <v>0</v>
      </c>
      <c r="T4" s="116">
        <v>0</v>
      </c>
      <c r="U4" s="20">
        <v>0</v>
      </c>
      <c r="V4" s="115">
        <v>0</v>
      </c>
      <c r="W4" s="161">
        <f t="shared" si="0"/>
        <v>0</v>
      </c>
      <c r="X4" s="20">
        <v>0</v>
      </c>
      <c r="Y4" s="22"/>
      <c r="Z4" s="23"/>
      <c r="AA4" s="1"/>
      <c r="AB4" s="1"/>
      <c r="AC4" s="1"/>
      <c r="AE4" s="20">
        <v>0</v>
      </c>
      <c r="AF4" s="20">
        <v>0</v>
      </c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94</v>
      </c>
      <c r="B7" s="19" t="s">
        <v>256</v>
      </c>
      <c r="C7" s="19">
        <v>11</v>
      </c>
      <c r="D7" s="158"/>
      <c r="E7" s="158"/>
      <c r="F7" s="158"/>
      <c r="G7" s="158"/>
      <c r="H7" s="158"/>
      <c r="I7" s="157">
        <f t="shared" ref="I7:I12" si="6">D$37*W7</f>
        <v>173.45651119999999</v>
      </c>
      <c r="J7" s="157">
        <f>I7*V7</f>
        <v>735.45560748800006</v>
      </c>
      <c r="K7" s="157">
        <f>I7*X7</f>
        <v>5.3771518471999995</v>
      </c>
      <c r="L7" s="157">
        <f>((D$2+D$3+D$4)*AA7)</f>
        <v>63.430362995999992</v>
      </c>
      <c r="M7" s="157">
        <f t="shared" ref="M7:N12" si="7">L7*Y7</f>
        <v>47.150199389255086</v>
      </c>
      <c r="N7" s="157">
        <f t="shared" si="7"/>
        <v>391.8181569247098</v>
      </c>
      <c r="O7" s="157">
        <f>M7*AH7</f>
        <v>2.1217589725164787</v>
      </c>
      <c r="Q7" s="14"/>
      <c r="R7" s="149"/>
      <c r="S7" s="148"/>
      <c r="T7" s="149"/>
      <c r="U7" s="149"/>
      <c r="V7" s="21">
        <v>4.24</v>
      </c>
      <c r="W7" s="161">
        <f>(AF7/SUM(AF$2:AF$27))*0.98</f>
        <v>0.37828000000000001</v>
      </c>
      <c r="X7" s="20">
        <v>3.1E-2</v>
      </c>
      <c r="Y7" s="20">
        <v>0.74333800347679613</v>
      </c>
      <c r="Z7" s="21">
        <v>8.31</v>
      </c>
      <c r="AA7" s="161">
        <f>(AG7/SUM(AG$7:AG$27))*0.98</f>
        <v>0.11857999999999999</v>
      </c>
      <c r="AB7" s="8">
        <v>0.19720064693653186</v>
      </c>
      <c r="AC7" s="161">
        <f>(AH7/SUM(AH$7:AH$27))*0.98</f>
        <v>5.1398601398601404E-2</v>
      </c>
      <c r="AE7" s="181"/>
      <c r="AF7" s="20">
        <v>0.38600000000000001</v>
      </c>
      <c r="AG7" s="20">
        <v>0.121</v>
      </c>
      <c r="AH7" s="20">
        <v>4.4999999999999998E-2</v>
      </c>
    </row>
    <row r="8" spans="1:34" x14ac:dyDescent="0.2">
      <c r="A8" s="18" t="s">
        <v>195</v>
      </c>
      <c r="B8" s="19" t="s">
        <v>256</v>
      </c>
      <c r="C8" s="19">
        <v>11</v>
      </c>
      <c r="D8" s="158"/>
      <c r="E8" s="158"/>
      <c r="F8" s="158"/>
      <c r="G8" s="158"/>
      <c r="H8" s="158"/>
      <c r="I8" s="157">
        <f t="shared" si="6"/>
        <v>157.27921999999998</v>
      </c>
      <c r="J8" s="157">
        <f>I8*V8</f>
        <v>655.85434739999994</v>
      </c>
      <c r="K8" s="157">
        <f>I8*X8</f>
        <v>7.0775648999999987</v>
      </c>
      <c r="L8" s="157">
        <f>((D$2+D$3+D$4)*AA8)</f>
        <v>23.58980442</v>
      </c>
      <c r="M8" s="157">
        <f t="shared" si="7"/>
        <v>17.384137221835349</v>
      </c>
      <c r="N8" s="157">
        <f t="shared" si="7"/>
        <v>112.42315134765735</v>
      </c>
      <c r="O8" s="157">
        <f t="shared" ref="O8:O12" si="8">M8*AH8</f>
        <v>0.62582893998607247</v>
      </c>
      <c r="Q8" s="14"/>
      <c r="R8" s="149"/>
      <c r="S8" s="148"/>
      <c r="T8" s="149"/>
      <c r="U8" s="149"/>
      <c r="V8" s="21">
        <v>4.17</v>
      </c>
      <c r="W8" s="161">
        <f t="shared" ref="W8:W12" si="9">(AF8/SUM(AF$2:AF$27))*0.98</f>
        <v>0.34299999999999997</v>
      </c>
      <c r="X8" s="20">
        <v>4.4999999999999998E-2</v>
      </c>
      <c r="Y8" s="20">
        <v>0.73693435148180642</v>
      </c>
      <c r="Z8" s="21">
        <v>6.4669963146890161</v>
      </c>
      <c r="AA8" s="161">
        <f t="shared" ref="AA8:AA12" si="10">(AG8/SUM(AG$7:AG$27))*0.98</f>
        <v>4.41E-2</v>
      </c>
      <c r="AB8" s="8">
        <v>6.3834614997554232E-2</v>
      </c>
      <c r="AC8" s="161">
        <f t="shared" ref="AC8:AC12" si="11">(AH8/SUM(AH$7:AH$27))*0.98</f>
        <v>4.1118881118881123E-2</v>
      </c>
      <c r="AE8" s="181"/>
      <c r="AF8" s="20">
        <v>0.35</v>
      </c>
      <c r="AG8" s="20">
        <v>4.4999999999999998E-2</v>
      </c>
      <c r="AH8" s="20">
        <v>3.5999999999999997E-2</v>
      </c>
    </row>
    <row r="9" spans="1:34" x14ac:dyDescent="0.2">
      <c r="A9" s="18" t="s">
        <v>639</v>
      </c>
      <c r="B9" s="19" t="s">
        <v>256</v>
      </c>
      <c r="C9" s="19">
        <v>11</v>
      </c>
      <c r="D9" s="158"/>
      <c r="E9" s="158"/>
      <c r="F9" s="158"/>
      <c r="G9" s="158"/>
      <c r="H9" s="158"/>
      <c r="I9" s="157">
        <f t="shared" si="6"/>
        <v>46.734396799999992</v>
      </c>
      <c r="J9" s="157">
        <f>I9*V9</f>
        <v>200.10175478939502</v>
      </c>
      <c r="K9" s="157">
        <f>I9*X9</f>
        <v>1.7291726815999997</v>
      </c>
      <c r="L9" s="157">
        <f>((D$2+D$3+D$4)*AA9)</f>
        <v>16.250754155999999</v>
      </c>
      <c r="M9" s="157">
        <f t="shared" si="7"/>
        <v>12.91719083697425</v>
      </c>
      <c r="N9" s="157">
        <f t="shared" si="7"/>
        <v>94.605998571977992</v>
      </c>
      <c r="O9" s="157">
        <f t="shared" si="8"/>
        <v>0.41335010678317602</v>
      </c>
      <c r="Q9" s="14"/>
      <c r="R9" s="149"/>
      <c r="S9" s="148"/>
      <c r="T9" s="149"/>
      <c r="U9" s="149"/>
      <c r="V9" s="21">
        <v>4.281680485697315</v>
      </c>
      <c r="W9" s="161">
        <f t="shared" si="9"/>
        <v>0.10192</v>
      </c>
      <c r="X9" s="20">
        <v>3.6999999999999998E-2</v>
      </c>
      <c r="Y9" s="20">
        <v>0.79486716203906438</v>
      </c>
      <c r="Z9" s="21">
        <v>7.3240381570563446</v>
      </c>
      <c r="AA9" s="161">
        <f t="shared" si="10"/>
        <v>3.0380000000000001E-2</v>
      </c>
      <c r="AB9" s="8">
        <v>1.6265863442866128E-2</v>
      </c>
      <c r="AC9" s="161">
        <f t="shared" si="11"/>
        <v>3.6550116550116557E-2</v>
      </c>
      <c r="AE9" s="181"/>
      <c r="AF9" s="20">
        <v>0.104</v>
      </c>
      <c r="AG9" s="20">
        <v>3.1E-2</v>
      </c>
      <c r="AH9" s="20">
        <v>3.2000000000000001E-2</v>
      </c>
    </row>
    <row r="10" spans="1:34" x14ac:dyDescent="0.2">
      <c r="B10" s="19" t="s">
        <v>256</v>
      </c>
      <c r="C10" s="19">
        <v>11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8"/>
        <v>0</v>
      </c>
      <c r="Q10" s="14"/>
      <c r="R10" s="149"/>
      <c r="S10" s="148"/>
      <c r="T10" s="149"/>
      <c r="U10" s="149"/>
      <c r="V10" s="21">
        <v>0</v>
      </c>
      <c r="W10" s="161">
        <f t="shared" si="9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3.0139782715548381E-3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B11" s="19" t="s">
        <v>256</v>
      </c>
      <c r="C11" s="19">
        <v>11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8"/>
        <v>0</v>
      </c>
      <c r="Q11" s="14"/>
      <c r="R11" s="149"/>
      <c r="S11" s="148"/>
      <c r="T11" s="149"/>
      <c r="U11" s="149"/>
      <c r="V11" s="21">
        <v>0</v>
      </c>
      <c r="W11" s="161">
        <f t="shared" si="9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7.876825306294152E-3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11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8"/>
        <v>0</v>
      </c>
      <c r="Q12" s="14"/>
      <c r="R12" s="149"/>
      <c r="S12" s="148"/>
      <c r="T12" s="149"/>
      <c r="U12" s="149"/>
      <c r="V12" s="21">
        <v>0</v>
      </c>
      <c r="W12" s="161">
        <f t="shared" si="9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95</v>
      </c>
      <c r="B15" s="19" t="s">
        <v>257</v>
      </c>
      <c r="C15" s="19">
        <v>11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105.89201095199999</v>
      </c>
      <c r="M15" s="157">
        <f t="shared" ref="M15:N22" si="19">L15*Y15</f>
        <v>76.030463863535985</v>
      </c>
      <c r="N15" s="157">
        <f t="shared" si="19"/>
        <v>843.93814888524946</v>
      </c>
      <c r="O15" s="157">
        <f t="shared" ref="O15:O22" si="20">M15*AH15</f>
        <v>6.5386198922640943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(AF15/SUM(AF$2:AF$27))*0.98</f>
        <v>0</v>
      </c>
      <c r="X15" s="20">
        <v>0</v>
      </c>
      <c r="Y15" s="20">
        <v>0.71799999999999997</v>
      </c>
      <c r="Z15" s="21">
        <v>11.1</v>
      </c>
      <c r="AA15" s="161">
        <f t="shared" ref="AA15:AA22" si="22">(AG15/SUM(AG$7:AG$27))*0.98</f>
        <v>0.19796</v>
      </c>
      <c r="AB15" s="8">
        <v>0.26142915529951832</v>
      </c>
      <c r="AC15" s="161">
        <f t="shared" ref="AC15:AC22" si="23">(AH15/SUM(AH$7:AH$27))*0.98</f>
        <v>9.8228438228438228E-2</v>
      </c>
      <c r="AE15" s="181"/>
      <c r="AF15" s="20">
        <v>0</v>
      </c>
      <c r="AG15" s="20">
        <v>0.20200000000000001</v>
      </c>
      <c r="AH15" s="20">
        <v>8.5999999999999993E-2</v>
      </c>
    </row>
    <row r="16" spans="1:34" x14ac:dyDescent="0.2">
      <c r="A16" s="18" t="s">
        <v>493</v>
      </c>
      <c r="B16" s="19" t="s">
        <v>257</v>
      </c>
      <c r="C16" s="19">
        <v>11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115.32793271999999</v>
      </c>
      <c r="M16" s="157">
        <f t="shared" si="19"/>
        <v>79.114961845920007</v>
      </c>
      <c r="N16" s="157">
        <f t="shared" si="19"/>
        <v>1118.6855605013091</v>
      </c>
      <c r="O16" s="157">
        <f t="shared" si="20"/>
        <v>6.7247717569032011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0.68600000000000005</v>
      </c>
      <c r="Z16" s="21">
        <v>14.14</v>
      </c>
      <c r="AA16" s="161">
        <f t="shared" si="22"/>
        <v>0.21559999999999999</v>
      </c>
      <c r="AB16" s="8">
        <v>0.12797470258530405</v>
      </c>
      <c r="AC16" s="161">
        <f t="shared" si="23"/>
        <v>9.7086247086247107E-2</v>
      </c>
      <c r="AE16" s="181"/>
      <c r="AF16" s="20">
        <v>0</v>
      </c>
      <c r="AG16" s="20">
        <v>0.22</v>
      </c>
      <c r="AH16" s="20">
        <v>8.5000000000000006E-2</v>
      </c>
    </row>
    <row r="17" spans="1:34" x14ac:dyDescent="0.2">
      <c r="A17" s="18" t="s">
        <v>590</v>
      </c>
      <c r="B17" s="19" t="s">
        <v>257</v>
      </c>
      <c r="C17" s="19">
        <v>11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60.809273615999999</v>
      </c>
      <c r="M17" s="157">
        <f t="shared" si="19"/>
        <v>36.915353573899921</v>
      </c>
      <c r="N17" s="157">
        <f t="shared" si="19"/>
        <v>472.51652574591901</v>
      </c>
      <c r="O17" s="157">
        <f t="shared" si="20"/>
        <v>1.9195983858427959</v>
      </c>
      <c r="Q17" s="14"/>
      <c r="R17" s="149"/>
      <c r="S17" s="148"/>
      <c r="T17" s="149"/>
      <c r="U17" s="149"/>
      <c r="V17" s="21">
        <v>3.2142857142857144</v>
      </c>
      <c r="W17" s="161">
        <f t="shared" si="21"/>
        <v>0</v>
      </c>
      <c r="X17" s="20">
        <v>2.4077046548956659E-2</v>
      </c>
      <c r="Y17" s="20">
        <v>0.60706782664456682</v>
      </c>
      <c r="Z17" s="21">
        <v>12.8</v>
      </c>
      <c r="AA17" s="161">
        <f t="shared" si="22"/>
        <v>0.11368</v>
      </c>
      <c r="AB17" s="8">
        <v>6.275169059917024E-2</v>
      </c>
      <c r="AC17" s="161">
        <f t="shared" si="23"/>
        <v>5.9393939393939402E-2</v>
      </c>
      <c r="AE17" s="181"/>
      <c r="AF17" s="20">
        <v>0</v>
      </c>
      <c r="AG17" s="20">
        <v>0.11600000000000001</v>
      </c>
      <c r="AH17" s="20">
        <v>5.1999999999999998E-2</v>
      </c>
    </row>
    <row r="18" spans="1:34" x14ac:dyDescent="0.2">
      <c r="A18" s="18" t="s">
        <v>96</v>
      </c>
      <c r="B18" s="19" t="s">
        <v>257</v>
      </c>
      <c r="C18" s="19">
        <v>11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17.823407784</v>
      </c>
      <c r="M18" s="157">
        <f t="shared" si="19"/>
        <v>10.78316170932</v>
      </c>
      <c r="N18" s="157">
        <f t="shared" si="19"/>
        <v>140.18110222115999</v>
      </c>
      <c r="O18" s="157">
        <f t="shared" si="20"/>
        <v>0.53915808546599997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0.60499999999999998</v>
      </c>
      <c r="Z18" s="21">
        <v>13</v>
      </c>
      <c r="AA18" s="161">
        <f t="shared" si="22"/>
        <v>3.3320000000000002E-2</v>
      </c>
      <c r="AB18" s="8">
        <v>3.8004297463698711E-2</v>
      </c>
      <c r="AC18" s="161">
        <f t="shared" si="23"/>
        <v>5.7109557109557119E-2</v>
      </c>
      <c r="AE18" s="181"/>
      <c r="AF18" s="20">
        <v>0</v>
      </c>
      <c r="AG18" s="20">
        <v>3.4000000000000002E-2</v>
      </c>
      <c r="AH18" s="20">
        <v>0.05</v>
      </c>
    </row>
    <row r="19" spans="1:34" x14ac:dyDescent="0.2">
      <c r="A19" s="18" t="s">
        <v>640</v>
      </c>
      <c r="B19" s="19" t="s">
        <v>257</v>
      </c>
      <c r="C19" s="19">
        <v>11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20.444497163999998</v>
      </c>
      <c r="M19" s="157">
        <f t="shared" si="19"/>
        <v>11.089302089134792</v>
      </c>
      <c r="N19" s="157">
        <f t="shared" si="19"/>
        <v>146.37878757657924</v>
      </c>
      <c r="O19" s="157">
        <f t="shared" si="20"/>
        <v>0.72080463579376153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0.54241011653060156</v>
      </c>
      <c r="Z19" s="21">
        <v>13.2</v>
      </c>
      <c r="AA19" s="161">
        <f t="shared" si="22"/>
        <v>3.8219999999999997E-2</v>
      </c>
      <c r="AB19" s="8">
        <v>2.8164098786400027E-2</v>
      </c>
      <c r="AC19" s="161">
        <f t="shared" si="23"/>
        <v>7.4242424242424263E-2</v>
      </c>
      <c r="AE19" s="181"/>
      <c r="AF19" s="20">
        <v>0</v>
      </c>
      <c r="AG19" s="20">
        <v>3.9E-2</v>
      </c>
      <c r="AH19" s="20">
        <v>6.5000000000000002E-2</v>
      </c>
    </row>
    <row r="20" spans="1:34" x14ac:dyDescent="0.2">
      <c r="B20" s="19" t="s">
        <v>257</v>
      </c>
      <c r="C20" s="19">
        <v>11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1.497626220331523E-2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11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11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6" t="s">
        <v>468</v>
      </c>
      <c r="B24" s="19" t="s">
        <v>10</v>
      </c>
      <c r="C24" s="19">
        <v>11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68.672541756000001</v>
      </c>
      <c r="M24" s="157">
        <f t="shared" ref="M24:N27" si="24">L24*Y24</f>
        <v>43.63790423856031</v>
      </c>
      <c r="N24" s="157">
        <f t="shared" si="24"/>
        <v>495.54532169522929</v>
      </c>
      <c r="O24" s="157">
        <f t="shared" ref="O24:O27" si="25">M24*AH24</f>
        <v>4.4510662323331509</v>
      </c>
      <c r="Q24" s="14"/>
      <c r="R24" s="149"/>
      <c r="S24" s="148"/>
      <c r="T24" s="149"/>
      <c r="U24" s="149"/>
      <c r="V24" s="150"/>
      <c r="W24" s="165"/>
      <c r="X24" s="149"/>
      <c r="Y24" s="20">
        <v>0.63544909104442193</v>
      </c>
      <c r="Z24" s="115">
        <v>11.355846032068248</v>
      </c>
      <c r="AA24" s="161">
        <f t="shared" ref="AA24:AA27" si="26">(AG24/SUM(AG$7:AG$27))*0.98</f>
        <v>0.12837999999999999</v>
      </c>
      <c r="AB24" s="8">
        <v>0.10905631606380603</v>
      </c>
      <c r="AC24" s="161">
        <f t="shared" ref="AC24:AC27" si="27">(AH24/SUM(AH$7:AH$27))*0.98</f>
        <v>0.11650349650349652</v>
      </c>
      <c r="AE24" s="181"/>
      <c r="AF24" s="181"/>
      <c r="AG24" s="20">
        <v>0.13100000000000001</v>
      </c>
      <c r="AH24" s="20">
        <v>0.10199999999999999</v>
      </c>
    </row>
    <row r="25" spans="1:34" x14ac:dyDescent="0.2">
      <c r="A25" s="186" t="s">
        <v>85</v>
      </c>
      <c r="B25" s="19" t="s">
        <v>10</v>
      </c>
      <c r="C25" s="19">
        <v>11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9.9601396439999981</v>
      </c>
      <c r="M25" s="157">
        <f t="shared" si="24"/>
        <v>6.3744893721599993</v>
      </c>
      <c r="N25" s="157">
        <f t="shared" si="24"/>
        <v>71.521770755635202</v>
      </c>
      <c r="O25" s="157">
        <f t="shared" si="25"/>
        <v>0.57370404349439996</v>
      </c>
      <c r="Q25" s="14"/>
      <c r="R25" s="149"/>
      <c r="S25" s="148"/>
      <c r="T25" s="149"/>
      <c r="U25" s="149"/>
      <c r="V25" s="150"/>
      <c r="W25" s="165"/>
      <c r="X25" s="149"/>
      <c r="Y25" s="20">
        <v>0.64</v>
      </c>
      <c r="Z25" s="115">
        <v>11.22</v>
      </c>
      <c r="AA25" s="161">
        <f t="shared" si="26"/>
        <v>1.8619999999999998E-2</v>
      </c>
      <c r="AB25" s="8">
        <v>3.7452350641812744E-2</v>
      </c>
      <c r="AC25" s="161">
        <f t="shared" si="27"/>
        <v>0.10279720279720281</v>
      </c>
      <c r="AE25" s="181"/>
      <c r="AF25" s="181"/>
      <c r="AG25" s="20">
        <v>1.9E-2</v>
      </c>
      <c r="AH25" s="20">
        <v>0.09</v>
      </c>
    </row>
    <row r="26" spans="1:34" x14ac:dyDescent="0.2">
      <c r="A26" s="18" t="s">
        <v>93</v>
      </c>
      <c r="B26" s="19" t="s">
        <v>10</v>
      </c>
      <c r="C26" s="19">
        <v>11</v>
      </c>
      <c r="D26" s="157">
        <f>D$34*Q26</f>
        <v>16.543800000000001</v>
      </c>
      <c r="E26" s="157">
        <f t="shared" ref="E26:F26" si="28">D26*R26</f>
        <v>10.174437000000001</v>
      </c>
      <c r="F26" s="157">
        <f t="shared" si="28"/>
        <v>122.60196585000001</v>
      </c>
      <c r="G26" s="157">
        <f t="shared" ref="G26" si="29">E26*T26</f>
        <v>0.56976847200000003</v>
      </c>
      <c r="H26" s="157">
        <f t="shared" ref="H26" si="30">E26*U26</f>
        <v>0.27470979900000003</v>
      </c>
      <c r="I26" s="157">
        <f t="shared" ref="I26" si="31">D$37*W26</f>
        <v>42.240704799999996</v>
      </c>
      <c r="J26" s="157">
        <f t="shared" ref="J26" si="32">I26*V26</f>
        <v>244.15127374399998</v>
      </c>
      <c r="K26" s="157">
        <f t="shared" ref="K26" si="33">I26*X26</f>
        <v>3.1258121551999993</v>
      </c>
      <c r="L26" s="157">
        <f>((D$2+D$3+D$4)*AA26)</f>
        <v>8.3874860160000004</v>
      </c>
      <c r="M26" s="157">
        <f t="shared" si="24"/>
        <v>5.8544652391680003</v>
      </c>
      <c r="N26" s="157">
        <f t="shared" si="24"/>
        <v>66.155457202598413</v>
      </c>
      <c r="O26" s="157">
        <f t="shared" si="25"/>
        <v>0.62057331535180804</v>
      </c>
      <c r="Q26" s="161">
        <f t="shared" ref="Q26" si="34">AE26</f>
        <v>0.03</v>
      </c>
      <c r="R26" s="20">
        <v>0.61499999999999999</v>
      </c>
      <c r="S26" s="115">
        <v>12.05</v>
      </c>
      <c r="T26" s="116">
        <v>5.6000000000000001E-2</v>
      </c>
      <c r="U26" s="116">
        <v>2.7E-2</v>
      </c>
      <c r="V26" s="21">
        <v>5.78</v>
      </c>
      <c r="W26" s="161">
        <f>(AF26/SUM(AF$2:AF$27))*0.98</f>
        <v>9.2119999999999994E-2</v>
      </c>
      <c r="X26" s="116">
        <v>7.3999999999999996E-2</v>
      </c>
      <c r="Y26" s="20">
        <v>0.69799999999999995</v>
      </c>
      <c r="Z26" s="115">
        <v>11.3</v>
      </c>
      <c r="AA26" s="161">
        <f t="shared" si="26"/>
        <v>1.5679999999999999E-2</v>
      </c>
      <c r="AB26" s="8">
        <v>6.9991974021732777E-3</v>
      </c>
      <c r="AC26" s="161">
        <f t="shared" si="27"/>
        <v>0.12107226107226109</v>
      </c>
      <c r="AE26" s="20">
        <v>0.03</v>
      </c>
      <c r="AF26" s="20">
        <v>9.4E-2</v>
      </c>
      <c r="AG26" s="20">
        <v>1.6E-2</v>
      </c>
      <c r="AH26" s="20">
        <v>0.106</v>
      </c>
    </row>
    <row r="27" spans="1:34" x14ac:dyDescent="0.2">
      <c r="A27" s="186" t="s">
        <v>658</v>
      </c>
      <c r="B27" s="19" t="s">
        <v>10</v>
      </c>
      <c r="C27" s="19">
        <v>11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13.629664776</v>
      </c>
      <c r="M27" s="157">
        <f t="shared" si="24"/>
        <v>8.6139481384320007</v>
      </c>
      <c r="N27" s="157">
        <f t="shared" si="24"/>
        <v>98.97426411058369</v>
      </c>
      <c r="O27" s="157">
        <f t="shared" si="25"/>
        <v>0.93892034708908811</v>
      </c>
      <c r="Q27" s="14"/>
      <c r="R27" s="149"/>
      <c r="S27" s="148"/>
      <c r="T27" s="149"/>
      <c r="U27" s="149"/>
      <c r="V27" s="150"/>
      <c r="W27" s="165"/>
      <c r="X27" s="149"/>
      <c r="Y27" s="20">
        <v>0.63200000000000001</v>
      </c>
      <c r="Z27" s="115">
        <v>11.49</v>
      </c>
      <c r="AA27" s="161">
        <f t="shared" si="26"/>
        <v>2.5479999999999999E-2</v>
      </c>
      <c r="AB27" s="8">
        <v>0</v>
      </c>
      <c r="AC27" s="161">
        <f t="shared" si="27"/>
        <v>0.12449883449883452</v>
      </c>
      <c r="AE27" s="181"/>
      <c r="AF27" s="181"/>
      <c r="AG27" s="20">
        <v>2.5999999999999999E-2</v>
      </c>
      <c r="AH27" s="20">
        <v>0.109</v>
      </c>
    </row>
    <row r="28" spans="1:34" x14ac:dyDescent="0.2">
      <c r="A28" s="18" t="s">
        <v>661</v>
      </c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35">SUM(AB2:AB4,AB7:AB12,AB15:AB22,AB24:AB27)</f>
        <v>0.97499999999999998</v>
      </c>
      <c r="AC30" s="161">
        <f>SUM(AC7:AC27)</f>
        <v>0.9800000000000002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1010</v>
      </c>
      <c r="E31" s="48">
        <v>0.54600000000000004</v>
      </c>
      <c r="F31" s="2">
        <f>1-E31</f>
        <v>0.45399999999999996</v>
      </c>
      <c r="G31" s="114">
        <v>4.25</v>
      </c>
      <c r="H31" s="134">
        <v>3.9E-2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551.46</v>
      </c>
      <c r="E34" s="167">
        <f>SUM(E2:E4)</f>
        <v>356.16044100000005</v>
      </c>
      <c r="F34" s="167">
        <f>SUM(F2:F4)</f>
        <v>4053.7772762760005</v>
      </c>
      <c r="G34" s="167">
        <f>SUM(G2:G4)</f>
        <v>26.2205939814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458.53999999999996</v>
      </c>
      <c r="E37" s="167">
        <f>D37*G31</f>
        <v>1948.7949999999998</v>
      </c>
      <c r="F37" s="167">
        <f>D37*H31</f>
        <v>17.883059999999997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SUM(I2:I27)</f>
        <v>449.36919999999998</v>
      </c>
      <c r="E40" s="168">
        <f>SUM(J2:J4,J7:J12,J15:J27)</f>
        <v>1938.6189456072721</v>
      </c>
      <c r="F40" s="168">
        <f>SUM(K2:K4,K7:K12,K15:K27)</f>
        <v>17.874443583910274</v>
      </c>
      <c r="G40" s="168">
        <f>SUM(L7:L12,L15:L22,L24:L27)</f>
        <v>524.21787599999993</v>
      </c>
      <c r="H40" s="168">
        <f>SUM(M7:M12,M15:M22,M24:M27)</f>
        <v>355.86557751819566</v>
      </c>
      <c r="I40" s="168">
        <f>SUM(N7:N12,N15:N22,N24:N27)</f>
        <v>4052.7442455386085</v>
      </c>
      <c r="J40" s="168">
        <f>SUM(O7:O12,O15:O22,O24:O27)</f>
        <v>26.188154713824026</v>
      </c>
    </row>
    <row r="41" spans="1:32" ht="15" thickTop="1" x14ac:dyDescent="0.2">
      <c r="D41" s="169">
        <f>D37-D40</f>
        <v>9.1707999999999856</v>
      </c>
      <c r="E41" s="169">
        <f>E37-E40</f>
        <v>10.176054392727792</v>
      </c>
      <c r="F41" s="169">
        <f>F37-F40</f>
        <v>8.6164160897226338E-3</v>
      </c>
      <c r="G41" s="169">
        <f>SUM(D2:D4)-G40</f>
        <v>10.698324000000071</v>
      </c>
      <c r="H41" s="169">
        <f>E34-H40</f>
        <v>0.29486348180438426</v>
      </c>
      <c r="I41" s="169">
        <f>F34-I40</f>
        <v>1.0330307373919823</v>
      </c>
      <c r="J41" s="169">
        <f>G34-J40</f>
        <v>3.2439267575973929E-2</v>
      </c>
    </row>
    <row r="42" spans="1:32" x14ac:dyDescent="0.2">
      <c r="N42" s="24"/>
      <c r="O42" s="24"/>
    </row>
    <row r="44" spans="1:32" x14ac:dyDescent="0.2">
      <c r="N44" s="24"/>
      <c r="O44" s="24"/>
    </row>
    <row r="45" spans="1:32" x14ac:dyDescent="0.2">
      <c r="N45" s="24"/>
      <c r="O45" s="24"/>
    </row>
    <row r="46" spans="1:32" x14ac:dyDescent="0.2">
      <c r="N46" s="24"/>
      <c r="O46" s="24"/>
    </row>
  </sheetData>
  <sheetProtection selectLockedCells="1"/>
  <conditionalFormatting sqref="D41:J41">
    <cfRule type="cellIs" dxfId="29" priority="1" operator="lessThan">
      <formula>0</formula>
    </cfRule>
  </conditionalFormatting>
  <conditionalFormatting sqref="W30">
    <cfRule type="cellIs" dxfId="28" priority="2" operator="greaterThan">
      <formula>1</formula>
    </cfRule>
  </conditionalFormatting>
  <conditionalFormatting sqref="AA30:AG30">
    <cfRule type="cellIs" dxfId="27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>
    <tabColor rgb="FF0000FF"/>
  </sheetPr>
  <dimension ref="A1:AH47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92</v>
      </c>
      <c r="B2" s="19" t="s">
        <v>9</v>
      </c>
      <c r="C2" s="19">
        <v>13</v>
      </c>
      <c r="D2" s="157">
        <f>D$34*Q2</f>
        <v>526.15628000000004</v>
      </c>
      <c r="E2" s="157">
        <f>D2*R2</f>
        <v>351.47239504000004</v>
      </c>
      <c r="F2" s="157">
        <f>E2*S2</f>
        <v>3711.5484916224004</v>
      </c>
      <c r="G2" s="157">
        <f>E2*T2</f>
        <v>20.877460265376001</v>
      </c>
      <c r="H2" s="157">
        <f>E2*U2</f>
        <v>9.3890380988590607</v>
      </c>
      <c r="I2" s="157">
        <f>D$37*W2</f>
        <v>101.65132025999999</v>
      </c>
      <c r="J2" s="157">
        <f>I2*V2</f>
        <v>576.21100381432632</v>
      </c>
      <c r="K2" s="157">
        <f>I2*X2</f>
        <v>5.5908226142999995</v>
      </c>
      <c r="L2" s="158"/>
      <c r="M2" s="158"/>
      <c r="N2" s="158"/>
      <c r="O2" s="158"/>
      <c r="Q2" s="161">
        <f>AE2</f>
        <v>0.92</v>
      </c>
      <c r="R2" s="116">
        <v>0.66800000000000004</v>
      </c>
      <c r="S2" s="115">
        <v>10.56</v>
      </c>
      <c r="T2" s="116">
        <v>5.9400000000000001E-2</v>
      </c>
      <c r="U2" s="20">
        <v>2.6713443875984972E-2</v>
      </c>
      <c r="V2" s="115">
        <v>5.6685048688055906</v>
      </c>
      <c r="W2" s="161">
        <f>(AF2/SUM(AF$2:AF$22))*0.98</f>
        <v>0.20286000000000001</v>
      </c>
      <c r="X2" s="20">
        <v>5.5E-2</v>
      </c>
      <c r="Y2" s="22"/>
      <c r="Z2" s="23"/>
      <c r="AA2" s="1"/>
      <c r="AB2" s="1"/>
      <c r="AC2" s="1"/>
      <c r="AE2" s="20">
        <v>0.92</v>
      </c>
      <c r="AF2" s="20">
        <v>0.20699999999999999</v>
      </c>
      <c r="AG2" s="181"/>
      <c r="AH2" s="181"/>
    </row>
    <row r="3" spans="1:34" x14ac:dyDescent="0.2">
      <c r="A3" s="18" t="s">
        <v>535</v>
      </c>
      <c r="B3" s="19" t="s">
        <v>9</v>
      </c>
      <c r="C3" s="19">
        <v>13</v>
      </c>
      <c r="D3" s="157">
        <f>D$34*Q3</f>
        <v>45.752719999999975</v>
      </c>
      <c r="E3" s="157">
        <f t="shared" ref="E3:F4" si="0">D3*R3</f>
        <v>30.654322399999984</v>
      </c>
      <c r="F3" s="157">
        <f t="shared" si="0"/>
        <v>305.62359432799985</v>
      </c>
      <c r="G3" s="157">
        <f t="shared" ref="G3:G4" si="1">E3*T3</f>
        <v>2.3860886179279635</v>
      </c>
      <c r="H3" s="157">
        <f t="shared" ref="H3:H4" si="2">E3*U3</f>
        <v>1.5044641111490982</v>
      </c>
      <c r="I3" s="157">
        <f t="shared" ref="I3:I4" si="3">D$37*W3</f>
        <v>4.9106918000000004</v>
      </c>
      <c r="J3" s="157">
        <f>I3*V3</f>
        <v>25.664546223179471</v>
      </c>
      <c r="K3" s="157">
        <f>I3*X3</f>
        <v>0.18660628840000001</v>
      </c>
      <c r="L3" s="158"/>
      <c r="M3" s="158"/>
      <c r="N3" s="158"/>
      <c r="O3" s="158"/>
      <c r="Q3" s="161">
        <f t="shared" ref="Q3:Q4" si="4">AE3</f>
        <v>7.999999999999996E-2</v>
      </c>
      <c r="R3" s="116">
        <v>0.67</v>
      </c>
      <c r="S3" s="115">
        <v>9.9700000000000006</v>
      </c>
      <c r="T3" s="116">
        <v>7.7838569934527882E-2</v>
      </c>
      <c r="U3" s="20">
        <v>4.9078367856831145E-2</v>
      </c>
      <c r="V3" s="115">
        <v>5.2262587978295585</v>
      </c>
      <c r="W3" s="161">
        <f t="shared" ref="W3:W4" si="5">(AF3/SUM(AF$2:AF$22))*0.98</f>
        <v>9.8000000000000014E-3</v>
      </c>
      <c r="X3" s="20">
        <v>3.7999999999999999E-2</v>
      </c>
      <c r="Y3" s="22"/>
      <c r="Z3" s="23"/>
      <c r="AA3" s="1"/>
      <c r="AB3" s="1"/>
      <c r="AC3" s="1"/>
      <c r="AE3" s="20">
        <f>1-AE2</f>
        <v>7.999999999999996E-2</v>
      </c>
      <c r="AF3" s="20">
        <v>0.01</v>
      </c>
      <c r="AG3" s="181"/>
      <c r="AH3" s="181"/>
    </row>
    <row r="4" spans="1:34" x14ac:dyDescent="0.2">
      <c r="B4" s="19" t="s">
        <v>9</v>
      </c>
      <c r="C4" s="19">
        <v>13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91</v>
      </c>
      <c r="B7" s="19" t="s">
        <v>256</v>
      </c>
      <c r="C7" s="19">
        <v>13</v>
      </c>
      <c r="D7" s="158"/>
      <c r="E7" s="158"/>
      <c r="F7" s="158"/>
      <c r="G7" s="158"/>
      <c r="H7" s="158"/>
      <c r="I7" s="157">
        <f t="shared" ref="I7:I12" si="6">D$37*W7</f>
        <v>280.40050178000001</v>
      </c>
      <c r="J7" s="157">
        <f>I7*V7</f>
        <v>1222.2939505946047</v>
      </c>
      <c r="K7" s="157">
        <f>I7*X7</f>
        <v>9.7591637255991657</v>
      </c>
      <c r="L7" s="157">
        <f>((D$2+D$3+D$4)*AA7)</f>
        <v>76.224031520000011</v>
      </c>
      <c r="M7" s="157">
        <f t="shared" ref="M7:N12" si="7">L7*Y7</f>
        <v>55.988812987558781</v>
      </c>
      <c r="N7" s="157">
        <f t="shared" si="7"/>
        <v>379.09228897605504</v>
      </c>
      <c r="O7" s="157">
        <f>M7*AH7</f>
        <v>1.7916420156018811</v>
      </c>
      <c r="Q7" s="14"/>
      <c r="R7" s="149"/>
      <c r="S7" s="148"/>
      <c r="T7" s="149"/>
      <c r="U7" s="149"/>
      <c r="V7" s="21">
        <v>4.3591004396761273</v>
      </c>
      <c r="W7" s="161">
        <f t="shared" ref="W7:W12" si="8">(AF7/SUM(AF$2:AF$22))*0.98</f>
        <v>0.55958000000000008</v>
      </c>
      <c r="X7" s="20">
        <v>3.480437325770596E-2</v>
      </c>
      <c r="Y7" s="20">
        <v>0.73452967353042953</v>
      </c>
      <c r="Z7" s="21">
        <v>6.770857761536984</v>
      </c>
      <c r="AA7" s="161">
        <f>(AG7/SUM(AG$7:AG$27))*0.98</f>
        <v>0.13328000000000001</v>
      </c>
      <c r="AB7" s="8">
        <v>0.12370711764278007</v>
      </c>
      <c r="AC7" s="161">
        <f>(AH7/SUM(AH$7:AH$27))*0.98</f>
        <v>5.3606837606837598E-2</v>
      </c>
      <c r="AE7" s="181"/>
      <c r="AF7" s="20">
        <v>0.57099999999999995</v>
      </c>
      <c r="AG7" s="20">
        <v>0.13600000000000001</v>
      </c>
      <c r="AH7" s="20">
        <v>3.2000000000000001E-2</v>
      </c>
    </row>
    <row r="8" spans="1:34" x14ac:dyDescent="0.2">
      <c r="A8" s="18" t="s">
        <v>12</v>
      </c>
      <c r="B8" s="19" t="s">
        <v>256</v>
      </c>
      <c r="C8" s="19">
        <v>13</v>
      </c>
      <c r="D8" s="158"/>
      <c r="E8" s="158"/>
      <c r="F8" s="158"/>
      <c r="G8" s="158"/>
      <c r="H8" s="158"/>
      <c r="I8" s="157">
        <f t="shared" si="6"/>
        <v>57.946163239999997</v>
      </c>
      <c r="J8" s="157">
        <f>I8*V8</f>
        <v>249.16850193199997</v>
      </c>
      <c r="K8" s="157">
        <f>I8*X8</f>
        <v>1.91222338692</v>
      </c>
      <c r="L8" s="157">
        <f>((D$2+D$3+D$4)*AA8)</f>
        <v>20.176949519999997</v>
      </c>
      <c r="M8" s="157">
        <f t="shared" si="7"/>
        <v>15.078185128823934</v>
      </c>
      <c r="N8" s="157">
        <f t="shared" si="7"/>
        <v>101.70998161344625</v>
      </c>
      <c r="O8" s="157">
        <f t="shared" ref="O8:O12" si="9">M8*AH8</f>
        <v>0.39203281334942225</v>
      </c>
      <c r="Q8" s="14"/>
      <c r="R8" s="149"/>
      <c r="S8" s="148"/>
      <c r="T8" s="149"/>
      <c r="U8" s="149"/>
      <c r="V8" s="21">
        <v>4.3</v>
      </c>
      <c r="W8" s="161">
        <f t="shared" si="8"/>
        <v>0.11564000000000001</v>
      </c>
      <c r="X8" s="20">
        <v>3.3000000000000002E-2</v>
      </c>
      <c r="Y8" s="20">
        <v>0.74729755922112928</v>
      </c>
      <c r="Z8" s="21">
        <v>6.7455055594863493</v>
      </c>
      <c r="AA8" s="161">
        <f t="shared" ref="AA8:AA12" si="10">(AG8/SUM(AG$7:AG$27))*0.98</f>
        <v>3.5279999999999999E-2</v>
      </c>
      <c r="AB8" s="8">
        <v>3.1012128421327868E-2</v>
      </c>
      <c r="AC8" s="161">
        <f t="shared" ref="AC8:AC12" si="11">(AH8/SUM(AH$7:AH$27))*0.98</f>
        <v>4.3555555555555549E-2</v>
      </c>
      <c r="AE8" s="181"/>
      <c r="AF8" s="20">
        <v>0.11799999999999999</v>
      </c>
      <c r="AG8" s="20">
        <v>3.5999999999999997E-2</v>
      </c>
      <c r="AH8" s="20">
        <v>2.5999999999999999E-2</v>
      </c>
    </row>
    <row r="9" spans="1:34" x14ac:dyDescent="0.2">
      <c r="A9" s="18" t="s">
        <v>641</v>
      </c>
      <c r="B9" s="19" t="s">
        <v>256</v>
      </c>
      <c r="C9" s="19">
        <v>13</v>
      </c>
      <c r="D9" s="158"/>
      <c r="E9" s="158"/>
      <c r="F9" s="158"/>
      <c r="G9" s="158"/>
      <c r="H9" s="158"/>
      <c r="I9" s="157">
        <f t="shared" si="6"/>
        <v>36.339119320000002</v>
      </c>
      <c r="J9" s="157">
        <f>I9*V9</f>
        <v>154.59056286711601</v>
      </c>
      <c r="K9" s="157">
        <f>I9*X9</f>
        <v>1.1628518182400001</v>
      </c>
      <c r="L9" s="157">
        <f>((D$2+D$3+D$4)*AA9)</f>
        <v>12.890828859999999</v>
      </c>
      <c r="M9" s="157">
        <f t="shared" si="7"/>
        <v>9.4078429454891932</v>
      </c>
      <c r="N9" s="157">
        <f t="shared" si="7"/>
        <v>65.478586900604782</v>
      </c>
      <c r="O9" s="157">
        <f t="shared" si="9"/>
        <v>0.26341960247369739</v>
      </c>
      <c r="Q9" s="14"/>
      <c r="R9" s="149"/>
      <c r="S9" s="148"/>
      <c r="T9" s="149"/>
      <c r="U9" s="149"/>
      <c r="V9" s="21">
        <v>4.2541086784685458</v>
      </c>
      <c r="W9" s="161">
        <f t="shared" si="8"/>
        <v>7.2520000000000015E-2</v>
      </c>
      <c r="X9" s="20">
        <v>3.2000000000000001E-2</v>
      </c>
      <c r="Y9" s="20">
        <v>0.72980900201705057</v>
      </c>
      <c r="Z9" s="21">
        <v>6.96</v>
      </c>
      <c r="AA9" s="161">
        <f t="shared" si="10"/>
        <v>2.2539999999999998E-2</v>
      </c>
      <c r="AB9" s="8">
        <v>6.4298407150253367E-3</v>
      </c>
      <c r="AC9" s="161">
        <f t="shared" si="11"/>
        <v>4.6905982905982899E-2</v>
      </c>
      <c r="AE9" s="181"/>
      <c r="AF9" s="20">
        <v>7.3999999999999996E-2</v>
      </c>
      <c r="AG9" s="20">
        <v>2.3E-2</v>
      </c>
      <c r="AH9" s="20">
        <v>2.8000000000000001E-2</v>
      </c>
    </row>
    <row r="10" spans="1:34" x14ac:dyDescent="0.2">
      <c r="B10" s="19" t="s">
        <v>256</v>
      </c>
      <c r="C10" s="19">
        <v>13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9.0461824454686045E-3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B11" s="19" t="s">
        <v>256</v>
      </c>
      <c r="C11" s="19">
        <v>13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4.3107327501132574E-3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13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4.9546447786346544E-3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6" t="s">
        <v>89</v>
      </c>
      <c r="B15" s="19" t="s">
        <v>257</v>
      </c>
      <c r="C15" s="19">
        <v>13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30.265424280000001</v>
      </c>
      <c r="M15" s="157">
        <f t="shared" ref="M15:N22" si="19">L15*Y15</f>
        <v>20.241711463807505</v>
      </c>
      <c r="N15" s="157">
        <f t="shared" si="19"/>
        <v>204.4412857844558</v>
      </c>
      <c r="O15" s="157">
        <f t="shared" ref="O15:O22" si="20">M15*AH15</f>
        <v>0.85015188147991527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0.66880646630100715</v>
      </c>
      <c r="Z15" s="21">
        <v>10.1</v>
      </c>
      <c r="AA15" s="161">
        <f t="shared" ref="AA15:AA22" si="22">(AG15/SUM(AG$7:AG$27))*0.98</f>
        <v>5.2920000000000002E-2</v>
      </c>
      <c r="AB15" s="8">
        <v>0.14808457240330558</v>
      </c>
      <c r="AC15" s="161">
        <f t="shared" ref="AC15:AC22" si="23">(AH15/SUM(AH$7:AH$27))*0.98</f>
        <v>7.0358974358974355E-2</v>
      </c>
      <c r="AE15" s="181"/>
      <c r="AF15" s="20">
        <v>0</v>
      </c>
      <c r="AG15" s="20">
        <v>5.3999999999999999E-2</v>
      </c>
      <c r="AH15" s="20">
        <v>4.2000000000000003E-2</v>
      </c>
    </row>
    <row r="16" spans="1:34" x14ac:dyDescent="0.2">
      <c r="A16" s="186" t="s">
        <v>532</v>
      </c>
      <c r="B16" s="19" t="s">
        <v>257</v>
      </c>
      <c r="C16" s="19">
        <v>13</v>
      </c>
      <c r="D16" s="158"/>
      <c r="E16" s="158"/>
      <c r="F16" s="158"/>
      <c r="G16" s="158"/>
      <c r="H16" s="158"/>
      <c r="I16" s="157">
        <f t="shared" si="15"/>
        <v>9.8213836000000008</v>
      </c>
      <c r="J16" s="157">
        <f t="shared" si="16"/>
        <v>73.660377000000011</v>
      </c>
      <c r="K16" s="157">
        <f t="shared" si="17"/>
        <v>1.1662308598941786</v>
      </c>
      <c r="L16" s="157">
        <f t="shared" si="18"/>
        <v>34.749190839999997</v>
      </c>
      <c r="M16" s="157">
        <f t="shared" si="19"/>
        <v>23.340354816046812</v>
      </c>
      <c r="N16" s="157">
        <f t="shared" si="19"/>
        <v>250.20860362802185</v>
      </c>
      <c r="O16" s="157">
        <f t="shared" si="20"/>
        <v>1.120337031170247</v>
      </c>
      <c r="Q16" s="14"/>
      <c r="R16" s="149"/>
      <c r="S16" s="148"/>
      <c r="T16" s="149"/>
      <c r="U16" s="149"/>
      <c r="V16" s="21">
        <v>7.5</v>
      </c>
      <c r="W16" s="161">
        <f t="shared" si="21"/>
        <v>1.9600000000000003E-2</v>
      </c>
      <c r="X16" s="20">
        <v>0.11874404945288754</v>
      </c>
      <c r="Y16" s="20">
        <v>0.67168052699459102</v>
      </c>
      <c r="Z16" s="21">
        <v>10.72</v>
      </c>
      <c r="AA16" s="161">
        <f t="shared" si="22"/>
        <v>6.0760000000000002E-2</v>
      </c>
      <c r="AB16" s="8">
        <v>0.13774648800743444</v>
      </c>
      <c r="AC16" s="161">
        <f t="shared" si="23"/>
        <v>8.0410256410256398E-2</v>
      </c>
      <c r="AE16" s="181"/>
      <c r="AF16" s="20">
        <v>0.02</v>
      </c>
      <c r="AG16" s="20">
        <v>6.2E-2</v>
      </c>
      <c r="AH16" s="20">
        <v>4.8000000000000001E-2</v>
      </c>
    </row>
    <row r="17" spans="1:34" x14ac:dyDescent="0.2">
      <c r="A17" s="186" t="s">
        <v>52</v>
      </c>
      <c r="B17" s="19" t="s">
        <v>257</v>
      </c>
      <c r="C17" s="19">
        <v>13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74.542619060000007</v>
      </c>
      <c r="M17" s="157">
        <f t="shared" si="19"/>
        <v>46.562496725323363</v>
      </c>
      <c r="N17" s="157">
        <f t="shared" si="19"/>
        <v>502.87496463349237</v>
      </c>
      <c r="O17" s="157">
        <f t="shared" si="20"/>
        <v>2.3281248362661682</v>
      </c>
      <c r="Q17" s="14"/>
      <c r="R17" s="149"/>
      <c r="S17" s="148"/>
      <c r="T17" s="149"/>
      <c r="U17" s="149"/>
      <c r="V17" s="21">
        <v>2.9315476190476191</v>
      </c>
      <c r="W17" s="161">
        <f t="shared" si="21"/>
        <v>0</v>
      </c>
      <c r="X17" s="20">
        <v>5.9523809523809529E-3</v>
      </c>
      <c r="Y17" s="20">
        <v>0.62464261804169774</v>
      </c>
      <c r="Z17" s="21">
        <v>10.8</v>
      </c>
      <c r="AA17" s="161">
        <f t="shared" si="22"/>
        <v>0.13034000000000001</v>
      </c>
      <c r="AB17" s="8">
        <v>8.9841626569696784E-2</v>
      </c>
      <c r="AC17" s="161">
        <f t="shared" si="23"/>
        <v>8.3760683760683741E-2</v>
      </c>
      <c r="AE17" s="181"/>
      <c r="AF17" s="20">
        <v>0</v>
      </c>
      <c r="AG17" s="20">
        <v>0.13300000000000001</v>
      </c>
      <c r="AH17" s="20">
        <v>0.05</v>
      </c>
    </row>
    <row r="18" spans="1:34" x14ac:dyDescent="0.2">
      <c r="A18" s="186" t="s">
        <v>589</v>
      </c>
      <c r="B18" s="19" t="s">
        <v>257</v>
      </c>
      <c r="C18" s="19">
        <v>13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65.575085939999994</v>
      </c>
      <c r="M18" s="157">
        <f t="shared" si="19"/>
        <v>43.484084845584277</v>
      </c>
      <c r="N18" s="157">
        <f t="shared" si="19"/>
        <v>482.67334178598549</v>
      </c>
      <c r="O18" s="157">
        <f t="shared" si="20"/>
        <v>3.1308541088820676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0.66311899134026941</v>
      </c>
      <c r="Z18" s="21">
        <v>11.1</v>
      </c>
      <c r="AA18" s="161">
        <f t="shared" si="22"/>
        <v>0.11466</v>
      </c>
      <c r="AB18" s="8">
        <v>9.8806467430178402E-2</v>
      </c>
      <c r="AC18" s="161">
        <f t="shared" si="23"/>
        <v>0.1206153846153846</v>
      </c>
      <c r="AE18" s="181"/>
      <c r="AF18" s="20">
        <v>0</v>
      </c>
      <c r="AG18" s="20">
        <v>0.11700000000000001</v>
      </c>
      <c r="AH18" s="20">
        <v>7.1999999999999995E-2</v>
      </c>
    </row>
    <row r="19" spans="1:34" x14ac:dyDescent="0.2">
      <c r="A19" s="18" t="s">
        <v>90</v>
      </c>
      <c r="B19" s="19" t="s">
        <v>257</v>
      </c>
      <c r="C19" s="19">
        <v>13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79.026385619999999</v>
      </c>
      <c r="M19" s="157">
        <f t="shared" si="19"/>
        <v>53.165598070019477</v>
      </c>
      <c r="N19" s="157">
        <f t="shared" si="19"/>
        <v>712.41901413826099</v>
      </c>
      <c r="O19" s="157">
        <f t="shared" si="20"/>
        <v>3.8810886591114215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0.6727575562631366</v>
      </c>
      <c r="Z19" s="21">
        <v>13.4</v>
      </c>
      <c r="AA19" s="161">
        <f t="shared" si="22"/>
        <v>0.13818</v>
      </c>
      <c r="AB19" s="8">
        <v>4.5445355113694866E-2</v>
      </c>
      <c r="AC19" s="161">
        <f t="shared" si="23"/>
        <v>0.12229059829059827</v>
      </c>
      <c r="AE19" s="181"/>
      <c r="AF19" s="20">
        <v>0</v>
      </c>
      <c r="AG19" s="20">
        <v>0.14099999999999999</v>
      </c>
      <c r="AH19" s="20">
        <v>7.2999999999999995E-2</v>
      </c>
    </row>
    <row r="20" spans="1:34" x14ac:dyDescent="0.2">
      <c r="A20" s="18" t="s">
        <v>642</v>
      </c>
      <c r="B20" s="19" t="s">
        <v>257</v>
      </c>
      <c r="C20" s="19">
        <v>13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28.023541000000002</v>
      </c>
      <c r="M20" s="157">
        <f t="shared" si="19"/>
        <v>18.054814166380091</v>
      </c>
      <c r="N20" s="157">
        <f t="shared" si="19"/>
        <v>220.81037725482852</v>
      </c>
      <c r="O20" s="157">
        <f t="shared" si="20"/>
        <v>1.3180014341457464</v>
      </c>
      <c r="Q20" s="14"/>
      <c r="R20" s="149"/>
      <c r="S20" s="148"/>
      <c r="T20" s="149"/>
      <c r="U20" s="149"/>
      <c r="V20" s="21">
        <v>2.6609105180533752</v>
      </c>
      <c r="W20" s="161">
        <f t="shared" si="21"/>
        <v>0</v>
      </c>
      <c r="X20" s="20">
        <v>9.4191522762951344E-3</v>
      </c>
      <c r="Y20" s="20">
        <v>0.64427311903160589</v>
      </c>
      <c r="Z20" s="21">
        <v>12.23</v>
      </c>
      <c r="AA20" s="161">
        <f t="shared" si="22"/>
        <v>4.9000000000000002E-2</v>
      </c>
      <c r="AB20" s="8">
        <v>2.4812402879949697E-2</v>
      </c>
      <c r="AC20" s="161">
        <f t="shared" si="23"/>
        <v>0.12229059829059827</v>
      </c>
      <c r="AE20" s="181"/>
      <c r="AF20" s="20">
        <v>0</v>
      </c>
      <c r="AG20" s="20">
        <v>0.05</v>
      </c>
      <c r="AH20" s="20">
        <v>7.2999999999999995E-2</v>
      </c>
    </row>
    <row r="21" spans="1:34" x14ac:dyDescent="0.2">
      <c r="B21" s="19" t="s">
        <v>257</v>
      </c>
      <c r="C21" s="19">
        <v>13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3.8045584119883277E-2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13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76"/>
      <c r="E23" s="176"/>
      <c r="F23" s="176"/>
      <c r="G23" s="176"/>
      <c r="H23" s="176"/>
      <c r="I23" s="176"/>
      <c r="J23" s="176"/>
      <c r="K23" s="176"/>
      <c r="L23" s="176"/>
      <c r="M23" s="176"/>
      <c r="N23" s="176"/>
      <c r="O23" s="176"/>
      <c r="Q23" s="12"/>
      <c r="R23" s="52"/>
      <c r="T23" s="52"/>
      <c r="U23" s="52"/>
      <c r="W23" s="164"/>
      <c r="X23" s="52"/>
      <c r="Y23" s="52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84</v>
      </c>
      <c r="B24" s="19" t="s">
        <v>10</v>
      </c>
      <c r="C24" s="19">
        <v>13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119.94075547999999</v>
      </c>
      <c r="M24" s="157">
        <f t="shared" ref="M24:N27" si="24">L24*Y24</f>
        <v>80.840069193519994</v>
      </c>
      <c r="N24" s="157">
        <f t="shared" si="24"/>
        <v>962.80522409482319</v>
      </c>
      <c r="O24" s="157">
        <f t="shared" ref="O24:O27" si="25">M24*AH24</f>
        <v>7.5181264349973596</v>
      </c>
      <c r="Q24" s="14"/>
      <c r="R24" s="149"/>
      <c r="S24" s="148"/>
      <c r="T24" s="149"/>
      <c r="U24" s="149"/>
      <c r="V24" s="150"/>
      <c r="W24" s="165"/>
      <c r="X24" s="149"/>
      <c r="Y24" s="20">
        <v>0.67400000000000004</v>
      </c>
      <c r="Z24" s="115">
        <v>11.91</v>
      </c>
      <c r="AA24" s="161">
        <f t="shared" ref="AA24:AA27" si="26">(AG24/SUM(AG$7:AG$27))*0.98</f>
        <v>0.20971999999999999</v>
      </c>
      <c r="AB24" s="8">
        <v>0.1196457914525775</v>
      </c>
      <c r="AC24" s="161">
        <f t="shared" ref="AC24:AC27" si="27">(AH24/SUM(AH$7:AH$27))*0.98</f>
        <v>0.15579487179487178</v>
      </c>
      <c r="AE24" s="181"/>
      <c r="AF24" s="181"/>
      <c r="AG24" s="20">
        <v>0.214</v>
      </c>
      <c r="AH24" s="20">
        <v>9.2999999999999999E-2</v>
      </c>
    </row>
    <row r="25" spans="1:34" x14ac:dyDescent="0.2">
      <c r="A25" s="18" t="s">
        <v>531</v>
      </c>
      <c r="B25" s="19" t="s">
        <v>10</v>
      </c>
      <c r="C25" s="19">
        <v>13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19.056007880000003</v>
      </c>
      <c r="M25" s="157">
        <f t="shared" si="24"/>
        <v>13.400245097494709</v>
      </c>
      <c r="N25" s="157">
        <f t="shared" si="24"/>
        <v>132.39442156324773</v>
      </c>
      <c r="O25" s="157">
        <f t="shared" si="25"/>
        <v>0.64321176467974606</v>
      </c>
      <c r="Q25" s="14"/>
      <c r="R25" s="149"/>
      <c r="S25" s="148"/>
      <c r="T25" s="149"/>
      <c r="U25" s="149"/>
      <c r="V25" s="150"/>
      <c r="W25" s="165"/>
      <c r="X25" s="149"/>
      <c r="Y25" s="20">
        <v>0.70320316730970556</v>
      </c>
      <c r="Z25" s="115">
        <v>9.8800000000000008</v>
      </c>
      <c r="AA25" s="161">
        <f t="shared" si="26"/>
        <v>3.3320000000000002E-2</v>
      </c>
      <c r="AB25" s="8">
        <v>5.7550231945047735E-2</v>
      </c>
      <c r="AC25" s="161">
        <f t="shared" si="27"/>
        <v>8.0410256410256398E-2</v>
      </c>
      <c r="AE25" s="181"/>
      <c r="AF25" s="181"/>
      <c r="AG25" s="20">
        <v>3.4000000000000002E-2</v>
      </c>
      <c r="AH25" s="20">
        <v>4.8000000000000001E-2</v>
      </c>
    </row>
    <row r="26" spans="1:34" x14ac:dyDescent="0.2">
      <c r="A26" s="43"/>
      <c r="B26" s="19" t="s">
        <v>10</v>
      </c>
      <c r="C26" s="19">
        <v>13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0</v>
      </c>
      <c r="M26" s="157">
        <f t="shared" si="24"/>
        <v>0</v>
      </c>
      <c r="N26" s="157">
        <f t="shared" si="24"/>
        <v>0</v>
      </c>
      <c r="O26" s="157">
        <f t="shared" si="25"/>
        <v>0</v>
      </c>
      <c r="Q26" s="14"/>
      <c r="R26" s="149"/>
      <c r="S26" s="148"/>
      <c r="T26" s="149"/>
      <c r="U26" s="149"/>
      <c r="V26" s="150"/>
      <c r="W26" s="165"/>
      <c r="X26" s="149"/>
      <c r="Y26" s="20">
        <v>0</v>
      </c>
      <c r="Z26" s="115">
        <v>0</v>
      </c>
      <c r="AA26" s="161">
        <f t="shared" si="26"/>
        <v>0</v>
      </c>
      <c r="AB26" s="8">
        <v>3.5560833324881892E-2</v>
      </c>
      <c r="AC26" s="161">
        <f t="shared" si="27"/>
        <v>0</v>
      </c>
      <c r="AE26" s="181"/>
      <c r="AF26" s="181"/>
      <c r="AG26" s="20">
        <v>0</v>
      </c>
      <c r="AH26" s="20">
        <v>0</v>
      </c>
    </row>
    <row r="27" spans="1:34" x14ac:dyDescent="0.2">
      <c r="B27" s="19" t="s">
        <v>10</v>
      </c>
      <c r="C27" s="19">
        <v>13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0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0.98000000000000009</v>
      </c>
      <c r="AB30" s="161">
        <f t="shared" ref="AB30" si="28">SUM(AB2:AB4,AB7:AB12,AB15:AB22,AB24:AB27)</f>
        <v>0.97499999999999987</v>
      </c>
      <c r="AC30" s="161">
        <f>SUM(AC7:AC27)</f>
        <v>0.98</v>
      </c>
      <c r="AD30" s="36"/>
      <c r="AE30" s="161">
        <f>SUM(AE2:AE4,AE7:AE27)</f>
        <v>1</v>
      </c>
      <c r="AF30" s="161">
        <f>SUM(AF2:AF4,AF7:AF27)</f>
        <v>0.99999999999999989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1073</v>
      </c>
      <c r="E31" s="48">
        <v>0.53300000000000003</v>
      </c>
      <c r="F31" s="2">
        <f>1-E31</f>
        <v>0.46699999999999997</v>
      </c>
      <c r="G31" s="114">
        <v>4.5999999999999996</v>
      </c>
      <c r="H31" s="134">
        <v>3.95E-2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571.90899999999999</v>
      </c>
      <c r="E34" s="167">
        <f>SUM(E2:E4)</f>
        <v>382.12671743999999</v>
      </c>
      <c r="F34" s="167">
        <f>SUM(F2:F4)</f>
        <v>4017.1720859504003</v>
      </c>
      <c r="G34" s="167">
        <f>SUM(G2:G4)</f>
        <v>23.263548883303965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501.09099999999995</v>
      </c>
      <c r="E37" s="167">
        <f>D37*G31</f>
        <v>2305.0185999999994</v>
      </c>
      <c r="F37" s="167">
        <f>D37*H31</f>
        <v>19.793094499999999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491.06917999999996</v>
      </c>
      <c r="E40" s="168">
        <f>SUM(J2:J4,J7:J12,J15:J22)</f>
        <v>2301.5889424312268</v>
      </c>
      <c r="F40" s="168">
        <f>SUM(K2:K4,K7:K12,K15:K22)</f>
        <v>19.777898693353343</v>
      </c>
      <c r="G40" s="168">
        <f>SUM(L7:L12,L15:L22,L24:L27)</f>
        <v>560.47082</v>
      </c>
      <c r="H40" s="168">
        <f>SUM(M7:M12,M15:M22,M24:M27)</f>
        <v>379.56421544004809</v>
      </c>
      <c r="I40" s="168">
        <f>SUM(N7:N12,N15:N22,N24:N27)</f>
        <v>4014.908090373222</v>
      </c>
      <c r="J40" s="168">
        <f>SUM(O7:O12,O15:O22,O24:O27)</f>
        <v>23.23699058215767</v>
      </c>
    </row>
    <row r="41" spans="1:32" ht="15" thickTop="1" x14ac:dyDescent="0.2">
      <c r="D41" s="169">
        <f>D37-D40</f>
        <v>10.021819999999991</v>
      </c>
      <c r="E41" s="169">
        <f>E37-E40</f>
        <v>3.4296575687726545</v>
      </c>
      <c r="F41" s="169">
        <f>F37-F40</f>
        <v>1.5195806646655541E-2</v>
      </c>
      <c r="G41" s="169">
        <f>SUM(D2:D4)-G40</f>
        <v>11.438179999999988</v>
      </c>
      <c r="H41" s="169">
        <f>E34-H40</f>
        <v>2.5625019999519054</v>
      </c>
      <c r="I41" s="169">
        <f>F34-I40</f>
        <v>2.2639955771783207</v>
      </c>
      <c r="J41" s="169">
        <f>G34-J40</f>
        <v>2.6558301146295094E-2</v>
      </c>
    </row>
    <row r="45" spans="1:32" x14ac:dyDescent="0.2">
      <c r="N45" s="24"/>
      <c r="O45" s="24"/>
    </row>
    <row r="46" spans="1:32" x14ac:dyDescent="0.2">
      <c r="N46" s="24"/>
      <c r="O46" s="24"/>
    </row>
    <row r="47" spans="1:32" x14ac:dyDescent="0.2">
      <c r="N47" s="24"/>
      <c r="O47" s="24"/>
    </row>
  </sheetData>
  <sheetProtection selectLockedCells="1"/>
  <conditionalFormatting sqref="D41:J41">
    <cfRule type="cellIs" dxfId="26" priority="1" operator="lessThan">
      <formula>0</formula>
    </cfRule>
  </conditionalFormatting>
  <conditionalFormatting sqref="W30">
    <cfRule type="cellIs" dxfId="25" priority="2" operator="greaterThan">
      <formula>1</formula>
    </cfRule>
  </conditionalFormatting>
  <conditionalFormatting sqref="AA30:AG30">
    <cfRule type="cellIs" dxfId="24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>
    <tabColor rgb="FF00A400"/>
  </sheetPr>
  <dimension ref="A1:AH41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47</v>
      </c>
      <c r="B2" s="19" t="s">
        <v>9</v>
      </c>
      <c r="C2" s="19">
        <v>7</v>
      </c>
      <c r="D2" s="157">
        <f>D$34*Q2</f>
        <v>600.57854999999995</v>
      </c>
      <c r="E2" s="157">
        <f>D2*R2</f>
        <v>388.72674360807815</v>
      </c>
      <c r="F2" s="157">
        <f>E2*S2</f>
        <v>4352.7314809277532</v>
      </c>
      <c r="G2" s="157">
        <f>E2*T2</f>
        <v>31.564611580975942</v>
      </c>
      <c r="H2" s="157">
        <f>E2*U2</f>
        <v>12.050529051850422</v>
      </c>
      <c r="I2" s="157">
        <f>D$37*W2</f>
        <v>30.828272893401014</v>
      </c>
      <c r="J2" s="157">
        <f>I2*V2</f>
        <v>97.745588056618487</v>
      </c>
      <c r="K2" s="157">
        <f>I2*X2</f>
        <v>1.1988738482545129</v>
      </c>
      <c r="L2" s="158"/>
      <c r="M2" s="158"/>
      <c r="N2" s="158"/>
      <c r="O2" s="158"/>
      <c r="Q2" s="161">
        <f>AE2</f>
        <v>0.99</v>
      </c>
      <c r="R2" s="116">
        <v>0.64725379154496643</v>
      </c>
      <c r="S2" s="115">
        <v>11.197406796678392</v>
      </c>
      <c r="T2" s="116">
        <v>8.1199999999999994E-2</v>
      </c>
      <c r="U2" s="20">
        <v>3.1E-2</v>
      </c>
      <c r="V2" s="115">
        <v>3.1706475544253259</v>
      </c>
      <c r="W2" s="161">
        <f>(AF2/SUM(AF$2:AF$22))*0.98</f>
        <v>7.1634517766497458E-2</v>
      </c>
      <c r="X2" s="20">
        <v>3.8888777597110846E-2</v>
      </c>
      <c r="Y2" s="22"/>
      <c r="Z2" s="23"/>
      <c r="AA2" s="1"/>
      <c r="AB2" s="1"/>
      <c r="AC2" s="1"/>
      <c r="AE2" s="20">
        <v>0.99</v>
      </c>
      <c r="AF2" s="20">
        <v>7.1999999999999995E-2</v>
      </c>
      <c r="AG2" s="181"/>
      <c r="AH2" s="181"/>
    </row>
    <row r="3" spans="1:34" x14ac:dyDescent="0.2">
      <c r="A3" s="18" t="s">
        <v>212</v>
      </c>
      <c r="B3" s="19" t="s">
        <v>9</v>
      </c>
      <c r="C3" s="19">
        <v>7</v>
      </c>
      <c r="D3" s="157">
        <f>D$34*Q3</f>
        <v>6.066450000000005</v>
      </c>
      <c r="E3" s="157">
        <f t="shared" ref="E3:F4" si="0">D3*R3</f>
        <v>3.4986110617712485</v>
      </c>
      <c r="F3" s="157">
        <f t="shared" si="0"/>
        <v>38.3797633476306</v>
      </c>
      <c r="G3" s="157">
        <f t="shared" ref="G3:G4" si="1">E3*T3</f>
        <v>0.1903244417603559</v>
      </c>
      <c r="H3" s="157">
        <f t="shared" ref="H3:H4" si="2">E3*U3</f>
        <v>0.22325584841839186</v>
      </c>
      <c r="I3" s="157">
        <f t="shared" ref="I3:I4" si="3">D$37*W3</f>
        <v>1.2845113705583757</v>
      </c>
      <c r="J3" s="157">
        <f>I3*V3</f>
        <v>5.356335353023538</v>
      </c>
      <c r="K3" s="157">
        <f>I3*X3</f>
        <v>3.8535341116751269E-2</v>
      </c>
      <c r="L3" s="158"/>
      <c r="M3" s="158"/>
      <c r="N3" s="158"/>
      <c r="O3" s="158"/>
      <c r="Q3" s="161">
        <f t="shared" ref="Q3:Q4" si="4">AE3</f>
        <v>1.0000000000000009E-2</v>
      </c>
      <c r="R3" s="116">
        <v>0.57671472801576629</v>
      </c>
      <c r="S3" s="115">
        <v>10.97</v>
      </c>
      <c r="T3" s="116">
        <v>5.4399999999999997E-2</v>
      </c>
      <c r="U3" s="20">
        <v>6.3812708665410695E-2</v>
      </c>
      <c r="V3" s="115">
        <v>4.1699400065996652</v>
      </c>
      <c r="W3" s="161">
        <f t="shared" ref="W3:W4" si="5">(AF3/SUM(AF$2:AF$22))*0.98</f>
        <v>2.9847715736040607E-3</v>
      </c>
      <c r="X3" s="20">
        <v>0.03</v>
      </c>
      <c r="Y3" s="22"/>
      <c r="Z3" s="23"/>
      <c r="AA3" s="1"/>
      <c r="AB3" s="1"/>
      <c r="AC3" s="1"/>
      <c r="AE3" s="20">
        <f>1-AE2</f>
        <v>1.0000000000000009E-2</v>
      </c>
      <c r="AF3" s="20">
        <v>3.0000000000000001E-3</v>
      </c>
      <c r="AG3" s="181"/>
      <c r="AH3" s="181"/>
    </row>
    <row r="4" spans="1:34" x14ac:dyDescent="0.2">
      <c r="B4" s="19" t="s">
        <v>9</v>
      </c>
      <c r="C4" s="19">
        <v>7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>
        <v>0</v>
      </c>
      <c r="AF4" s="20">
        <v>0</v>
      </c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507</v>
      </c>
      <c r="B7" s="19" t="s">
        <v>256</v>
      </c>
      <c r="C7" s="19">
        <v>7</v>
      </c>
      <c r="D7" s="158"/>
      <c r="E7" s="158"/>
      <c r="F7" s="158"/>
      <c r="G7" s="158"/>
      <c r="H7" s="158"/>
      <c r="I7" s="157">
        <f t="shared" ref="I7:I12" si="6">D$37*W7</f>
        <v>174.69354639593911</v>
      </c>
      <c r="J7" s="157">
        <f>I7*V7</f>
        <v>796.60257156548232</v>
      </c>
      <c r="K7" s="157">
        <f>I7*X7</f>
        <v>7.3371289486294433</v>
      </c>
      <c r="L7" s="157">
        <f>((D$2+D$3+D$4)*AA7)</f>
        <v>51.722552699999994</v>
      </c>
      <c r="M7" s="157">
        <f t="shared" ref="M7:N12" si="7">L7*Y7</f>
        <v>37.395405602099991</v>
      </c>
      <c r="N7" s="157">
        <f t="shared" si="7"/>
        <v>304.88295483841551</v>
      </c>
      <c r="O7" s="157">
        <f>M7*AH7</f>
        <v>1.9071656857070995</v>
      </c>
      <c r="Q7" s="14"/>
      <c r="R7" s="149"/>
      <c r="S7" s="148"/>
      <c r="T7" s="149"/>
      <c r="U7" s="149"/>
      <c r="V7" s="21">
        <v>4.5599999999999996</v>
      </c>
      <c r="W7" s="161">
        <f t="shared" ref="W7:W12" si="8">(AF7/SUM(AF$2:AF$22))*0.98</f>
        <v>0.40592893401015229</v>
      </c>
      <c r="X7" s="20">
        <v>4.2000000000000003E-2</v>
      </c>
      <c r="Y7" s="20">
        <v>0.72299999999999998</v>
      </c>
      <c r="Z7" s="21">
        <v>8.1529522124315292</v>
      </c>
      <c r="AA7" s="161">
        <f>(AG7/SUM(AG$7:AG$27))*0.98</f>
        <v>8.5259999999999989E-2</v>
      </c>
      <c r="AB7" s="8">
        <v>7.2515753783603323E-2</v>
      </c>
      <c r="AC7" s="161">
        <f>(AH7/SUM(AH$7:AH$27))*0.98</f>
        <v>5.9570917759237188E-2</v>
      </c>
      <c r="AE7" s="181"/>
      <c r="AF7" s="20">
        <v>0.40799999999999997</v>
      </c>
      <c r="AG7" s="20">
        <v>8.6999999999999994E-2</v>
      </c>
      <c r="AH7" s="20">
        <v>5.0999999999999997E-2</v>
      </c>
    </row>
    <row r="8" spans="1:34" x14ac:dyDescent="0.2">
      <c r="A8" s="186" t="s">
        <v>99</v>
      </c>
      <c r="B8" s="19" t="s">
        <v>256</v>
      </c>
      <c r="C8" s="19">
        <v>7</v>
      </c>
      <c r="D8" s="158"/>
      <c r="E8" s="158"/>
      <c r="F8" s="158"/>
      <c r="G8" s="158"/>
      <c r="H8" s="158"/>
      <c r="I8" s="157">
        <f t="shared" si="6"/>
        <v>180.25976233502541</v>
      </c>
      <c r="J8" s="157">
        <f>I8*V8</f>
        <v>787.73516140406105</v>
      </c>
      <c r="K8" s="157">
        <f>I8*X8</f>
        <v>6.6696112063959401</v>
      </c>
      <c r="L8" s="157">
        <f>((D$2+D$3+D$4)*AA8)</f>
        <v>40.426822800000004</v>
      </c>
      <c r="M8" s="157">
        <f t="shared" si="7"/>
        <v>28.339202782800001</v>
      </c>
      <c r="N8" s="157">
        <f t="shared" si="7"/>
        <v>207.15957234226801</v>
      </c>
      <c r="O8" s="157">
        <f t="shared" ref="O8:O12" si="9">M8*AH8</f>
        <v>1.0768897057464</v>
      </c>
      <c r="Q8" s="14"/>
      <c r="R8" s="149"/>
      <c r="S8" s="148"/>
      <c r="T8" s="149"/>
      <c r="U8" s="149"/>
      <c r="V8" s="21">
        <v>4.37</v>
      </c>
      <c r="W8" s="161">
        <f t="shared" si="8"/>
        <v>0.41886294416243658</v>
      </c>
      <c r="X8" s="20">
        <v>3.6999999999999998E-2</v>
      </c>
      <c r="Y8" s="20">
        <v>0.70099999999999996</v>
      </c>
      <c r="Z8" s="21">
        <v>7.31</v>
      </c>
      <c r="AA8" s="161">
        <f t="shared" ref="AA8:AA12" si="10">(AG8/SUM(AG$7:AG$27))*0.98</f>
        <v>6.6640000000000005E-2</v>
      </c>
      <c r="AB8" s="8">
        <v>3.7087319769310421E-2</v>
      </c>
      <c r="AC8" s="161">
        <f t="shared" ref="AC8:AC12" si="11">(AH8/SUM(AH$7:AH$27))*0.98</f>
        <v>4.4386174016686528E-2</v>
      </c>
      <c r="AE8" s="181"/>
      <c r="AF8" s="20">
        <v>0.42099999999999999</v>
      </c>
      <c r="AG8" s="20">
        <v>6.8000000000000005E-2</v>
      </c>
      <c r="AH8" s="20">
        <v>3.7999999999999999E-2</v>
      </c>
    </row>
    <row r="9" spans="1:34" x14ac:dyDescent="0.2">
      <c r="A9" s="186" t="s">
        <v>232</v>
      </c>
      <c r="B9" s="19" t="s">
        <v>256</v>
      </c>
      <c r="C9" s="19">
        <v>7</v>
      </c>
      <c r="D9" s="158"/>
      <c r="E9" s="158"/>
      <c r="F9" s="158"/>
      <c r="G9" s="158"/>
      <c r="H9" s="158"/>
      <c r="I9" s="157">
        <f t="shared" si="6"/>
        <v>23.121204670050762</v>
      </c>
      <c r="J9" s="157">
        <f>I9*V9</f>
        <v>97.109059614213209</v>
      </c>
      <c r="K9" s="157">
        <f>I9*X9</f>
        <v>0.7167573447715736</v>
      </c>
      <c r="L9" s="157">
        <f>((D$2+D$3+D$4)*AA9)</f>
        <v>20.213411400000002</v>
      </c>
      <c r="M9" s="157">
        <f t="shared" si="7"/>
        <v>14.755790322000001</v>
      </c>
      <c r="N9" s="157">
        <f t="shared" si="7"/>
        <v>120.9974806404</v>
      </c>
      <c r="O9" s="157">
        <f t="shared" si="9"/>
        <v>0.50169687094800008</v>
      </c>
      <c r="Q9" s="14"/>
      <c r="R9" s="149"/>
      <c r="S9" s="148"/>
      <c r="T9" s="149"/>
      <c r="U9" s="149"/>
      <c r="V9" s="21">
        <v>4.2</v>
      </c>
      <c r="W9" s="161">
        <f t="shared" si="8"/>
        <v>5.3725888324873093E-2</v>
      </c>
      <c r="X9" s="20">
        <v>3.1E-2</v>
      </c>
      <c r="Y9" s="20">
        <v>0.73</v>
      </c>
      <c r="Z9" s="21">
        <v>8.1999999999999993</v>
      </c>
      <c r="AA9" s="161">
        <f t="shared" si="10"/>
        <v>3.3320000000000002E-2</v>
      </c>
      <c r="AB9" s="8">
        <v>2.6310907060795967E-2</v>
      </c>
      <c r="AC9" s="161">
        <f t="shared" si="11"/>
        <v>3.9713945172824797E-2</v>
      </c>
      <c r="AE9" s="181"/>
      <c r="AF9" s="20">
        <v>5.3999999999999999E-2</v>
      </c>
      <c r="AG9" s="20">
        <v>3.4000000000000002E-2</v>
      </c>
      <c r="AH9" s="20">
        <v>3.4000000000000002E-2</v>
      </c>
    </row>
    <row r="10" spans="1:34" x14ac:dyDescent="0.2">
      <c r="A10" s="186" t="s">
        <v>643</v>
      </c>
      <c r="B10" s="19" t="s">
        <v>256</v>
      </c>
      <c r="C10" s="19">
        <v>7</v>
      </c>
      <c r="D10" s="158"/>
      <c r="E10" s="158"/>
      <c r="F10" s="158"/>
      <c r="G10" s="158"/>
      <c r="H10" s="158"/>
      <c r="I10" s="157">
        <f t="shared" si="6"/>
        <v>5.1380454822335029</v>
      </c>
      <c r="J10" s="157">
        <f t="shared" ref="J10:J12" si="12">I10*V10</f>
        <v>21.68255193502538</v>
      </c>
      <c r="K10" s="157">
        <f t="shared" ref="K10:K12" si="13">I10*X10</f>
        <v>0.15414136446700508</v>
      </c>
      <c r="L10" s="157">
        <f t="shared" ref="L10:L12" si="14">((D$2+D$3+D$4)*AA10)</f>
        <v>7.7286572999999992</v>
      </c>
      <c r="M10" s="157">
        <f t="shared" si="7"/>
        <v>5.5569045986999992</v>
      </c>
      <c r="N10" s="157">
        <f t="shared" si="7"/>
        <v>44.121822513677998</v>
      </c>
      <c r="O10" s="157">
        <f t="shared" si="9"/>
        <v>0.17782094715839997</v>
      </c>
      <c r="Q10" s="14"/>
      <c r="R10" s="149"/>
      <c r="S10" s="148"/>
      <c r="T10" s="149"/>
      <c r="U10" s="149"/>
      <c r="V10" s="21">
        <v>4.22</v>
      </c>
      <c r="W10" s="161">
        <f t="shared" si="8"/>
        <v>1.1939086294416243E-2</v>
      </c>
      <c r="X10" s="20">
        <v>0.03</v>
      </c>
      <c r="Y10" s="20">
        <v>0.71899999999999997</v>
      </c>
      <c r="Z10" s="21">
        <v>7.94</v>
      </c>
      <c r="AA10" s="161">
        <f t="shared" si="10"/>
        <v>1.274E-2</v>
      </c>
      <c r="AB10" s="8">
        <v>2.7504812306038788E-2</v>
      </c>
      <c r="AC10" s="161">
        <f t="shared" si="11"/>
        <v>3.7377830750893924E-2</v>
      </c>
      <c r="AE10" s="181"/>
      <c r="AF10" s="20">
        <v>1.2E-2</v>
      </c>
      <c r="AG10" s="20">
        <v>1.2999999999999999E-2</v>
      </c>
      <c r="AH10" s="20">
        <v>3.2000000000000001E-2</v>
      </c>
    </row>
    <row r="11" spans="1:34" x14ac:dyDescent="0.2">
      <c r="A11" s="186"/>
      <c r="B11" s="19" t="s">
        <v>256</v>
      </c>
      <c r="C11" s="19">
        <v>7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1.470421123413082E-3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7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492</v>
      </c>
      <c r="B15" s="19" t="s">
        <v>257</v>
      </c>
      <c r="C15" s="19">
        <v>7</v>
      </c>
      <c r="D15" s="158"/>
      <c r="E15" s="158"/>
      <c r="F15" s="158"/>
      <c r="G15" s="158"/>
      <c r="H15" s="158"/>
      <c r="I15" s="157">
        <f t="shared" ref="I15:I22" si="15">D$37*W15</f>
        <v>6.4225568527918782</v>
      </c>
      <c r="J15" s="157">
        <f t="shared" ref="J15:J22" si="16">I15*V15</f>
        <v>43.031130913705582</v>
      </c>
      <c r="K15" s="157">
        <f t="shared" ref="K15:K22" si="17">I15*X15</f>
        <v>0.44957897969543154</v>
      </c>
      <c r="L15" s="157">
        <f t="shared" ref="L15:L22" si="18">((D$2+D$3+D$4)*AA15)</f>
        <v>130.79266199999998</v>
      </c>
      <c r="M15" s="157">
        <f t="shared" ref="M15:N22" si="19">L15*Y15</f>
        <v>82.288203060966879</v>
      </c>
      <c r="N15" s="157">
        <f t="shared" si="19"/>
        <v>1111.8057029179306</v>
      </c>
      <c r="O15" s="157">
        <f t="shared" ref="O15:O22" si="20">M15*AH15</f>
        <v>8.0642438999747537</v>
      </c>
      <c r="Q15" s="14"/>
      <c r="R15" s="149"/>
      <c r="S15" s="148"/>
      <c r="T15" s="149"/>
      <c r="U15" s="149"/>
      <c r="V15" s="21">
        <v>6.7</v>
      </c>
      <c r="W15" s="161">
        <f t="shared" ref="W15:W22" si="21">(AF15/SUM(AF$2:AF$22))*0.98</f>
        <v>1.4923857868020304E-2</v>
      </c>
      <c r="X15" s="20">
        <v>7.0000000000000007E-2</v>
      </c>
      <c r="Y15" s="20">
        <v>0.6291499981930706</v>
      </c>
      <c r="Z15" s="21">
        <v>13.511118988638017</v>
      </c>
      <c r="AA15" s="161">
        <f t="shared" ref="AA15:AA22" si="22">(AG15/SUM(AG$7:AG$27))*0.98</f>
        <v>0.21559999999999999</v>
      </c>
      <c r="AB15" s="8">
        <v>0.14384719911729207</v>
      </c>
      <c r="AC15" s="161">
        <f t="shared" ref="AC15:AC22" si="23">(AH15/SUM(AH$7:AH$27))*0.98</f>
        <v>0.11446960667461265</v>
      </c>
      <c r="AE15" s="181"/>
      <c r="AF15" s="20">
        <v>1.4999999999999999E-2</v>
      </c>
      <c r="AG15" s="20">
        <v>0.22</v>
      </c>
      <c r="AH15" s="20">
        <v>9.8000000000000004E-2</v>
      </c>
    </row>
    <row r="16" spans="1:34" x14ac:dyDescent="0.2">
      <c r="A16" s="18" t="s">
        <v>170</v>
      </c>
      <c r="B16" s="19" t="s">
        <v>257</v>
      </c>
      <c r="C16" s="19">
        <v>7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106.41766589999999</v>
      </c>
      <c r="M16" s="157">
        <f t="shared" si="19"/>
        <v>66.085370523899996</v>
      </c>
      <c r="N16" s="157">
        <f t="shared" si="19"/>
        <v>871.00518350500192</v>
      </c>
      <c r="O16" s="157">
        <f t="shared" si="20"/>
        <v>7.1372200165811996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0.621</v>
      </c>
      <c r="Z16" s="21">
        <v>13.18</v>
      </c>
      <c r="AA16" s="161">
        <f t="shared" si="22"/>
        <v>0.17541999999999999</v>
      </c>
      <c r="AB16" s="8">
        <v>0.14016318844957668</v>
      </c>
      <c r="AC16" s="161">
        <f t="shared" si="23"/>
        <v>0.12615017878426699</v>
      </c>
      <c r="AE16" s="181"/>
      <c r="AF16" s="20">
        <v>0</v>
      </c>
      <c r="AG16" s="20">
        <v>0.17899999999999999</v>
      </c>
      <c r="AH16" s="20">
        <v>0.108</v>
      </c>
    </row>
    <row r="17" spans="1:34" x14ac:dyDescent="0.2">
      <c r="A17" s="18" t="s">
        <v>55</v>
      </c>
      <c r="B17" s="19" t="s">
        <v>257</v>
      </c>
      <c r="C17" s="19">
        <v>7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63.612794699999995</v>
      </c>
      <c r="M17" s="157">
        <f t="shared" si="19"/>
        <v>40.476870395740058</v>
      </c>
      <c r="N17" s="157">
        <f t="shared" si="19"/>
        <v>489.77013178845471</v>
      </c>
      <c r="O17" s="157">
        <f t="shared" si="20"/>
        <v>3.521487724429385</v>
      </c>
      <c r="Q17" s="14"/>
      <c r="R17" s="149"/>
      <c r="S17" s="148"/>
      <c r="T17" s="149"/>
      <c r="U17" s="149"/>
      <c r="V17" s="21">
        <v>2.7812030075187972</v>
      </c>
      <c r="W17" s="161">
        <f t="shared" si="21"/>
        <v>0</v>
      </c>
      <c r="X17" s="20">
        <v>2.2556390977443608E-2</v>
      </c>
      <c r="Y17" s="20">
        <v>0.63630077229950821</v>
      </c>
      <c r="Z17" s="21">
        <v>12.1</v>
      </c>
      <c r="AA17" s="161">
        <f t="shared" si="22"/>
        <v>0.10485999999999999</v>
      </c>
      <c r="AB17" s="8">
        <v>0.12200080736462221</v>
      </c>
      <c r="AC17" s="161">
        <f t="shared" si="23"/>
        <v>0.10162097735399285</v>
      </c>
      <c r="AE17" s="181"/>
      <c r="AF17" s="20">
        <v>0</v>
      </c>
      <c r="AG17" s="20">
        <v>0.107</v>
      </c>
      <c r="AH17" s="20">
        <v>8.6999999999999994E-2</v>
      </c>
    </row>
    <row r="18" spans="1:34" x14ac:dyDescent="0.2">
      <c r="A18" s="18" t="s">
        <v>672</v>
      </c>
      <c r="B18" s="19" t="s">
        <v>257</v>
      </c>
      <c r="C18" s="19">
        <v>7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19.618899299999999</v>
      </c>
      <c r="M18" s="157">
        <f t="shared" si="19"/>
        <v>11.869434076499999</v>
      </c>
      <c r="N18" s="157">
        <f t="shared" si="19"/>
        <v>155.37089206138498</v>
      </c>
      <c r="O18" s="157">
        <f t="shared" si="20"/>
        <v>0.80712151720199998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0.60499999999999998</v>
      </c>
      <c r="Z18" s="21">
        <v>13.09</v>
      </c>
      <c r="AA18" s="161">
        <f t="shared" si="22"/>
        <v>3.2340000000000001E-2</v>
      </c>
      <c r="AB18" s="8">
        <v>0.10908969025471149</v>
      </c>
      <c r="AC18" s="161">
        <f t="shared" si="23"/>
        <v>7.9427890345649593E-2</v>
      </c>
      <c r="AE18" s="181"/>
      <c r="AF18" s="20">
        <v>0</v>
      </c>
      <c r="AG18" s="20">
        <v>3.3000000000000002E-2</v>
      </c>
      <c r="AH18" s="20">
        <v>6.8000000000000005E-2</v>
      </c>
    </row>
    <row r="19" spans="1:34" x14ac:dyDescent="0.2">
      <c r="A19" s="18" t="s">
        <v>39</v>
      </c>
      <c r="B19" s="19" t="s">
        <v>257</v>
      </c>
      <c r="C19" s="19">
        <v>7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58.262185799999997</v>
      </c>
      <c r="M19" s="157">
        <f t="shared" si="19"/>
        <v>36.23017611777351</v>
      </c>
      <c r="N19" s="157">
        <f t="shared" si="19"/>
        <v>382.95296156486603</v>
      </c>
      <c r="O19" s="157">
        <f t="shared" si="20"/>
        <v>2.5361123282441458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0.62184718304498476</v>
      </c>
      <c r="Z19" s="21">
        <v>10.57</v>
      </c>
      <c r="AA19" s="161">
        <f t="shared" si="22"/>
        <v>9.604E-2</v>
      </c>
      <c r="AB19" s="8">
        <v>7.0807233927287466E-2</v>
      </c>
      <c r="AC19" s="161">
        <f t="shared" si="23"/>
        <v>8.1764004767580459E-2</v>
      </c>
      <c r="AE19" s="181"/>
      <c r="AF19" s="20">
        <v>0</v>
      </c>
      <c r="AG19" s="20">
        <v>9.8000000000000004E-2</v>
      </c>
      <c r="AH19" s="20">
        <v>7.0000000000000007E-2</v>
      </c>
    </row>
    <row r="20" spans="1:34" x14ac:dyDescent="0.2">
      <c r="B20" s="19" t="s">
        <v>257</v>
      </c>
      <c r="C20" s="19">
        <v>7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3.3563135947518793E-3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7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1.5360433820360337E-2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7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30</v>
      </c>
      <c r="B24" s="19" t="s">
        <v>10</v>
      </c>
      <c r="C24" s="19">
        <v>7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28.536580799999999</v>
      </c>
      <c r="M24" s="157">
        <f t="shared" ref="M24:N27" si="24">L24*Y24</f>
        <v>19.963133649451848</v>
      </c>
      <c r="N24" s="157">
        <f t="shared" si="24"/>
        <v>200.24420294046385</v>
      </c>
      <c r="O24" s="157">
        <f t="shared" ref="O24:O27" si="25">M24*AH24</f>
        <v>1.6369769592550516</v>
      </c>
      <c r="Q24" s="14"/>
      <c r="R24" s="149"/>
      <c r="S24" s="148"/>
      <c r="T24" s="149"/>
      <c r="U24" s="149"/>
      <c r="V24" s="150"/>
      <c r="W24" s="165"/>
      <c r="X24" s="149"/>
      <c r="Y24" s="20">
        <v>0.69956291503051582</v>
      </c>
      <c r="Z24" s="115">
        <v>10.030699911983117</v>
      </c>
      <c r="AA24" s="161">
        <f t="shared" ref="AA24:AA27" si="26">(AG24/SUM(AG$7:AG$27))*0.98</f>
        <v>4.7039999999999998E-2</v>
      </c>
      <c r="AB24" s="8">
        <v>9.1397463479426053E-2</v>
      </c>
      <c r="AC24" s="161">
        <f t="shared" ref="AC24:AC27" si="27">(AH24/SUM(AH$7:AH$27))*0.98</f>
        <v>9.5780691299165679E-2</v>
      </c>
      <c r="AE24" s="181"/>
      <c r="AF24" s="181"/>
      <c r="AG24" s="20">
        <v>4.8000000000000001E-2</v>
      </c>
      <c r="AH24" s="20">
        <v>8.2000000000000003E-2</v>
      </c>
    </row>
    <row r="25" spans="1:34" x14ac:dyDescent="0.2">
      <c r="A25" s="18" t="s">
        <v>556</v>
      </c>
      <c r="B25" s="19" t="s">
        <v>10</v>
      </c>
      <c r="C25" s="19">
        <v>7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55.289625299999997</v>
      </c>
      <c r="M25" s="157">
        <f t="shared" si="24"/>
        <v>39.723854619672842</v>
      </c>
      <c r="N25" s="157">
        <f t="shared" si="24"/>
        <v>385.55270357340657</v>
      </c>
      <c r="O25" s="157">
        <f t="shared" si="25"/>
        <v>3.734042334249247</v>
      </c>
      <c r="Q25" s="14"/>
      <c r="R25" s="149"/>
      <c r="S25" s="148"/>
      <c r="T25" s="149"/>
      <c r="U25" s="149"/>
      <c r="V25" s="150"/>
      <c r="W25" s="165"/>
      <c r="X25" s="149"/>
      <c r="Y25" s="20">
        <v>0.7184685084069985</v>
      </c>
      <c r="Z25" s="115">
        <v>9.7058230442336146</v>
      </c>
      <c r="AA25" s="161">
        <f t="shared" si="26"/>
        <v>9.1139999999999999E-2</v>
      </c>
      <c r="AB25" s="8">
        <v>4.1322530214849523E-2</v>
      </c>
      <c r="AC25" s="161">
        <f t="shared" si="27"/>
        <v>0.1097973778307509</v>
      </c>
      <c r="AE25" s="181"/>
      <c r="AF25" s="181"/>
      <c r="AG25" s="20">
        <v>9.2999999999999999E-2</v>
      </c>
      <c r="AH25" s="20">
        <v>9.4E-2</v>
      </c>
    </row>
    <row r="26" spans="1:34" x14ac:dyDescent="0.2">
      <c r="A26" s="18" t="s">
        <v>508</v>
      </c>
      <c r="B26" s="19" t="s">
        <v>10</v>
      </c>
      <c r="C26" s="19">
        <v>7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11.890241999999999</v>
      </c>
      <c r="M26" s="157">
        <f t="shared" si="24"/>
        <v>8.3231693999999994</v>
      </c>
      <c r="N26" s="157">
        <f t="shared" si="24"/>
        <v>80.734743179999981</v>
      </c>
      <c r="O26" s="157">
        <f t="shared" si="25"/>
        <v>0.64088404379999997</v>
      </c>
      <c r="Q26" s="14"/>
      <c r="R26" s="149"/>
      <c r="S26" s="148"/>
      <c r="T26" s="149"/>
      <c r="U26" s="149"/>
      <c r="V26" s="150"/>
      <c r="W26" s="165"/>
      <c r="X26" s="149"/>
      <c r="Y26" s="20">
        <v>0.7</v>
      </c>
      <c r="Z26" s="115">
        <v>9.6999999999999993</v>
      </c>
      <c r="AA26" s="161">
        <f t="shared" si="26"/>
        <v>1.9599999999999999E-2</v>
      </c>
      <c r="AB26" s="8">
        <v>4.2231344065620888E-2</v>
      </c>
      <c r="AC26" s="161">
        <f t="shared" si="27"/>
        <v>8.9940405244338495E-2</v>
      </c>
      <c r="AE26" s="181"/>
      <c r="AF26" s="181"/>
      <c r="AG26" s="20">
        <v>0.02</v>
      </c>
      <c r="AH26" s="20">
        <v>7.6999999999999999E-2</v>
      </c>
    </row>
    <row r="27" spans="1:34" x14ac:dyDescent="0.2">
      <c r="B27" s="19" t="s">
        <v>10</v>
      </c>
      <c r="C27" s="19">
        <v>7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3.0534581668339708E-2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0.97999999999999987</v>
      </c>
      <c r="AB30" s="161">
        <f t="shared" ref="AB30" si="28">SUM(AB2:AB4,AB7:AB12,AB15:AB22,AB24:AB27)</f>
        <v>0.97499999999999987</v>
      </c>
      <c r="AC30" s="161">
        <f>SUM(AC7:AC27)</f>
        <v>0.98</v>
      </c>
      <c r="AD30" s="36"/>
      <c r="AE30" s="161">
        <f>SUM(AE2:AE4,AE7:AE27)</f>
        <v>1</v>
      </c>
      <c r="AF30" s="161">
        <f>SUM(AF2:AF4,AF7:AF27)</f>
        <v>0.98499999999999999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1037</v>
      </c>
      <c r="E31" s="48">
        <v>0.58499999999999996</v>
      </c>
      <c r="F31" s="2">
        <f>1-E31</f>
        <v>0.41500000000000004</v>
      </c>
      <c r="G31" s="114">
        <v>4.3</v>
      </c>
      <c r="H31" s="134">
        <v>3.85E-2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606.64499999999998</v>
      </c>
      <c r="E34" s="167">
        <f>SUM(E2:E4)</f>
        <v>392.22535466984942</v>
      </c>
      <c r="F34" s="167">
        <f>SUM(F2:F4)</f>
        <v>4391.1112442753838</v>
      </c>
      <c r="G34" s="167">
        <f>SUM(G2:G4)</f>
        <v>31.754936022736299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430.35500000000002</v>
      </c>
      <c r="E37" s="167">
        <f>D37*G31</f>
        <v>1850.5264999999999</v>
      </c>
      <c r="F37" s="167">
        <f>D37*H31</f>
        <v>16.5686675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421.74790000000007</v>
      </c>
      <c r="E40" s="168">
        <f>SUM(J2:J4,J7:J12,J15:J22)</f>
        <v>1849.2623988421296</v>
      </c>
      <c r="F40" s="168">
        <f>SUM(K2:K4,K7:K12,K15:K22)</f>
        <v>16.564627033330659</v>
      </c>
      <c r="G40" s="168">
        <f>SUM(L7:L12,L15:L22,L24:L27)</f>
        <v>594.51209999999992</v>
      </c>
      <c r="H40" s="168">
        <f>SUM(M7:M12,M15:M22,M24:M27)</f>
        <v>391.00751514960507</v>
      </c>
      <c r="I40" s="168">
        <f>SUM(N7:N12,N15:N22,N24:N27)</f>
        <v>4354.5983518662697</v>
      </c>
      <c r="J40" s="168">
        <f>SUM(O7:O12,O15:O22,O24:O27)</f>
        <v>31.741662033295675</v>
      </c>
    </row>
    <row r="41" spans="1:32" ht="15" thickTop="1" x14ac:dyDescent="0.2">
      <c r="D41" s="169">
        <f>D37-D40</f>
        <v>8.6070999999999458</v>
      </c>
      <c r="E41" s="169">
        <f>E37-E40</f>
        <v>1.2641011578703001</v>
      </c>
      <c r="F41" s="169">
        <f>F37-F40</f>
        <v>4.0404666693412139E-3</v>
      </c>
      <c r="G41" s="169">
        <f>SUM(D2:D4)-G40</f>
        <v>12.132900000000063</v>
      </c>
      <c r="H41" s="169">
        <f>E34-H40</f>
        <v>1.2178395202443539</v>
      </c>
      <c r="I41" s="169">
        <f>F34-I40</f>
        <v>36.512892409114102</v>
      </c>
      <c r="J41" s="169">
        <f>G34-J40</f>
        <v>1.3273989440623524E-2</v>
      </c>
    </row>
  </sheetData>
  <sheetProtection selectLockedCells="1"/>
  <conditionalFormatting sqref="D41:J41">
    <cfRule type="cellIs" dxfId="23" priority="1" operator="lessThan">
      <formula>0</formula>
    </cfRule>
  </conditionalFormatting>
  <conditionalFormatting sqref="W30">
    <cfRule type="cellIs" dxfId="22" priority="2" operator="greaterThan">
      <formula>1</formula>
    </cfRule>
  </conditionalFormatting>
  <conditionalFormatting sqref="AA30:AG30">
    <cfRule type="cellIs" dxfId="21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tabColor theme="9" tint="-0.249977111117893"/>
  </sheetPr>
  <dimension ref="A1:AH43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181</v>
      </c>
      <c r="B2" s="19" t="s">
        <v>9</v>
      </c>
      <c r="C2" s="19">
        <v>10</v>
      </c>
      <c r="D2" s="157">
        <f>D$34*Q2</f>
        <v>542.50644</v>
      </c>
      <c r="E2" s="157">
        <f>D2*R2</f>
        <v>357.51174395999999</v>
      </c>
      <c r="F2" s="157">
        <f>E2*S2</f>
        <v>4250.8146356843999</v>
      </c>
      <c r="G2" s="157">
        <f>E2*T2</f>
        <v>26.598873750623998</v>
      </c>
      <c r="H2" s="157">
        <f>E2*U2</f>
        <v>10.02798044533713</v>
      </c>
      <c r="I2" s="157">
        <f>D$37*W2</f>
        <v>135.93269340000001</v>
      </c>
      <c r="J2" s="157">
        <f>I2*V2</f>
        <v>648.31768224345967</v>
      </c>
      <c r="K2" s="157">
        <f>I2*X2</f>
        <v>11.1464808588</v>
      </c>
      <c r="L2" s="158"/>
      <c r="M2" s="158"/>
      <c r="N2" s="158"/>
      <c r="O2" s="158"/>
      <c r="Q2" s="161">
        <f>AE2</f>
        <v>0.98</v>
      </c>
      <c r="R2" s="116">
        <v>0.65900000000000003</v>
      </c>
      <c r="S2" s="115">
        <v>11.89</v>
      </c>
      <c r="T2" s="116">
        <v>7.4399999999999994E-2</v>
      </c>
      <c r="U2" s="20">
        <v>2.804937352340265E-2</v>
      </c>
      <c r="V2" s="115">
        <v>4.7694021653473664</v>
      </c>
      <c r="W2" s="161">
        <f>(AF2/SUM(AF$2:AF$22))*0.98</f>
        <v>0.25969999999999999</v>
      </c>
      <c r="X2" s="20">
        <v>8.2000000000000003E-2</v>
      </c>
      <c r="Y2" s="22"/>
      <c r="Z2" s="23"/>
      <c r="AA2" s="1"/>
      <c r="AB2" s="1"/>
      <c r="AC2" s="1"/>
      <c r="AE2" s="20">
        <v>0.98</v>
      </c>
      <c r="AF2" s="20">
        <v>0.26500000000000001</v>
      </c>
      <c r="AG2" s="181"/>
      <c r="AH2" s="181"/>
    </row>
    <row r="3" spans="1:34" x14ac:dyDescent="0.2">
      <c r="A3" s="18" t="s">
        <v>209</v>
      </c>
      <c r="B3" s="19" t="s">
        <v>9</v>
      </c>
      <c r="C3" s="19">
        <v>10</v>
      </c>
      <c r="D3" s="157">
        <f>D$34*Q3</f>
        <v>11.071560000000009</v>
      </c>
      <c r="E3" s="157">
        <f t="shared" ref="E3:F4" si="0">D3*R3</f>
        <v>6.9721146541113743</v>
      </c>
      <c r="F3" s="157">
        <f t="shared" si="0"/>
        <v>81.234604014411815</v>
      </c>
      <c r="G3" s="157">
        <f t="shared" ref="G3:G4" si="1">E3*T3</f>
        <v>0.47588012165131033</v>
      </c>
      <c r="H3" s="157">
        <f t="shared" ref="H3:H4" si="2">E3*U3</f>
        <v>0.25925360145077642</v>
      </c>
      <c r="I3" s="157">
        <f t="shared" ref="I3:I4" si="3">D$37*W3</f>
        <v>5.1295356000000005</v>
      </c>
      <c r="J3" s="157">
        <f>I3*V3</f>
        <v>24.319219479754647</v>
      </c>
      <c r="K3" s="157">
        <f>I3*X3</f>
        <v>0.24299287419884444</v>
      </c>
      <c r="L3" s="158"/>
      <c r="M3" s="158"/>
      <c r="N3" s="158"/>
      <c r="O3" s="158"/>
      <c r="Q3" s="161">
        <f t="shared" ref="Q3:Q4" si="4">AE3</f>
        <v>2.0000000000000018E-2</v>
      </c>
      <c r="R3" s="116">
        <v>0.62973191258606454</v>
      </c>
      <c r="S3" s="115">
        <v>11.651358023280457</v>
      </c>
      <c r="T3" s="116">
        <v>6.8254775668482356E-2</v>
      </c>
      <c r="U3" s="20">
        <v>3.7184357158828077E-2</v>
      </c>
      <c r="V3" s="115">
        <v>4.7410177794174277</v>
      </c>
      <c r="W3" s="161">
        <f t="shared" ref="W3:W4" si="5">(AF3/SUM(AF$2:AF$22))*0.98</f>
        <v>9.7999999999999997E-3</v>
      </c>
      <c r="X3" s="20">
        <v>4.7371320358678165E-2</v>
      </c>
      <c r="Y3" s="22"/>
      <c r="Z3" s="23"/>
      <c r="AA3" s="1"/>
      <c r="AB3" s="1"/>
      <c r="AC3" s="1"/>
      <c r="AE3" s="20">
        <f>1-AE2</f>
        <v>2.0000000000000018E-2</v>
      </c>
      <c r="AF3" s="20">
        <v>0.01</v>
      </c>
      <c r="AG3" s="181"/>
      <c r="AH3" s="181"/>
    </row>
    <row r="4" spans="1:34" x14ac:dyDescent="0.2">
      <c r="B4" s="19" t="s">
        <v>9</v>
      </c>
      <c r="C4" s="19">
        <v>10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>
        <f>1-AE2-AE3</f>
        <v>0</v>
      </c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194</v>
      </c>
      <c r="B7" s="19" t="s">
        <v>256</v>
      </c>
      <c r="C7" s="19">
        <v>10</v>
      </c>
      <c r="D7" s="158"/>
      <c r="E7" s="158"/>
      <c r="F7" s="158"/>
      <c r="G7" s="158"/>
      <c r="H7" s="158"/>
      <c r="I7" s="157">
        <f t="shared" ref="I7:I12" si="6">D$37*W7</f>
        <v>128.75134356000001</v>
      </c>
      <c r="J7" s="157">
        <f>I7*V7</f>
        <v>621.86898939480011</v>
      </c>
      <c r="K7" s="157">
        <f>I7*X7</f>
        <v>5.0213023988400005</v>
      </c>
      <c r="L7" s="157">
        <f>((D$2+D$3+D$4)*AA7)</f>
        <v>55.878163319999992</v>
      </c>
      <c r="M7" s="157">
        <f t="shared" ref="M7:N12" si="7">L7*Y7</f>
        <v>40.591589221464709</v>
      </c>
      <c r="N7" s="157">
        <f t="shared" si="7"/>
        <v>325.53067163598297</v>
      </c>
      <c r="O7" s="157">
        <f>M7*AH7</f>
        <v>2.2325374071805588</v>
      </c>
      <c r="Q7" s="14"/>
      <c r="R7" s="149"/>
      <c r="S7" s="148"/>
      <c r="T7" s="149"/>
      <c r="U7" s="149"/>
      <c r="V7" s="21">
        <v>4.83</v>
      </c>
      <c r="W7" s="161">
        <f t="shared" ref="W7:W12" si="8">(AF7/SUM(AF$2:AF$22))*0.98</f>
        <v>0.24598</v>
      </c>
      <c r="X7" s="20">
        <v>3.9E-2</v>
      </c>
      <c r="Y7" s="20">
        <v>0.72643026917343412</v>
      </c>
      <c r="Z7" s="21">
        <v>8.0196582070219442</v>
      </c>
      <c r="AA7" s="161">
        <f>(AG7/SUM(AG$7:AG$27))*0.98</f>
        <v>0.10093999999999999</v>
      </c>
      <c r="AB7" s="8">
        <v>9.6993486762411749E-2</v>
      </c>
      <c r="AC7" s="161">
        <f>(AH7/SUM(AH$7:AH$27))*0.98</f>
        <v>7.0921052631578954E-2</v>
      </c>
      <c r="AE7" s="181"/>
      <c r="AF7" s="20">
        <v>0.251</v>
      </c>
      <c r="AG7" s="20">
        <v>0.10299999999999999</v>
      </c>
      <c r="AH7" s="20">
        <v>5.5E-2</v>
      </c>
    </row>
    <row r="8" spans="1:34" x14ac:dyDescent="0.2">
      <c r="A8" s="18" t="s">
        <v>74</v>
      </c>
      <c r="B8" s="19" t="s">
        <v>256</v>
      </c>
      <c r="C8" s="19">
        <v>10</v>
      </c>
      <c r="D8" s="158"/>
      <c r="E8" s="158"/>
      <c r="F8" s="158"/>
      <c r="G8" s="158"/>
      <c r="H8" s="158"/>
      <c r="I8" s="157">
        <f t="shared" si="6"/>
        <v>119.51817948000001</v>
      </c>
      <c r="J8" s="157">
        <f>I8*V8</f>
        <v>573.68726150400005</v>
      </c>
      <c r="K8" s="157">
        <f>I8*X8</f>
        <v>4.5416908202400004</v>
      </c>
      <c r="L8" s="157">
        <f>((D$2+D$3+D$4)*AA8)</f>
        <v>32.007879959999997</v>
      </c>
      <c r="M8" s="157">
        <f t="shared" si="7"/>
        <v>20.694336091823089</v>
      </c>
      <c r="N8" s="157">
        <f t="shared" si="7"/>
        <v>151.9318988254019</v>
      </c>
      <c r="O8" s="157">
        <f t="shared" ref="O8:O12" si="9">M8*AH8</f>
        <v>0.99332813240750828</v>
      </c>
      <c r="Q8" s="14"/>
      <c r="R8" s="149"/>
      <c r="S8" s="148"/>
      <c r="T8" s="149"/>
      <c r="U8" s="149"/>
      <c r="V8" s="21">
        <v>4.8</v>
      </c>
      <c r="W8" s="161">
        <f t="shared" si="8"/>
        <v>0.22834000000000002</v>
      </c>
      <c r="X8" s="20">
        <v>3.7999999999999999E-2</v>
      </c>
      <c r="Y8" s="20">
        <v>0.64653879349974575</v>
      </c>
      <c r="Z8" s="21">
        <v>7.3417140879157969</v>
      </c>
      <c r="AA8" s="161">
        <f t="shared" ref="AA8:AA12" si="10">(AG8/SUM(AG$7:AG$27))*0.98</f>
        <v>5.7819999999999996E-2</v>
      </c>
      <c r="AB8" s="8">
        <v>4.1665556811962538E-2</v>
      </c>
      <c r="AC8" s="161">
        <f t="shared" ref="AC8:AC12" si="11">(AH8/SUM(AH$7:AH$27))*0.98</f>
        <v>6.1894736842105266E-2</v>
      </c>
      <c r="AE8" s="181"/>
      <c r="AF8" s="20">
        <v>0.23300000000000001</v>
      </c>
      <c r="AG8" s="20">
        <v>5.8999999999999997E-2</v>
      </c>
      <c r="AH8" s="20">
        <v>4.8000000000000001E-2</v>
      </c>
    </row>
    <row r="9" spans="1:34" x14ac:dyDescent="0.2">
      <c r="A9" s="187" t="s">
        <v>541</v>
      </c>
      <c r="B9" s="19" t="s">
        <v>256</v>
      </c>
      <c r="C9" s="19">
        <v>10</v>
      </c>
      <c r="D9" s="158"/>
      <c r="E9" s="158"/>
      <c r="F9" s="158"/>
      <c r="G9" s="158"/>
      <c r="H9" s="158"/>
      <c r="I9" s="157">
        <f t="shared" si="6"/>
        <v>100.53889776000001</v>
      </c>
      <c r="J9" s="157">
        <f>I9*V9</f>
        <v>457.45198480800002</v>
      </c>
      <c r="K9" s="157">
        <f>I9*X9</f>
        <v>3.8204781148800002</v>
      </c>
      <c r="L9" s="157">
        <f>((D$2+D$3+D$4)*AA9)</f>
        <v>28.752841319999998</v>
      </c>
      <c r="M9" s="157">
        <f t="shared" si="7"/>
        <v>21.277102576799997</v>
      </c>
      <c r="N9" s="157">
        <f t="shared" si="7"/>
        <v>159.57826932599997</v>
      </c>
      <c r="O9" s="157">
        <f t="shared" si="9"/>
        <v>1.0000238211096</v>
      </c>
      <c r="Q9" s="14"/>
      <c r="R9" s="149"/>
      <c r="S9" s="148"/>
      <c r="T9" s="149"/>
      <c r="U9" s="149"/>
      <c r="V9" s="21">
        <v>4.55</v>
      </c>
      <c r="W9" s="161">
        <f t="shared" si="8"/>
        <v>0.19208</v>
      </c>
      <c r="X9" s="20">
        <v>3.7999999999999999E-2</v>
      </c>
      <c r="Y9" s="20">
        <v>0.74</v>
      </c>
      <c r="Z9" s="21">
        <v>7.5</v>
      </c>
      <c r="AA9" s="161">
        <f t="shared" si="10"/>
        <v>5.194E-2</v>
      </c>
      <c r="AB9" s="8">
        <v>4.6807622627180211E-2</v>
      </c>
      <c r="AC9" s="161">
        <f t="shared" si="11"/>
        <v>6.0605263157894732E-2</v>
      </c>
      <c r="AE9" s="181"/>
      <c r="AF9" s="20">
        <v>0.19600000000000001</v>
      </c>
      <c r="AG9" s="20">
        <v>5.2999999999999999E-2</v>
      </c>
      <c r="AH9" s="20">
        <v>4.7E-2</v>
      </c>
    </row>
    <row r="10" spans="1:34" x14ac:dyDescent="0.2">
      <c r="A10" s="18" t="s">
        <v>182</v>
      </c>
      <c r="B10" s="19" t="s">
        <v>256</v>
      </c>
      <c r="C10" s="19">
        <v>10</v>
      </c>
      <c r="D10" s="158"/>
      <c r="E10" s="158"/>
      <c r="F10" s="158"/>
      <c r="G10" s="158"/>
      <c r="H10" s="158"/>
      <c r="I10" s="157">
        <f t="shared" si="6"/>
        <v>17.953374600000004</v>
      </c>
      <c r="J10" s="157">
        <f t="shared" ref="J10:J12" si="12">I10*V10</f>
        <v>75.763240812000006</v>
      </c>
      <c r="K10" s="157">
        <f t="shared" ref="K10:K12" si="13">I10*X10</f>
        <v>0.86176198080000022</v>
      </c>
      <c r="L10" s="157">
        <f t="shared" ref="L10:L12" si="14">((D$2+D$3+D$4)*AA10)</f>
        <v>5.4250643999999992</v>
      </c>
      <c r="M10" s="157">
        <f t="shared" si="7"/>
        <v>3.8818224335214815</v>
      </c>
      <c r="N10" s="157">
        <f t="shared" si="7"/>
        <v>26.008210304593927</v>
      </c>
      <c r="O10" s="157">
        <f t="shared" si="9"/>
        <v>0.11645467300564444</v>
      </c>
      <c r="Q10" s="14"/>
      <c r="R10" s="149"/>
      <c r="S10" s="148"/>
      <c r="T10" s="149"/>
      <c r="U10" s="149"/>
      <c r="V10" s="21">
        <v>4.22</v>
      </c>
      <c r="W10" s="161">
        <f t="shared" si="8"/>
        <v>3.4300000000000004E-2</v>
      </c>
      <c r="X10" s="20">
        <v>4.8000000000000001E-2</v>
      </c>
      <c r="Y10" s="20">
        <v>0.71553481162757848</v>
      </c>
      <c r="Z10" s="21">
        <v>6.7</v>
      </c>
      <c r="AA10" s="161">
        <f t="shared" si="10"/>
        <v>9.7999999999999997E-3</v>
      </c>
      <c r="AB10" s="8">
        <v>2.6078201129355875E-2</v>
      </c>
      <c r="AC10" s="161">
        <f t="shared" si="11"/>
        <v>3.8684210526315786E-2</v>
      </c>
      <c r="AE10" s="181"/>
      <c r="AF10" s="20">
        <v>3.5000000000000003E-2</v>
      </c>
      <c r="AG10" s="20">
        <v>0.01</v>
      </c>
      <c r="AH10" s="20">
        <v>0.03</v>
      </c>
    </row>
    <row r="11" spans="1:34" x14ac:dyDescent="0.2">
      <c r="B11" s="19" t="s">
        <v>256</v>
      </c>
      <c r="C11" s="19">
        <v>10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5.4516741920817983E-4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10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B13" s="25"/>
      <c r="D13" s="4"/>
      <c r="E13" s="4"/>
      <c r="F13" s="4"/>
      <c r="G13" s="4"/>
      <c r="H13" s="4"/>
      <c r="I13" s="5"/>
      <c r="J13" s="5"/>
      <c r="K13" s="5"/>
      <c r="L13" s="5"/>
      <c r="M13" s="5"/>
      <c r="N13" s="5"/>
      <c r="O13" s="5"/>
      <c r="P13" s="25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A14" s="51"/>
      <c r="B14" s="27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27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68</v>
      </c>
      <c r="B15" s="19" t="s">
        <v>257</v>
      </c>
      <c r="C15" s="19">
        <v>10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124.77648120000001</v>
      </c>
      <c r="M15" s="157">
        <f t="shared" ref="M15:N22" si="19">L15*Y15</f>
        <v>76.485837068931659</v>
      </c>
      <c r="N15" s="157">
        <f t="shared" si="19"/>
        <v>1223.7733931029065</v>
      </c>
      <c r="O15" s="157">
        <f t="shared" ref="O15:O22" si="20">M15*AH15</f>
        <v>7.6485837068931666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0.61298280199403199</v>
      </c>
      <c r="Z15" s="21">
        <v>16</v>
      </c>
      <c r="AA15" s="161">
        <f t="shared" ref="AA15:AA22" si="22">(AG15/SUM(AG$7:AG$27))*0.98</f>
        <v>0.22540000000000002</v>
      </c>
      <c r="AB15" s="8">
        <v>0.18264070564647064</v>
      </c>
      <c r="AC15" s="161">
        <f t="shared" ref="AC15:AC22" si="23">(AH15/SUM(AH$7:AH$27))*0.98</f>
        <v>0.12894736842105262</v>
      </c>
      <c r="AE15" s="181"/>
      <c r="AF15" s="20">
        <v>0</v>
      </c>
      <c r="AG15" s="20">
        <v>0.23</v>
      </c>
      <c r="AH15" s="20">
        <v>0.1</v>
      </c>
    </row>
    <row r="16" spans="1:34" x14ac:dyDescent="0.2">
      <c r="A16" s="18" t="s">
        <v>250</v>
      </c>
      <c r="B16" s="19" t="s">
        <v>257</v>
      </c>
      <c r="C16" s="19">
        <v>10</v>
      </c>
      <c r="D16" s="158"/>
      <c r="E16" s="158"/>
      <c r="F16" s="158"/>
      <c r="G16" s="158"/>
      <c r="H16" s="158"/>
      <c r="I16" s="157">
        <f t="shared" si="15"/>
        <v>5.1295356000000005</v>
      </c>
      <c r="J16" s="157">
        <f t="shared" si="16"/>
        <v>0</v>
      </c>
      <c r="K16" s="157">
        <f t="shared" si="17"/>
        <v>0</v>
      </c>
      <c r="L16" s="157">
        <f t="shared" si="18"/>
        <v>121.52144256</v>
      </c>
      <c r="M16" s="157">
        <f t="shared" si="19"/>
        <v>80.672617761767455</v>
      </c>
      <c r="N16" s="157">
        <f t="shared" si="19"/>
        <v>1056.8112926791537</v>
      </c>
      <c r="O16" s="157">
        <f t="shared" si="20"/>
        <v>7.1798629807973029</v>
      </c>
      <c r="Q16" s="14"/>
      <c r="R16" s="149"/>
      <c r="S16" s="148"/>
      <c r="T16" s="149"/>
      <c r="U16" s="149"/>
      <c r="V16" s="21">
        <v>0</v>
      </c>
      <c r="W16" s="161">
        <f t="shared" si="21"/>
        <v>9.7999999999999997E-3</v>
      </c>
      <c r="X16" s="20">
        <v>0</v>
      </c>
      <c r="Y16" s="20">
        <v>0.6638550042058311</v>
      </c>
      <c r="Z16" s="21">
        <v>13.1</v>
      </c>
      <c r="AA16" s="161">
        <f t="shared" si="22"/>
        <v>0.21951999999999999</v>
      </c>
      <c r="AB16" s="8">
        <v>0.14215481835505084</v>
      </c>
      <c r="AC16" s="161">
        <f t="shared" si="23"/>
        <v>0.11476315789473683</v>
      </c>
      <c r="AE16" s="181"/>
      <c r="AF16" s="20">
        <v>0.01</v>
      </c>
      <c r="AG16" s="20">
        <v>0.224</v>
      </c>
      <c r="AH16" s="20">
        <v>8.8999999999999996E-2</v>
      </c>
    </row>
    <row r="17" spans="1:34" x14ac:dyDescent="0.2">
      <c r="A17" s="18" t="s">
        <v>251</v>
      </c>
      <c r="B17" s="19" t="s">
        <v>257</v>
      </c>
      <c r="C17" s="19">
        <v>10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36.890437920000004</v>
      </c>
      <c r="M17" s="157">
        <f t="shared" si="19"/>
        <v>23.40604935761209</v>
      </c>
      <c r="N17" s="157">
        <f t="shared" si="19"/>
        <v>252.78533306221058</v>
      </c>
      <c r="O17" s="157">
        <f t="shared" si="20"/>
        <v>1.4511750601719495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0.63447469526846123</v>
      </c>
      <c r="Z17" s="21">
        <v>10.8</v>
      </c>
      <c r="AA17" s="161">
        <f t="shared" si="22"/>
        <v>6.6640000000000005E-2</v>
      </c>
      <c r="AB17" s="8">
        <v>4.5812438744618697E-2</v>
      </c>
      <c r="AC17" s="161">
        <f t="shared" si="23"/>
        <v>7.9947368421052628E-2</v>
      </c>
      <c r="AE17" s="181"/>
      <c r="AF17" s="20">
        <v>0</v>
      </c>
      <c r="AG17" s="20">
        <v>6.8000000000000005E-2</v>
      </c>
      <c r="AH17" s="20">
        <v>6.2E-2</v>
      </c>
    </row>
    <row r="18" spans="1:34" x14ac:dyDescent="0.2">
      <c r="A18" s="18" t="s">
        <v>197</v>
      </c>
      <c r="B18" s="19" t="s">
        <v>257</v>
      </c>
      <c r="C18" s="19">
        <v>10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14.105167439999999</v>
      </c>
      <c r="M18" s="157">
        <f t="shared" si="19"/>
        <v>9.3235156778399997</v>
      </c>
      <c r="N18" s="157">
        <f t="shared" si="19"/>
        <v>95.09985991396799</v>
      </c>
      <c r="O18" s="157">
        <f t="shared" si="20"/>
        <v>0.52211687795903994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0.66100000000000003</v>
      </c>
      <c r="Z18" s="21">
        <v>10.199999999999999</v>
      </c>
      <c r="AA18" s="161">
        <f t="shared" si="22"/>
        <v>2.5479999999999999E-2</v>
      </c>
      <c r="AB18" s="8">
        <v>4.8683418398659473E-2</v>
      </c>
      <c r="AC18" s="161">
        <f t="shared" si="23"/>
        <v>7.2210526315789475E-2</v>
      </c>
      <c r="AE18" s="181"/>
      <c r="AF18" s="20">
        <v>0</v>
      </c>
      <c r="AG18" s="20">
        <v>2.5999999999999999E-2</v>
      </c>
      <c r="AH18" s="20">
        <v>5.6000000000000001E-2</v>
      </c>
    </row>
    <row r="19" spans="1:34" x14ac:dyDescent="0.2">
      <c r="B19" s="19" t="s">
        <v>257</v>
      </c>
      <c r="C19" s="19">
        <v>10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0</v>
      </c>
      <c r="M19" s="157">
        <f t="shared" si="19"/>
        <v>0</v>
      </c>
      <c r="N19" s="157">
        <f t="shared" si="19"/>
        <v>0</v>
      </c>
      <c r="O19" s="157">
        <f t="shared" si="20"/>
        <v>0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</v>
      </c>
      <c r="Z19" s="21">
        <v>0</v>
      </c>
      <c r="AA19" s="161">
        <f t="shared" si="22"/>
        <v>0</v>
      </c>
      <c r="AB19" s="8">
        <v>1.9177589085116745E-2</v>
      </c>
      <c r="AC19" s="161">
        <f t="shared" si="23"/>
        <v>0</v>
      </c>
      <c r="AE19" s="181"/>
      <c r="AF19" s="20">
        <v>0</v>
      </c>
      <c r="AG19" s="20">
        <v>0</v>
      </c>
      <c r="AH19" s="20">
        <v>0</v>
      </c>
    </row>
    <row r="20" spans="1:34" x14ac:dyDescent="0.2">
      <c r="B20" s="19" t="s">
        <v>257</v>
      </c>
      <c r="C20" s="19">
        <v>10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1.6528415377832083E-2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10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10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76"/>
      <c r="E23" s="176"/>
      <c r="F23" s="176"/>
      <c r="G23" s="176"/>
      <c r="H23" s="176"/>
      <c r="I23" s="176"/>
      <c r="J23" s="176"/>
      <c r="K23" s="176"/>
      <c r="L23" s="176"/>
      <c r="M23" s="176"/>
      <c r="N23" s="176"/>
      <c r="O23" s="176"/>
      <c r="Q23" s="12"/>
      <c r="R23" s="52"/>
      <c r="T23" s="52"/>
      <c r="U23" s="52"/>
      <c r="W23" s="164"/>
      <c r="X23" s="52"/>
      <c r="Y23" s="52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82</v>
      </c>
      <c r="B24" s="19" t="s">
        <v>10</v>
      </c>
      <c r="C24" s="19">
        <v>10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92.226094799999998</v>
      </c>
      <c r="M24" s="157">
        <f t="shared" ref="M24:N27" si="24">L24*Y24</f>
        <v>66.556717988062132</v>
      </c>
      <c r="N24" s="157">
        <f t="shared" si="24"/>
        <v>805.33628765555181</v>
      </c>
      <c r="O24" s="157">
        <f t="shared" ref="O24:O27" si="25">M24*AH24</f>
        <v>4.4593001052001631</v>
      </c>
      <c r="Q24" s="14"/>
      <c r="R24" s="149"/>
      <c r="S24" s="148"/>
      <c r="T24" s="149"/>
      <c r="U24" s="149"/>
      <c r="V24" s="150"/>
      <c r="W24" s="165"/>
      <c r="X24" s="149"/>
      <c r="Y24" s="20">
        <v>0.72166904749025695</v>
      </c>
      <c r="Z24" s="115">
        <v>12.1</v>
      </c>
      <c r="AA24" s="161">
        <f t="shared" ref="AA24:AA27" si="26">(AG24/SUM(AG$7:AG$27))*0.98</f>
        <v>0.1666</v>
      </c>
      <c r="AB24" s="8">
        <v>0.17179191628893564</v>
      </c>
      <c r="AC24" s="161">
        <f t="shared" ref="AC24:AC27" si="27">(AH24/SUM(AH$7:AH$27))*0.98</f>
        <v>8.6394736842105274E-2</v>
      </c>
      <c r="AE24" s="181"/>
      <c r="AF24" s="181"/>
      <c r="AG24" s="20">
        <v>0.17</v>
      </c>
      <c r="AH24" s="20">
        <v>6.7000000000000004E-2</v>
      </c>
    </row>
    <row r="25" spans="1:34" x14ac:dyDescent="0.2">
      <c r="A25" s="18" t="s">
        <v>555</v>
      </c>
      <c r="B25" s="19" t="s">
        <v>10</v>
      </c>
      <c r="C25" s="19">
        <v>10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13.562661</v>
      </c>
      <c r="M25" s="157">
        <f t="shared" si="24"/>
        <v>9.2226094800000009</v>
      </c>
      <c r="N25" s="157">
        <f t="shared" si="24"/>
        <v>93.148355748</v>
      </c>
      <c r="O25" s="157">
        <f t="shared" si="25"/>
        <v>0.57180178776000001</v>
      </c>
      <c r="Q25" s="14"/>
      <c r="R25" s="149"/>
      <c r="S25" s="148"/>
      <c r="T25" s="149"/>
      <c r="U25" s="149"/>
      <c r="V25" s="150"/>
      <c r="W25" s="165"/>
      <c r="X25" s="149"/>
      <c r="Y25" s="20">
        <v>0.68</v>
      </c>
      <c r="Z25" s="115">
        <v>10.1</v>
      </c>
      <c r="AA25" s="161">
        <f t="shared" si="26"/>
        <v>2.4500000000000001E-2</v>
      </c>
      <c r="AB25" s="8">
        <v>0.10897770864733301</v>
      </c>
      <c r="AC25" s="161">
        <f t="shared" si="27"/>
        <v>7.9947368421052628E-2</v>
      </c>
      <c r="AE25" s="181"/>
      <c r="AF25" s="181"/>
      <c r="AG25" s="20">
        <v>2.5000000000000001E-2</v>
      </c>
      <c r="AH25" s="20">
        <v>6.2E-2</v>
      </c>
    </row>
    <row r="26" spans="1:34" x14ac:dyDescent="0.2">
      <c r="A26" s="18" t="s">
        <v>678</v>
      </c>
      <c r="B26" s="19" t="s">
        <v>10</v>
      </c>
      <c r="C26" s="19">
        <v>10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10.850128799999998</v>
      </c>
      <c r="M26" s="157">
        <f t="shared" si="24"/>
        <v>7.7361418343999988</v>
      </c>
      <c r="N26" s="157">
        <f t="shared" si="24"/>
        <v>80.069067986039983</v>
      </c>
      <c r="O26" s="157">
        <f t="shared" si="25"/>
        <v>0.57247449574559983</v>
      </c>
      <c r="Q26" s="14"/>
      <c r="R26" s="149"/>
      <c r="S26" s="148"/>
      <c r="T26" s="149"/>
      <c r="U26" s="149"/>
      <c r="V26" s="150"/>
      <c r="W26" s="165"/>
      <c r="X26" s="149"/>
      <c r="Y26" s="20">
        <v>0.71299999999999997</v>
      </c>
      <c r="Z26" s="115">
        <v>10.35</v>
      </c>
      <c r="AA26" s="161">
        <f t="shared" si="26"/>
        <v>1.9599999999999999E-2</v>
      </c>
      <c r="AB26" s="8">
        <v>2.7142954705864437E-2</v>
      </c>
      <c r="AC26" s="161">
        <f t="shared" si="27"/>
        <v>9.5421052631578948E-2</v>
      </c>
      <c r="AE26" s="181"/>
      <c r="AF26" s="181"/>
      <c r="AG26" s="20">
        <v>0.02</v>
      </c>
      <c r="AH26" s="20">
        <v>7.3999999999999996E-2</v>
      </c>
    </row>
    <row r="27" spans="1:34" x14ac:dyDescent="0.2">
      <c r="A27" s="18" t="s">
        <v>200</v>
      </c>
      <c r="B27" s="19" t="s">
        <v>10</v>
      </c>
      <c r="C27" s="19">
        <v>10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6.5100772799999991</v>
      </c>
      <c r="M27" s="157">
        <f t="shared" si="24"/>
        <v>4.602624636959999</v>
      </c>
      <c r="N27" s="157">
        <f t="shared" si="24"/>
        <v>48.18947994897119</v>
      </c>
      <c r="O27" s="157">
        <f t="shared" si="25"/>
        <v>0.32218372458719996</v>
      </c>
      <c r="Q27" s="14"/>
      <c r="R27" s="149"/>
      <c r="S27" s="148"/>
      <c r="T27" s="149"/>
      <c r="U27" s="149"/>
      <c r="V27" s="150"/>
      <c r="W27" s="165"/>
      <c r="X27" s="149"/>
      <c r="Y27" s="20">
        <v>0.70699999999999996</v>
      </c>
      <c r="Z27" s="115">
        <v>10.47</v>
      </c>
      <c r="AA27" s="161">
        <f t="shared" si="26"/>
        <v>1.176E-2</v>
      </c>
      <c r="AB27" s="8">
        <v>0</v>
      </c>
      <c r="AC27" s="161">
        <f t="shared" si="27"/>
        <v>9.0263157894736851E-2</v>
      </c>
      <c r="AE27" s="181"/>
      <c r="AF27" s="181"/>
      <c r="AG27" s="20">
        <v>1.2E-2</v>
      </c>
      <c r="AH27" s="20">
        <v>7.0000000000000007E-2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0.97999999999999987</v>
      </c>
      <c r="AB30" s="161">
        <f t="shared" ref="AB30" si="28">SUM(AB2:AB4,AB7:AB12,AB15:AB22,AB24:AB27)</f>
        <v>0.97500000000000031</v>
      </c>
      <c r="AC30" s="161">
        <f>SUM(AC7:AC27)</f>
        <v>0.98000000000000009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1077</v>
      </c>
      <c r="E31" s="48">
        <v>0.51400000000000001</v>
      </c>
      <c r="F31" s="2">
        <f>1-E31</f>
        <v>0.48599999999999999</v>
      </c>
      <c r="G31" s="114">
        <v>4.5999999999999996</v>
      </c>
      <c r="H31" s="134">
        <v>4.9000000000000002E-2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553.57799999999997</v>
      </c>
      <c r="E34" s="167">
        <f>SUM(E2:E4)</f>
        <v>364.48385861411134</v>
      </c>
      <c r="F34" s="167">
        <f>SUM(F2:F4)</f>
        <v>4332.049239698812</v>
      </c>
      <c r="G34" s="167">
        <f>SUM(G2:G4)</f>
        <v>27.074753872275309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523.42200000000003</v>
      </c>
      <c r="E37" s="167">
        <f>D37*G31</f>
        <v>2407.7411999999999</v>
      </c>
      <c r="F37" s="167">
        <f>D37*H31</f>
        <v>25.647678000000003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512.95356000000004</v>
      </c>
      <c r="E40" s="168">
        <f>SUM(J2:J4,J7:J12,J15:J22)</f>
        <v>2401.4083782420144</v>
      </c>
      <c r="F40" s="168">
        <f>SUM(K2:K4,K7:K12,K15:K22)</f>
        <v>25.634707047758845</v>
      </c>
      <c r="G40" s="168">
        <f>SUM(L7:L12,L15:L22,L24:L27)</f>
        <v>542.50644</v>
      </c>
      <c r="H40" s="168">
        <f>SUM(M7:M12,M15:M22,M24:M27)</f>
        <v>364.45096412918264</v>
      </c>
      <c r="I40" s="168">
        <f>SUM(N7:N12,N15:N22,N24:N27)</f>
        <v>4318.2621201887796</v>
      </c>
      <c r="J40" s="168">
        <f>SUM(O7:O12,O15:O22,O24:O27)</f>
        <v>27.069842772817733</v>
      </c>
    </row>
    <row r="41" spans="1:32" ht="15" thickTop="1" x14ac:dyDescent="0.2">
      <c r="D41" s="169">
        <f>D37-D40</f>
        <v>10.468439999999987</v>
      </c>
      <c r="E41" s="169">
        <f>E37-E40</f>
        <v>6.3328217579855846</v>
      </c>
      <c r="F41" s="169">
        <f>F37-F40</f>
        <v>1.2970952241158074E-2</v>
      </c>
      <c r="G41" s="169">
        <f>SUM(D2:D4)-G40</f>
        <v>11.071559999999977</v>
      </c>
      <c r="H41" s="169">
        <f>E34-H40</f>
        <v>3.289448492870406E-2</v>
      </c>
      <c r="I41" s="169">
        <f>F34-I40</f>
        <v>13.787119510032426</v>
      </c>
      <c r="J41" s="169">
        <f>G34-J40</f>
        <v>4.9110994575762845E-3</v>
      </c>
    </row>
    <row r="42" spans="1:32" x14ac:dyDescent="0.2">
      <c r="N42" s="24"/>
      <c r="O42" s="24"/>
    </row>
    <row r="43" spans="1:32" x14ac:dyDescent="0.2">
      <c r="N43" s="24"/>
      <c r="O43" s="24"/>
    </row>
  </sheetData>
  <sheetProtection selectLockedCells="1"/>
  <conditionalFormatting sqref="D41:J41">
    <cfRule type="cellIs" dxfId="20" priority="1" operator="lessThan">
      <formula>0</formula>
    </cfRule>
  </conditionalFormatting>
  <conditionalFormatting sqref="W30">
    <cfRule type="cellIs" dxfId="19" priority="2" operator="greaterThan">
      <formula>1</formula>
    </cfRule>
  </conditionalFormatting>
  <conditionalFormatting sqref="AA30:AG30">
    <cfRule type="cellIs" dxfId="18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tabColor theme="1"/>
  </sheetPr>
  <dimension ref="A1:AH41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491</v>
      </c>
      <c r="B2" s="19" t="s">
        <v>9</v>
      </c>
      <c r="C2" s="19">
        <v>6</v>
      </c>
      <c r="D2" s="157">
        <f>D$34*Q2</f>
        <v>559.49775</v>
      </c>
      <c r="E2" s="157">
        <f>D2*R2</f>
        <v>358.99556788353641</v>
      </c>
      <c r="F2" s="157">
        <f>E2*S2</f>
        <v>3760.0993396576532</v>
      </c>
      <c r="G2" s="157">
        <f>E2*T2</f>
        <v>20.10375180147804</v>
      </c>
      <c r="H2" s="157">
        <f>E2*U2</f>
        <v>11.702218747879131</v>
      </c>
      <c r="I2" s="157">
        <f>D$37*W2</f>
        <v>60.182873099999995</v>
      </c>
      <c r="J2" s="157">
        <f>I2*V2</f>
        <v>247.95343717199998</v>
      </c>
      <c r="K2" s="157">
        <f>I2*X2</f>
        <v>3.3100580204999996</v>
      </c>
      <c r="L2" s="158"/>
      <c r="M2" s="158"/>
      <c r="N2" s="158"/>
      <c r="O2" s="158"/>
      <c r="Q2" s="161">
        <f>AE2</f>
        <v>0.95</v>
      </c>
      <c r="R2" s="116">
        <v>0.64163898404155584</v>
      </c>
      <c r="S2" s="115">
        <v>10.473943625057473</v>
      </c>
      <c r="T2" s="116">
        <v>5.6000000000000001E-2</v>
      </c>
      <c r="U2" s="20">
        <v>3.2597112039209099E-2</v>
      </c>
      <c r="V2" s="115">
        <v>4.12</v>
      </c>
      <c r="W2" s="161">
        <f>(AF2/SUM(AF$2:AF$22))*0.98</f>
        <v>0.12642</v>
      </c>
      <c r="X2" s="20">
        <v>5.5E-2</v>
      </c>
      <c r="Y2" s="22"/>
      <c r="Z2" s="23"/>
      <c r="AA2" s="1"/>
      <c r="AB2" s="1"/>
      <c r="AC2" s="1"/>
      <c r="AE2" s="20">
        <v>0.95</v>
      </c>
      <c r="AF2" s="20">
        <v>0.129</v>
      </c>
      <c r="AG2" s="181"/>
      <c r="AH2" s="181"/>
    </row>
    <row r="3" spans="1:34" x14ac:dyDescent="0.2">
      <c r="A3" s="18" t="s">
        <v>674</v>
      </c>
      <c r="B3" s="19" t="s">
        <v>9</v>
      </c>
      <c r="C3" s="19">
        <v>6</v>
      </c>
      <c r="D3" s="157">
        <f>D$34*Q3</f>
        <v>29.447250000000029</v>
      </c>
      <c r="E3" s="157">
        <f t="shared" ref="E3:F4" si="0">D3*R3</f>
        <v>18.372576004164319</v>
      </c>
      <c r="F3" s="157">
        <f t="shared" si="0"/>
        <v>188.42991412868332</v>
      </c>
      <c r="G3" s="157">
        <f t="shared" ref="G3:G4" si="1">E3*T3</f>
        <v>1.003018474001816</v>
      </c>
      <c r="H3" s="157">
        <f t="shared" ref="H3:H4" si="2">E3*U3</f>
        <v>0.73235903843467198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5.0000000000000044E-2</v>
      </c>
      <c r="R3" s="116">
        <v>0.62391483089810762</v>
      </c>
      <c r="S3" s="115">
        <v>10.256042162295254</v>
      </c>
      <c r="T3" s="116">
        <v>5.4593241240339534E-2</v>
      </c>
      <c r="U3" s="20">
        <v>3.986153265980099E-2</v>
      </c>
      <c r="V3" s="115">
        <v>3.59</v>
      </c>
      <c r="W3" s="161">
        <f t="shared" ref="W3:W4" si="5">(AF3/SUM(AF$2:AF$22))*0.98</f>
        <v>0</v>
      </c>
      <c r="X3" s="20">
        <v>6.0606060606060615E-2</v>
      </c>
      <c r="Y3" s="22"/>
      <c r="Z3" s="23"/>
      <c r="AA3" s="1"/>
      <c r="AB3" s="1"/>
      <c r="AC3" s="1"/>
      <c r="AE3" s="20">
        <f>1-AE2</f>
        <v>5.0000000000000044E-2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6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>
        <v>0</v>
      </c>
      <c r="AF4" s="20">
        <v>0</v>
      </c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233</v>
      </c>
      <c r="B7" s="19" t="s">
        <v>256</v>
      </c>
      <c r="C7" s="19">
        <v>6</v>
      </c>
      <c r="D7" s="158"/>
      <c r="E7" s="158"/>
      <c r="F7" s="158"/>
      <c r="G7" s="158"/>
      <c r="H7" s="158"/>
      <c r="I7" s="157">
        <f>D$37*W7</f>
        <v>274.78846709999993</v>
      </c>
      <c r="J7" s="157">
        <f>I7*V7</f>
        <v>1099.1538683999997</v>
      </c>
      <c r="K7" s="157">
        <f>I7*X7</f>
        <v>8.5184424800999974</v>
      </c>
      <c r="L7" s="157">
        <f>((D$2+D$3+D$4)*AA7)</f>
        <v>53.676447300000007</v>
      </c>
      <c r="M7" s="157">
        <f t="shared" ref="M7:N12" si="6">L7*Y7</f>
        <v>40.827308698376712</v>
      </c>
      <c r="N7" s="157">
        <f t="shared" si="6"/>
        <v>257.34172872678101</v>
      </c>
      <c r="O7" s="157">
        <f>M7*AH7</f>
        <v>1.5106104218399383</v>
      </c>
      <c r="Q7" s="14"/>
      <c r="R7" s="149"/>
      <c r="S7" s="148"/>
      <c r="T7" s="149"/>
      <c r="U7" s="149"/>
      <c r="V7" s="21">
        <v>4</v>
      </c>
      <c r="W7" s="161">
        <f t="shared" ref="W7:W12" si="7">(AF7/SUM(AF$2:AF$22))*0.98</f>
        <v>0.57721999999999996</v>
      </c>
      <c r="X7" s="20">
        <v>3.1E-2</v>
      </c>
      <c r="Y7" s="20">
        <v>0.76061868383708597</v>
      </c>
      <c r="Z7" s="21">
        <v>6.3031764015592069</v>
      </c>
      <c r="AA7" s="161">
        <f>(AG7/SUM(AG$7:AG$27))*0.98</f>
        <v>9.1139999999999999E-2</v>
      </c>
      <c r="AB7" s="8">
        <v>9.4003088285339625E-2</v>
      </c>
      <c r="AC7" s="161">
        <f>(AH7/SUM(AH$7:AH$27))*0.98</f>
        <v>6.6532110091743119E-2</v>
      </c>
      <c r="AE7" s="181"/>
      <c r="AF7" s="20">
        <v>0.58899999999999997</v>
      </c>
      <c r="AG7" s="20">
        <v>9.2999999999999999E-2</v>
      </c>
      <c r="AH7" s="20">
        <v>3.6999999999999998E-2</v>
      </c>
    </row>
    <row r="8" spans="1:34" x14ac:dyDescent="0.2">
      <c r="A8" s="18" t="s">
        <v>575</v>
      </c>
      <c r="B8" s="19" t="s">
        <v>256</v>
      </c>
      <c r="C8" s="19">
        <v>6</v>
      </c>
      <c r="D8" s="158"/>
      <c r="E8" s="158"/>
      <c r="F8" s="158"/>
      <c r="G8" s="158"/>
      <c r="H8" s="158"/>
      <c r="I8" s="157">
        <f t="shared" ref="I8:I12" si="8">D$37*W8</f>
        <v>116.63347499999999</v>
      </c>
      <c r="J8" s="157">
        <f>I8*V8</f>
        <v>496.85860349999996</v>
      </c>
      <c r="K8" s="157">
        <f>I8*X8</f>
        <v>4.4320720499999995</v>
      </c>
      <c r="L8" s="157">
        <f>((D$2+D$3+D$4)*AA8)</f>
        <v>43.287457500000002</v>
      </c>
      <c r="M8" s="157">
        <f t="shared" si="6"/>
        <v>33.00885793364229</v>
      </c>
      <c r="N8" s="157">
        <f t="shared" si="6"/>
        <v>241.98048301593931</v>
      </c>
      <c r="O8" s="157">
        <f t="shared" ref="O8:O12" si="9">M8*AH8</f>
        <v>1.4193808911466184</v>
      </c>
      <c r="Q8" s="14"/>
      <c r="R8" s="149"/>
      <c r="S8" s="148"/>
      <c r="T8" s="149"/>
      <c r="U8" s="149"/>
      <c r="V8" s="21">
        <v>4.26</v>
      </c>
      <c r="W8" s="161">
        <f t="shared" si="7"/>
        <v>0.245</v>
      </c>
      <c r="X8" s="20">
        <v>3.7999999999999999E-2</v>
      </c>
      <c r="Y8" s="20">
        <v>0.76255016672305798</v>
      </c>
      <c r="Z8" s="21">
        <v>7.3307741668128203</v>
      </c>
      <c r="AA8" s="161">
        <f t="shared" ref="AA8:AA12" si="10">(AG8/SUM(AG$7:AG$27))*0.98</f>
        <v>7.3499999999999996E-2</v>
      </c>
      <c r="AB8" s="8">
        <v>1.7081766775947718E-2</v>
      </c>
      <c r="AC8" s="161">
        <f t="shared" ref="AC8:AC12" si="11">(AH8/SUM(AH$7:AH$27))*0.98</f>
        <v>7.732110091743119E-2</v>
      </c>
      <c r="AE8" s="181"/>
      <c r="AF8" s="20">
        <v>0.25</v>
      </c>
      <c r="AG8" s="20">
        <v>7.4999999999999997E-2</v>
      </c>
      <c r="AH8" s="20">
        <v>4.2999999999999997E-2</v>
      </c>
    </row>
    <row r="9" spans="1:34" x14ac:dyDescent="0.2">
      <c r="A9" s="18" t="s">
        <v>540</v>
      </c>
      <c r="B9" s="19" t="s">
        <v>256</v>
      </c>
      <c r="C9" s="19">
        <v>6</v>
      </c>
      <c r="D9" s="158"/>
      <c r="E9" s="158"/>
      <c r="F9" s="158"/>
      <c r="G9" s="158"/>
      <c r="H9" s="158"/>
      <c r="I9" s="157">
        <f t="shared" si="8"/>
        <v>14.929084799999998</v>
      </c>
      <c r="J9" s="157">
        <f>I9*V9</f>
        <v>57.92484902399999</v>
      </c>
      <c r="K9" s="157">
        <f>I9*X9</f>
        <v>0.38815620479999996</v>
      </c>
      <c r="L9" s="157">
        <f>((D$2+D$3+D$4)*AA9)</f>
        <v>5.7716609999999999</v>
      </c>
      <c r="M9" s="157">
        <f t="shared" si="6"/>
        <v>4.0401626999999998</v>
      </c>
      <c r="N9" s="157">
        <f t="shared" si="6"/>
        <v>26.261057549999997</v>
      </c>
      <c r="O9" s="157">
        <f t="shared" si="9"/>
        <v>8.4843416700000007E-2</v>
      </c>
      <c r="Q9" s="14"/>
      <c r="R9" s="149"/>
      <c r="S9" s="148"/>
      <c r="T9" s="149"/>
      <c r="U9" s="149"/>
      <c r="V9" s="21">
        <v>3.88</v>
      </c>
      <c r="W9" s="161">
        <f t="shared" si="7"/>
        <v>3.1359999999999999E-2</v>
      </c>
      <c r="X9" s="20">
        <v>2.5999999999999999E-2</v>
      </c>
      <c r="Y9" s="20">
        <v>0.7</v>
      </c>
      <c r="Z9" s="21">
        <v>6.5</v>
      </c>
      <c r="AA9" s="161">
        <f t="shared" si="10"/>
        <v>9.7999999999999997E-3</v>
      </c>
      <c r="AB9" s="8">
        <v>1.4118777251519742E-2</v>
      </c>
      <c r="AC9" s="161">
        <f t="shared" si="11"/>
        <v>3.7761467889908265E-2</v>
      </c>
      <c r="AE9" s="181"/>
      <c r="AF9" s="20">
        <v>3.2000000000000001E-2</v>
      </c>
      <c r="AG9" s="20">
        <v>0.01</v>
      </c>
      <c r="AH9" s="20">
        <v>2.1000000000000001E-2</v>
      </c>
    </row>
    <row r="10" spans="1:34" x14ac:dyDescent="0.2">
      <c r="B10" s="19" t="s">
        <v>256</v>
      </c>
      <c r="C10" s="19">
        <v>6</v>
      </c>
      <c r="D10" s="158"/>
      <c r="E10" s="158"/>
      <c r="F10" s="158"/>
      <c r="G10" s="158"/>
      <c r="H10" s="158"/>
      <c r="I10" s="157">
        <f t="shared" si="8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6"/>
        <v>0</v>
      </c>
      <c r="N10" s="157">
        <f t="shared" si="6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7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1.3379236892567929E-2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B11" s="19" t="s">
        <v>256</v>
      </c>
      <c r="C11" s="19">
        <v>6</v>
      </c>
      <c r="D11" s="158"/>
      <c r="E11" s="158"/>
      <c r="F11" s="158"/>
      <c r="G11" s="158"/>
      <c r="H11" s="158"/>
      <c r="I11" s="157">
        <f t="shared" si="8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6"/>
        <v>0</v>
      </c>
      <c r="N11" s="157">
        <f t="shared" si="6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7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2.3577489377191441E-2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B12" s="19" t="s">
        <v>256</v>
      </c>
      <c r="C12" s="19">
        <v>6</v>
      </c>
      <c r="D12" s="158"/>
      <c r="E12" s="158"/>
      <c r="F12" s="158"/>
      <c r="G12" s="158"/>
      <c r="H12" s="158"/>
      <c r="I12" s="157">
        <f t="shared" si="8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6"/>
        <v>0</v>
      </c>
      <c r="N12" s="157">
        <f t="shared" si="6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7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155</v>
      </c>
      <c r="B15" s="19" t="s">
        <v>257</v>
      </c>
      <c r="C15" s="19">
        <v>6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127.55370810000001</v>
      </c>
      <c r="M15" s="157">
        <f t="shared" ref="M15:N22" si="19">L15*Y15</f>
        <v>76.659778568100009</v>
      </c>
      <c r="N15" s="157">
        <f t="shared" si="19"/>
        <v>826.66403039640761</v>
      </c>
      <c r="O15" s="157">
        <f t="shared" ref="O15:O22" si="20">M15*AH15</f>
        <v>3.9863084855412003</v>
      </c>
      <c r="Q15" s="14"/>
      <c r="R15" s="149"/>
      <c r="S15" s="148"/>
      <c r="T15" s="149"/>
      <c r="U15" s="149"/>
      <c r="V15" s="21">
        <v>6.42</v>
      </c>
      <c r="W15" s="161">
        <f t="shared" ref="W15:W22" si="21">(AF15/SUM(AF$2:AF$22))*0.98</f>
        <v>0</v>
      </c>
      <c r="X15" s="20">
        <v>5.1325919589392654E-3</v>
      </c>
      <c r="Y15" s="20">
        <v>0.60099999999999998</v>
      </c>
      <c r="Z15" s="21">
        <v>10.783543154407212</v>
      </c>
      <c r="AA15" s="161">
        <f t="shared" ref="AA15:AA22" si="22">(AG15/SUM(AG$7:AG$27))*0.98</f>
        <v>0.21657999999999999</v>
      </c>
      <c r="AB15" s="8">
        <v>0.19282410575076411</v>
      </c>
      <c r="AC15" s="161">
        <f t="shared" ref="AC15:AC22" si="23">(AH15/SUM(AH$7:AH$27))*0.98</f>
        <v>9.3504587155963312E-2</v>
      </c>
      <c r="AE15" s="181"/>
      <c r="AF15" s="20">
        <v>0</v>
      </c>
      <c r="AG15" s="20">
        <v>0.221</v>
      </c>
      <c r="AH15" s="20">
        <v>5.1999999999999998E-2</v>
      </c>
    </row>
    <row r="16" spans="1:34" x14ac:dyDescent="0.2">
      <c r="A16" s="18" t="s">
        <v>509</v>
      </c>
      <c r="B16" s="19" t="s">
        <v>257</v>
      </c>
      <c r="C16" s="19">
        <v>6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118.8962166</v>
      </c>
      <c r="M16" s="157">
        <f t="shared" si="19"/>
        <v>71.813314826400003</v>
      </c>
      <c r="N16" s="157">
        <f t="shared" si="19"/>
        <v>1019.7490705348799</v>
      </c>
      <c r="O16" s="157">
        <f t="shared" si="20"/>
        <v>5.2423719823271995</v>
      </c>
      <c r="Q16" s="14"/>
      <c r="R16" s="149"/>
      <c r="S16" s="148"/>
      <c r="T16" s="149"/>
      <c r="U16" s="149"/>
      <c r="V16" s="21">
        <v>6.69</v>
      </c>
      <c r="W16" s="161">
        <f t="shared" si="21"/>
        <v>0</v>
      </c>
      <c r="X16" s="20">
        <v>2.5817555938037862E-2</v>
      </c>
      <c r="Y16" s="20">
        <v>0.60399999999999998</v>
      </c>
      <c r="Z16" s="21">
        <v>14.2</v>
      </c>
      <c r="AA16" s="161">
        <f t="shared" si="22"/>
        <v>0.20187999999999998</v>
      </c>
      <c r="AB16" s="8">
        <v>0.15216714264823544</v>
      </c>
      <c r="AC16" s="161">
        <f t="shared" si="23"/>
        <v>0.13126605504587158</v>
      </c>
      <c r="AE16" s="181"/>
      <c r="AF16" s="20">
        <v>0</v>
      </c>
      <c r="AG16" s="20">
        <v>0.20599999999999999</v>
      </c>
      <c r="AH16" s="20">
        <v>7.2999999999999995E-2</v>
      </c>
    </row>
    <row r="17" spans="1:34" x14ac:dyDescent="0.2">
      <c r="A17" s="18" t="s">
        <v>581</v>
      </c>
      <c r="B17" s="19" t="s">
        <v>257</v>
      </c>
      <c r="C17" s="19">
        <v>6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10.388989800000001</v>
      </c>
      <c r="M17" s="157">
        <f t="shared" si="19"/>
        <v>6.2333938800000004</v>
      </c>
      <c r="N17" s="157">
        <f t="shared" si="19"/>
        <v>64.203956964000014</v>
      </c>
      <c r="O17" s="157">
        <f t="shared" si="20"/>
        <v>0.28050272460000003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0.6</v>
      </c>
      <c r="Z17" s="21">
        <v>10.3</v>
      </c>
      <c r="AA17" s="161">
        <f t="shared" si="22"/>
        <v>1.7639999999999999E-2</v>
      </c>
      <c r="AB17" s="8">
        <v>0.19103445530097071</v>
      </c>
      <c r="AC17" s="161">
        <f t="shared" si="23"/>
        <v>8.0917431192660552E-2</v>
      </c>
      <c r="AE17" s="181"/>
      <c r="AF17" s="20">
        <v>0</v>
      </c>
      <c r="AG17" s="20">
        <v>1.7999999999999999E-2</v>
      </c>
      <c r="AH17" s="20">
        <v>4.4999999999999998E-2</v>
      </c>
    </row>
    <row r="18" spans="1:34" x14ac:dyDescent="0.2">
      <c r="A18" s="18" t="s">
        <v>510</v>
      </c>
      <c r="B18" s="19" t="s">
        <v>257</v>
      </c>
      <c r="C18" s="19">
        <v>6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19.046481300000004</v>
      </c>
      <c r="M18" s="157">
        <f t="shared" si="19"/>
        <v>11.488192096317984</v>
      </c>
      <c r="N18" s="157">
        <f t="shared" si="19"/>
        <v>115.22656672606938</v>
      </c>
      <c r="O18" s="157">
        <f t="shared" si="20"/>
        <v>0.48250406804535539</v>
      </c>
      <c r="Q18" s="14"/>
      <c r="R18" s="149"/>
      <c r="S18" s="148"/>
      <c r="T18" s="149"/>
      <c r="U18" s="149"/>
      <c r="V18" s="21">
        <v>5.36</v>
      </c>
      <c r="W18" s="161">
        <f t="shared" si="21"/>
        <v>0</v>
      </c>
      <c r="X18" s="20">
        <v>1.045296167247387E-2</v>
      </c>
      <c r="Y18" s="20">
        <v>0.60316611322417768</v>
      </c>
      <c r="Z18" s="21">
        <v>10.029999999999999</v>
      </c>
      <c r="AA18" s="161">
        <f t="shared" si="22"/>
        <v>3.2340000000000001E-2</v>
      </c>
      <c r="AB18" s="8">
        <v>7.5978874302309263E-2</v>
      </c>
      <c r="AC18" s="161">
        <f t="shared" si="23"/>
        <v>7.552293577981653E-2</v>
      </c>
      <c r="AE18" s="181"/>
      <c r="AF18" s="20">
        <v>0</v>
      </c>
      <c r="AG18" s="20">
        <v>3.3000000000000002E-2</v>
      </c>
      <c r="AH18" s="20">
        <v>4.2000000000000003E-2</v>
      </c>
    </row>
    <row r="19" spans="1:34" x14ac:dyDescent="0.2">
      <c r="A19" s="18" t="s">
        <v>484</v>
      </c>
      <c r="B19" s="19" t="s">
        <v>257</v>
      </c>
      <c r="C19" s="19">
        <v>6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77.340257399999999</v>
      </c>
      <c r="M19" s="157">
        <f t="shared" si="19"/>
        <v>46.304759969193171</v>
      </c>
      <c r="N19" s="157">
        <f t="shared" si="19"/>
        <v>511.33577574741923</v>
      </c>
      <c r="O19" s="157">
        <f t="shared" si="20"/>
        <v>2.9635046380283629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0.59871484173768952</v>
      </c>
      <c r="Z19" s="21">
        <v>11.042833956759821</v>
      </c>
      <c r="AA19" s="161">
        <f t="shared" si="22"/>
        <v>0.13131999999999999</v>
      </c>
      <c r="AB19" s="8">
        <v>2.5459916688375248E-2</v>
      </c>
      <c r="AC19" s="161">
        <f t="shared" si="23"/>
        <v>0.11508256880733947</v>
      </c>
      <c r="AE19" s="181"/>
      <c r="AF19" s="20">
        <v>0</v>
      </c>
      <c r="AG19" s="20">
        <v>0.13400000000000001</v>
      </c>
      <c r="AH19" s="20">
        <v>6.4000000000000001E-2</v>
      </c>
    </row>
    <row r="20" spans="1:34" x14ac:dyDescent="0.2">
      <c r="B20" s="19" t="s">
        <v>257</v>
      </c>
      <c r="C20" s="19">
        <v>6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1.3006363201804224E-2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6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6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222</v>
      </c>
      <c r="B24" s="19" t="s">
        <v>10</v>
      </c>
      <c r="C24" s="19">
        <v>6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90.615077700000001</v>
      </c>
      <c r="M24" s="157">
        <f t="shared" ref="M24:N27" si="24">L24*Y24</f>
        <v>61.708867913700004</v>
      </c>
      <c r="N24" s="157">
        <f t="shared" si="24"/>
        <v>660.28488667658996</v>
      </c>
      <c r="O24" s="157">
        <f t="shared" ref="O24:O27" si="25">M24*AH24</f>
        <v>4.0727852823042001</v>
      </c>
      <c r="Q24" s="14"/>
      <c r="R24" s="149"/>
      <c r="S24" s="148"/>
      <c r="T24" s="149"/>
      <c r="U24" s="149"/>
      <c r="V24" s="150"/>
      <c r="W24" s="165"/>
      <c r="X24" s="149"/>
      <c r="Y24" s="20">
        <v>0.68100000000000005</v>
      </c>
      <c r="Z24" s="115">
        <v>10.7</v>
      </c>
      <c r="AA24" s="161">
        <f t="shared" ref="AA24:AA27" si="26">(AG24/SUM(AG$7:AG$27))*0.98</f>
        <v>0.15386</v>
      </c>
      <c r="AB24" s="8">
        <v>0.10219297467587733</v>
      </c>
      <c r="AC24" s="161">
        <f t="shared" ref="AC24:AC27" si="27">(AH24/SUM(AH$7:AH$27))*0.98</f>
        <v>0.11867889908256883</v>
      </c>
      <c r="AE24" s="181"/>
      <c r="AF24" s="181"/>
      <c r="AG24" s="20">
        <v>0.157</v>
      </c>
      <c r="AH24" s="20">
        <v>6.6000000000000003E-2</v>
      </c>
    </row>
    <row r="25" spans="1:34" x14ac:dyDescent="0.2">
      <c r="A25" s="18" t="s">
        <v>554</v>
      </c>
      <c r="B25" s="19" t="s">
        <v>10</v>
      </c>
      <c r="C25" s="19">
        <v>6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19.046481300000004</v>
      </c>
      <c r="M25" s="157">
        <f t="shared" si="24"/>
        <v>12.989700246600004</v>
      </c>
      <c r="N25" s="157">
        <f t="shared" si="24"/>
        <v>143.14649671753205</v>
      </c>
      <c r="O25" s="157">
        <f t="shared" si="25"/>
        <v>0.63649531208340016</v>
      </c>
      <c r="Q25" s="14"/>
      <c r="R25" s="149"/>
      <c r="S25" s="148"/>
      <c r="T25" s="149"/>
      <c r="U25" s="149"/>
      <c r="V25" s="150"/>
      <c r="W25" s="165"/>
      <c r="X25" s="149"/>
      <c r="Y25" s="20">
        <v>0.68200000000000005</v>
      </c>
      <c r="Z25" s="115">
        <v>11.02</v>
      </c>
      <c r="AA25" s="161">
        <f t="shared" si="26"/>
        <v>3.2340000000000001E-2</v>
      </c>
      <c r="AB25" s="8">
        <v>5.1876755570689152E-2</v>
      </c>
      <c r="AC25" s="161">
        <f t="shared" si="27"/>
        <v>8.811009174311929E-2</v>
      </c>
      <c r="AE25" s="181"/>
      <c r="AF25" s="181"/>
      <c r="AG25" s="20">
        <v>3.3000000000000002E-2</v>
      </c>
      <c r="AH25" s="20">
        <v>4.9000000000000002E-2</v>
      </c>
    </row>
    <row r="26" spans="1:34" x14ac:dyDescent="0.2">
      <c r="A26" s="18" t="s">
        <v>644</v>
      </c>
      <c r="B26" s="19" t="s">
        <v>10</v>
      </c>
      <c r="C26" s="19">
        <v>6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11.543322</v>
      </c>
      <c r="M26" s="157">
        <f t="shared" si="24"/>
        <v>7.6660509398372332</v>
      </c>
      <c r="N26" s="157">
        <f t="shared" si="24"/>
        <v>81.336800471673044</v>
      </c>
      <c r="O26" s="157">
        <f t="shared" si="25"/>
        <v>0.40630069981137334</v>
      </c>
      <c r="Q26" s="14"/>
      <c r="R26" s="149"/>
      <c r="S26" s="148"/>
      <c r="T26" s="149"/>
      <c r="U26" s="149"/>
      <c r="V26" s="150"/>
      <c r="W26" s="165"/>
      <c r="X26" s="149"/>
      <c r="Y26" s="20">
        <v>0.66411133119540744</v>
      </c>
      <c r="Z26" s="115">
        <v>10.61</v>
      </c>
      <c r="AA26" s="161">
        <f t="shared" si="26"/>
        <v>1.9599999999999999E-2</v>
      </c>
      <c r="AB26" s="8">
        <v>8.2990532784079935E-3</v>
      </c>
      <c r="AC26" s="161">
        <f t="shared" si="27"/>
        <v>9.5302752293577986E-2</v>
      </c>
      <c r="AE26" s="181"/>
      <c r="AF26" s="181"/>
      <c r="AG26" s="20">
        <v>0.02</v>
      </c>
      <c r="AH26" s="20">
        <v>5.2999999999999999E-2</v>
      </c>
    </row>
    <row r="27" spans="1:34" x14ac:dyDescent="0.2">
      <c r="B27" s="19" t="s">
        <v>10</v>
      </c>
      <c r="C27" s="19">
        <v>6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0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0.97499999999999987</v>
      </c>
      <c r="AC30" s="161">
        <f>SUM(AC7:AC27)</f>
        <v>0.98000000000000009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1065</v>
      </c>
      <c r="E31" s="48">
        <v>0.55300000000000005</v>
      </c>
      <c r="F31" s="2">
        <f>1-E31</f>
        <v>0.44699999999999995</v>
      </c>
      <c r="G31" s="114">
        <v>4</v>
      </c>
      <c r="H31" s="134">
        <v>3.5000000000000003E-2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588.94500000000005</v>
      </c>
      <c r="E34" s="167">
        <f>SUM(E2:E4)</f>
        <v>377.36814388770074</v>
      </c>
      <c r="F34" s="167">
        <f>SUM(F2:F4)</f>
        <v>3948.5292537863365</v>
      </c>
      <c r="G34" s="167">
        <f>SUM(G2:G4)</f>
        <v>21.106770275479857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476.05499999999995</v>
      </c>
      <c r="E37" s="167">
        <f>D37*G31</f>
        <v>1904.2199999999998</v>
      </c>
      <c r="F37" s="167">
        <f>D37*H31</f>
        <v>16.661925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1" t="s">
        <v>356</v>
      </c>
      <c r="J39" s="171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466.5338999999999</v>
      </c>
      <c r="E40" s="168">
        <f>SUM(J2:J4,J7:J12,J15:J22)</f>
        <v>1901.8907580959997</v>
      </c>
      <c r="F40" s="168">
        <f>SUM(K2:K4,K7:K12,K15:K22)</f>
        <v>16.648728755399997</v>
      </c>
      <c r="G40" s="168">
        <f>SUM(L7:L12,L15:L22,L24:L27)</f>
        <v>577.16609999999991</v>
      </c>
      <c r="H40" s="168">
        <f>SUM(M7:M12,M15:M22,M24:M27)</f>
        <v>372.74038777216748</v>
      </c>
      <c r="I40" s="168">
        <f>SUM(N7:N12,N15:N22,N24:N27)</f>
        <v>3947.5308535272916</v>
      </c>
      <c r="J40" s="168">
        <f>SUM(O7:O12,O15:O22,O24:O27)</f>
        <v>21.085607922427648</v>
      </c>
    </row>
    <row r="41" spans="1:32" ht="15" thickTop="1" x14ac:dyDescent="0.2">
      <c r="D41" s="169">
        <f>D37-D40</f>
        <v>9.5211000000000467</v>
      </c>
      <c r="E41" s="169">
        <f>E37-E40</f>
        <v>2.3292419040001278</v>
      </c>
      <c r="F41" s="169">
        <f>F37-F40</f>
        <v>1.3196244600003126E-2</v>
      </c>
      <c r="G41" s="169">
        <f>SUM(D2:D4)-G40</f>
        <v>11.778900000000135</v>
      </c>
      <c r="H41" s="169">
        <f>E34-H40</f>
        <v>4.6277561155332592</v>
      </c>
      <c r="I41" s="169">
        <f>F34-I40</f>
        <v>0.99840025904495633</v>
      </c>
      <c r="J41" s="169">
        <f>G34-J40</f>
        <v>2.116235305220826E-2</v>
      </c>
    </row>
  </sheetData>
  <sheetProtection selectLockedCells="1"/>
  <conditionalFormatting sqref="D41:J41">
    <cfRule type="cellIs" dxfId="17" priority="1" operator="lessThan">
      <formula>0</formula>
    </cfRule>
  </conditionalFormatting>
  <conditionalFormatting sqref="W30">
    <cfRule type="cellIs" dxfId="16" priority="2" operator="greaterThan">
      <formula>1</formula>
    </cfRule>
  </conditionalFormatting>
  <conditionalFormatting sqref="AA30:AG30">
    <cfRule type="cellIs" dxfId="15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>
    <tabColor rgb="FFA50021"/>
  </sheetPr>
  <dimension ref="A1:AH43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588</v>
      </c>
      <c r="B2" s="19" t="s">
        <v>9</v>
      </c>
      <c r="C2" s="19">
        <v>9</v>
      </c>
      <c r="D2" s="157">
        <f>D$34*Q2</f>
        <v>499.27154999999993</v>
      </c>
      <c r="E2" s="157">
        <f>D2*R2</f>
        <v>331.41645488999995</v>
      </c>
      <c r="F2" s="157">
        <f>E2*S2</f>
        <v>3831.0891816412814</v>
      </c>
      <c r="G2" s="157">
        <f>E2*T2</f>
        <v>25.680823869983815</v>
      </c>
      <c r="H2" s="157">
        <f>E2*U2</f>
        <v>11.439424053314205</v>
      </c>
      <c r="I2" s="157">
        <f>D$37*W2</f>
        <v>41.038558399999999</v>
      </c>
      <c r="J2" s="157">
        <f>I2*V2</f>
        <v>109.572950928</v>
      </c>
      <c r="K2" s="157">
        <f>I2*X2</f>
        <v>0.9028482847999999</v>
      </c>
      <c r="L2" s="158"/>
      <c r="M2" s="158"/>
      <c r="N2" s="158"/>
      <c r="O2" s="158"/>
      <c r="Q2" s="161">
        <f>AE2</f>
        <v>0.95</v>
      </c>
      <c r="R2" s="116">
        <v>0.66379999999999995</v>
      </c>
      <c r="S2" s="115">
        <v>11.559743413805007</v>
      </c>
      <c r="T2" s="116">
        <v>7.7488077284839418E-2</v>
      </c>
      <c r="U2" s="20">
        <v>3.4516765491052794E-2</v>
      </c>
      <c r="V2" s="115">
        <v>2.67</v>
      </c>
      <c r="W2" s="161">
        <f>(AF2/SUM(AF$2:AF$22))*0.98</f>
        <v>7.8399999999999997E-2</v>
      </c>
      <c r="X2" s="20">
        <v>2.1999999999999999E-2</v>
      </c>
      <c r="Y2" s="22"/>
      <c r="Z2" s="23"/>
      <c r="AA2" s="1"/>
      <c r="AB2" s="1"/>
      <c r="AC2" s="1"/>
      <c r="AE2" s="20">
        <v>0.95</v>
      </c>
      <c r="AF2" s="20">
        <v>0.08</v>
      </c>
      <c r="AG2" s="181"/>
      <c r="AH2" s="181"/>
    </row>
    <row r="3" spans="1:34" x14ac:dyDescent="0.2">
      <c r="A3" s="18" t="s">
        <v>87</v>
      </c>
      <c r="B3" s="19" t="s">
        <v>9</v>
      </c>
      <c r="C3" s="19">
        <v>9</v>
      </c>
      <c r="D3" s="157">
        <f>D$34*Q3</f>
        <v>26.277450000000002</v>
      </c>
      <c r="E3" s="157">
        <f t="shared" ref="E3:F4" si="0">D3*R3</f>
        <v>15.76647</v>
      </c>
      <c r="F3" s="157">
        <f t="shared" si="0"/>
        <v>167.124582</v>
      </c>
      <c r="G3" s="157">
        <f t="shared" ref="G3:G4" si="1">E3*T3</f>
        <v>0.81985643999999991</v>
      </c>
      <c r="H3" s="157">
        <f t="shared" ref="H3:H4" si="2">E3*U3</f>
        <v>0.85138937999999997</v>
      </c>
      <c r="I3" s="157">
        <f t="shared" ref="I3:I4" si="3">D$37*W3</f>
        <v>7.1817477199999997</v>
      </c>
      <c r="J3" s="157">
        <f>I3*V3</f>
        <v>21.545243159999998</v>
      </c>
      <c r="K3" s="157">
        <f>I3*X3</f>
        <v>0.21545243159999999</v>
      </c>
      <c r="L3" s="158"/>
      <c r="M3" s="158"/>
      <c r="N3" s="158"/>
      <c r="O3" s="158"/>
      <c r="Q3" s="161">
        <f t="shared" ref="Q3:Q4" si="4">AE3</f>
        <v>0.05</v>
      </c>
      <c r="R3" s="116">
        <v>0.6</v>
      </c>
      <c r="S3" s="21">
        <v>10.6</v>
      </c>
      <c r="T3" s="116">
        <v>5.1999999999999998E-2</v>
      </c>
      <c r="U3" s="20">
        <v>5.3999999999999999E-2</v>
      </c>
      <c r="V3" s="21">
        <v>3</v>
      </c>
      <c r="W3" s="161">
        <f t="shared" ref="W3:W4" si="5">(AF3/SUM(AF$2:AF$22))*0.98</f>
        <v>1.372E-2</v>
      </c>
      <c r="X3" s="20">
        <v>0.03</v>
      </c>
      <c r="Y3" s="22"/>
      <c r="Z3" s="23"/>
      <c r="AA3" s="1"/>
      <c r="AB3" s="1"/>
      <c r="AC3" s="1"/>
      <c r="AE3" s="20">
        <v>0.05</v>
      </c>
      <c r="AF3" s="20">
        <v>1.4E-2</v>
      </c>
      <c r="AG3" s="181"/>
      <c r="AH3" s="181"/>
    </row>
    <row r="4" spans="1:34" x14ac:dyDescent="0.2">
      <c r="B4" s="19" t="s">
        <v>9</v>
      </c>
      <c r="C4" s="19">
        <v>9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/>
      <c r="S4" s="21"/>
      <c r="T4" s="116"/>
      <c r="U4" s="20"/>
      <c r="V4" s="21"/>
      <c r="W4" s="161">
        <f t="shared" si="5"/>
        <v>0</v>
      </c>
      <c r="X4" s="20"/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" t="s">
        <v>5</v>
      </c>
      <c r="B7" s="19" t="s">
        <v>256</v>
      </c>
      <c r="C7" s="19">
        <v>9</v>
      </c>
      <c r="D7" s="158"/>
      <c r="E7" s="158"/>
      <c r="F7" s="158"/>
      <c r="G7" s="158"/>
      <c r="H7" s="158"/>
      <c r="I7" s="157">
        <f t="shared" ref="I7:I12" si="6">D$37*W7</f>
        <v>224.68610724000001</v>
      </c>
      <c r="J7" s="157">
        <f>I7*V7</f>
        <v>1049.2841208108</v>
      </c>
      <c r="K7" s="157">
        <f>I7*X7</f>
        <v>11.458991469240001</v>
      </c>
      <c r="L7" s="157">
        <f>((D$2+D$3+D$4)*AA7)</f>
        <v>91.676767559999988</v>
      </c>
      <c r="M7" s="157">
        <f t="shared" ref="M7:N12" si="7">L7*Y7</f>
        <v>73.807327028610942</v>
      </c>
      <c r="N7" s="157">
        <f t="shared" si="7"/>
        <v>642.12374514891519</v>
      </c>
      <c r="O7" s="157">
        <f>M7*AH7</f>
        <v>4.2808249676594352</v>
      </c>
      <c r="Q7" s="14"/>
      <c r="R7" s="149"/>
      <c r="S7" s="148"/>
      <c r="T7" s="149"/>
      <c r="U7" s="149"/>
      <c r="V7" s="21">
        <v>4.67</v>
      </c>
      <c r="W7" s="161">
        <f t="shared" ref="W7:W12" si="8">(AF7/SUM(AF$2:AF$22))*0.98</f>
        <v>0.42924000000000001</v>
      </c>
      <c r="X7" s="20">
        <v>5.0999999999999997E-2</v>
      </c>
      <c r="Y7" s="20">
        <v>0.80508212705368376</v>
      </c>
      <c r="Z7" s="21">
        <v>8.6999999999999993</v>
      </c>
      <c r="AA7" s="161">
        <f>(AG7/SUM(AG$7:AG$27))*0.98</f>
        <v>0.17443999999999998</v>
      </c>
      <c r="AB7" s="8">
        <v>6.0223142452124193E-2</v>
      </c>
      <c r="AC7" s="161">
        <f>(AH7/SUM(AH$7:AH$27))*0.98</f>
        <v>7.3818181818181824E-2</v>
      </c>
      <c r="AE7" s="181"/>
      <c r="AF7" s="20">
        <v>0.438</v>
      </c>
      <c r="AG7" s="20">
        <v>0.17799999999999999</v>
      </c>
      <c r="AH7" s="20">
        <v>5.8000000000000003E-2</v>
      </c>
    </row>
    <row r="8" spans="1:34" x14ac:dyDescent="0.2">
      <c r="A8" s="18" t="s">
        <v>235</v>
      </c>
      <c r="B8" s="19" t="s">
        <v>256</v>
      </c>
      <c r="C8" s="19">
        <v>9</v>
      </c>
      <c r="D8" s="158"/>
      <c r="E8" s="158"/>
      <c r="F8" s="158"/>
      <c r="G8" s="158"/>
      <c r="H8" s="158"/>
      <c r="I8" s="157">
        <f t="shared" si="6"/>
        <v>114.90796352</v>
      </c>
      <c r="J8" s="157">
        <f>I8*V8</f>
        <v>523.98031365119994</v>
      </c>
      <c r="K8" s="157">
        <f>I8*X8</f>
        <v>5.2857663219199997</v>
      </c>
      <c r="L8" s="157">
        <f>((D$2+D$3+D$4)*AA8)</f>
        <v>19.05640674</v>
      </c>
      <c r="M8" s="157">
        <f t="shared" si="7"/>
        <v>13.56816159888</v>
      </c>
      <c r="N8" s="157">
        <f t="shared" si="7"/>
        <v>105.2889340073088</v>
      </c>
      <c r="O8" s="157">
        <f t="shared" ref="O8:O12" si="9">M8*AH8</f>
        <v>0.52915830235632</v>
      </c>
      <c r="Q8" s="14"/>
      <c r="R8" s="149"/>
      <c r="S8" s="148"/>
      <c r="T8" s="149"/>
      <c r="U8" s="149"/>
      <c r="V8" s="21">
        <v>4.5599999999999996</v>
      </c>
      <c r="W8" s="161">
        <f t="shared" si="8"/>
        <v>0.21951999999999999</v>
      </c>
      <c r="X8" s="20">
        <v>4.5999999999999999E-2</v>
      </c>
      <c r="Y8" s="20">
        <v>0.71199999999999997</v>
      </c>
      <c r="Z8" s="21">
        <v>7.76</v>
      </c>
      <c r="AA8" s="161">
        <f t="shared" ref="AA8:AA12" si="10">(AG8/SUM(AG$7:AG$27))*0.98</f>
        <v>3.6260000000000001E-2</v>
      </c>
      <c r="AB8" s="8">
        <v>4.9307936449275558E-2</v>
      </c>
      <c r="AC8" s="161">
        <f t="shared" ref="AC8:AC12" si="11">(AH8/SUM(AH$7:AH$27))*0.98</f>
        <v>4.9636363636363638E-2</v>
      </c>
      <c r="AE8" s="181"/>
      <c r="AF8" s="20">
        <v>0.224</v>
      </c>
      <c r="AG8" s="20">
        <v>3.6999999999999998E-2</v>
      </c>
      <c r="AH8" s="20">
        <v>3.9E-2</v>
      </c>
    </row>
    <row r="9" spans="1:34" x14ac:dyDescent="0.2">
      <c r="A9" s="18" t="s">
        <v>518</v>
      </c>
      <c r="B9" s="19" t="s">
        <v>256</v>
      </c>
      <c r="C9" s="19">
        <v>9</v>
      </c>
      <c r="D9" s="158"/>
      <c r="E9" s="158"/>
      <c r="F9" s="158"/>
      <c r="G9" s="158"/>
      <c r="H9" s="158"/>
      <c r="I9" s="157">
        <f t="shared" si="6"/>
        <v>17.44138732</v>
      </c>
      <c r="J9" s="157">
        <f>I9*V9</f>
        <v>69.097751481800813</v>
      </c>
      <c r="K9" s="157">
        <f>I9*X9</f>
        <v>0.55812439424000004</v>
      </c>
      <c r="L9" s="157">
        <f>((D$2+D$3+D$4)*AA9)</f>
        <v>10.3007604</v>
      </c>
      <c r="M9" s="157">
        <f t="shared" si="7"/>
        <v>6.8381536080645331</v>
      </c>
      <c r="N9" s="157">
        <f t="shared" si="7"/>
        <v>40.297278995015219</v>
      </c>
      <c r="O9" s="157">
        <f t="shared" si="9"/>
        <v>0.20514460824193598</v>
      </c>
      <c r="Q9" s="14"/>
      <c r="R9" s="149"/>
      <c r="S9" s="148"/>
      <c r="T9" s="149"/>
      <c r="U9" s="149"/>
      <c r="V9" s="21">
        <v>3.9617118875954649</v>
      </c>
      <c r="W9" s="161">
        <f t="shared" si="8"/>
        <v>3.3320000000000002E-2</v>
      </c>
      <c r="X9" s="20">
        <v>3.2000000000000001E-2</v>
      </c>
      <c r="Y9" s="20">
        <v>0.66384939970689283</v>
      </c>
      <c r="Z9" s="21">
        <v>5.8930058177533304</v>
      </c>
      <c r="AA9" s="161">
        <f t="shared" si="10"/>
        <v>1.9599999999999999E-2</v>
      </c>
      <c r="AB9" s="8">
        <v>6.8676840680918349E-3</v>
      </c>
      <c r="AC9" s="161">
        <f t="shared" si="11"/>
        <v>3.8181818181818185E-2</v>
      </c>
      <c r="AE9" s="181"/>
      <c r="AF9" s="20">
        <v>3.4000000000000002E-2</v>
      </c>
      <c r="AG9" s="20">
        <v>0.02</v>
      </c>
      <c r="AH9" s="20">
        <v>0.03</v>
      </c>
    </row>
    <row r="10" spans="1:34" x14ac:dyDescent="0.2">
      <c r="A10" s="18" t="s">
        <v>582</v>
      </c>
      <c r="B10" s="19" t="s">
        <v>256</v>
      </c>
      <c r="C10" s="19">
        <v>9</v>
      </c>
      <c r="D10" s="158"/>
      <c r="E10" s="158"/>
      <c r="F10" s="158"/>
      <c r="G10" s="158"/>
      <c r="H10" s="158"/>
      <c r="I10" s="157">
        <f t="shared" si="6"/>
        <v>60.531873640000001</v>
      </c>
      <c r="J10" s="157">
        <f t="shared" ref="J10:J12" si="12">I10*V10</f>
        <v>276.45138481250888</v>
      </c>
      <c r="K10" s="157">
        <f t="shared" ref="K10:K12" si="13">I10*X10</f>
        <v>2.6028705665199996</v>
      </c>
      <c r="L10" s="157">
        <f t="shared" ref="L10:L12" si="14">((D$2+D$3+D$4)*AA10)</f>
        <v>15.966178619999999</v>
      </c>
      <c r="M10" s="157">
        <f t="shared" si="7"/>
        <v>11.112460319519998</v>
      </c>
      <c r="N10" s="157">
        <f t="shared" si="7"/>
        <v>87.972140915630533</v>
      </c>
      <c r="O10" s="157">
        <f t="shared" si="9"/>
        <v>0.44449841278079993</v>
      </c>
      <c r="Q10" s="14"/>
      <c r="R10" s="149"/>
      <c r="S10" s="148"/>
      <c r="T10" s="149"/>
      <c r="U10" s="149"/>
      <c r="V10" s="21">
        <v>4.5670382922002819</v>
      </c>
      <c r="W10" s="161">
        <f t="shared" si="8"/>
        <v>0.11563999999999999</v>
      </c>
      <c r="X10" s="20">
        <v>4.2999999999999997E-2</v>
      </c>
      <c r="Y10" s="20">
        <v>0.69599999999999995</v>
      </c>
      <c r="Z10" s="21">
        <v>7.9165313878421557</v>
      </c>
      <c r="AA10" s="161">
        <f t="shared" si="10"/>
        <v>3.0380000000000001E-2</v>
      </c>
      <c r="AB10" s="8">
        <v>2.5186668471229221E-2</v>
      </c>
      <c r="AC10" s="161">
        <f t="shared" si="11"/>
        <v>5.0909090909090918E-2</v>
      </c>
      <c r="AE10" s="181"/>
      <c r="AF10" s="20">
        <v>0.11799999999999999</v>
      </c>
      <c r="AG10" s="20">
        <v>3.1E-2</v>
      </c>
      <c r="AH10" s="20">
        <v>0.04</v>
      </c>
    </row>
    <row r="11" spans="1:34" x14ac:dyDescent="0.2">
      <c r="A11" s="43"/>
      <c r="B11" s="19" t="s">
        <v>256</v>
      </c>
      <c r="C11" s="19">
        <v>9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1.9224065025707279E-2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43"/>
      <c r="B12" s="19" t="s">
        <v>256</v>
      </c>
      <c r="C12" s="19">
        <v>9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5.4490533164705542E-2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50"/>
      <c r="D13" s="180"/>
      <c r="E13" s="180"/>
      <c r="F13" s="180"/>
      <c r="G13" s="180"/>
      <c r="H13" s="180"/>
      <c r="I13" s="180"/>
      <c r="J13" s="180"/>
      <c r="K13" s="180"/>
      <c r="L13" s="180"/>
      <c r="M13" s="180"/>
      <c r="N13" s="180"/>
      <c r="O13" s="180"/>
      <c r="P13" s="25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A14" s="50"/>
      <c r="D14" s="176"/>
      <c r="E14" s="176"/>
      <c r="F14" s="176"/>
      <c r="G14" s="176"/>
      <c r="H14" s="176"/>
      <c r="I14" s="176"/>
      <c r="J14" s="176"/>
      <c r="K14" s="176"/>
      <c r="L14" s="176"/>
      <c r="M14" s="176"/>
      <c r="N14" s="176"/>
      <c r="O14" s="176"/>
      <c r="P14" s="27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6" t="s">
        <v>13</v>
      </c>
      <c r="B15" s="19" t="s">
        <v>257</v>
      </c>
      <c r="C15" s="19">
        <v>9</v>
      </c>
      <c r="D15" s="158"/>
      <c r="E15" s="158"/>
      <c r="F15" s="158"/>
      <c r="G15" s="158"/>
      <c r="H15" s="158"/>
      <c r="I15" s="157">
        <f t="shared" ref="I15:I22" si="15">D$37*W15</f>
        <v>47.194342159999998</v>
      </c>
      <c r="J15" s="157">
        <f t="shared" ref="J15:J22" si="16">I15*V15</f>
        <v>275.66400954286775</v>
      </c>
      <c r="K15" s="157">
        <f t="shared" ref="K15:K22" si="17">I15*X15</f>
        <v>3.5395756619999998</v>
      </c>
      <c r="L15" s="157">
        <f t="shared" ref="L15:L22" si="18">((D$2+D$3+D$4)*AA15)</f>
        <v>101.97752796</v>
      </c>
      <c r="M15" s="157">
        <f t="shared" ref="M15:N22" si="19">L15*Y15</f>
        <v>64.041887558880006</v>
      </c>
      <c r="N15" s="157">
        <f t="shared" si="19"/>
        <v>800.52359448600009</v>
      </c>
      <c r="O15" s="157">
        <f t="shared" ref="O15:O22" si="20">M15*AH15</f>
        <v>4.4829321291216004</v>
      </c>
      <c r="Q15" s="14"/>
      <c r="R15" s="149"/>
      <c r="S15" s="148"/>
      <c r="T15" s="149"/>
      <c r="U15" s="149"/>
      <c r="V15" s="21">
        <v>5.8410393476468316</v>
      </c>
      <c r="W15" s="161">
        <f t="shared" ref="W15:W22" si="21">(AF15/SUM(AF$2:AF$22))*0.98</f>
        <v>9.015999999999999E-2</v>
      </c>
      <c r="X15" s="20">
        <v>7.4999999999999997E-2</v>
      </c>
      <c r="Y15" s="20">
        <v>0.628</v>
      </c>
      <c r="Z15" s="21">
        <v>12.5</v>
      </c>
      <c r="AA15" s="161">
        <f t="shared" ref="AA15:AA22" si="22">(AG15/SUM(AG$7:AG$27))*0.98</f>
        <v>0.19404000000000002</v>
      </c>
      <c r="AB15" s="8">
        <v>0.18311092108428928</v>
      </c>
      <c r="AC15" s="161">
        <f t="shared" ref="AC15:AC22" si="23">(AH15/SUM(AH$7:AH$27))*0.98</f>
        <v>8.9090909090909109E-2</v>
      </c>
      <c r="AE15" s="181"/>
      <c r="AF15" s="20">
        <v>9.1999999999999998E-2</v>
      </c>
      <c r="AG15" s="20">
        <v>0.19800000000000001</v>
      </c>
      <c r="AH15" s="20">
        <v>7.0000000000000007E-2</v>
      </c>
    </row>
    <row r="16" spans="1:34" x14ac:dyDescent="0.2">
      <c r="A16" s="186" t="s">
        <v>184</v>
      </c>
      <c r="B16" s="19" t="s">
        <v>257</v>
      </c>
      <c r="C16" s="19">
        <v>9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110.21813628</v>
      </c>
      <c r="M16" s="157">
        <f t="shared" si="19"/>
        <v>69.988516537799995</v>
      </c>
      <c r="N16" s="157">
        <f t="shared" si="19"/>
        <v>958.84267656785994</v>
      </c>
      <c r="O16" s="157">
        <f t="shared" si="20"/>
        <v>5.8090468726374</v>
      </c>
      <c r="Q16" s="14"/>
      <c r="R16" s="149"/>
      <c r="S16" s="148"/>
      <c r="T16" s="149"/>
      <c r="U16" s="149"/>
      <c r="V16" s="21">
        <v>2.9512987012987009</v>
      </c>
      <c r="W16" s="161">
        <f t="shared" si="21"/>
        <v>0</v>
      </c>
      <c r="X16" s="20">
        <v>9.74025974025974E-3</v>
      </c>
      <c r="Y16" s="20">
        <v>0.63500000000000001</v>
      </c>
      <c r="Z16" s="21">
        <v>13.7</v>
      </c>
      <c r="AA16" s="161">
        <f t="shared" si="22"/>
        <v>0.20971999999999999</v>
      </c>
      <c r="AB16" s="8">
        <v>0.19020901101057089</v>
      </c>
      <c r="AC16" s="161">
        <f t="shared" si="23"/>
        <v>0.10563636363636365</v>
      </c>
      <c r="AE16" s="181"/>
      <c r="AF16" s="20">
        <v>0</v>
      </c>
      <c r="AG16" s="20">
        <v>0.214</v>
      </c>
      <c r="AH16" s="20">
        <v>8.3000000000000004E-2</v>
      </c>
    </row>
    <row r="17" spans="1:34" x14ac:dyDescent="0.2">
      <c r="A17" s="186" t="s">
        <v>466</v>
      </c>
      <c r="B17" s="19" t="s">
        <v>257</v>
      </c>
      <c r="C17" s="19">
        <v>9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31.41731922</v>
      </c>
      <c r="M17" s="157">
        <f t="shared" si="19"/>
        <v>18.877697626551964</v>
      </c>
      <c r="N17" s="157">
        <f t="shared" si="19"/>
        <v>224.92718631083955</v>
      </c>
      <c r="O17" s="157">
        <f t="shared" si="20"/>
        <v>1.3969496243648452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0.60086914145541037</v>
      </c>
      <c r="Z17" s="21">
        <v>11.914969227734304</v>
      </c>
      <c r="AA17" s="161">
        <f t="shared" si="22"/>
        <v>5.978E-2</v>
      </c>
      <c r="AB17" s="8">
        <v>4.537101313707418E-2</v>
      </c>
      <c r="AC17" s="161">
        <f t="shared" si="23"/>
        <v>9.4181818181818186E-2</v>
      </c>
      <c r="AE17" s="181"/>
      <c r="AF17" s="20">
        <v>0</v>
      </c>
      <c r="AG17" s="20">
        <v>6.0999999999999999E-2</v>
      </c>
      <c r="AH17" s="20">
        <v>7.3999999999999996E-2</v>
      </c>
    </row>
    <row r="18" spans="1:34" x14ac:dyDescent="0.2">
      <c r="A18" s="18" t="s">
        <v>696</v>
      </c>
      <c r="B18" s="19" t="s">
        <v>257</v>
      </c>
      <c r="C18" s="19">
        <v>9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10.3007604</v>
      </c>
      <c r="M18" s="157">
        <f t="shared" si="19"/>
        <v>5.7169220220000003</v>
      </c>
      <c r="N18" s="157">
        <f t="shared" si="19"/>
        <v>68.85373100012886</v>
      </c>
      <c r="O18" s="157">
        <f t="shared" si="20"/>
        <v>0.29727994514400002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0.55500000000000005</v>
      </c>
      <c r="Z18" s="21">
        <v>12.043846450093991</v>
      </c>
      <c r="AA18" s="161">
        <f t="shared" si="22"/>
        <v>1.9599999999999999E-2</v>
      </c>
      <c r="AB18" s="8">
        <v>2.3790559285205654E-2</v>
      </c>
      <c r="AC18" s="161">
        <f t="shared" si="23"/>
        <v>6.6181818181818189E-2</v>
      </c>
      <c r="AE18" s="181"/>
      <c r="AF18" s="20">
        <v>0</v>
      </c>
      <c r="AG18" s="20">
        <v>0.02</v>
      </c>
      <c r="AH18" s="20">
        <v>5.1999999999999998E-2</v>
      </c>
    </row>
    <row r="19" spans="1:34" x14ac:dyDescent="0.2">
      <c r="A19" s="18" t="s">
        <v>517</v>
      </c>
      <c r="B19" s="19" t="s">
        <v>257</v>
      </c>
      <c r="C19" s="19">
        <v>9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5.1503801999999999</v>
      </c>
      <c r="M19" s="157">
        <f t="shared" si="19"/>
        <v>2.7297015060000001</v>
      </c>
      <c r="N19" s="157">
        <f t="shared" si="19"/>
        <v>39.637275872832781</v>
      </c>
      <c r="O19" s="157">
        <f t="shared" si="20"/>
        <v>0.13648507530000001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0.53</v>
      </c>
      <c r="Z19" s="21">
        <v>14.520736346339834</v>
      </c>
      <c r="AA19" s="161">
        <f t="shared" si="22"/>
        <v>9.7999999999999997E-3</v>
      </c>
      <c r="AB19" s="8">
        <v>3.3683771170054368E-2</v>
      </c>
      <c r="AC19" s="161">
        <f t="shared" si="23"/>
        <v>6.3636363636363644E-2</v>
      </c>
      <c r="AE19" s="181"/>
      <c r="AF19" s="20">
        <v>0</v>
      </c>
      <c r="AG19" s="20">
        <v>0.01</v>
      </c>
      <c r="AH19" s="20">
        <v>0.05</v>
      </c>
    </row>
    <row r="20" spans="1:34" x14ac:dyDescent="0.2">
      <c r="B20" s="19" t="s">
        <v>257</v>
      </c>
      <c r="C20" s="19">
        <v>9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1.6172270127146903E-2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9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9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A23" s="51"/>
      <c r="B23" s="27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27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14</v>
      </c>
      <c r="B24" s="19" t="s">
        <v>10</v>
      </c>
      <c r="C24" s="19">
        <v>9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93.736919639999996</v>
      </c>
      <c r="M24" s="157">
        <f t="shared" ref="M24:N27" si="24">L24*Y24</f>
        <v>64.034860232221803</v>
      </c>
      <c r="N24" s="157">
        <f t="shared" si="24"/>
        <v>826.04969699566129</v>
      </c>
      <c r="O24" s="157">
        <f t="shared" ref="O24:O27" si="25">M24*AH24</f>
        <v>7.6841832278666162</v>
      </c>
      <c r="Q24" s="14"/>
      <c r="R24" s="149"/>
      <c r="S24" s="148"/>
      <c r="T24" s="149"/>
      <c r="U24" s="149"/>
      <c r="V24" s="150"/>
      <c r="W24" s="165"/>
      <c r="X24" s="149"/>
      <c r="Y24" s="20">
        <v>0.68313382259786193</v>
      </c>
      <c r="Z24" s="115">
        <v>12.9</v>
      </c>
      <c r="AA24" s="161">
        <f t="shared" ref="AA24:AA27" si="26">(AG24/SUM(AG$7:AG$27))*0.98</f>
        <v>0.17835999999999999</v>
      </c>
      <c r="AB24" s="8">
        <v>0.22762675123096426</v>
      </c>
      <c r="AC24" s="161">
        <f t="shared" ref="AC24:AC27" si="27">(AH24/SUM(AH$7:AH$27))*0.98</f>
        <v>0.15272727272727274</v>
      </c>
      <c r="AE24" s="181"/>
      <c r="AF24" s="181"/>
      <c r="AG24" s="20">
        <v>0.182</v>
      </c>
      <c r="AH24" s="20">
        <v>0.12</v>
      </c>
    </row>
    <row r="25" spans="1:34" x14ac:dyDescent="0.2">
      <c r="A25" s="18" t="s">
        <v>224</v>
      </c>
      <c r="B25" s="19" t="s">
        <v>10</v>
      </c>
      <c r="C25" s="19">
        <v>9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9.2706843599999988</v>
      </c>
      <c r="M25" s="157">
        <f t="shared" si="24"/>
        <v>5.5345985629199994</v>
      </c>
      <c r="N25" s="157">
        <f t="shared" si="24"/>
        <v>65.308263042455991</v>
      </c>
      <c r="O25" s="157">
        <f t="shared" si="25"/>
        <v>0.39295649796731991</v>
      </c>
      <c r="Q25" s="14"/>
      <c r="R25" s="149"/>
      <c r="S25" s="148"/>
      <c r="T25" s="149"/>
      <c r="U25" s="149"/>
      <c r="V25" s="150"/>
      <c r="W25" s="165"/>
      <c r="X25" s="149"/>
      <c r="Y25" s="20">
        <v>0.59699999999999998</v>
      </c>
      <c r="Z25" s="115">
        <v>11.8</v>
      </c>
      <c r="AA25" s="161">
        <f t="shared" si="26"/>
        <v>1.7639999999999999E-2</v>
      </c>
      <c r="AB25" s="8">
        <v>2.6487046459472658E-2</v>
      </c>
      <c r="AC25" s="161">
        <f t="shared" si="27"/>
        <v>9.0363636363636368E-2</v>
      </c>
      <c r="AE25" s="181"/>
      <c r="AF25" s="181"/>
      <c r="AG25" s="20">
        <v>1.7999999999999999E-2</v>
      </c>
      <c r="AH25" s="20">
        <v>7.0999999999999994E-2</v>
      </c>
    </row>
    <row r="26" spans="1:34" x14ac:dyDescent="0.2">
      <c r="A26" s="18" t="s">
        <v>683</v>
      </c>
      <c r="B26" s="19" t="s">
        <v>10</v>
      </c>
      <c r="C26" s="19">
        <v>9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15.966178619999999</v>
      </c>
      <c r="M26" s="157">
        <f t="shared" si="24"/>
        <v>9.5956733506199985</v>
      </c>
      <c r="N26" s="157">
        <f t="shared" si="24"/>
        <v>118.02678221262599</v>
      </c>
      <c r="O26" s="157">
        <f t="shared" si="25"/>
        <v>0.79644088810145997</v>
      </c>
      <c r="Q26" s="14"/>
      <c r="R26" s="149"/>
      <c r="S26" s="148"/>
      <c r="T26" s="149"/>
      <c r="U26" s="149"/>
      <c r="V26" s="150"/>
      <c r="W26" s="165"/>
      <c r="X26" s="149"/>
      <c r="Y26" s="20">
        <v>0.60099999999999998</v>
      </c>
      <c r="Z26" s="115">
        <v>12.3</v>
      </c>
      <c r="AA26" s="161">
        <f t="shared" si="26"/>
        <v>3.0380000000000001E-2</v>
      </c>
      <c r="AB26" s="8">
        <v>1.3248626864088215E-2</v>
      </c>
      <c r="AC26" s="161">
        <f t="shared" si="27"/>
        <v>0.10563636363636365</v>
      </c>
      <c r="AE26" s="181"/>
      <c r="AF26" s="181"/>
      <c r="AG26" s="20">
        <v>3.1E-2</v>
      </c>
      <c r="AH26" s="20">
        <v>8.3000000000000004E-2</v>
      </c>
    </row>
    <row r="27" spans="1:34" x14ac:dyDescent="0.2">
      <c r="B27" s="19" t="s">
        <v>10</v>
      </c>
      <c r="C27" s="19">
        <v>9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0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0.97499999999999998</v>
      </c>
      <c r="AC30" s="161">
        <f>SUM(AC7:AC27)</f>
        <v>0.98000000000000009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1049</v>
      </c>
      <c r="E31" s="48">
        <v>0.501</v>
      </c>
      <c r="F31" s="2">
        <f>1-E31</f>
        <v>0.499</v>
      </c>
      <c r="G31" s="114">
        <v>4.45</v>
      </c>
      <c r="H31" s="134">
        <v>4.7E-2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525.54899999999998</v>
      </c>
      <c r="E34" s="167">
        <f>SUM(E2:E4)</f>
        <v>347.18292488999998</v>
      </c>
      <c r="F34" s="167">
        <f>SUM(F2:F4)</f>
        <v>3998.2137636412813</v>
      </c>
      <c r="G34" s="167">
        <f>SUM(G2:G4)</f>
        <v>26.500680309983814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523.45100000000002</v>
      </c>
      <c r="E37" s="167">
        <f>D37*G31</f>
        <v>2329.3569500000003</v>
      </c>
      <c r="F37" s="167">
        <f>D37*H31</f>
        <v>24.602197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512.98198000000002</v>
      </c>
      <c r="E40" s="168">
        <f>SUM(J2:J4,J7:J12,J15:J22)</f>
        <v>2325.5957743871772</v>
      </c>
      <c r="F40" s="168">
        <f>SUM(K2:K4,K7:K12,K15:K22)</f>
        <v>24.563629130320003</v>
      </c>
      <c r="G40" s="168">
        <f>SUM(L7:L12,L15:L22,L24:L27)</f>
        <v>515.03802000000007</v>
      </c>
      <c r="H40" s="168">
        <f>SUM(M7:M12,M15:M22,M24:M27)</f>
        <v>345.84595995206928</v>
      </c>
      <c r="I40" s="168">
        <f>SUM(N7:N12,N15:N22,N24:N27)</f>
        <v>3977.8513055552744</v>
      </c>
      <c r="J40" s="168">
        <f>SUM(O7:O12,O15:O22,O24:O27)</f>
        <v>26.455900551541731</v>
      </c>
      <c r="P40" s="27"/>
      <c r="Q40" s="26"/>
      <c r="R40" s="26"/>
      <c r="S40" s="27"/>
      <c r="T40" s="19"/>
      <c r="U40" s="19"/>
      <c r="V40" s="19"/>
      <c r="W40" s="19"/>
      <c r="X40" s="19"/>
      <c r="Y40" s="19"/>
      <c r="Z40" s="19"/>
      <c r="AC40" s="19"/>
    </row>
    <row r="41" spans="1:32" ht="15" thickTop="1" x14ac:dyDescent="0.2">
      <c r="D41" s="169">
        <f>D37-D40</f>
        <v>10.46902</v>
      </c>
      <c r="E41" s="169">
        <f>E37-E40</f>
        <v>3.7611756128230809</v>
      </c>
      <c r="F41" s="169">
        <f>F37-F40</f>
        <v>3.8567869679997813E-2</v>
      </c>
      <c r="G41" s="169">
        <f>SUM(D2:D4)-G40</f>
        <v>10.510979999999904</v>
      </c>
      <c r="H41" s="169">
        <f>E34-H40</f>
        <v>1.336964937930702</v>
      </c>
      <c r="I41" s="169">
        <f>F34-I40</f>
        <v>20.362458086006882</v>
      </c>
      <c r="J41" s="169">
        <f>G34-J40</f>
        <v>4.4779758442082596E-2</v>
      </c>
      <c r="P41" s="27"/>
      <c r="Q41" s="26"/>
      <c r="R41" s="26"/>
      <c r="S41" s="27"/>
      <c r="T41" s="19"/>
      <c r="U41" s="19"/>
      <c r="V41" s="19"/>
      <c r="W41" s="19"/>
      <c r="X41" s="19"/>
      <c r="Y41" s="19"/>
      <c r="Z41" s="19"/>
      <c r="AC41" s="19"/>
    </row>
    <row r="42" spans="1:32" x14ac:dyDescent="0.2">
      <c r="K42" s="27"/>
      <c r="M42" s="27"/>
      <c r="N42" s="26"/>
      <c r="O42" s="27"/>
      <c r="P42" s="27"/>
      <c r="Q42" s="26"/>
      <c r="R42" s="26"/>
      <c r="S42" s="27"/>
      <c r="T42" s="19"/>
      <c r="U42" s="19"/>
      <c r="V42" s="19"/>
      <c r="W42" s="19"/>
      <c r="X42" s="19"/>
      <c r="Y42" s="19"/>
      <c r="Z42" s="19"/>
      <c r="AC42" s="19"/>
    </row>
    <row r="43" spans="1:32" x14ac:dyDescent="0.2">
      <c r="N43" s="24"/>
      <c r="O43" s="24"/>
    </row>
  </sheetData>
  <sheetProtection selectLockedCells="1"/>
  <conditionalFormatting sqref="D41:J41">
    <cfRule type="cellIs" dxfId="14" priority="1" operator="lessThan">
      <formula>0</formula>
    </cfRule>
  </conditionalFormatting>
  <conditionalFormatting sqref="W30">
    <cfRule type="cellIs" dxfId="13" priority="2" operator="greaterThan">
      <formula>1</formula>
    </cfRule>
  </conditionalFormatting>
  <conditionalFormatting sqref="AA30:AG30">
    <cfRule type="cellIs" dxfId="12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>
    <tabColor rgb="FF008000"/>
  </sheetPr>
  <dimension ref="A1:AH45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213</v>
      </c>
      <c r="B2" s="19" t="s">
        <v>9</v>
      </c>
      <c r="C2" s="19">
        <v>5</v>
      </c>
      <c r="D2" s="157">
        <f>D$34*Q2</f>
        <v>569.29319999999996</v>
      </c>
      <c r="E2" s="157">
        <f>D2*R2</f>
        <v>387.67187174223392</v>
      </c>
      <c r="F2" s="157">
        <f>E2*S2</f>
        <v>4186.8562148161263</v>
      </c>
      <c r="G2" s="157">
        <f>E2*T2</f>
        <v>30.393474744591138</v>
      </c>
      <c r="H2" s="157">
        <f>E2*U2</f>
        <v>11.740403702137638</v>
      </c>
      <c r="I2" s="157">
        <f>D$37*W2</f>
        <v>48.815101439999999</v>
      </c>
      <c r="J2" s="157">
        <f>I2*V2</f>
        <v>244.19655701793263</v>
      </c>
      <c r="K2" s="157">
        <f>I2*X2</f>
        <v>1.12274733312</v>
      </c>
      <c r="L2" s="158"/>
      <c r="M2" s="158"/>
      <c r="N2" s="158"/>
      <c r="O2" s="158"/>
      <c r="Q2" s="161">
        <f>AE2</f>
        <v>0.95</v>
      </c>
      <c r="R2" s="116">
        <v>0.68097049418864297</v>
      </c>
      <c r="S2" s="115">
        <v>10.8</v>
      </c>
      <c r="T2" s="116">
        <v>7.8399999999999997E-2</v>
      </c>
      <c r="U2" s="20">
        <v>3.0284383670590175E-2</v>
      </c>
      <c r="V2" s="115">
        <v>5.0024797616795169</v>
      </c>
      <c r="W2" s="161">
        <f>(AF2/SUM(AF$2:AF$22))*0.98</f>
        <v>0.10976</v>
      </c>
      <c r="X2" s="20">
        <v>2.3E-2</v>
      </c>
      <c r="Y2" s="22"/>
      <c r="Z2" s="23"/>
      <c r="AA2" s="1"/>
      <c r="AB2" s="1"/>
      <c r="AC2" s="1"/>
      <c r="AE2" s="20">
        <v>0.95</v>
      </c>
      <c r="AF2" s="20">
        <v>0.112</v>
      </c>
      <c r="AG2" s="181"/>
      <c r="AH2" s="181"/>
    </row>
    <row r="3" spans="1:34" x14ac:dyDescent="0.2">
      <c r="A3" s="18" t="s">
        <v>168</v>
      </c>
      <c r="B3" s="19" t="s">
        <v>9</v>
      </c>
      <c r="C3" s="19">
        <v>5</v>
      </c>
      <c r="D3" s="157">
        <f>D$34*Q3</f>
        <v>29.962800000000026</v>
      </c>
      <c r="E3" s="157">
        <f t="shared" ref="E3:F4" si="0">D3*R3</f>
        <v>17.807981955712137</v>
      </c>
      <c r="F3" s="157">
        <f t="shared" si="0"/>
        <v>201.40827591910428</v>
      </c>
      <c r="G3" s="157">
        <f t="shared" ref="G3:G4" si="1">E3*T3</f>
        <v>1.0624822769847155</v>
      </c>
      <c r="H3" s="157">
        <f t="shared" ref="H3:H4" si="2">E3*U3</f>
        <v>0.92026585190521337</v>
      </c>
      <c r="I3" s="157">
        <f t="shared" ref="I3:I4" si="3">D$37*W3</f>
        <v>0</v>
      </c>
      <c r="J3" s="157">
        <f>I3*V3</f>
        <v>0</v>
      </c>
      <c r="K3" s="157">
        <f>I3*X3</f>
        <v>0</v>
      </c>
      <c r="L3" s="158"/>
      <c r="M3" s="158"/>
      <c r="N3" s="158"/>
      <c r="O3" s="158"/>
      <c r="Q3" s="161">
        <f t="shared" ref="Q3:Q4" si="4">AE3</f>
        <v>5.0000000000000044E-2</v>
      </c>
      <c r="R3" s="116">
        <v>0.59433637562951802</v>
      </c>
      <c r="S3" s="115">
        <v>11.31</v>
      </c>
      <c r="T3" s="116">
        <v>5.9663261094214597E-2</v>
      </c>
      <c r="U3" s="20">
        <v>5.1677155457248561E-2</v>
      </c>
      <c r="V3" s="115">
        <v>3.3584905660377364</v>
      </c>
      <c r="W3" s="161">
        <f t="shared" ref="W3:W4" si="5">(AF3/SUM(AF$2:AF$22))*0.98</f>
        <v>0</v>
      </c>
      <c r="X3" s="20">
        <v>0</v>
      </c>
      <c r="Y3" s="22"/>
      <c r="Z3" s="23"/>
      <c r="AA3" s="1"/>
      <c r="AB3" s="1"/>
      <c r="AC3" s="1"/>
      <c r="AE3" s="20">
        <f>1-AE2</f>
        <v>5.0000000000000044E-2</v>
      </c>
      <c r="AF3" s="20">
        <v>0</v>
      </c>
      <c r="AG3" s="181"/>
      <c r="AH3" s="181"/>
    </row>
    <row r="4" spans="1:34" x14ac:dyDescent="0.2">
      <c r="B4" s="19" t="s">
        <v>9</v>
      </c>
      <c r="C4" s="19">
        <v>5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655</v>
      </c>
      <c r="B7" s="19" t="s">
        <v>256</v>
      </c>
      <c r="C7" s="19">
        <v>5</v>
      </c>
      <c r="D7" s="158"/>
      <c r="E7" s="158"/>
      <c r="F7" s="158"/>
      <c r="G7" s="158"/>
      <c r="H7" s="158"/>
      <c r="I7" s="157">
        <f t="shared" ref="I7:I12" si="6">D$37*W7</f>
        <v>211.38682320000001</v>
      </c>
      <c r="J7" s="157">
        <f>I7*V7</f>
        <v>942.78523147200008</v>
      </c>
      <c r="K7" s="157">
        <f>I7*X7</f>
        <v>8.0326992815999994</v>
      </c>
      <c r="L7" s="157">
        <f>((D$2+D$3+D$4)*AA7)</f>
        <v>24.66537696</v>
      </c>
      <c r="M7" s="157">
        <f t="shared" ref="M7:N12" si="7">L7*Y7</f>
        <v>18.47870666302931</v>
      </c>
      <c r="N7" s="157">
        <f t="shared" si="7"/>
        <v>125.65520530859931</v>
      </c>
      <c r="O7" s="157">
        <f>M7*AH7</f>
        <v>0.66523343986905514</v>
      </c>
      <c r="Q7" s="14"/>
      <c r="R7" s="149"/>
      <c r="S7" s="148"/>
      <c r="T7" s="149"/>
      <c r="U7" s="149"/>
      <c r="V7" s="21">
        <v>4.46</v>
      </c>
      <c r="W7" s="161">
        <f t="shared" ref="W7:W12" si="8">(AF7/SUM(AF$2:AF$22))*0.98</f>
        <v>0.4753</v>
      </c>
      <c r="X7" s="20">
        <v>3.7999999999999999E-2</v>
      </c>
      <c r="Y7" s="20">
        <v>0.74917592757638962</v>
      </c>
      <c r="Z7" s="21">
        <v>6.8</v>
      </c>
      <c r="AA7" s="161">
        <f>(AG7/SUM(AG$7:AG$27))*0.98</f>
        <v>4.1160000000000002E-2</v>
      </c>
      <c r="AB7" s="8">
        <v>0.1070680511147743</v>
      </c>
      <c r="AC7" s="161">
        <f>(AH7/SUM(AH$7:AH$27))*0.98</f>
        <v>4.3717472118959107E-2</v>
      </c>
      <c r="AE7" s="181"/>
      <c r="AF7" s="20">
        <v>0.48499999999999999</v>
      </c>
      <c r="AG7" s="20">
        <v>4.2000000000000003E-2</v>
      </c>
      <c r="AH7" s="20">
        <v>3.5999999999999997E-2</v>
      </c>
    </row>
    <row r="8" spans="1:34" x14ac:dyDescent="0.2">
      <c r="A8" s="186" t="s">
        <v>191</v>
      </c>
      <c r="B8" s="19" t="s">
        <v>256</v>
      </c>
      <c r="C8" s="19">
        <v>5</v>
      </c>
      <c r="D8" s="158"/>
      <c r="E8" s="158"/>
      <c r="F8" s="158"/>
      <c r="G8" s="158"/>
      <c r="H8" s="158"/>
      <c r="I8" s="157">
        <f t="shared" si="6"/>
        <v>11.332077120000001</v>
      </c>
      <c r="J8" s="157">
        <f>I8*V8</f>
        <v>47.368082361600003</v>
      </c>
      <c r="K8" s="157">
        <f>I8*X8</f>
        <v>0.35129439072000002</v>
      </c>
      <c r="L8" s="157">
        <f>((D$2+D$3+D$4)*AA8)</f>
        <v>8.2217923199999987</v>
      </c>
      <c r="M8" s="157">
        <f t="shared" si="7"/>
        <v>6.1488542708693501</v>
      </c>
      <c r="N8" s="157">
        <f t="shared" si="7"/>
        <v>47.961063312780929</v>
      </c>
      <c r="O8" s="157">
        <f t="shared" ref="O8:O12" si="9">M8*AH8</f>
        <v>0.25825187937651273</v>
      </c>
      <c r="Q8" s="14"/>
      <c r="R8" s="149"/>
      <c r="S8" s="148"/>
      <c r="T8" s="149"/>
      <c r="U8" s="149"/>
      <c r="V8" s="21">
        <v>4.18</v>
      </c>
      <c r="W8" s="161">
        <f t="shared" si="8"/>
        <v>2.5479999999999999E-2</v>
      </c>
      <c r="X8" s="20">
        <v>3.1E-2</v>
      </c>
      <c r="Y8" s="20">
        <v>0.74787273036706325</v>
      </c>
      <c r="Z8" s="21">
        <v>7.8</v>
      </c>
      <c r="AA8" s="161">
        <f t="shared" ref="AA8:AA12" si="10">(AG8/SUM(AG$7:AG$27))*0.98</f>
        <v>1.372E-2</v>
      </c>
      <c r="AB8" s="8">
        <v>3.8978641072082904E-2</v>
      </c>
      <c r="AC8" s="161">
        <f t="shared" ref="AC8:AC12" si="11">(AH8/SUM(AH$7:AH$27))*0.98</f>
        <v>5.1003717472118966E-2</v>
      </c>
      <c r="AE8" s="181"/>
      <c r="AF8" s="20">
        <v>2.5999999999999999E-2</v>
      </c>
      <c r="AG8" s="20">
        <v>1.4E-2</v>
      </c>
      <c r="AH8" s="20">
        <v>4.2000000000000003E-2</v>
      </c>
    </row>
    <row r="9" spans="1:34" x14ac:dyDescent="0.2">
      <c r="A9" s="186" t="s">
        <v>645</v>
      </c>
      <c r="B9" s="19" t="s">
        <v>256</v>
      </c>
      <c r="C9" s="19">
        <v>5</v>
      </c>
      <c r="D9" s="158"/>
      <c r="E9" s="158"/>
      <c r="F9" s="158"/>
      <c r="G9" s="158"/>
      <c r="H9" s="158"/>
      <c r="I9" s="157">
        <f t="shared" si="6"/>
        <v>141.21511488000002</v>
      </c>
      <c r="J9" s="157">
        <f>I9*V9</f>
        <v>612.87359857920001</v>
      </c>
      <c r="K9" s="157">
        <f>I9*X9</f>
        <v>5.5073894803200005</v>
      </c>
      <c r="L9" s="157">
        <f>((D$2+D$3+D$4)*AA9)</f>
        <v>52.854379199999997</v>
      </c>
      <c r="M9" s="157">
        <f t="shared" si="7"/>
        <v>38.63682563336932</v>
      </c>
      <c r="N9" s="157">
        <f t="shared" si="7"/>
        <v>312.95828763029147</v>
      </c>
      <c r="O9" s="157">
        <f t="shared" si="9"/>
        <v>1.5841098509681422</v>
      </c>
      <c r="Q9" s="14"/>
      <c r="R9" s="149"/>
      <c r="S9" s="148"/>
      <c r="T9" s="149"/>
      <c r="U9" s="149"/>
      <c r="V9" s="21">
        <v>4.34</v>
      </c>
      <c r="W9" s="161">
        <f t="shared" si="8"/>
        <v>0.31752000000000002</v>
      </c>
      <c r="X9" s="20">
        <v>3.9E-2</v>
      </c>
      <c r="Y9" s="20">
        <v>0.73100519234495753</v>
      </c>
      <c r="Z9" s="21">
        <v>8.1</v>
      </c>
      <c r="AA9" s="161">
        <f t="shared" si="10"/>
        <v>8.8200000000000001E-2</v>
      </c>
      <c r="AB9" s="8">
        <v>3.6429375557923881E-2</v>
      </c>
      <c r="AC9" s="161">
        <f t="shared" si="11"/>
        <v>4.9789343246592323E-2</v>
      </c>
      <c r="AE9" s="181"/>
      <c r="AF9" s="20">
        <v>0.32400000000000001</v>
      </c>
      <c r="AG9" s="20">
        <v>0.09</v>
      </c>
      <c r="AH9" s="20">
        <v>4.1000000000000002E-2</v>
      </c>
    </row>
    <row r="10" spans="1:34" x14ac:dyDescent="0.2">
      <c r="A10" s="186" t="s">
        <v>662</v>
      </c>
      <c r="B10" s="19" t="s">
        <v>256</v>
      </c>
      <c r="C10" s="19">
        <v>5</v>
      </c>
      <c r="D10" s="158"/>
      <c r="E10" s="158"/>
      <c r="F10" s="158"/>
      <c r="G10" s="158"/>
      <c r="H10" s="158"/>
      <c r="I10" s="157">
        <f t="shared" si="6"/>
        <v>23.100003360000002</v>
      </c>
      <c r="J10" s="157">
        <f t="shared" ref="J10:J12" si="12">I10*V10</f>
        <v>97.020014112000013</v>
      </c>
      <c r="K10" s="157">
        <f t="shared" ref="K10:K12" si="13">I10*X10</f>
        <v>0.76230011088000016</v>
      </c>
      <c r="L10" s="157">
        <f t="shared" ref="L10:L12" si="14">((D$2+D$3+D$4)*AA10)</f>
        <v>18.20539728</v>
      </c>
      <c r="M10" s="157">
        <f t="shared" si="7"/>
        <v>13.54481557632</v>
      </c>
      <c r="N10" s="157">
        <f t="shared" si="7"/>
        <v>103.48239100308479</v>
      </c>
      <c r="O10" s="157">
        <f t="shared" si="9"/>
        <v>0.59597188535807999</v>
      </c>
      <c r="Q10" s="14"/>
      <c r="R10" s="149"/>
      <c r="S10" s="148"/>
      <c r="T10" s="149"/>
      <c r="U10" s="149"/>
      <c r="V10" s="21">
        <v>4.2</v>
      </c>
      <c r="W10" s="161">
        <f t="shared" si="8"/>
        <v>5.194E-2</v>
      </c>
      <c r="X10" s="20">
        <v>3.3000000000000002E-2</v>
      </c>
      <c r="Y10" s="20">
        <v>0.74399999999999999</v>
      </c>
      <c r="Z10" s="21">
        <v>7.64</v>
      </c>
      <c r="AA10" s="161">
        <f t="shared" si="10"/>
        <v>3.0380000000000001E-2</v>
      </c>
      <c r="AB10" s="8">
        <v>5.3838524086909662E-3</v>
      </c>
      <c r="AC10" s="161">
        <f t="shared" si="11"/>
        <v>5.3432465923172238E-2</v>
      </c>
      <c r="AE10" s="181"/>
      <c r="AF10" s="20">
        <v>5.2999999999999999E-2</v>
      </c>
      <c r="AG10" s="20">
        <v>3.1E-2</v>
      </c>
      <c r="AH10" s="20">
        <v>4.3999999999999997E-2</v>
      </c>
    </row>
    <row r="11" spans="1:34" x14ac:dyDescent="0.2">
      <c r="A11" s="186"/>
      <c r="B11" s="19" t="s">
        <v>256</v>
      </c>
      <c r="C11" s="19">
        <v>5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1.8730144186191514E-2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5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201</v>
      </c>
      <c r="B15" s="19" t="s">
        <v>257</v>
      </c>
      <c r="C15" s="19">
        <v>5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128.61232272000001</v>
      </c>
      <c r="M15" s="157">
        <f t="shared" ref="M15:N22" si="19">L15*Y15</f>
        <v>81.258506313851001</v>
      </c>
      <c r="N15" s="157">
        <f t="shared" si="19"/>
        <v>1009.2306484180294</v>
      </c>
      <c r="O15" s="157">
        <f t="shared" ref="O15:O22" si="20">M15*AH15</f>
        <v>7.800816606129696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0.63180964774858861</v>
      </c>
      <c r="Z15" s="21">
        <v>12.42</v>
      </c>
      <c r="AA15" s="161">
        <f t="shared" ref="AA15:AA22" si="22">(AG15/SUM(AG$7:AG$27))*0.98</f>
        <v>0.21462000000000001</v>
      </c>
      <c r="AB15" s="8">
        <v>0.20728868073355985</v>
      </c>
      <c r="AC15" s="161">
        <f t="shared" ref="AC15:AC22" si="23">(AH15/SUM(AH$7:AH$27))*0.98</f>
        <v>0.11657992565055762</v>
      </c>
      <c r="AE15" s="181"/>
      <c r="AF15" s="20">
        <v>0</v>
      </c>
      <c r="AG15" s="20">
        <v>0.219</v>
      </c>
      <c r="AH15" s="20">
        <v>9.6000000000000002E-2</v>
      </c>
    </row>
    <row r="16" spans="1:34" x14ac:dyDescent="0.2">
      <c r="A16" s="18" t="s">
        <v>75</v>
      </c>
      <c r="B16" s="19" t="s">
        <v>257</v>
      </c>
      <c r="C16" s="19">
        <v>5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118.62871775999999</v>
      </c>
      <c r="M16" s="157">
        <f t="shared" si="19"/>
        <v>79.499860399075558</v>
      </c>
      <c r="N16" s="157">
        <f t="shared" si="19"/>
        <v>1009.6482270682595</v>
      </c>
      <c r="O16" s="157">
        <f t="shared" si="20"/>
        <v>6.5984884131232713</v>
      </c>
      <c r="Q16" s="14"/>
      <c r="R16" s="149"/>
      <c r="S16" s="148"/>
      <c r="T16" s="149"/>
      <c r="U16" s="149"/>
      <c r="V16" s="21">
        <v>0</v>
      </c>
      <c r="W16" s="161">
        <f t="shared" si="21"/>
        <v>0</v>
      </c>
      <c r="X16" s="20">
        <v>0</v>
      </c>
      <c r="Y16" s="20">
        <v>0.67015695609146886</v>
      </c>
      <c r="Z16" s="21">
        <v>12.7</v>
      </c>
      <c r="AA16" s="161">
        <f t="shared" si="22"/>
        <v>0.19796</v>
      </c>
      <c r="AB16" s="8">
        <v>0.22006126333134546</v>
      </c>
      <c r="AC16" s="161">
        <f t="shared" si="23"/>
        <v>0.10079306071871129</v>
      </c>
      <c r="AE16" s="181"/>
      <c r="AF16" s="20">
        <v>0</v>
      </c>
      <c r="AG16" s="20">
        <v>0.20200000000000001</v>
      </c>
      <c r="AH16" s="20">
        <v>8.3000000000000004E-2</v>
      </c>
    </row>
    <row r="17" spans="1:34" x14ac:dyDescent="0.2">
      <c r="A17" s="18" t="s">
        <v>576</v>
      </c>
      <c r="B17" s="19" t="s">
        <v>257</v>
      </c>
      <c r="C17" s="19">
        <v>5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14.094501119999999</v>
      </c>
      <c r="M17" s="157">
        <f t="shared" si="19"/>
        <v>8.7063341982299498</v>
      </c>
      <c r="N17" s="157">
        <f t="shared" si="19"/>
        <v>103.6053769589364</v>
      </c>
      <c r="O17" s="157">
        <f t="shared" si="20"/>
        <v>0.56591172288494673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0.61771141270659957</v>
      </c>
      <c r="Z17" s="21">
        <v>11.9</v>
      </c>
      <c r="AA17" s="161">
        <f t="shared" si="22"/>
        <v>2.3519999999999999E-2</v>
      </c>
      <c r="AB17" s="8">
        <v>8.3548874942313098E-2</v>
      </c>
      <c r="AC17" s="161">
        <f t="shared" si="23"/>
        <v>7.8934324659231739E-2</v>
      </c>
      <c r="AE17" s="181"/>
      <c r="AF17" s="20">
        <v>0</v>
      </c>
      <c r="AG17" s="20">
        <v>2.4E-2</v>
      </c>
      <c r="AH17" s="20">
        <v>6.5000000000000002E-2</v>
      </c>
    </row>
    <row r="18" spans="1:34" x14ac:dyDescent="0.2">
      <c r="A18" s="18" t="s">
        <v>704</v>
      </c>
      <c r="B18" s="19" t="s">
        <v>257</v>
      </c>
      <c r="C18" s="19">
        <v>5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18.20539728</v>
      </c>
      <c r="M18" s="157">
        <f t="shared" si="19"/>
        <v>11.17811392992</v>
      </c>
      <c r="N18" s="157">
        <f t="shared" si="19"/>
        <v>114.57566778168</v>
      </c>
      <c r="O18" s="157">
        <f t="shared" si="20"/>
        <v>0.73775551937472006</v>
      </c>
      <c r="Q18" s="14"/>
      <c r="R18" s="149"/>
      <c r="S18" s="148"/>
      <c r="T18" s="149"/>
      <c r="U18" s="149"/>
      <c r="V18" s="21">
        <v>2.8690476190476186</v>
      </c>
      <c r="W18" s="161">
        <f t="shared" si="21"/>
        <v>0</v>
      </c>
      <c r="X18" s="20">
        <v>1.1904761904761906E-2</v>
      </c>
      <c r="Y18" s="20">
        <v>0.61399999999999999</v>
      </c>
      <c r="Z18" s="21">
        <v>10.25</v>
      </c>
      <c r="AA18" s="161">
        <f t="shared" si="22"/>
        <v>3.0380000000000001E-2</v>
      </c>
      <c r="AB18" s="8">
        <v>3.5415477643150291E-2</v>
      </c>
      <c r="AC18" s="161">
        <f t="shared" si="23"/>
        <v>8.0148698884758382E-2</v>
      </c>
      <c r="AE18" s="181"/>
      <c r="AF18" s="20">
        <v>0</v>
      </c>
      <c r="AG18" s="20">
        <v>3.1E-2</v>
      </c>
      <c r="AH18" s="20">
        <v>6.6000000000000003E-2</v>
      </c>
    </row>
    <row r="19" spans="1:34" x14ac:dyDescent="0.2">
      <c r="A19" s="18" t="s">
        <v>646</v>
      </c>
      <c r="B19" s="19" t="s">
        <v>257</v>
      </c>
      <c r="C19" s="19">
        <v>5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105.12148751999999</v>
      </c>
      <c r="M19" s="157">
        <f t="shared" si="19"/>
        <v>67.515846007758839</v>
      </c>
      <c r="N19" s="157">
        <f t="shared" si="19"/>
        <v>811.54046901326126</v>
      </c>
      <c r="O19" s="157">
        <f t="shared" si="20"/>
        <v>6.4140053707370894</v>
      </c>
      <c r="Q19" s="14"/>
      <c r="R19" s="149"/>
      <c r="S19" s="148"/>
      <c r="T19" s="149"/>
      <c r="U19" s="149"/>
      <c r="V19" s="21">
        <v>2.4285714285714284</v>
      </c>
      <c r="W19" s="161">
        <f t="shared" si="21"/>
        <v>0</v>
      </c>
      <c r="X19" s="20">
        <v>5.7142857142857151E-3</v>
      </c>
      <c r="Y19" s="20">
        <v>0.64226494126534828</v>
      </c>
      <c r="Z19" s="21">
        <v>12.02</v>
      </c>
      <c r="AA19" s="161">
        <f t="shared" si="22"/>
        <v>0.17541999999999999</v>
      </c>
      <c r="AB19" s="8">
        <v>2.690521441900991E-2</v>
      </c>
      <c r="AC19" s="161">
        <f t="shared" si="23"/>
        <v>0.11536555142503098</v>
      </c>
      <c r="AE19" s="181"/>
      <c r="AF19" s="20">
        <v>0</v>
      </c>
      <c r="AG19" s="20">
        <v>0.17899999999999999</v>
      </c>
      <c r="AH19" s="20">
        <v>9.5000000000000001E-2</v>
      </c>
    </row>
    <row r="20" spans="1:34" x14ac:dyDescent="0.2">
      <c r="B20" s="19" t="s">
        <v>257</v>
      </c>
      <c r="C20" s="19">
        <v>5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0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5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0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5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44</v>
      </c>
      <c r="B24" s="19" t="s">
        <v>10</v>
      </c>
      <c r="C24" s="19">
        <v>5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64.599796799999993</v>
      </c>
      <c r="M24" s="157">
        <f t="shared" ref="M24:N27" si="24">L24*Y24</f>
        <v>47.044538013627665</v>
      </c>
      <c r="N24" s="157">
        <f t="shared" si="24"/>
        <v>478.08159677085217</v>
      </c>
      <c r="O24" s="157">
        <f t="shared" ref="O24:O27" si="25">M24*AH24</f>
        <v>4.2340084212264895</v>
      </c>
      <c r="Q24" s="14"/>
      <c r="R24" s="149"/>
      <c r="S24" s="148"/>
      <c r="T24" s="149"/>
      <c r="U24" s="149"/>
      <c r="V24" s="150"/>
      <c r="W24" s="165"/>
      <c r="X24" s="149"/>
      <c r="Y24" s="20">
        <v>0.72824591320738752</v>
      </c>
      <c r="Z24" s="115">
        <v>10.162318878173775</v>
      </c>
      <c r="AA24" s="161">
        <f t="shared" ref="AA24:AA27" si="26">(AG24/SUM(AG$7:AG$27))*0.98</f>
        <v>0.10779999999999999</v>
      </c>
      <c r="AB24" s="8">
        <v>0.12027831168368815</v>
      </c>
      <c r="AC24" s="161">
        <f t="shared" ref="AC24:AC27" si="27">(AH24/SUM(AH$7:AH$27))*0.98</f>
        <v>0.10929368029739776</v>
      </c>
      <c r="AE24" s="181"/>
      <c r="AF24" s="181"/>
      <c r="AG24" s="20">
        <v>0.11</v>
      </c>
      <c r="AH24" s="20">
        <v>0.09</v>
      </c>
    </row>
    <row r="25" spans="1:34" x14ac:dyDescent="0.2">
      <c r="A25" s="18" t="s">
        <v>76</v>
      </c>
      <c r="B25" s="19" t="s">
        <v>10</v>
      </c>
      <c r="C25" s="19">
        <v>5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28.189002239999997</v>
      </c>
      <c r="M25" s="157">
        <f t="shared" si="24"/>
        <v>20.938360802748882</v>
      </c>
      <c r="N25" s="157">
        <f t="shared" si="24"/>
        <v>221.94662450913813</v>
      </c>
      <c r="O25" s="157">
        <f t="shared" si="25"/>
        <v>1.7169455858254083</v>
      </c>
      <c r="Q25" s="14"/>
      <c r="R25" s="149"/>
      <c r="S25" s="148"/>
      <c r="T25" s="149"/>
      <c r="U25" s="149"/>
      <c r="V25" s="150"/>
      <c r="W25" s="165"/>
      <c r="X25" s="149"/>
      <c r="Y25" s="20">
        <v>0.74278474365571889</v>
      </c>
      <c r="Z25" s="115">
        <v>10.6</v>
      </c>
      <c r="AA25" s="161">
        <f t="shared" si="26"/>
        <v>4.7039999999999998E-2</v>
      </c>
      <c r="AB25" s="8">
        <v>5.9721342767752948E-2</v>
      </c>
      <c r="AC25" s="161">
        <f t="shared" si="27"/>
        <v>9.9578686493184645E-2</v>
      </c>
      <c r="AE25" s="181"/>
      <c r="AF25" s="181"/>
      <c r="AG25" s="20">
        <v>4.8000000000000001E-2</v>
      </c>
      <c r="AH25" s="20">
        <v>8.2000000000000003E-2</v>
      </c>
    </row>
    <row r="26" spans="1:34" x14ac:dyDescent="0.2">
      <c r="A26" s="18" t="s">
        <v>223</v>
      </c>
      <c r="B26" s="19" t="s">
        <v>10</v>
      </c>
      <c r="C26" s="19">
        <v>5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5.8727087999999998</v>
      </c>
      <c r="M26" s="157">
        <f t="shared" si="24"/>
        <v>4.2053098437589247</v>
      </c>
      <c r="N26" s="157">
        <f t="shared" si="24"/>
        <v>43.474611624211988</v>
      </c>
      <c r="O26" s="157">
        <f t="shared" si="25"/>
        <v>0.28175575953184795</v>
      </c>
      <c r="Q26" s="14"/>
      <c r="R26" s="149"/>
      <c r="S26" s="148"/>
      <c r="T26" s="149"/>
      <c r="U26" s="149"/>
      <c r="V26" s="150"/>
      <c r="W26" s="165"/>
      <c r="X26" s="149"/>
      <c r="Y26" s="20">
        <v>0.71607668402678593</v>
      </c>
      <c r="Z26" s="115">
        <v>10.338028169014086</v>
      </c>
      <c r="AA26" s="161">
        <f t="shared" si="26"/>
        <v>9.7999999999999997E-3</v>
      </c>
      <c r="AB26" s="8">
        <v>1.5190770139516549E-2</v>
      </c>
      <c r="AC26" s="161">
        <f t="shared" si="27"/>
        <v>8.1363073110285011E-2</v>
      </c>
      <c r="AE26" s="181"/>
      <c r="AF26" s="181"/>
      <c r="AG26" s="20">
        <v>0.01</v>
      </c>
      <c r="AH26" s="20">
        <v>6.7000000000000004E-2</v>
      </c>
    </row>
    <row r="27" spans="1:34" x14ac:dyDescent="0.2">
      <c r="B27" s="19" t="s">
        <v>10</v>
      </c>
      <c r="C27" s="19">
        <v>5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0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0.97499999999999998</v>
      </c>
      <c r="AC30" s="161">
        <f>SUM(AC7:AC27)</f>
        <v>0.98000000000000009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1044</v>
      </c>
      <c r="E31" s="48">
        <v>0.57399999999999995</v>
      </c>
      <c r="F31" s="2">
        <f>1-E31</f>
        <v>0.42600000000000005</v>
      </c>
      <c r="G31" s="114">
        <v>4.4000000000000004</v>
      </c>
      <c r="H31" s="134">
        <v>3.5499999999999997E-2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599.25599999999997</v>
      </c>
      <c r="E34" s="167">
        <f>SUM(E2:E4)</f>
        <v>405.47985369794606</v>
      </c>
      <c r="F34" s="167">
        <f>SUM(F2:F4)</f>
        <v>4388.2644907352305</v>
      </c>
      <c r="G34" s="167">
        <f>SUM(G2:G4)</f>
        <v>31.455957021575855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444.74400000000003</v>
      </c>
      <c r="E37" s="167">
        <f>D37*G31</f>
        <v>1956.8736000000004</v>
      </c>
      <c r="F37" s="167">
        <f>D37*H31</f>
        <v>15.788411999999999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435.84912000000003</v>
      </c>
      <c r="E40" s="168">
        <f>SUM(J2:J4,J7:J12,J15:J22)</f>
        <v>1944.243483542733</v>
      </c>
      <c r="F40" s="168">
        <f>SUM(K2:K4,K7:K12,K15:K22)</f>
        <v>15.776430596639999</v>
      </c>
      <c r="G40" s="168">
        <f>SUM(L7:L12,L15:L22,L24:L27)</f>
        <v>587.27088000000015</v>
      </c>
      <c r="H40" s="168">
        <f>SUM(M7:M12,M15:M22,M24:M27)</f>
        <v>397.15607165255881</v>
      </c>
      <c r="I40" s="168">
        <f>SUM(N7:N12,N15:N22,N24:N27)</f>
        <v>4382.1601693991252</v>
      </c>
      <c r="J40" s="168">
        <f>SUM(O7:O12,O15:O22,O24:O27)</f>
        <v>31.453254454405261</v>
      </c>
    </row>
    <row r="41" spans="1:32" ht="15" thickTop="1" x14ac:dyDescent="0.2">
      <c r="D41" s="169">
        <f>D37-D40</f>
        <v>8.8948800000000006</v>
      </c>
      <c r="E41" s="169">
        <f>E37-E40</f>
        <v>12.630116457267377</v>
      </c>
      <c r="F41" s="169">
        <f>F37-F40</f>
        <v>1.1981403360000087E-2</v>
      </c>
      <c r="G41" s="169">
        <f>SUM(D2:D4)-G40</f>
        <v>11.985119999999824</v>
      </c>
      <c r="H41" s="169">
        <f>E34-H40</f>
        <v>8.3237820453872473</v>
      </c>
      <c r="I41" s="169">
        <f>F34-I40</f>
        <v>6.1043213361053859</v>
      </c>
      <c r="J41" s="169">
        <f>G34-J40</f>
        <v>2.70256717059425E-3</v>
      </c>
    </row>
    <row r="42" spans="1:32" x14ac:dyDescent="0.2">
      <c r="N42" s="24"/>
      <c r="O42" s="24"/>
    </row>
    <row r="43" spans="1:32" x14ac:dyDescent="0.2">
      <c r="N43" s="24"/>
      <c r="O43" s="24"/>
    </row>
    <row r="44" spans="1:32" x14ac:dyDescent="0.2">
      <c r="N44" s="24"/>
      <c r="O44" s="24"/>
    </row>
    <row r="45" spans="1:32" x14ac:dyDescent="0.2">
      <c r="L45" s="19"/>
      <c r="M45" s="27"/>
      <c r="N45" s="24"/>
      <c r="O45" s="27"/>
      <c r="P45" s="26"/>
      <c r="S45" s="27"/>
      <c r="T45" s="26"/>
      <c r="U45" s="26"/>
      <c r="V45" s="27"/>
      <c r="W45" s="27"/>
      <c r="X45" s="19"/>
      <c r="Y45" s="19"/>
      <c r="Z45" s="19"/>
      <c r="AC45" s="19"/>
    </row>
  </sheetData>
  <sheetProtection selectLockedCells="1"/>
  <conditionalFormatting sqref="D41:J41">
    <cfRule type="cellIs" dxfId="11" priority="1" operator="lessThan">
      <formula>0</formula>
    </cfRule>
  </conditionalFormatting>
  <conditionalFormatting sqref="W30">
    <cfRule type="cellIs" dxfId="10" priority="2" operator="greaterThan">
      <formula>1</formula>
    </cfRule>
  </conditionalFormatting>
  <conditionalFormatting sqref="AA30:AG30">
    <cfRule type="cellIs" dxfId="9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tabColor rgb="FFDA0000"/>
  </sheetPr>
  <dimension ref="A1:AH41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534</v>
      </c>
      <c r="B2" s="19" t="s">
        <v>9</v>
      </c>
      <c r="C2" s="19">
        <v>5</v>
      </c>
      <c r="D2" s="157">
        <f>D$34*Q2</f>
        <v>114.05439999999999</v>
      </c>
      <c r="E2" s="157">
        <f>D2*R2</f>
        <v>70.749425965644164</v>
      </c>
      <c r="F2" s="157">
        <f>E2*S2</f>
        <v>748.76121173459342</v>
      </c>
      <c r="G2" s="157">
        <f>E2*T2</f>
        <v>4.3440147542905523</v>
      </c>
      <c r="H2" s="157">
        <f>E2*U2</f>
        <v>2.8833490381884426</v>
      </c>
      <c r="I2" s="157">
        <f>D$37*W2</f>
        <v>5.9507481600000007</v>
      </c>
      <c r="J2" s="157">
        <f>I2*V2</f>
        <v>15.483419985821053</v>
      </c>
      <c r="K2" s="157">
        <f>I2*X2</f>
        <v>0.19637468928000004</v>
      </c>
      <c r="L2" s="158"/>
      <c r="M2" s="158"/>
      <c r="N2" s="158"/>
      <c r="O2" s="158"/>
      <c r="Q2" s="161">
        <f>AE2</f>
        <v>0.2</v>
      </c>
      <c r="R2" s="116">
        <v>0.62031299069254819</v>
      </c>
      <c r="S2" s="115">
        <v>10.583283207106033</v>
      </c>
      <c r="T2" s="116">
        <v>6.1400000000000003E-2</v>
      </c>
      <c r="U2" s="20">
        <v>4.0754380672835329E-2</v>
      </c>
      <c r="V2" s="115">
        <v>2.6019282902775456</v>
      </c>
      <c r="W2" s="161">
        <f>(AF2/SUM(AF$2:AF$22))*0.98</f>
        <v>1.372E-2</v>
      </c>
      <c r="X2" s="20">
        <v>3.3000000000000002E-2</v>
      </c>
      <c r="Y2" s="22"/>
      <c r="Z2" s="23"/>
      <c r="AA2" s="1"/>
      <c r="AB2" s="1"/>
      <c r="AC2" s="1"/>
      <c r="AE2" s="20">
        <v>0.2</v>
      </c>
      <c r="AF2" s="20">
        <v>1.4E-2</v>
      </c>
      <c r="AG2" s="181"/>
      <c r="AH2" s="181"/>
    </row>
    <row r="3" spans="1:34" x14ac:dyDescent="0.2">
      <c r="A3" s="18" t="s">
        <v>572</v>
      </c>
      <c r="B3" s="19" t="s">
        <v>9</v>
      </c>
      <c r="C3" s="19">
        <v>5</v>
      </c>
      <c r="D3" s="157">
        <f>D$34*Q3</f>
        <v>456.21759999999995</v>
      </c>
      <c r="E3" s="157">
        <f t="shared" ref="E3:F4" si="0">D3*R3</f>
        <v>289.08781871504112</v>
      </c>
      <c r="F3" s="157">
        <f t="shared" si="0"/>
        <v>3078.7852693151881</v>
      </c>
      <c r="G3" s="157">
        <f t="shared" ref="G3:G4" si="1">E3*T3</f>
        <v>17.952353542204055</v>
      </c>
      <c r="H3" s="157">
        <f t="shared" ref="H3:H4" si="2">E3*U3</f>
        <v>11.13476716499976</v>
      </c>
      <c r="I3" s="157">
        <f t="shared" ref="I3:I4" si="3">D$37*W3</f>
        <v>27.203420160000004</v>
      </c>
      <c r="J3" s="157">
        <f>I3*V3</f>
        <v>82.745715311845856</v>
      </c>
      <c r="K3" s="157">
        <f>I3*X3</f>
        <v>0.95211970560000025</v>
      </c>
      <c r="L3" s="158"/>
      <c r="M3" s="158"/>
      <c r="N3" s="158"/>
      <c r="O3" s="158"/>
      <c r="Q3" s="161">
        <f t="shared" ref="Q3:Q4" si="4">AE3</f>
        <v>0.8</v>
      </c>
      <c r="R3" s="116">
        <v>0.63366213560161022</v>
      </c>
      <c r="S3" s="115">
        <v>10.65</v>
      </c>
      <c r="T3" s="116">
        <v>6.2100000000000002E-2</v>
      </c>
      <c r="U3" s="20">
        <v>3.8516901938284338E-2</v>
      </c>
      <c r="V3" s="115">
        <v>3.0417394145724153</v>
      </c>
      <c r="W3" s="161">
        <f t="shared" ref="W3:W4" si="5">(AF3/SUM(AF$2:AF$22))*0.98</f>
        <v>6.2719999999999998E-2</v>
      </c>
      <c r="X3" s="20">
        <v>3.5000000000000003E-2</v>
      </c>
      <c r="Y3" s="22"/>
      <c r="Z3" s="23"/>
      <c r="AA3" s="1"/>
      <c r="AB3" s="1"/>
      <c r="AC3" s="1"/>
      <c r="AE3" s="20">
        <v>0.8</v>
      </c>
      <c r="AF3" s="20">
        <v>6.4000000000000001E-2</v>
      </c>
      <c r="AG3" s="181"/>
      <c r="AH3" s="181"/>
    </row>
    <row r="4" spans="1:34" x14ac:dyDescent="0.2">
      <c r="B4" s="19" t="s">
        <v>9</v>
      </c>
      <c r="C4" s="19">
        <v>5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21">
        <v>0</v>
      </c>
      <c r="T4" s="116">
        <v>0</v>
      </c>
      <c r="U4" s="20">
        <v>0</v>
      </c>
      <c r="V4" s="21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/>
      <c r="AF4" s="20"/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516</v>
      </c>
      <c r="B7" s="19" t="s">
        <v>256</v>
      </c>
      <c r="C7" s="19">
        <v>5</v>
      </c>
      <c r="D7" s="158"/>
      <c r="E7" s="158"/>
      <c r="F7" s="158"/>
      <c r="G7" s="158"/>
      <c r="H7" s="158"/>
      <c r="I7" s="157">
        <f t="shared" ref="I7:I12" si="6">D$37*W7</f>
        <v>241.43035391999999</v>
      </c>
      <c r="J7" s="157">
        <f>I7*V7</f>
        <v>1028.4933076991999</v>
      </c>
      <c r="K7" s="157">
        <f>I7*X7</f>
        <v>6.0357588480000004</v>
      </c>
      <c r="L7" s="157">
        <f>((D$2+D$3+D$4)*AA7)</f>
        <v>62.593054719999991</v>
      </c>
      <c r="M7" s="157">
        <f t="shared" ref="M7:N12" si="7">L7*Y7</f>
        <v>47.445535477759996</v>
      </c>
      <c r="N7" s="157">
        <f t="shared" si="7"/>
        <v>332.11874834431995</v>
      </c>
      <c r="O7" s="157">
        <f>M7*AH7</f>
        <v>1.7554848126771199</v>
      </c>
      <c r="Q7" s="14"/>
      <c r="R7" s="149"/>
      <c r="S7" s="148"/>
      <c r="T7" s="149"/>
      <c r="U7" s="149"/>
      <c r="V7" s="21">
        <v>4.26</v>
      </c>
      <c r="W7" s="161">
        <f t="shared" ref="W7:W12" si="8">(AF7/SUM(AF$2:AF$22))*0.98</f>
        <v>0.55663999999999991</v>
      </c>
      <c r="X7" s="20">
        <v>2.5000000000000001E-2</v>
      </c>
      <c r="Y7" s="20">
        <v>0.75800000000000001</v>
      </c>
      <c r="Z7" s="21">
        <v>7</v>
      </c>
      <c r="AA7" s="161">
        <f>(AG7/SUM(AG$7:AG$27))*0.98</f>
        <v>0.10976</v>
      </c>
      <c r="AB7" s="8">
        <v>3.3595991528852176E-2</v>
      </c>
      <c r="AC7" s="161">
        <f>(AH7/SUM(AH$7:AH$27))*0.98</f>
        <v>5.4773413897280958E-2</v>
      </c>
      <c r="AE7" s="181"/>
      <c r="AF7" s="20">
        <v>0.56799999999999995</v>
      </c>
      <c r="AG7" s="20">
        <v>0.112</v>
      </c>
      <c r="AH7" s="20">
        <v>3.6999999999999998E-2</v>
      </c>
    </row>
    <row r="8" spans="1:34" x14ac:dyDescent="0.2">
      <c r="A8" s="186" t="s">
        <v>104</v>
      </c>
      <c r="B8" s="19" t="s">
        <v>256</v>
      </c>
      <c r="C8" s="19">
        <v>5</v>
      </c>
      <c r="D8" s="158"/>
      <c r="E8" s="158"/>
      <c r="F8" s="158"/>
      <c r="G8" s="158"/>
      <c r="H8" s="158"/>
      <c r="I8" s="157">
        <f t="shared" si="6"/>
        <v>54.831893760000007</v>
      </c>
      <c r="J8" s="157">
        <f>I8*V8</f>
        <v>224.48987733141544</v>
      </c>
      <c r="K8" s="157">
        <f>I8*X8</f>
        <v>1.4804611315200003</v>
      </c>
      <c r="L8" s="157">
        <f>((D$2+D$3+D$4)*AA8)</f>
        <v>19.560329599999999</v>
      </c>
      <c r="M8" s="157">
        <f t="shared" si="7"/>
        <v>14.200799289599999</v>
      </c>
      <c r="N8" s="157">
        <f t="shared" si="7"/>
        <v>100.82567495615999</v>
      </c>
      <c r="O8" s="157">
        <f t="shared" ref="O8:O12" si="9">M8*AH8</f>
        <v>0.59643357016319998</v>
      </c>
      <c r="Q8" s="14"/>
      <c r="R8" s="149"/>
      <c r="S8" s="148"/>
      <c r="T8" s="149"/>
      <c r="U8" s="149"/>
      <c r="V8" s="21">
        <v>4.0941478022628743</v>
      </c>
      <c r="W8" s="161">
        <f t="shared" si="8"/>
        <v>0.12642</v>
      </c>
      <c r="X8" s="20">
        <v>2.7E-2</v>
      </c>
      <c r="Y8" s="20">
        <v>0.72599999999999998</v>
      </c>
      <c r="Z8" s="21">
        <v>7.1</v>
      </c>
      <c r="AA8" s="161">
        <f t="shared" ref="AA8:AA12" si="10">(AG8/SUM(AG$7:AG$27))*0.98</f>
        <v>3.4300000000000004E-2</v>
      </c>
      <c r="AB8" s="8">
        <v>7.0896253682675769E-2</v>
      </c>
      <c r="AC8" s="161">
        <f t="shared" ref="AC8:AC12" si="11">(AH8/SUM(AH$7:AH$27))*0.98</f>
        <v>6.2175226586102715E-2</v>
      </c>
      <c r="AE8" s="181"/>
      <c r="AF8" s="20">
        <v>0.129</v>
      </c>
      <c r="AG8" s="20">
        <v>3.5000000000000003E-2</v>
      </c>
      <c r="AH8" s="20">
        <v>4.2000000000000003E-2</v>
      </c>
    </row>
    <row r="9" spans="1:34" x14ac:dyDescent="0.2">
      <c r="A9" s="186" t="s">
        <v>185</v>
      </c>
      <c r="B9" s="19" t="s">
        <v>256</v>
      </c>
      <c r="C9" s="19">
        <v>5</v>
      </c>
      <c r="D9" s="158"/>
      <c r="E9" s="158"/>
      <c r="F9" s="158"/>
      <c r="G9" s="158"/>
      <c r="H9" s="158"/>
      <c r="I9" s="157">
        <f t="shared" si="6"/>
        <v>14.451816960000004</v>
      </c>
      <c r="J9" s="157">
        <f>I9*V9</f>
        <v>57.951786009600013</v>
      </c>
      <c r="K9" s="157">
        <f>I9*X9</f>
        <v>0.37574724096000006</v>
      </c>
      <c r="L9" s="157">
        <f>((D$2+D$3+D$4)*AA9)</f>
        <v>12.295064319999998</v>
      </c>
      <c r="M9" s="157">
        <f t="shared" si="7"/>
        <v>8.6434302169599988</v>
      </c>
      <c r="N9" s="157">
        <f t="shared" si="7"/>
        <v>57.210676484281272</v>
      </c>
      <c r="O9" s="157">
        <f t="shared" si="9"/>
        <v>0.34573720867839997</v>
      </c>
      <c r="Q9" s="14"/>
      <c r="R9" s="149"/>
      <c r="S9" s="148"/>
      <c r="T9" s="149"/>
      <c r="U9" s="149"/>
      <c r="V9" s="21">
        <v>4.01</v>
      </c>
      <c r="W9" s="161">
        <f t="shared" si="8"/>
        <v>3.3320000000000002E-2</v>
      </c>
      <c r="X9" s="20">
        <v>2.5999999999999999E-2</v>
      </c>
      <c r="Y9" s="20">
        <v>0.70299999999999996</v>
      </c>
      <c r="Z9" s="21">
        <v>6.6189782352871216</v>
      </c>
      <c r="AA9" s="161">
        <f t="shared" si="10"/>
        <v>2.1559999999999999E-2</v>
      </c>
      <c r="AB9" s="8">
        <v>5.3655302356648456E-2</v>
      </c>
      <c r="AC9" s="161">
        <f t="shared" si="11"/>
        <v>5.9214501510574016E-2</v>
      </c>
      <c r="AE9" s="181"/>
      <c r="AF9" s="20">
        <v>3.4000000000000002E-2</v>
      </c>
      <c r="AG9" s="20">
        <v>2.1999999999999999E-2</v>
      </c>
      <c r="AH9" s="20">
        <v>0.04</v>
      </c>
    </row>
    <row r="10" spans="1:34" x14ac:dyDescent="0.2">
      <c r="A10" s="186" t="s">
        <v>647</v>
      </c>
      <c r="B10" s="19" t="s">
        <v>256</v>
      </c>
      <c r="C10" s="19">
        <v>5</v>
      </c>
      <c r="D10" s="158"/>
      <c r="E10" s="158"/>
      <c r="F10" s="158"/>
      <c r="G10" s="158"/>
      <c r="H10" s="158"/>
      <c r="I10" s="157">
        <f t="shared" si="6"/>
        <v>76.934672640000002</v>
      </c>
      <c r="J10" s="157">
        <f t="shared" ref="J10:J12" si="12">I10*V10</f>
        <v>321.21355355766678</v>
      </c>
      <c r="K10" s="157">
        <f t="shared" ref="K10:K12" si="13">I10*X10</f>
        <v>2.2311055065600001</v>
      </c>
      <c r="L10" s="157">
        <f t="shared" ref="L10:L12" si="14">((D$2+D$3+D$4)*AA10)</f>
        <v>23.472395519999999</v>
      </c>
      <c r="M10" s="157">
        <f t="shared" si="7"/>
        <v>18.151608966930063</v>
      </c>
      <c r="N10" s="157">
        <f t="shared" si="7"/>
        <v>127.78732712718764</v>
      </c>
      <c r="O10" s="157">
        <f t="shared" si="9"/>
        <v>0.65345792280948223</v>
      </c>
      <c r="Q10" s="14"/>
      <c r="R10" s="149"/>
      <c r="S10" s="148"/>
      <c r="T10" s="149"/>
      <c r="U10" s="149"/>
      <c r="V10" s="21">
        <v>4.1751468165819023</v>
      </c>
      <c r="W10" s="161">
        <f t="shared" si="8"/>
        <v>0.17737999999999998</v>
      </c>
      <c r="X10" s="20">
        <v>2.9000000000000001E-2</v>
      </c>
      <c r="Y10" s="20">
        <v>0.77331727609411305</v>
      </c>
      <c r="Z10" s="21">
        <v>7.04</v>
      </c>
      <c r="AA10" s="161">
        <f t="shared" si="10"/>
        <v>4.1160000000000002E-2</v>
      </c>
      <c r="AB10" s="8">
        <v>1.0415354030662981E-2</v>
      </c>
      <c r="AC10" s="161">
        <f t="shared" si="11"/>
        <v>5.3293051359516605E-2</v>
      </c>
      <c r="AE10" s="181"/>
      <c r="AF10" s="20">
        <v>0.18099999999999999</v>
      </c>
      <c r="AG10" s="20">
        <v>4.2000000000000003E-2</v>
      </c>
      <c r="AH10" s="20">
        <v>3.5999999999999997E-2</v>
      </c>
    </row>
    <row r="11" spans="1:34" x14ac:dyDescent="0.2">
      <c r="A11" s="186"/>
      <c r="B11" s="19" t="s">
        <v>256</v>
      </c>
      <c r="C11" s="19">
        <v>5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0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5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104"/>
      <c r="R13" s="106"/>
      <c r="S13" s="140"/>
      <c r="T13" s="106"/>
      <c r="U13" s="106"/>
      <c r="V13" s="105"/>
      <c r="W13" s="164"/>
      <c r="X13" s="106"/>
      <c r="Y13" s="106"/>
      <c r="Z13" s="105"/>
      <c r="AA13" s="163"/>
      <c r="AB13" s="178"/>
      <c r="AC13"/>
      <c r="AE13" s="132"/>
      <c r="AF13" s="132"/>
      <c r="AG13" s="25"/>
      <c r="AH13" s="25"/>
    </row>
    <row r="14" spans="1:34" x14ac:dyDescent="0.2">
      <c r="A14" s="186"/>
      <c r="D14" s="176"/>
      <c r="E14" s="176"/>
      <c r="F14" s="176"/>
      <c r="G14" s="176"/>
      <c r="H14" s="176"/>
      <c r="I14" s="176"/>
      <c r="J14" s="176"/>
      <c r="K14" s="176"/>
      <c r="L14" s="176"/>
      <c r="M14" s="176"/>
      <c r="N14" s="176"/>
      <c r="O14" s="176"/>
      <c r="Q14" s="107"/>
      <c r="R14" s="109"/>
      <c r="S14" s="141"/>
      <c r="T14" s="109"/>
      <c r="U14" s="109"/>
      <c r="V14" s="108"/>
      <c r="W14" s="177"/>
      <c r="X14" s="109"/>
      <c r="Y14" s="109"/>
      <c r="Z14" s="108"/>
      <c r="AA14" s="163"/>
      <c r="AB14" s="179"/>
      <c r="AC14"/>
      <c r="AE14" s="132"/>
      <c r="AF14" s="132"/>
      <c r="AG14" s="27"/>
      <c r="AH14" s="27"/>
    </row>
    <row r="15" spans="1:34" x14ac:dyDescent="0.2">
      <c r="A15" s="18" t="s">
        <v>71</v>
      </c>
      <c r="B15" s="19" t="s">
        <v>257</v>
      </c>
      <c r="C15" s="19">
        <v>5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113.44991167999999</v>
      </c>
      <c r="M15" s="157">
        <f t="shared" ref="M15:N22" si="19">L15*Y15</f>
        <v>66.141298509439991</v>
      </c>
      <c r="N15" s="157">
        <f t="shared" si="19"/>
        <v>927.30100510234865</v>
      </c>
      <c r="O15" s="157">
        <f t="shared" ref="O15:O22" si="20">M15*AH15</f>
        <v>6.0849994628684794</v>
      </c>
      <c r="Q15" s="14"/>
      <c r="R15" s="149"/>
      <c r="S15" s="148"/>
      <c r="T15" s="149"/>
      <c r="U15" s="149"/>
      <c r="V15" s="21">
        <v>0</v>
      </c>
      <c r="W15" s="161">
        <f t="shared" ref="W15:W22" si="21">(AF15/SUM(AF$2:AF$22))*0.98</f>
        <v>0</v>
      </c>
      <c r="X15" s="20">
        <v>0</v>
      </c>
      <c r="Y15" s="20">
        <v>0.58299999999999996</v>
      </c>
      <c r="Z15" s="21">
        <v>14.02</v>
      </c>
      <c r="AA15" s="161">
        <f t="shared" ref="AA15:AA22" si="22">(AG15/SUM(AG$7:AG$27))*0.98</f>
        <v>0.19894000000000001</v>
      </c>
      <c r="AB15" s="8">
        <v>0.16554122006311245</v>
      </c>
      <c r="AC15" s="161">
        <f t="shared" ref="AC15:AC22" si="23">(AH15/SUM(AH$7:AH$27))*0.98</f>
        <v>0.13619335347432021</v>
      </c>
      <c r="AE15" s="181"/>
      <c r="AF15" s="20">
        <v>0</v>
      </c>
      <c r="AG15" s="20">
        <v>0.20300000000000001</v>
      </c>
      <c r="AH15" s="20">
        <v>9.1999999999999998E-2</v>
      </c>
    </row>
    <row r="16" spans="1:34" x14ac:dyDescent="0.2">
      <c r="A16" s="18" t="s">
        <v>72</v>
      </c>
      <c r="B16" s="19" t="s">
        <v>257</v>
      </c>
      <c r="C16" s="19">
        <v>5</v>
      </c>
      <c r="D16" s="158"/>
      <c r="E16" s="158"/>
      <c r="F16" s="158"/>
      <c r="G16" s="158"/>
      <c r="H16" s="158"/>
      <c r="I16" s="157">
        <f t="shared" si="15"/>
        <v>4.2505344000000003</v>
      </c>
      <c r="J16" s="157">
        <f t="shared" si="16"/>
        <v>0</v>
      </c>
      <c r="K16" s="157">
        <f t="shared" si="17"/>
        <v>0</v>
      </c>
      <c r="L16" s="157">
        <f t="shared" si="18"/>
        <v>119.59744383999998</v>
      </c>
      <c r="M16" s="157">
        <f t="shared" si="19"/>
        <v>82.402638805759977</v>
      </c>
      <c r="N16" s="157">
        <f t="shared" si="19"/>
        <v>909.72513241559011</v>
      </c>
      <c r="O16" s="157">
        <f t="shared" si="20"/>
        <v>4.9441583283455985</v>
      </c>
      <c r="Q16" s="14"/>
      <c r="R16" s="149"/>
      <c r="S16" s="148"/>
      <c r="T16" s="149"/>
      <c r="U16" s="149"/>
      <c r="V16" s="21">
        <v>0</v>
      </c>
      <c r="W16" s="161">
        <f t="shared" si="21"/>
        <v>9.7999999999999997E-3</v>
      </c>
      <c r="X16" s="20">
        <v>0</v>
      </c>
      <c r="Y16" s="20">
        <v>0.68899999999999995</v>
      </c>
      <c r="Z16" s="21">
        <v>11.04</v>
      </c>
      <c r="AA16" s="161">
        <f t="shared" si="22"/>
        <v>0.20971999999999999</v>
      </c>
      <c r="AB16" s="8">
        <v>0.14253792246286248</v>
      </c>
      <c r="AC16" s="161">
        <f t="shared" si="23"/>
        <v>8.8821752265861018E-2</v>
      </c>
      <c r="AE16" s="181"/>
      <c r="AF16" s="20">
        <v>0.01</v>
      </c>
      <c r="AG16" s="20">
        <v>0.214</v>
      </c>
      <c r="AH16" s="20">
        <v>0.06</v>
      </c>
    </row>
    <row r="17" spans="1:34" x14ac:dyDescent="0.2">
      <c r="A17" s="18" t="s">
        <v>648</v>
      </c>
      <c r="B17" s="19" t="s">
        <v>257</v>
      </c>
      <c r="C17" s="19">
        <v>5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73.211519359999983</v>
      </c>
      <c r="M17" s="157">
        <f t="shared" si="19"/>
        <v>41.453279740262964</v>
      </c>
      <c r="N17" s="157">
        <f t="shared" si="19"/>
        <v>509.46080800783182</v>
      </c>
      <c r="O17" s="157">
        <f t="shared" si="20"/>
        <v>2.6115566236365666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0.5662125318889567</v>
      </c>
      <c r="Z17" s="21">
        <v>12.29</v>
      </c>
      <c r="AA17" s="161">
        <f t="shared" si="22"/>
        <v>0.12837999999999999</v>
      </c>
      <c r="AB17" s="8">
        <v>0.12728498853548104</v>
      </c>
      <c r="AC17" s="161">
        <f t="shared" si="23"/>
        <v>9.3262839879154069E-2</v>
      </c>
      <c r="AE17" s="181"/>
      <c r="AF17" s="20">
        <v>0</v>
      </c>
      <c r="AG17" s="20">
        <v>0.13100000000000001</v>
      </c>
      <c r="AH17" s="20">
        <v>6.3E-2</v>
      </c>
    </row>
    <row r="18" spans="1:34" x14ac:dyDescent="0.2">
      <c r="A18" s="18" t="s">
        <v>667</v>
      </c>
      <c r="B18" s="19" t="s">
        <v>257</v>
      </c>
      <c r="C18" s="19">
        <v>5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29.061061119999994</v>
      </c>
      <c r="M18" s="157">
        <f t="shared" si="19"/>
        <v>15.925461493759999</v>
      </c>
      <c r="N18" s="157">
        <f t="shared" si="19"/>
        <v>202.73112481556478</v>
      </c>
      <c r="O18" s="157">
        <f t="shared" si="20"/>
        <v>0.95552768962559986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0.54800000000000004</v>
      </c>
      <c r="Z18" s="21">
        <v>12.73</v>
      </c>
      <c r="AA18" s="161">
        <f t="shared" si="22"/>
        <v>5.0959999999999998E-2</v>
      </c>
      <c r="AB18" s="8">
        <v>5.8351912385236793E-2</v>
      </c>
      <c r="AC18" s="161">
        <f t="shared" si="23"/>
        <v>8.8821752265861018E-2</v>
      </c>
      <c r="AE18" s="181"/>
      <c r="AF18" s="20">
        <v>0</v>
      </c>
      <c r="AG18" s="20">
        <v>5.1999999999999998E-2</v>
      </c>
      <c r="AH18" s="20">
        <v>0.06</v>
      </c>
    </row>
    <row r="19" spans="1:34" x14ac:dyDescent="0.2">
      <c r="A19" s="18" t="s">
        <v>697</v>
      </c>
      <c r="B19" s="19" t="s">
        <v>257</v>
      </c>
      <c r="C19" s="19">
        <v>5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11.73619776</v>
      </c>
      <c r="M19" s="157">
        <f t="shared" si="19"/>
        <v>6.5840069433600004</v>
      </c>
      <c r="N19" s="157">
        <f t="shared" si="19"/>
        <v>80.127364500691201</v>
      </c>
      <c r="O19" s="157">
        <f t="shared" si="20"/>
        <v>0.34895236799807999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0.56100000000000005</v>
      </c>
      <c r="Z19" s="21">
        <v>12.17</v>
      </c>
      <c r="AA19" s="161">
        <f t="shared" si="22"/>
        <v>2.0580000000000001E-2</v>
      </c>
      <c r="AB19" s="8">
        <v>3.5792586135455981E-2</v>
      </c>
      <c r="AC19" s="161">
        <f t="shared" si="23"/>
        <v>7.8459214501510569E-2</v>
      </c>
      <c r="AE19" s="181"/>
      <c r="AF19" s="20">
        <v>0</v>
      </c>
      <c r="AG19" s="20">
        <v>2.1000000000000001E-2</v>
      </c>
      <c r="AH19" s="20">
        <v>5.2999999999999999E-2</v>
      </c>
    </row>
    <row r="20" spans="1:34" x14ac:dyDescent="0.2">
      <c r="B20" s="19" t="s">
        <v>257</v>
      </c>
      <c r="C20" s="19">
        <v>5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4.8416185017190957E-2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5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1.6298685731047181E-2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5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515</v>
      </c>
      <c r="B24" s="19" t="s">
        <v>10</v>
      </c>
      <c r="C24" s="19">
        <v>5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67.622853759999984</v>
      </c>
      <c r="M24" s="157">
        <f t="shared" ref="M24:N27" si="24">L24*Y24</f>
        <v>41.723300769919987</v>
      </c>
      <c r="N24" s="157">
        <f t="shared" si="24"/>
        <v>422.28289852482578</v>
      </c>
      <c r="O24" s="157">
        <f t="shared" ref="O24:O27" si="25">M24*AH24</f>
        <v>3.1709708585139191</v>
      </c>
      <c r="Q24" s="14"/>
      <c r="R24" s="149"/>
      <c r="S24" s="148"/>
      <c r="T24" s="149"/>
      <c r="U24" s="149"/>
      <c r="V24" s="150"/>
      <c r="W24" s="165"/>
      <c r="X24" s="149"/>
      <c r="Y24" s="20">
        <v>0.61699999999999999</v>
      </c>
      <c r="Z24" s="115">
        <v>10.121032869702068</v>
      </c>
      <c r="AA24" s="161">
        <f t="shared" ref="AA24:AA27" si="26">(AG24/SUM(AG$7:AG$27))*0.98</f>
        <v>0.11857999999999999</v>
      </c>
      <c r="AB24" s="8">
        <v>9.1585925676698793E-2</v>
      </c>
      <c r="AC24" s="161">
        <f t="shared" ref="AC24:AC27" si="27">(AH24/SUM(AH$7:AH$27))*0.98</f>
        <v>0.11250755287009062</v>
      </c>
      <c r="AE24" s="181"/>
      <c r="AF24" s="181"/>
      <c r="AG24" s="20">
        <v>0.121</v>
      </c>
      <c r="AH24" s="20">
        <v>7.5999999999999998E-2</v>
      </c>
    </row>
    <row r="25" spans="1:34" x14ac:dyDescent="0.2">
      <c r="A25" s="18" t="s">
        <v>553</v>
      </c>
      <c r="B25" s="19" t="s">
        <v>10</v>
      </c>
      <c r="C25" s="19">
        <v>5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19.560329599999999</v>
      </c>
      <c r="M25" s="157">
        <f t="shared" si="24"/>
        <v>11.474553377494093</v>
      </c>
      <c r="N25" s="157">
        <f t="shared" si="24"/>
        <v>115.04504807419725</v>
      </c>
      <c r="O25" s="157">
        <f t="shared" si="25"/>
        <v>0.60815132900718694</v>
      </c>
      <c r="Q25" s="14"/>
      <c r="R25" s="149"/>
      <c r="S25" s="148"/>
      <c r="T25" s="149"/>
      <c r="U25" s="149"/>
      <c r="V25" s="150"/>
      <c r="W25" s="165"/>
      <c r="X25" s="149"/>
      <c r="Y25" s="20">
        <v>0.58662372322673406</v>
      </c>
      <c r="Z25" s="115">
        <v>10.02610247993127</v>
      </c>
      <c r="AA25" s="161">
        <f t="shared" si="26"/>
        <v>3.4300000000000004E-2</v>
      </c>
      <c r="AB25" s="8">
        <v>7.0109403762887379E-2</v>
      </c>
      <c r="AC25" s="161">
        <f t="shared" si="27"/>
        <v>7.8459214501510569E-2</v>
      </c>
      <c r="AE25" s="181"/>
      <c r="AF25" s="181"/>
      <c r="AG25" s="20">
        <v>3.5000000000000003E-2</v>
      </c>
      <c r="AH25" s="20">
        <v>5.2999999999999999E-2</v>
      </c>
    </row>
    <row r="26" spans="1:34" x14ac:dyDescent="0.2">
      <c r="A26" s="18" t="s">
        <v>649</v>
      </c>
      <c r="B26" s="19" t="s">
        <v>10</v>
      </c>
      <c r="C26" s="19">
        <v>5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6.7063987199999993</v>
      </c>
      <c r="M26" s="157">
        <f t="shared" si="24"/>
        <v>4.0573712255999999</v>
      </c>
      <c r="N26" s="157">
        <f t="shared" si="24"/>
        <v>42.602397868799997</v>
      </c>
      <c r="O26" s="157">
        <f t="shared" si="25"/>
        <v>0.20286856128</v>
      </c>
      <c r="Q26" s="14"/>
      <c r="R26" s="149"/>
      <c r="S26" s="148"/>
      <c r="T26" s="149"/>
      <c r="U26" s="149"/>
      <c r="V26" s="150"/>
      <c r="W26" s="165"/>
      <c r="X26" s="149"/>
      <c r="Y26" s="20">
        <v>0.60499999999999998</v>
      </c>
      <c r="Z26" s="115">
        <v>10.5</v>
      </c>
      <c r="AA26" s="161">
        <f t="shared" si="26"/>
        <v>1.176E-2</v>
      </c>
      <c r="AB26" s="8">
        <v>4.7233375561925223E-2</v>
      </c>
      <c r="AC26" s="161">
        <f t="shared" si="27"/>
        <v>7.4018126888217517E-2</v>
      </c>
      <c r="AE26" s="181"/>
      <c r="AF26" s="181"/>
      <c r="AG26" s="20">
        <v>1.2E-2</v>
      </c>
      <c r="AH26" s="20">
        <v>0.05</v>
      </c>
    </row>
    <row r="27" spans="1:34" x14ac:dyDescent="0.2">
      <c r="B27" s="19" t="s">
        <v>10</v>
      </c>
      <c r="C27" s="19">
        <v>5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3.2848930692624327E-3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0.97999999999999987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0.97499999999999987</v>
      </c>
      <c r="AC30" s="161">
        <f>SUM(AC7:AC27)</f>
        <v>0.98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1004</v>
      </c>
      <c r="E31" s="48">
        <v>0.56799999999999995</v>
      </c>
      <c r="F31" s="2">
        <f>1-E31</f>
        <v>0.43200000000000005</v>
      </c>
      <c r="G31" s="114">
        <v>4</v>
      </c>
      <c r="H31" s="134">
        <v>2.5999999999999999E-2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570.27199999999993</v>
      </c>
      <c r="E34" s="167">
        <f>SUM(E2:E4)</f>
        <v>359.83724468068527</v>
      </c>
      <c r="F34" s="167">
        <f>SUM(F2:F4)</f>
        <v>3827.5464810497815</v>
      </c>
      <c r="G34" s="167">
        <f>SUM(G2:G4)</f>
        <v>22.296368296494606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433.72800000000007</v>
      </c>
      <c r="E37" s="167">
        <f>D37*G31</f>
        <v>1734.9120000000003</v>
      </c>
      <c r="F37" s="167">
        <f>D37*H31</f>
        <v>11.276928000000002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425.05344000000002</v>
      </c>
      <c r="E40" s="168">
        <f>SUM(J2:J4,J7:J12,J15:J22)</f>
        <v>1730.3776598955492</v>
      </c>
      <c r="F40" s="168">
        <f>SUM(K2:K4,K7:K12,K15:K22)</f>
        <v>11.271567121920002</v>
      </c>
      <c r="G40" s="168">
        <f>SUM(L7:L12,L15:L22,L24:L27)</f>
        <v>558.86655999999994</v>
      </c>
      <c r="H40" s="168">
        <f>SUM(M7:M12,M15:M22,M24:M27)</f>
        <v>358.20328481684709</v>
      </c>
      <c r="I40" s="168">
        <f>SUM(N7:N12,N15:N22,N24:N27)</f>
        <v>3827.2182062217985</v>
      </c>
      <c r="J40" s="168">
        <f>SUM(O7:O12,O15:O22,O24:O27)</f>
        <v>22.278298735603631</v>
      </c>
    </row>
    <row r="41" spans="1:32" ht="15" thickTop="1" x14ac:dyDescent="0.2">
      <c r="D41" s="169">
        <f>D37-D40</f>
        <v>8.6745600000000422</v>
      </c>
      <c r="E41" s="169">
        <f>E37-E40</f>
        <v>4.5343401044510756</v>
      </c>
      <c r="F41" s="169">
        <f>F37-F40</f>
        <v>5.3608780799994094E-3</v>
      </c>
      <c r="G41" s="169">
        <f>SUM(D2:D4)-G40</f>
        <v>11.405439999999999</v>
      </c>
      <c r="H41" s="169">
        <f>E34-H40</f>
        <v>1.6339598638381858</v>
      </c>
      <c r="I41" s="169">
        <f>F34-I40</f>
        <v>0.32827482798302299</v>
      </c>
      <c r="J41" s="169">
        <f>G34-J40</f>
        <v>1.8069560890975112E-2</v>
      </c>
    </row>
  </sheetData>
  <sheetProtection selectLockedCells="1"/>
  <conditionalFormatting sqref="D41:J41">
    <cfRule type="cellIs" dxfId="8" priority="1" operator="lessThan">
      <formula>0</formula>
    </cfRule>
  </conditionalFormatting>
  <conditionalFormatting sqref="W30">
    <cfRule type="cellIs" dxfId="7" priority="2" operator="greaterThan">
      <formula>1</formula>
    </cfRule>
  </conditionalFormatting>
  <conditionalFormatting sqref="AA30:AG30">
    <cfRule type="cellIs" dxfId="6" priority="3" operator="greaterThan">
      <formula>1</formula>
    </cfRule>
  </conditionalFormatting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tabColor theme="4" tint="0.39997558519241921"/>
  </sheetPr>
  <dimension ref="A1:AH44"/>
  <sheetViews>
    <sheetView showGridLines="0" zoomScale="85" zoomScaleNormal="8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145</v>
      </c>
      <c r="B2" s="19" t="s">
        <v>9</v>
      </c>
      <c r="C2" s="19">
        <v>7</v>
      </c>
      <c r="D2" s="157">
        <f>D$34*Q2</f>
        <v>486.33640000000008</v>
      </c>
      <c r="E2" s="157">
        <f>D2*R2</f>
        <v>316.66163085390934</v>
      </c>
      <c r="F2" s="157">
        <f>E2*S2</f>
        <v>3638.4421385114183</v>
      </c>
      <c r="G2" s="157">
        <f>E2*T2</f>
        <v>20.899667636358018</v>
      </c>
      <c r="H2" s="157">
        <f>E2*U2</f>
        <v>11.769553831489979</v>
      </c>
      <c r="I2" s="157">
        <f>D$37*W2</f>
        <v>41.424952799999993</v>
      </c>
      <c r="J2" s="157">
        <f>I2*V2</f>
        <v>163.21431403199998</v>
      </c>
      <c r="K2" s="157">
        <f>I2*X2</f>
        <v>3.1897213655999992</v>
      </c>
      <c r="L2" s="158"/>
      <c r="M2" s="158"/>
      <c r="N2" s="158"/>
      <c r="O2" s="158"/>
      <c r="Q2" s="161">
        <f>AE2</f>
        <v>0.88</v>
      </c>
      <c r="R2" s="116">
        <v>0.65111645119285599</v>
      </c>
      <c r="S2" s="115">
        <v>11.49</v>
      </c>
      <c r="T2" s="116">
        <v>6.6000000000000003E-2</v>
      </c>
      <c r="U2" s="20">
        <v>3.7167603159726725E-2</v>
      </c>
      <c r="V2" s="115">
        <v>3.94</v>
      </c>
      <c r="W2" s="161">
        <f>(AF2/SUM(AF$2:AF$22))*0.98</f>
        <v>8.6239999999999997E-2</v>
      </c>
      <c r="X2" s="20">
        <v>7.6999999999999999E-2</v>
      </c>
      <c r="Y2" s="22"/>
      <c r="Z2" s="23"/>
      <c r="AA2" s="1"/>
      <c r="AB2" s="1"/>
      <c r="AC2" s="1"/>
      <c r="AE2" s="20">
        <v>0.88</v>
      </c>
      <c r="AF2" s="20">
        <v>8.7999999999999995E-2</v>
      </c>
      <c r="AG2" s="181"/>
      <c r="AH2" s="181"/>
    </row>
    <row r="3" spans="1:34" x14ac:dyDescent="0.2">
      <c r="A3" s="18" t="s">
        <v>514</v>
      </c>
      <c r="B3" s="19" t="s">
        <v>9</v>
      </c>
      <c r="C3" s="19">
        <v>7</v>
      </c>
      <c r="D3" s="157">
        <f>D$34*Q3</f>
        <v>55.26550000000001</v>
      </c>
      <c r="E3" s="157">
        <f t="shared" ref="E3:F4" si="0">D3*R3</f>
        <v>33.181406200000012</v>
      </c>
      <c r="F3" s="157">
        <f t="shared" si="0"/>
        <v>374.94989006000014</v>
      </c>
      <c r="G3" s="157">
        <f t="shared" ref="G3:G4" si="1">E3*T3</f>
        <v>1.7320694036400008</v>
      </c>
      <c r="H3" s="157">
        <f t="shared" ref="H3:H4" si="2">E3*U3</f>
        <v>2.3201453688328075</v>
      </c>
      <c r="I3" s="157">
        <f t="shared" ref="I3:I4" si="3">D$37*W3</f>
        <v>2.3536904999999999</v>
      </c>
      <c r="J3" s="157">
        <f>I3*V3</f>
        <v>8.7826011062850391</v>
      </c>
      <c r="K3" s="157">
        <f>I3*X3</f>
        <v>9.6501310500000007E-2</v>
      </c>
      <c r="L3" s="158"/>
      <c r="M3" s="158"/>
      <c r="N3" s="158"/>
      <c r="O3" s="158"/>
      <c r="Q3" s="161">
        <f t="shared" ref="Q3:Q4" si="4">AE3</f>
        <v>0.1</v>
      </c>
      <c r="R3" s="116">
        <v>0.60040000000000004</v>
      </c>
      <c r="S3" s="115">
        <v>11.3</v>
      </c>
      <c r="T3" s="116">
        <v>5.2200000000000003E-2</v>
      </c>
      <c r="U3" s="20">
        <v>6.9923057354718335E-2</v>
      </c>
      <c r="V3" s="115">
        <v>3.7314171537358201</v>
      </c>
      <c r="W3" s="161">
        <f t="shared" ref="W3:W4" si="5">(AF3/SUM(AF$2:AF$22))*0.98</f>
        <v>4.8999999999999998E-3</v>
      </c>
      <c r="X3" s="20">
        <v>4.1000000000000002E-2</v>
      </c>
      <c r="Y3" s="22"/>
      <c r="Z3" s="23"/>
      <c r="AA3" s="1"/>
      <c r="AB3" s="1"/>
      <c r="AC3" s="1"/>
      <c r="AE3" s="20">
        <v>0.1</v>
      </c>
      <c r="AF3" s="20">
        <v>5.0000000000000001E-3</v>
      </c>
      <c r="AG3" s="181"/>
      <c r="AH3" s="181"/>
    </row>
    <row r="4" spans="1:34" x14ac:dyDescent="0.2">
      <c r="A4" s="18" t="s">
        <v>650</v>
      </c>
      <c r="B4" s="19" t="s">
        <v>9</v>
      </c>
      <c r="C4" s="19">
        <v>7</v>
      </c>
      <c r="D4" s="157">
        <f>D$34*Q4</f>
        <v>11.053100000000002</v>
      </c>
      <c r="E4" s="157">
        <f t="shared" si="0"/>
        <v>6.7866034000000015</v>
      </c>
      <c r="F4" s="157">
        <f t="shared" si="0"/>
        <v>81.439240800000022</v>
      </c>
      <c r="G4" s="157">
        <f t="shared" si="1"/>
        <v>0.3746205076800001</v>
      </c>
      <c r="H4" s="157">
        <f t="shared" si="2"/>
        <v>0.30539715300000003</v>
      </c>
      <c r="I4" s="157">
        <f t="shared" si="3"/>
        <v>9.8855000999999998</v>
      </c>
      <c r="J4" s="157">
        <f>I4*V4</f>
        <v>30.941615313</v>
      </c>
      <c r="K4" s="157">
        <f>I4*X4</f>
        <v>0.59313000599999999</v>
      </c>
      <c r="L4" s="158"/>
      <c r="M4" s="158"/>
      <c r="N4" s="158"/>
      <c r="O4" s="158"/>
      <c r="Q4" s="161">
        <f t="shared" si="4"/>
        <v>0.02</v>
      </c>
      <c r="R4" s="116">
        <v>0.61399999999999999</v>
      </c>
      <c r="S4" s="21">
        <v>12</v>
      </c>
      <c r="T4" s="116">
        <v>5.5199999999999999E-2</v>
      </c>
      <c r="U4" s="20">
        <v>4.4999999999999998E-2</v>
      </c>
      <c r="V4" s="21">
        <v>3.13</v>
      </c>
      <c r="W4" s="161">
        <f t="shared" si="5"/>
        <v>2.0580000000000001E-2</v>
      </c>
      <c r="X4" s="20">
        <v>0.06</v>
      </c>
      <c r="Y4" s="22"/>
      <c r="Z4" s="23"/>
      <c r="AA4" s="1"/>
      <c r="AB4" s="1"/>
      <c r="AC4" s="1"/>
      <c r="AE4" s="20">
        <v>0.02</v>
      </c>
      <c r="AF4" s="20">
        <v>2.1000000000000001E-2</v>
      </c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32"/>
      <c r="AF6" s="182"/>
      <c r="AG6" s="132"/>
      <c r="AH6" s="132"/>
    </row>
    <row r="7" spans="1:34" x14ac:dyDescent="0.2">
      <c r="A7" s="186" t="s">
        <v>67</v>
      </c>
      <c r="B7" s="19" t="s">
        <v>256</v>
      </c>
      <c r="C7" s="19">
        <v>7</v>
      </c>
      <c r="D7" s="158"/>
      <c r="E7" s="158"/>
      <c r="F7" s="158"/>
      <c r="G7" s="158"/>
      <c r="H7" s="158"/>
      <c r="I7" s="157">
        <f t="shared" ref="I7:I12" si="6">D$37*W7</f>
        <v>316.8067413</v>
      </c>
      <c r="J7" s="157">
        <f>I7*V7</f>
        <v>1387.613526894</v>
      </c>
      <c r="K7" s="157">
        <f>I7*X7</f>
        <v>12.989076393300001</v>
      </c>
      <c r="L7" s="157">
        <f>((D$2+D$3+D$4)*AA7)</f>
        <v>34.662521599999998</v>
      </c>
      <c r="M7" s="157">
        <f t="shared" ref="M7:N12" si="7">L7*Y7</f>
        <v>26.655267412287635</v>
      </c>
      <c r="N7" s="157">
        <f t="shared" si="7"/>
        <v>227.98841805430919</v>
      </c>
      <c r="O7" s="157">
        <f>M7*AH7</f>
        <v>0.8529685571932043</v>
      </c>
      <c r="Q7" s="14"/>
      <c r="R7" s="149"/>
      <c r="S7" s="148"/>
      <c r="T7" s="149"/>
      <c r="U7" s="149"/>
      <c r="V7" s="21">
        <v>4.38</v>
      </c>
      <c r="W7" s="161">
        <f t="shared" ref="W7:W12" si="8">(AF7/SUM(AF$2:AF$22))*0.98</f>
        <v>0.65954000000000002</v>
      </c>
      <c r="X7" s="20">
        <v>4.1000000000000002E-2</v>
      </c>
      <c r="Y7" s="20">
        <v>0.76899389259342388</v>
      </c>
      <c r="Z7" s="21">
        <v>8.5532219402612455</v>
      </c>
      <c r="AA7" s="161">
        <f>(AG7/SUM(AG$7:AG$27))*0.98</f>
        <v>6.2719999999999984E-2</v>
      </c>
      <c r="AB7" s="8">
        <v>6.766231240602695E-2</v>
      </c>
      <c r="AC7" s="161">
        <f>(AH7/SUM(AH$7:AH$27))*0.98</f>
        <v>5.3606837606837598E-2</v>
      </c>
      <c r="AE7" s="181"/>
      <c r="AF7" s="20">
        <v>0.67300000000000004</v>
      </c>
      <c r="AG7" s="20">
        <v>6.4000000000000001E-2</v>
      </c>
      <c r="AH7" s="20">
        <v>3.2000000000000001E-2</v>
      </c>
    </row>
    <row r="8" spans="1:34" x14ac:dyDescent="0.2">
      <c r="A8" s="186" t="s">
        <v>651</v>
      </c>
      <c r="B8" s="19" t="s">
        <v>256</v>
      </c>
      <c r="C8" s="19">
        <v>7</v>
      </c>
      <c r="D8" s="158"/>
      <c r="E8" s="158"/>
      <c r="F8" s="158"/>
      <c r="G8" s="158"/>
      <c r="H8" s="158"/>
      <c r="I8" s="157">
        <f t="shared" si="6"/>
        <v>80.966953199999992</v>
      </c>
      <c r="J8" s="157">
        <f>I8*V8</f>
        <v>347.34822922799998</v>
      </c>
      <c r="K8" s="157">
        <f>I8*X8</f>
        <v>2.9148103151999996</v>
      </c>
      <c r="L8" s="157">
        <f>((D$2+D$3+D$4)*AA8)</f>
        <v>40.078540599999997</v>
      </c>
      <c r="M8" s="157">
        <f t="shared" si="7"/>
        <v>28.690301078978443</v>
      </c>
      <c r="N8" s="157">
        <f>M8*Z8</f>
        <v>217.19650744424862</v>
      </c>
      <c r="O8" s="157">
        <f t="shared" ref="O8:O12" si="9">M8*AH8</f>
        <v>0.9467799356062887</v>
      </c>
      <c r="Q8" s="14"/>
      <c r="R8" s="149"/>
      <c r="S8" s="148"/>
      <c r="T8" s="149"/>
      <c r="U8" s="149"/>
      <c r="V8" s="21">
        <v>4.29</v>
      </c>
      <c r="W8" s="161">
        <f t="shared" si="8"/>
        <v>0.16855999999999999</v>
      </c>
      <c r="X8" s="20">
        <v>3.5999999999999997E-2</v>
      </c>
      <c r="Y8" s="20">
        <v>0.71585194095062543</v>
      </c>
      <c r="Z8" s="21">
        <v>7.5703809049041251</v>
      </c>
      <c r="AA8" s="161">
        <f t="shared" ref="AA8:AA12" si="10">(AG8/SUM(AG$7:AG$27))*0.98</f>
        <v>7.2519999999999987E-2</v>
      </c>
      <c r="AB8" s="8">
        <v>1.6022973907447016E-2</v>
      </c>
      <c r="AC8" s="161">
        <f t="shared" ref="AC8:AC12" si="11">(AH8/SUM(AH$7:AH$27))*0.98</f>
        <v>5.5282051282051277E-2</v>
      </c>
      <c r="AE8" s="181"/>
      <c r="AF8" s="20">
        <v>0.17199999999999999</v>
      </c>
      <c r="AG8" s="20">
        <v>7.3999999999999996E-2</v>
      </c>
      <c r="AH8" s="20">
        <v>3.3000000000000002E-2</v>
      </c>
    </row>
    <row r="9" spans="1:34" x14ac:dyDescent="0.2">
      <c r="A9" s="190" t="s">
        <v>682</v>
      </c>
      <c r="B9" s="19" t="s">
        <v>256</v>
      </c>
      <c r="C9" s="19">
        <v>7</v>
      </c>
      <c r="D9" s="158"/>
      <c r="E9" s="158"/>
      <c r="F9" s="158"/>
      <c r="G9" s="158"/>
      <c r="H9" s="158"/>
      <c r="I9" s="157">
        <f t="shared" si="6"/>
        <v>19.300262099999998</v>
      </c>
      <c r="J9" s="157">
        <f>I9*V9</f>
        <v>77.587053641999987</v>
      </c>
      <c r="K9" s="157">
        <f>I9*X9</f>
        <v>0.61760838719999989</v>
      </c>
      <c r="L9" s="157">
        <f>((D$2+D$3+D$4)*AA9)</f>
        <v>10.832037999999999</v>
      </c>
      <c r="M9" s="157">
        <f t="shared" si="7"/>
        <v>7.679914941999999</v>
      </c>
      <c r="N9" s="157">
        <f>M9*Z9</f>
        <v>60.82492634063999</v>
      </c>
      <c r="O9" s="157">
        <f t="shared" si="9"/>
        <v>0.19967778849199996</v>
      </c>
      <c r="Q9" s="14"/>
      <c r="R9" s="149"/>
      <c r="S9" s="148"/>
      <c r="T9" s="149"/>
      <c r="U9" s="149"/>
      <c r="V9" s="21">
        <v>4.0199999999999996</v>
      </c>
      <c r="W9" s="161">
        <f t="shared" si="8"/>
        <v>4.018E-2</v>
      </c>
      <c r="X9" s="20">
        <v>3.2000000000000001E-2</v>
      </c>
      <c r="Y9" s="20">
        <v>0.70899999999999996</v>
      </c>
      <c r="Z9" s="21">
        <v>7.92</v>
      </c>
      <c r="AA9" s="161">
        <f t="shared" si="10"/>
        <v>1.9599999999999996E-2</v>
      </c>
      <c r="AB9" s="8">
        <v>4.551645359361401E-2</v>
      </c>
      <c r="AC9" s="161">
        <f t="shared" si="11"/>
        <v>4.3555555555555549E-2</v>
      </c>
      <c r="AE9" s="181"/>
      <c r="AF9" s="20">
        <v>4.1000000000000002E-2</v>
      </c>
      <c r="AG9" s="20">
        <v>0.02</v>
      </c>
      <c r="AH9" s="20">
        <v>2.5999999999999999E-2</v>
      </c>
    </row>
    <row r="10" spans="1:34" x14ac:dyDescent="0.2">
      <c r="A10" s="186"/>
      <c r="B10" s="19" t="s">
        <v>256</v>
      </c>
      <c r="C10" s="19">
        <v>7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>M10*Z10</f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1.7878882490393575E-2</v>
      </c>
      <c r="AC10" s="161">
        <f t="shared" si="11"/>
        <v>0</v>
      </c>
      <c r="AE10" s="181"/>
      <c r="AF10" s="20">
        <v>0</v>
      </c>
      <c r="AG10" s="20">
        <v>0</v>
      </c>
      <c r="AH10" s="20">
        <v>0</v>
      </c>
    </row>
    <row r="11" spans="1:34" x14ac:dyDescent="0.2">
      <c r="A11" s="186"/>
      <c r="B11" s="19" t="s">
        <v>256</v>
      </c>
      <c r="C11" s="19">
        <v>7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>M11*Z11</f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2.7741635502223148E-3</v>
      </c>
      <c r="AC11" s="161">
        <f t="shared" si="11"/>
        <v>0</v>
      </c>
      <c r="AE11" s="181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7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>M12*Z12</f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1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/>
      <c r="AE14" s="132"/>
      <c r="AF14" s="132"/>
      <c r="AG14" s="27"/>
      <c r="AH14" s="27"/>
    </row>
    <row r="15" spans="1:34" x14ac:dyDescent="0.2">
      <c r="A15" s="18" t="s">
        <v>196</v>
      </c>
      <c r="B15" s="19" t="s">
        <v>257</v>
      </c>
      <c r="C15" s="19">
        <v>7</v>
      </c>
      <c r="D15" s="158"/>
      <c r="E15" s="158"/>
      <c r="F15" s="158"/>
      <c r="G15" s="158"/>
      <c r="H15" s="158"/>
      <c r="I15" s="157">
        <f t="shared" ref="I15:I22" si="15">D$37*W15</f>
        <v>0</v>
      </c>
      <c r="J15" s="157">
        <f t="shared" ref="J15:J22" si="16">I15*V15</f>
        <v>0</v>
      </c>
      <c r="K15" s="157">
        <f t="shared" ref="K15:K22" si="17">I15*X15</f>
        <v>0</v>
      </c>
      <c r="L15" s="157">
        <f t="shared" ref="L15:L22" si="18">((D$2+D$3+D$4)*AA15)</f>
        <v>126.7348446</v>
      </c>
      <c r="M15" s="157">
        <f t="shared" ref="M15:N22" si="19">L15*Y15</f>
        <v>84.072364058386626</v>
      </c>
      <c r="N15" s="157">
        <f t="shared" si="19"/>
        <v>1053.3639602982939</v>
      </c>
      <c r="O15" s="157">
        <f t="shared" ref="O15:O22" si="20">M15*AH15</f>
        <v>6.9780062168460901</v>
      </c>
      <c r="Q15" s="14"/>
      <c r="R15" s="149"/>
      <c r="S15" s="148"/>
      <c r="T15" s="149"/>
      <c r="U15" s="149"/>
      <c r="V15" s="21">
        <v>6.1</v>
      </c>
      <c r="W15" s="161">
        <f t="shared" ref="W15:W22" si="21">(AF15/SUM(AF$2:AF$22))*0.98</f>
        <v>0</v>
      </c>
      <c r="X15" s="20">
        <v>0</v>
      </c>
      <c r="Y15" s="20">
        <v>0.66337213197945266</v>
      </c>
      <c r="Z15" s="21">
        <v>12.529253484138415</v>
      </c>
      <c r="AA15" s="161">
        <f t="shared" ref="AA15:AA22" si="22">(AG15/SUM(AG$7:AG$27))*0.98</f>
        <v>0.22931999999999997</v>
      </c>
      <c r="AB15" s="8">
        <v>0.23091547885977109</v>
      </c>
      <c r="AC15" s="161">
        <f t="shared" ref="AC15:AC22" si="23">(AH15/SUM(AH$7:AH$27))*0.98</f>
        <v>0.13904273504273504</v>
      </c>
      <c r="AE15" s="181"/>
      <c r="AF15" s="20">
        <v>0</v>
      </c>
      <c r="AG15" s="20">
        <v>0.23400000000000001</v>
      </c>
      <c r="AH15" s="20">
        <v>8.3000000000000004E-2</v>
      </c>
    </row>
    <row r="16" spans="1:34" x14ac:dyDescent="0.2">
      <c r="A16" s="18" t="s">
        <v>490</v>
      </c>
      <c r="B16" s="19" t="s">
        <v>257</v>
      </c>
      <c r="C16" s="19">
        <v>7</v>
      </c>
      <c r="D16" s="158"/>
      <c r="E16" s="158"/>
      <c r="F16" s="158"/>
      <c r="G16" s="158"/>
      <c r="H16" s="158"/>
      <c r="I16" s="157">
        <f t="shared" si="15"/>
        <v>0</v>
      </c>
      <c r="J16" s="157">
        <f t="shared" si="16"/>
        <v>0</v>
      </c>
      <c r="K16" s="157">
        <f t="shared" si="17"/>
        <v>0</v>
      </c>
      <c r="L16" s="157">
        <f t="shared" si="18"/>
        <v>101.82115719999997</v>
      </c>
      <c r="M16" s="157">
        <f t="shared" si="19"/>
        <v>62.053334057524253</v>
      </c>
      <c r="N16" s="157">
        <f t="shared" si="19"/>
        <v>838.34054311715261</v>
      </c>
      <c r="O16" s="157">
        <f t="shared" si="20"/>
        <v>5.2745333948895619</v>
      </c>
      <c r="Q16" s="14"/>
      <c r="R16" s="149"/>
      <c r="S16" s="148"/>
      <c r="T16" s="149"/>
      <c r="U16" s="149"/>
      <c r="V16" s="21">
        <v>2.9627329192546585</v>
      </c>
      <c r="W16" s="161">
        <f t="shared" si="21"/>
        <v>0</v>
      </c>
      <c r="X16" s="20">
        <v>6.9875776397515547E-3</v>
      </c>
      <c r="Y16" s="20">
        <v>0.60943457886298968</v>
      </c>
      <c r="Z16" s="21">
        <v>13.51</v>
      </c>
      <c r="AA16" s="161">
        <f t="shared" si="22"/>
        <v>0.18423999999999993</v>
      </c>
      <c r="AB16" s="8">
        <v>0.2258883375128273</v>
      </c>
      <c r="AC16" s="161">
        <f t="shared" si="23"/>
        <v>0.14239316239316238</v>
      </c>
      <c r="AE16" s="181"/>
      <c r="AF16" s="20">
        <v>0</v>
      </c>
      <c r="AG16" s="20">
        <v>0.188</v>
      </c>
      <c r="AH16" s="20">
        <v>8.5000000000000006E-2</v>
      </c>
    </row>
    <row r="17" spans="1:34" x14ac:dyDescent="0.2">
      <c r="A17" s="18" t="s">
        <v>513</v>
      </c>
      <c r="B17" s="19" t="s">
        <v>257</v>
      </c>
      <c r="C17" s="19">
        <v>7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28.704900699999996</v>
      </c>
      <c r="M17" s="157">
        <f t="shared" si="19"/>
        <v>18.861777643343569</v>
      </c>
      <c r="N17" s="157">
        <f t="shared" si="19"/>
        <v>205.59337631244492</v>
      </c>
      <c r="O17" s="157">
        <f t="shared" si="20"/>
        <v>1.1317066586006141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0</v>
      </c>
      <c r="Y17" s="20">
        <v>0.65709259336833625</v>
      </c>
      <c r="Z17" s="21">
        <v>10.9</v>
      </c>
      <c r="AA17" s="161">
        <f t="shared" si="22"/>
        <v>5.1939999999999986E-2</v>
      </c>
      <c r="AB17" s="8">
        <v>9.988529849482794E-2</v>
      </c>
      <c r="AC17" s="161">
        <f t="shared" si="23"/>
        <v>0.1005128205128205</v>
      </c>
      <c r="AE17" s="181"/>
      <c r="AF17" s="20">
        <v>0</v>
      </c>
      <c r="AG17" s="20">
        <v>5.2999999999999999E-2</v>
      </c>
      <c r="AH17" s="20">
        <v>0.06</v>
      </c>
    </row>
    <row r="18" spans="1:34" x14ac:dyDescent="0.2">
      <c r="A18" s="18" t="s">
        <v>679</v>
      </c>
      <c r="B18" s="19" t="s">
        <v>257</v>
      </c>
      <c r="C18" s="19">
        <v>7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20.039270299999998</v>
      </c>
      <c r="M18" s="157">
        <f t="shared" si="19"/>
        <v>11.442423341299998</v>
      </c>
      <c r="N18" s="157">
        <f t="shared" si="19"/>
        <v>119.00120274951998</v>
      </c>
      <c r="O18" s="157">
        <f t="shared" si="20"/>
        <v>0.60644843708889984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0.57099999999999995</v>
      </c>
      <c r="Z18" s="21">
        <v>10.4</v>
      </c>
      <c r="AA18" s="161">
        <f t="shared" si="22"/>
        <v>3.6259999999999994E-2</v>
      </c>
      <c r="AB18" s="8">
        <v>5.0639687787776361E-2</v>
      </c>
      <c r="AC18" s="161">
        <f t="shared" si="23"/>
        <v>8.8786324786324769E-2</v>
      </c>
      <c r="AE18" s="181"/>
      <c r="AF18" s="20">
        <v>0</v>
      </c>
      <c r="AG18" s="20">
        <v>3.6999999999999998E-2</v>
      </c>
      <c r="AH18" s="20">
        <v>5.2999999999999999E-2</v>
      </c>
    </row>
    <row r="19" spans="1:34" x14ac:dyDescent="0.2">
      <c r="A19" s="18" t="s">
        <v>252</v>
      </c>
      <c r="B19" s="19" t="s">
        <v>257</v>
      </c>
      <c r="C19" s="19">
        <v>7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55.784995699999989</v>
      </c>
      <c r="M19" s="157">
        <f t="shared" si="19"/>
        <v>32.657657317663329</v>
      </c>
      <c r="N19" s="157">
        <f t="shared" si="19"/>
        <v>426.86754040600385</v>
      </c>
      <c r="O19" s="157">
        <f t="shared" si="20"/>
        <v>1.6981981805184929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0.58542009204929157</v>
      </c>
      <c r="Z19" s="21">
        <v>13.070978614719154</v>
      </c>
      <c r="AA19" s="161">
        <f t="shared" si="22"/>
        <v>0.10093999999999996</v>
      </c>
      <c r="AB19" s="8">
        <v>2.2881694533849081E-2</v>
      </c>
      <c r="AC19" s="161">
        <f t="shared" si="23"/>
        <v>8.7111111111111098E-2</v>
      </c>
      <c r="AE19" s="181"/>
      <c r="AF19" s="20">
        <v>0</v>
      </c>
      <c r="AG19" s="20">
        <v>0.10299999999999999</v>
      </c>
      <c r="AH19" s="20">
        <v>5.1999999999999998E-2</v>
      </c>
    </row>
    <row r="20" spans="1:34" x14ac:dyDescent="0.2">
      <c r="B20" s="19" t="s">
        <v>257</v>
      </c>
      <c r="C20" s="19">
        <v>7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3.6603666957532545E-3</v>
      </c>
      <c r="AC20" s="161">
        <f t="shared" si="23"/>
        <v>0</v>
      </c>
      <c r="AE20" s="181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7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1.366887480777205E-2</v>
      </c>
      <c r="AC21" s="161">
        <f t="shared" si="23"/>
        <v>0</v>
      </c>
      <c r="AE21" s="181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7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1.7008047629251413E-2</v>
      </c>
      <c r="AC22" s="161">
        <f t="shared" si="23"/>
        <v>0</v>
      </c>
      <c r="AE22" s="181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/>
      <c r="AE23" s="132"/>
      <c r="AF23" s="132"/>
      <c r="AG23" s="27"/>
      <c r="AH23" s="27"/>
    </row>
    <row r="24" spans="1:34" x14ac:dyDescent="0.2">
      <c r="A24" s="18" t="s">
        <v>552</v>
      </c>
      <c r="B24" s="19" t="s">
        <v>10</v>
      </c>
      <c r="C24" s="19">
        <v>7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81.240284999999986</v>
      </c>
      <c r="M24" s="157">
        <f t="shared" ref="M24:N27" si="24">L24*Y24</f>
        <v>54.338071629249782</v>
      </c>
      <c r="N24" s="157">
        <f t="shared" si="24"/>
        <v>665.56962245785576</v>
      </c>
      <c r="O24" s="157">
        <f t="shared" ref="O24:O27" si="25">M24*AH24</f>
        <v>4.184031515452233</v>
      </c>
      <c r="Q24" s="14"/>
      <c r="R24" s="149"/>
      <c r="S24" s="148"/>
      <c r="T24" s="149"/>
      <c r="U24" s="149"/>
      <c r="V24" s="150"/>
      <c r="W24" s="165"/>
      <c r="X24" s="149"/>
      <c r="Y24" s="20">
        <v>0.66885624083236284</v>
      </c>
      <c r="Z24" s="115">
        <v>12.248679470980427</v>
      </c>
      <c r="AA24" s="161">
        <f t="shared" ref="AA24:AA27" si="26">(AG24/SUM(AG$7:AG$27))*0.98</f>
        <v>0.14699999999999996</v>
      </c>
      <c r="AB24" s="8">
        <v>0.1265010019302108</v>
      </c>
      <c r="AC24" s="161">
        <f t="shared" ref="AC24:AC27" si="27">(AH24/SUM(AH$7:AH$27))*0.98</f>
        <v>0.12899145299145295</v>
      </c>
      <c r="AE24" s="181"/>
      <c r="AF24" s="181"/>
      <c r="AG24" s="20">
        <v>0.15</v>
      </c>
      <c r="AH24" s="20">
        <v>7.6999999999999999E-2</v>
      </c>
    </row>
    <row r="25" spans="1:34" x14ac:dyDescent="0.2">
      <c r="A25" s="18" t="s">
        <v>595</v>
      </c>
      <c r="B25" s="19" t="s">
        <v>10</v>
      </c>
      <c r="C25" s="19">
        <v>7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27.621696899999996</v>
      </c>
      <c r="M25" s="157">
        <f t="shared" si="24"/>
        <v>17.788372803599998</v>
      </c>
      <c r="N25" s="157">
        <f t="shared" si="24"/>
        <v>174.32605347527999</v>
      </c>
      <c r="O25" s="157">
        <f t="shared" si="25"/>
        <v>0.71153491214399989</v>
      </c>
      <c r="Q25" s="14"/>
      <c r="R25" s="149"/>
      <c r="S25" s="148"/>
      <c r="T25" s="149"/>
      <c r="U25" s="149"/>
      <c r="V25" s="150"/>
      <c r="W25" s="165"/>
      <c r="X25" s="149"/>
      <c r="Y25" s="20">
        <v>0.64400000000000002</v>
      </c>
      <c r="Z25" s="115">
        <v>9.8000000000000007</v>
      </c>
      <c r="AA25" s="161">
        <f t="shared" si="26"/>
        <v>4.9979999999999983E-2</v>
      </c>
      <c r="AB25" s="8">
        <v>2.9560287775929821E-2</v>
      </c>
      <c r="AC25" s="161">
        <f t="shared" si="27"/>
        <v>6.7008547008546998E-2</v>
      </c>
      <c r="AE25" s="181"/>
      <c r="AF25" s="181"/>
      <c r="AG25" s="20">
        <v>5.0999999999999997E-2</v>
      </c>
      <c r="AH25" s="20">
        <v>0.04</v>
      </c>
    </row>
    <row r="26" spans="1:34" x14ac:dyDescent="0.2">
      <c r="A26" s="18" t="s">
        <v>653</v>
      </c>
      <c r="B26" s="19" t="s">
        <v>10</v>
      </c>
      <c r="C26" s="19">
        <v>7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14.081649399999998</v>
      </c>
      <c r="M26" s="157">
        <f t="shared" si="24"/>
        <v>9.10663398921427</v>
      </c>
      <c r="N26" s="157">
        <f t="shared" si="24"/>
        <v>97.53124761036149</v>
      </c>
      <c r="O26" s="157">
        <f t="shared" si="25"/>
        <v>0.40069189552542783</v>
      </c>
      <c r="Q26" s="14"/>
      <c r="R26" s="149"/>
      <c r="S26" s="148"/>
      <c r="T26" s="149"/>
      <c r="U26" s="149"/>
      <c r="V26" s="150"/>
      <c r="W26" s="165"/>
      <c r="X26" s="149"/>
      <c r="Y26" s="20">
        <v>0.6467022243299333</v>
      </c>
      <c r="Z26" s="115">
        <v>10.709911886859151</v>
      </c>
      <c r="AA26" s="161">
        <f t="shared" si="26"/>
        <v>2.5479999999999992E-2</v>
      </c>
      <c r="AB26" s="8">
        <v>4.5361380243270303E-3</v>
      </c>
      <c r="AC26" s="161">
        <f t="shared" si="27"/>
        <v>7.3709401709401698E-2</v>
      </c>
      <c r="AE26" s="181"/>
      <c r="AF26" s="181"/>
      <c r="AG26" s="20">
        <v>2.5999999999999999E-2</v>
      </c>
      <c r="AH26" s="20">
        <v>4.3999999999999997E-2</v>
      </c>
    </row>
    <row r="27" spans="1:34" x14ac:dyDescent="0.2">
      <c r="B27" s="19" t="s">
        <v>10</v>
      </c>
      <c r="C27" s="19">
        <v>7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0</v>
      </c>
      <c r="AC27" s="161">
        <f t="shared" si="27"/>
        <v>0</v>
      </c>
      <c r="AE27" s="181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0.98000000000000009</v>
      </c>
      <c r="X30" s="31"/>
      <c r="Y30" s="31"/>
      <c r="Z30" s="32"/>
      <c r="AA30" s="161">
        <f>SUM(AA7:AA27)</f>
        <v>0.97999999999999965</v>
      </c>
      <c r="AB30" s="161">
        <f t="shared" ref="AB30" si="28">SUM(AB2:AB4,AB7:AB12,AB15:AB22,AB24:AB27)</f>
        <v>0.97499999999999998</v>
      </c>
      <c r="AC30" s="161">
        <f>SUM(AC7:AC27)</f>
        <v>0.97999999999999987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1.0000000000000002</v>
      </c>
    </row>
    <row r="31" spans="1:34" s="28" customFormat="1" x14ac:dyDescent="0.2">
      <c r="A31" s="44"/>
      <c r="B31" s="29"/>
      <c r="C31" s="29"/>
      <c r="D31" s="47">
        <v>1033</v>
      </c>
      <c r="E31" s="48">
        <v>0.53500000000000003</v>
      </c>
      <c r="F31" s="2">
        <f>1-E31</f>
        <v>0.46499999999999997</v>
      </c>
      <c r="G31" s="114">
        <v>4.2</v>
      </c>
      <c r="H31" s="134">
        <v>4.2500000000000003E-2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552.65500000000009</v>
      </c>
      <c r="E34" s="167">
        <f>SUM(E2:E4)</f>
        <v>356.62964045390936</v>
      </c>
      <c r="F34" s="167">
        <f>SUM(F2:F4)</f>
        <v>4094.8312693714183</v>
      </c>
      <c r="G34" s="167">
        <f>SUM(G2:G4)</f>
        <v>23.006357547678018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480.34499999999997</v>
      </c>
      <c r="E37" s="167">
        <f>D37*G31</f>
        <v>2017.4490000000001</v>
      </c>
      <c r="F37" s="167">
        <f>D37*H31</f>
        <v>20.414662499999999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75" t="s">
        <v>355</v>
      </c>
      <c r="G39" s="175" t="s">
        <v>351</v>
      </c>
      <c r="H39" s="175" t="s">
        <v>352</v>
      </c>
      <c r="I39" s="175" t="s">
        <v>356</v>
      </c>
      <c r="J39" s="175" t="s">
        <v>357</v>
      </c>
      <c r="P39" s="38"/>
      <c r="Q39" s="40"/>
      <c r="R39" s="40"/>
      <c r="S39" s="41"/>
      <c r="T39" s="40"/>
      <c r="U39" s="40"/>
      <c r="V39" s="42"/>
      <c r="W39" s="42"/>
      <c r="X39" s="40"/>
      <c r="Y39" s="40"/>
      <c r="Z39" s="42"/>
      <c r="AA39" s="38"/>
      <c r="AB39" s="38"/>
      <c r="AC39" s="40"/>
      <c r="AE39" s="38"/>
      <c r="AF39" s="38"/>
    </row>
    <row r="40" spans="1:32" ht="15" thickBot="1" x14ac:dyDescent="0.25">
      <c r="D40" s="168">
        <f>SUM(I2:I22)</f>
        <v>470.73809999999997</v>
      </c>
      <c r="E40" s="168">
        <f>SUM(J2:J4,J7:J12,J15:J22)</f>
        <v>2015.487340215285</v>
      </c>
      <c r="F40" s="168">
        <f>SUM(K2:K4,K7:K12,K15:K22)</f>
        <v>20.400847777800003</v>
      </c>
      <c r="G40" s="168">
        <f>SUM(L7:L12,L15:L22,L24:L27)</f>
        <v>541.60189999999977</v>
      </c>
      <c r="H40" s="168">
        <f>SUM(M7:M12,M15:M22,M24:M27)</f>
        <v>353.34611827354792</v>
      </c>
      <c r="I40" s="168">
        <f>SUM(N7:N12,N15:N22,N24:N27)</f>
        <v>4086.6033982661106</v>
      </c>
      <c r="J40" s="168">
        <f>SUM(O7:O12,O15:O22,O24:O27)</f>
        <v>22.984577492356809</v>
      </c>
    </row>
    <row r="41" spans="1:32" ht="15" thickTop="1" x14ac:dyDescent="0.2">
      <c r="D41" s="169">
        <f>D37-D40</f>
        <v>9.606899999999996</v>
      </c>
      <c r="E41" s="169">
        <f>E37-E40</f>
        <v>1.9616597847150388</v>
      </c>
      <c r="F41" s="169">
        <f>F37-F40</f>
        <v>1.3814722199995799E-2</v>
      </c>
      <c r="G41" s="169">
        <f>SUM(D2:D4)-G40</f>
        <v>11.053100000000313</v>
      </c>
      <c r="H41" s="169">
        <f>E34-H40</f>
        <v>3.2835221803614445</v>
      </c>
      <c r="I41" s="169">
        <f>F34-I40</f>
        <v>8.2278711053077132</v>
      </c>
      <c r="J41" s="169">
        <f>G34-J40</f>
        <v>2.1780055321208636E-2</v>
      </c>
    </row>
    <row r="42" spans="1:32" x14ac:dyDescent="0.2">
      <c r="N42" s="24"/>
      <c r="O42" s="24"/>
    </row>
    <row r="43" spans="1:32" x14ac:dyDescent="0.2">
      <c r="N43" s="24"/>
      <c r="O43" s="24"/>
    </row>
    <row r="44" spans="1:32" x14ac:dyDescent="0.2">
      <c r="N44" s="24"/>
      <c r="O44" s="24"/>
    </row>
  </sheetData>
  <sheetProtection selectLockedCells="1"/>
  <conditionalFormatting sqref="D41:J41">
    <cfRule type="cellIs" dxfId="5" priority="1" operator="lessThan">
      <formula>0</formula>
    </cfRule>
  </conditionalFormatting>
  <conditionalFormatting sqref="W30">
    <cfRule type="cellIs" dxfId="4" priority="2" operator="greaterThan">
      <formula>1</formula>
    </cfRule>
  </conditionalFormatting>
  <conditionalFormatting sqref="AA30:AG30">
    <cfRule type="cellIs" dxfId="3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tabColor rgb="FFA50021"/>
  </sheetPr>
  <dimension ref="A1:AH43"/>
  <sheetViews>
    <sheetView showGridLines="0" zoomScale="85" zoomScaleNormal="85" workbookViewId="0">
      <pane xSplit="1" ySplit="1" topLeftCell="B2" activePane="bottomRight" state="frozen"/>
      <selection sqref="A1:B1"/>
      <selection pane="topRight" sqref="A1:B1"/>
      <selection pane="bottomLeft" sqref="A1:B1"/>
      <selection pane="bottomRight" activeCell="B2" sqref="B2"/>
    </sheetView>
  </sheetViews>
  <sheetFormatPr baseColWidth="10" defaultColWidth="8.796875" defaultRowHeight="14" x14ac:dyDescent="0.2"/>
  <cols>
    <col min="1" max="1" width="22.59765625" style="18" customWidth="1"/>
    <col min="2" max="3" width="8.796875" style="19"/>
    <col min="4" max="13" width="8.796875" style="24"/>
    <col min="14" max="15" width="8.796875" style="19"/>
    <col min="16" max="16" width="4.796875" style="19" customWidth="1"/>
    <col min="17" max="18" width="8.796875" style="27"/>
    <col min="19" max="19" width="8.796875" style="24"/>
    <col min="20" max="21" width="8.796875" style="27"/>
    <col min="22" max="23" width="8.796875" style="26"/>
    <col min="24" max="25" width="8.796875" style="27"/>
    <col min="26" max="26" width="8.796875" style="26"/>
    <col min="27" max="27" width="8.796875" style="19"/>
    <col min="28" max="28" width="0" style="19" hidden="1" customWidth="1"/>
    <col min="29" max="29" width="8.796875" style="27"/>
    <col min="30" max="30" width="4.796875" style="18" customWidth="1"/>
    <col min="31" max="32" width="8.796875" style="19"/>
    <col min="33" max="16384" width="8.796875" style="18"/>
  </cols>
  <sheetData>
    <row r="1" spans="1:34" s="16" customFormat="1" ht="25.5" customHeight="1" x14ac:dyDescent="0.2">
      <c r="A1" s="16" t="s">
        <v>0</v>
      </c>
      <c r="B1" s="16" t="s">
        <v>8</v>
      </c>
      <c r="C1" s="16" t="s">
        <v>143</v>
      </c>
      <c r="D1" s="170" t="s">
        <v>259</v>
      </c>
      <c r="E1" s="170" t="s">
        <v>1</v>
      </c>
      <c r="F1" s="170" t="s">
        <v>262</v>
      </c>
      <c r="G1" s="170" t="s">
        <v>308</v>
      </c>
      <c r="H1" s="170" t="s">
        <v>2</v>
      </c>
      <c r="I1" s="170" t="s">
        <v>309</v>
      </c>
      <c r="J1" s="170" t="s">
        <v>266</v>
      </c>
      <c r="K1" s="170" t="s">
        <v>310</v>
      </c>
      <c r="L1" s="170" t="s">
        <v>268</v>
      </c>
      <c r="M1" s="170" t="s">
        <v>4</v>
      </c>
      <c r="N1" s="170" t="s">
        <v>272</v>
      </c>
      <c r="O1" s="170" t="s">
        <v>311</v>
      </c>
      <c r="Q1" s="171" t="s">
        <v>361</v>
      </c>
      <c r="R1" s="142" t="s">
        <v>312</v>
      </c>
      <c r="S1" s="143" t="s">
        <v>564</v>
      </c>
      <c r="T1" s="142" t="s">
        <v>254</v>
      </c>
      <c r="U1" s="142" t="s">
        <v>258</v>
      </c>
      <c r="V1" s="144" t="s">
        <v>360</v>
      </c>
      <c r="W1" s="172" t="s">
        <v>362</v>
      </c>
      <c r="X1" s="142" t="s">
        <v>313</v>
      </c>
      <c r="Y1" s="145" t="s">
        <v>314</v>
      </c>
      <c r="Z1" s="144" t="s">
        <v>315</v>
      </c>
      <c r="AA1" s="171" t="s">
        <v>316</v>
      </c>
      <c r="AB1" s="171" t="s">
        <v>317</v>
      </c>
      <c r="AC1" s="11" t="s">
        <v>342</v>
      </c>
      <c r="AE1" s="146" t="s">
        <v>363</v>
      </c>
      <c r="AF1" s="147" t="s">
        <v>364</v>
      </c>
      <c r="AG1" s="146" t="s">
        <v>365</v>
      </c>
      <c r="AH1" s="146" t="s">
        <v>563</v>
      </c>
    </row>
    <row r="2" spans="1:34" x14ac:dyDescent="0.2">
      <c r="A2" s="18" t="s">
        <v>511</v>
      </c>
      <c r="B2" s="19" t="s">
        <v>9</v>
      </c>
      <c r="C2" s="19">
        <v>14</v>
      </c>
      <c r="D2" s="157">
        <f>D$34*Q2</f>
        <v>572.01115000000004</v>
      </c>
      <c r="E2" s="157">
        <f>D2*R2</f>
        <v>360.93903565000005</v>
      </c>
      <c r="F2" s="157">
        <f>E2*S2</f>
        <v>4031.6890282105005</v>
      </c>
      <c r="G2" s="157">
        <f>E2*T2</f>
        <v>24.110727581420004</v>
      </c>
      <c r="H2" s="157">
        <f>E2*U2</f>
        <v>16.206230066165517</v>
      </c>
      <c r="I2" s="157">
        <f>D$37*W2</f>
        <v>41.298869919999994</v>
      </c>
      <c r="J2" s="157">
        <f>I2*V2</f>
        <v>190.80077903039998</v>
      </c>
      <c r="K2" s="157">
        <f>I2*X2</f>
        <v>2.2714378455999995</v>
      </c>
      <c r="L2" s="158"/>
      <c r="M2" s="158"/>
      <c r="N2" s="158"/>
      <c r="O2" s="158"/>
      <c r="Q2" s="161">
        <f>AE2</f>
        <v>0.95</v>
      </c>
      <c r="R2" s="116">
        <v>0.63100000000000001</v>
      </c>
      <c r="S2" s="115">
        <v>11.17</v>
      </c>
      <c r="T2" s="116">
        <v>6.6799999999999998E-2</v>
      </c>
      <c r="U2" s="20">
        <v>4.4900186639498255E-2</v>
      </c>
      <c r="V2" s="115">
        <v>4.62</v>
      </c>
      <c r="W2" s="161">
        <f>(AF2/SUM(AF$2:AF$22))*0.98</f>
        <v>8.6239999999999997E-2</v>
      </c>
      <c r="X2" s="20">
        <v>5.5E-2</v>
      </c>
      <c r="Y2" s="22"/>
      <c r="Z2" s="23"/>
      <c r="AA2" s="1"/>
      <c r="AB2" s="1"/>
      <c r="AC2" s="1"/>
      <c r="AE2" s="20">
        <v>0.95</v>
      </c>
      <c r="AF2" s="20">
        <v>8.7999999999999995E-2</v>
      </c>
      <c r="AG2" s="181"/>
      <c r="AH2" s="181"/>
    </row>
    <row r="3" spans="1:34" x14ac:dyDescent="0.2">
      <c r="A3" s="18" t="s">
        <v>144</v>
      </c>
      <c r="B3" s="19" t="s">
        <v>9</v>
      </c>
      <c r="C3" s="19">
        <v>14</v>
      </c>
      <c r="D3" s="157">
        <f>D$34*Q3</f>
        <v>30.105850000000004</v>
      </c>
      <c r="E3" s="157">
        <f t="shared" ref="E3:F4" si="0">D3*R3</f>
        <v>18.488002485000003</v>
      </c>
      <c r="F3" s="157">
        <f t="shared" si="0"/>
        <v>198.56114668890004</v>
      </c>
      <c r="G3" s="157">
        <f t="shared" ref="G3:G4" si="1">E3*T3</f>
        <v>1.0538161416450003</v>
      </c>
      <c r="H3" s="157">
        <f t="shared" ref="H3:H4" si="2">E3*U3</f>
        <v>0.55272380112159292</v>
      </c>
      <c r="I3" s="157">
        <f t="shared" ref="I3:I4" si="3">D$37*W3</f>
        <v>4.6930533999999993</v>
      </c>
      <c r="J3" s="157">
        <f>I3*V3</f>
        <v>18.790369071985328</v>
      </c>
      <c r="K3" s="157">
        <f>I3*X3</f>
        <v>0.12671244179999999</v>
      </c>
      <c r="L3" s="158"/>
      <c r="M3" s="158"/>
      <c r="N3" s="158"/>
      <c r="O3" s="158"/>
      <c r="Q3" s="161">
        <f t="shared" ref="Q3:Q4" si="4">AE3</f>
        <v>0.05</v>
      </c>
      <c r="R3" s="116">
        <v>0.61409999999999998</v>
      </c>
      <c r="S3" s="115">
        <v>10.74</v>
      </c>
      <c r="T3" s="116">
        <v>5.7000000000000002E-2</v>
      </c>
      <c r="U3" s="20">
        <v>2.9896350434290456E-2</v>
      </c>
      <c r="V3" s="115">
        <v>4.0038685841472272</v>
      </c>
      <c r="W3" s="161">
        <f t="shared" ref="W3:W4" si="5">(AF3/SUM(AF$2:AF$22))*0.98</f>
        <v>9.7999999999999997E-3</v>
      </c>
      <c r="X3" s="20">
        <v>2.7E-2</v>
      </c>
      <c r="Y3" s="22"/>
      <c r="Z3" s="23"/>
      <c r="AA3" s="1"/>
      <c r="AB3" s="1"/>
      <c r="AC3" s="1"/>
      <c r="AE3" s="20">
        <v>0.05</v>
      </c>
      <c r="AF3" s="20">
        <v>0.01</v>
      </c>
      <c r="AG3" s="181"/>
      <c r="AH3" s="181"/>
    </row>
    <row r="4" spans="1:34" x14ac:dyDescent="0.2">
      <c r="B4" s="19" t="s">
        <v>9</v>
      </c>
      <c r="C4" s="19">
        <v>14</v>
      </c>
      <c r="D4" s="157">
        <f>D$34*Q4</f>
        <v>0</v>
      </c>
      <c r="E4" s="157">
        <f t="shared" si="0"/>
        <v>0</v>
      </c>
      <c r="F4" s="157">
        <f t="shared" si="0"/>
        <v>0</v>
      </c>
      <c r="G4" s="157">
        <f t="shared" si="1"/>
        <v>0</v>
      </c>
      <c r="H4" s="157">
        <f t="shared" si="2"/>
        <v>0</v>
      </c>
      <c r="I4" s="157">
        <f t="shared" si="3"/>
        <v>0</v>
      </c>
      <c r="J4" s="157">
        <f>I4*V4</f>
        <v>0</v>
      </c>
      <c r="K4" s="157">
        <f>I4*X4</f>
        <v>0</v>
      </c>
      <c r="L4" s="158"/>
      <c r="M4" s="158"/>
      <c r="N4" s="158"/>
      <c r="O4" s="158"/>
      <c r="Q4" s="161">
        <f t="shared" si="4"/>
        <v>0</v>
      </c>
      <c r="R4" s="116">
        <v>0</v>
      </c>
      <c r="S4" s="115">
        <v>0</v>
      </c>
      <c r="T4" s="116">
        <v>0</v>
      </c>
      <c r="U4" s="20">
        <v>0</v>
      </c>
      <c r="V4" s="115">
        <v>0</v>
      </c>
      <c r="W4" s="161">
        <f t="shared" si="5"/>
        <v>0</v>
      </c>
      <c r="X4" s="20">
        <v>0</v>
      </c>
      <c r="Y4" s="22"/>
      <c r="Z4" s="23"/>
      <c r="AA4" s="1"/>
      <c r="AB4" s="1"/>
      <c r="AC4" s="1"/>
      <c r="AE4" s="20">
        <v>0</v>
      </c>
      <c r="AF4" s="20">
        <v>0</v>
      </c>
      <c r="AG4" s="181"/>
      <c r="AH4" s="181"/>
    </row>
    <row r="5" spans="1:34" x14ac:dyDescent="0.2">
      <c r="A5" s="43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Q5" s="4"/>
      <c r="R5" s="25"/>
      <c r="T5" s="25"/>
      <c r="U5" s="25"/>
      <c r="W5" s="163"/>
      <c r="X5" s="25"/>
      <c r="Y5" s="25"/>
      <c r="AA5" s="7"/>
      <c r="AB5" s="7"/>
      <c r="AC5" s="4"/>
      <c r="AE5" s="132"/>
      <c r="AF5" s="182"/>
      <c r="AG5" s="132"/>
      <c r="AH5" s="132"/>
    </row>
    <row r="6" spans="1:34" x14ac:dyDescent="0.2"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Q6" s="3"/>
      <c r="W6" s="163"/>
      <c r="AA6" s="7"/>
      <c r="AB6" s="7"/>
      <c r="AC6" s="3"/>
      <c r="AE6" s="182"/>
      <c r="AF6" s="182"/>
      <c r="AG6" s="132"/>
      <c r="AH6" s="132"/>
    </row>
    <row r="7" spans="1:34" x14ac:dyDescent="0.2">
      <c r="A7" s="186" t="s">
        <v>186</v>
      </c>
      <c r="B7" s="19" t="s">
        <v>256</v>
      </c>
      <c r="C7" s="19">
        <v>14</v>
      </c>
      <c r="D7" s="158"/>
      <c r="E7" s="158"/>
      <c r="F7" s="158"/>
      <c r="G7" s="158"/>
      <c r="H7" s="158"/>
      <c r="I7" s="157">
        <f t="shared" ref="I7:I12" si="6">D$37*W7</f>
        <v>130.46688451999998</v>
      </c>
      <c r="J7" s="157">
        <f>I7*V7</f>
        <v>532.3048888415999</v>
      </c>
      <c r="K7" s="157">
        <f>I7*X7</f>
        <v>3.7835396510799995</v>
      </c>
      <c r="L7" s="157">
        <f>((D$2+D$3+D$4)*AA7)</f>
        <v>69.038735220000007</v>
      </c>
      <c r="M7" s="157">
        <f t="shared" ref="M7:N12" si="7">L7*Y7</f>
        <v>51.640973944560002</v>
      </c>
      <c r="N7" s="157">
        <f t="shared" si="7"/>
        <v>382.14320718974403</v>
      </c>
      <c r="O7" s="157">
        <f>M7*AH7</f>
        <v>2.4271257753943201</v>
      </c>
      <c r="Q7" s="14"/>
      <c r="R7" s="149"/>
      <c r="S7" s="148"/>
      <c r="T7" s="149"/>
      <c r="U7" s="149"/>
      <c r="V7" s="21">
        <v>4.08</v>
      </c>
      <c r="W7" s="161">
        <f t="shared" ref="W7:W12" si="8">(AF7/SUM(AF$2:AF$22))*0.98</f>
        <v>0.27244000000000002</v>
      </c>
      <c r="X7" s="20">
        <v>2.9000000000000001E-2</v>
      </c>
      <c r="Y7" s="20">
        <v>0.748</v>
      </c>
      <c r="Z7" s="21">
        <v>7.4</v>
      </c>
      <c r="AA7" s="161">
        <f>(AG7/SUM(AG$7:AG$27))*0.98</f>
        <v>0.11466</v>
      </c>
      <c r="AB7" s="8">
        <v>8.4073180034031858E-2</v>
      </c>
      <c r="AC7" s="161">
        <f>(AH7/SUM(AH$7:AH$27))*0.98</f>
        <v>7.1129032258064537E-2</v>
      </c>
      <c r="AE7" s="183"/>
      <c r="AF7" s="20">
        <v>0.27800000000000002</v>
      </c>
      <c r="AG7" s="20">
        <v>0.11700000000000001</v>
      </c>
      <c r="AH7" s="20">
        <v>4.7E-2</v>
      </c>
    </row>
    <row r="8" spans="1:34" x14ac:dyDescent="0.2">
      <c r="A8" s="186" t="s">
        <v>512</v>
      </c>
      <c r="B8" s="19" t="s">
        <v>256</v>
      </c>
      <c r="C8" s="19">
        <v>14</v>
      </c>
      <c r="D8" s="158"/>
      <c r="E8" s="158"/>
      <c r="F8" s="158"/>
      <c r="G8" s="158"/>
      <c r="H8" s="158"/>
      <c r="I8" s="157">
        <f t="shared" si="6"/>
        <v>231.83683795999997</v>
      </c>
      <c r="J8" s="157">
        <f>I8*V8</f>
        <v>952.84940401559993</v>
      </c>
      <c r="K8" s="157">
        <f>I8*X8</f>
        <v>7.1869419767599991</v>
      </c>
      <c r="L8" s="157">
        <f>((D$2+D$3+D$4)*AA8)</f>
        <v>31.273956980000005</v>
      </c>
      <c r="M8" s="157">
        <f t="shared" si="7"/>
        <v>21.612449722127867</v>
      </c>
      <c r="N8" s="157">
        <f t="shared" si="7"/>
        <v>162.31291583170844</v>
      </c>
      <c r="O8" s="157">
        <f t="shared" ref="O8:O12" si="9">M8*AH8</f>
        <v>1.2006916512293258</v>
      </c>
      <c r="Q8" s="14"/>
      <c r="R8" s="149"/>
      <c r="S8" s="148"/>
      <c r="T8" s="149"/>
      <c r="U8" s="149"/>
      <c r="V8" s="21">
        <v>4.1100000000000003</v>
      </c>
      <c r="W8" s="161">
        <f t="shared" si="8"/>
        <v>0.48411999999999999</v>
      </c>
      <c r="X8" s="20">
        <v>3.1E-2</v>
      </c>
      <c r="Y8" s="20">
        <v>0.69106860177460872</v>
      </c>
      <c r="Z8" s="21">
        <v>7.5101581689522527</v>
      </c>
      <c r="AA8" s="161">
        <f t="shared" ref="AA8:AA12" si="10">(AG8/SUM(AG$7:AG$27))*0.98</f>
        <v>5.194E-2</v>
      </c>
      <c r="AB8" s="8">
        <v>9.7656082020110141E-2</v>
      </c>
      <c r="AC8" s="161">
        <f t="shared" ref="AC8:AC12" si="11">(AH8/SUM(AH$7:AH$27))*0.98</f>
        <v>8.4076870281400151E-2</v>
      </c>
      <c r="AE8" s="183"/>
      <c r="AF8" s="20">
        <v>0.49399999999999999</v>
      </c>
      <c r="AG8" s="20">
        <v>5.2999999999999999E-2</v>
      </c>
      <c r="AH8" s="20">
        <v>5.5555555555555552E-2</v>
      </c>
    </row>
    <row r="9" spans="1:34" x14ac:dyDescent="0.2">
      <c r="A9" s="186" t="s">
        <v>652</v>
      </c>
      <c r="B9" s="19" t="s">
        <v>256</v>
      </c>
      <c r="C9" s="19">
        <v>14</v>
      </c>
      <c r="D9" s="158"/>
      <c r="E9" s="158"/>
      <c r="F9" s="158"/>
      <c r="G9" s="158"/>
      <c r="H9" s="158"/>
      <c r="I9" s="157">
        <f t="shared" si="6"/>
        <v>33.320679139999989</v>
      </c>
      <c r="J9" s="157">
        <f>I9*V9</f>
        <v>133.28271655999995</v>
      </c>
      <c r="K9" s="157">
        <f>I9*X9</f>
        <v>0.99962037419999961</v>
      </c>
      <c r="L9" s="157">
        <f>((D$2+D$3+D$4)*AA9)</f>
        <v>15.341941160000001</v>
      </c>
      <c r="M9" s="157">
        <f t="shared" si="7"/>
        <v>10.283030914827611</v>
      </c>
      <c r="N9" s="157">
        <f t="shared" si="7"/>
        <v>78.201592146741518</v>
      </c>
      <c r="O9" s="157">
        <f t="shared" si="9"/>
        <v>0.3393400201893112</v>
      </c>
      <c r="Q9" s="14"/>
      <c r="R9" s="149"/>
      <c r="S9" s="148"/>
      <c r="T9" s="149"/>
      <c r="U9" s="149"/>
      <c r="V9" s="21">
        <v>4</v>
      </c>
      <c r="W9" s="161">
        <f t="shared" si="8"/>
        <v>6.9579999999999989E-2</v>
      </c>
      <c r="X9" s="20">
        <v>0.03</v>
      </c>
      <c r="Y9" s="20">
        <v>0.67025618255125741</v>
      </c>
      <c r="Z9" s="21">
        <v>7.6049165654047357</v>
      </c>
      <c r="AA9" s="161">
        <f t="shared" si="10"/>
        <v>2.5479999999999999E-2</v>
      </c>
      <c r="AB9" s="8">
        <v>6.4050162823481071E-3</v>
      </c>
      <c r="AC9" s="161">
        <f t="shared" si="11"/>
        <v>4.9941660947151696E-2</v>
      </c>
      <c r="AE9" s="183"/>
      <c r="AF9" s="20">
        <v>7.0999999999999994E-2</v>
      </c>
      <c r="AG9" s="20">
        <v>2.5999999999999999E-2</v>
      </c>
      <c r="AH9" s="20">
        <v>3.3000000000000002E-2</v>
      </c>
    </row>
    <row r="10" spans="1:34" x14ac:dyDescent="0.2">
      <c r="A10" s="186"/>
      <c r="B10" s="19" t="s">
        <v>256</v>
      </c>
      <c r="C10" s="19">
        <v>14</v>
      </c>
      <c r="D10" s="158"/>
      <c r="E10" s="158"/>
      <c r="F10" s="158"/>
      <c r="G10" s="158"/>
      <c r="H10" s="158"/>
      <c r="I10" s="157">
        <f t="shared" si="6"/>
        <v>0</v>
      </c>
      <c r="J10" s="157">
        <f t="shared" ref="J10:J12" si="12">I10*V10</f>
        <v>0</v>
      </c>
      <c r="K10" s="157">
        <f t="shared" ref="K10:K12" si="13">I10*X10</f>
        <v>0</v>
      </c>
      <c r="L10" s="157">
        <f t="shared" ref="L10:L12" si="14">((D$2+D$3+D$4)*AA10)</f>
        <v>0</v>
      </c>
      <c r="M10" s="157">
        <f t="shared" si="7"/>
        <v>0</v>
      </c>
      <c r="N10" s="157">
        <f t="shared" si="7"/>
        <v>0</v>
      </c>
      <c r="O10" s="157">
        <f t="shared" si="9"/>
        <v>0</v>
      </c>
      <c r="Q10" s="14"/>
      <c r="R10" s="149"/>
      <c r="S10" s="148"/>
      <c r="T10" s="149"/>
      <c r="U10" s="149"/>
      <c r="V10" s="21">
        <v>0</v>
      </c>
      <c r="W10" s="161">
        <f t="shared" si="8"/>
        <v>0</v>
      </c>
      <c r="X10" s="20">
        <v>0</v>
      </c>
      <c r="Y10" s="20">
        <v>0</v>
      </c>
      <c r="Z10" s="21">
        <v>0</v>
      </c>
      <c r="AA10" s="161">
        <f t="shared" si="10"/>
        <v>0</v>
      </c>
      <c r="AB10" s="8">
        <v>1.041573265430025E-2</v>
      </c>
      <c r="AC10" s="161">
        <f t="shared" si="11"/>
        <v>0</v>
      </c>
      <c r="AE10" s="183"/>
      <c r="AF10" s="20">
        <v>0</v>
      </c>
      <c r="AG10" s="20">
        <v>0</v>
      </c>
      <c r="AH10" s="20">
        <v>0</v>
      </c>
    </row>
    <row r="11" spans="1:34" x14ac:dyDescent="0.2">
      <c r="A11" s="186"/>
      <c r="B11" s="19" t="s">
        <v>256</v>
      </c>
      <c r="C11" s="19">
        <v>14</v>
      </c>
      <c r="D11" s="158"/>
      <c r="E11" s="158"/>
      <c r="F11" s="158"/>
      <c r="G11" s="158"/>
      <c r="H11" s="158"/>
      <c r="I11" s="157">
        <f t="shared" si="6"/>
        <v>0</v>
      </c>
      <c r="J11" s="157">
        <f t="shared" si="12"/>
        <v>0</v>
      </c>
      <c r="K11" s="157">
        <f t="shared" si="13"/>
        <v>0</v>
      </c>
      <c r="L11" s="157">
        <f t="shared" si="14"/>
        <v>0</v>
      </c>
      <c r="M11" s="157">
        <f t="shared" si="7"/>
        <v>0</v>
      </c>
      <c r="N11" s="157">
        <f t="shared" si="7"/>
        <v>0</v>
      </c>
      <c r="O11" s="157">
        <f t="shared" si="9"/>
        <v>0</v>
      </c>
      <c r="Q11" s="14"/>
      <c r="R11" s="149"/>
      <c r="S11" s="148"/>
      <c r="T11" s="149"/>
      <c r="U11" s="149"/>
      <c r="V11" s="21">
        <v>0</v>
      </c>
      <c r="W11" s="161">
        <f t="shared" si="8"/>
        <v>0</v>
      </c>
      <c r="X11" s="20">
        <v>0</v>
      </c>
      <c r="Y11" s="20">
        <v>0</v>
      </c>
      <c r="Z11" s="21">
        <v>0</v>
      </c>
      <c r="AA11" s="161">
        <f t="shared" si="10"/>
        <v>0</v>
      </c>
      <c r="AB11" s="8">
        <v>0</v>
      </c>
      <c r="AC11" s="161">
        <f t="shared" si="11"/>
        <v>0</v>
      </c>
      <c r="AE11" s="183"/>
      <c r="AF11" s="20">
        <v>0</v>
      </c>
      <c r="AG11" s="20">
        <v>0</v>
      </c>
      <c r="AH11" s="20">
        <v>0</v>
      </c>
    </row>
    <row r="12" spans="1:34" x14ac:dyDescent="0.2">
      <c r="A12" s="186"/>
      <c r="B12" s="19" t="s">
        <v>256</v>
      </c>
      <c r="C12" s="19">
        <v>14</v>
      </c>
      <c r="D12" s="158"/>
      <c r="E12" s="158"/>
      <c r="F12" s="158"/>
      <c r="G12" s="158"/>
      <c r="H12" s="158"/>
      <c r="I12" s="157">
        <f t="shared" si="6"/>
        <v>0</v>
      </c>
      <c r="J12" s="157">
        <f t="shared" si="12"/>
        <v>0</v>
      </c>
      <c r="K12" s="157">
        <f t="shared" si="13"/>
        <v>0</v>
      </c>
      <c r="L12" s="157">
        <f t="shared" si="14"/>
        <v>0</v>
      </c>
      <c r="M12" s="157">
        <f t="shared" si="7"/>
        <v>0</v>
      </c>
      <c r="N12" s="157">
        <f t="shared" si="7"/>
        <v>0</v>
      </c>
      <c r="O12" s="157">
        <f t="shared" si="9"/>
        <v>0</v>
      </c>
      <c r="Q12" s="14"/>
      <c r="R12" s="149"/>
      <c r="S12" s="148"/>
      <c r="T12" s="149"/>
      <c r="U12" s="149"/>
      <c r="V12" s="21">
        <v>0</v>
      </c>
      <c r="W12" s="161">
        <f t="shared" si="8"/>
        <v>0</v>
      </c>
      <c r="X12" s="20">
        <v>0</v>
      </c>
      <c r="Y12" s="20">
        <v>0</v>
      </c>
      <c r="Z12" s="21">
        <v>0</v>
      </c>
      <c r="AA12" s="161">
        <f t="shared" si="10"/>
        <v>0</v>
      </c>
      <c r="AB12" s="8">
        <v>0</v>
      </c>
      <c r="AC12" s="161">
        <f t="shared" si="11"/>
        <v>0</v>
      </c>
      <c r="AE12" s="183"/>
      <c r="AF12" s="20">
        <v>0</v>
      </c>
      <c r="AG12" s="20">
        <v>0</v>
      </c>
      <c r="AH12" s="20">
        <v>0</v>
      </c>
    </row>
    <row r="13" spans="1:34" x14ac:dyDescent="0.2">
      <c r="A13" s="43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Q13" s="4"/>
      <c r="R13" s="25"/>
      <c r="T13" s="25"/>
      <c r="U13" s="25"/>
      <c r="W13" s="164"/>
      <c r="X13" s="25"/>
      <c r="Y13" s="25"/>
      <c r="AA13" s="163"/>
      <c r="AB13" s="7"/>
      <c r="AC13"/>
      <c r="AE13" s="132"/>
      <c r="AF13" s="132"/>
      <c r="AG13" s="25"/>
      <c r="AH13" s="25"/>
    </row>
    <row r="14" spans="1:34" x14ac:dyDescent="0.2"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Q14" s="3"/>
      <c r="W14" s="164"/>
      <c r="AA14" s="163"/>
      <c r="AB14" s="7"/>
      <c r="AC14" s="3"/>
      <c r="AE14" s="182"/>
      <c r="AF14" s="132"/>
      <c r="AG14" s="27"/>
      <c r="AH14" s="27"/>
    </row>
    <row r="15" spans="1:34" x14ac:dyDescent="0.2">
      <c r="A15" s="18" t="s">
        <v>66</v>
      </c>
      <c r="B15" s="19" t="s">
        <v>257</v>
      </c>
      <c r="C15" s="19">
        <v>14</v>
      </c>
      <c r="D15" s="158"/>
      <c r="E15" s="158"/>
      <c r="F15" s="158"/>
      <c r="G15" s="158"/>
      <c r="H15" s="158"/>
      <c r="I15" s="157">
        <f t="shared" ref="I15:I22" si="15">D$37*W15</f>
        <v>4.6930533999999993</v>
      </c>
      <c r="J15" s="157">
        <f t="shared" ref="J15:J22" si="16">I15*V15</f>
        <v>33.508401275999994</v>
      </c>
      <c r="K15" s="157">
        <f t="shared" ref="K15:K22" si="17">I15*X15</f>
        <v>0.19085472524455457</v>
      </c>
      <c r="L15" s="157">
        <f t="shared" ref="L15:L22" si="18">((D$2+D$3+D$4)*AA15)</f>
        <v>127.45612656000002</v>
      </c>
      <c r="M15" s="157">
        <f t="shared" ref="M15:N22" si="19">L15*Y15</f>
        <v>78.610051405787686</v>
      </c>
      <c r="N15" s="157">
        <f t="shared" si="19"/>
        <v>1086.3909104279858</v>
      </c>
      <c r="O15" s="157">
        <f t="shared" ref="O15:O22" si="20">M15*AH15</f>
        <v>5.5027035984051382</v>
      </c>
      <c r="Q15" s="14"/>
      <c r="R15" s="149"/>
      <c r="S15" s="148"/>
      <c r="T15" s="149"/>
      <c r="U15" s="149"/>
      <c r="V15" s="21">
        <v>7.14</v>
      </c>
      <c r="W15" s="161">
        <f t="shared" ref="W15:W22" si="21">(AF15/SUM(AF$2:AF$22))*0.98</f>
        <v>9.7999999999999997E-3</v>
      </c>
      <c r="X15" s="20">
        <v>4.0667494907378338E-2</v>
      </c>
      <c r="Y15" s="20">
        <v>0.6167616538133377</v>
      </c>
      <c r="Z15" s="21">
        <v>13.82</v>
      </c>
      <c r="AA15" s="161">
        <f t="shared" ref="AA15:AA22" si="22">(AG15/SUM(AG$7:AG$27))*0.98</f>
        <v>0.21168000000000001</v>
      </c>
      <c r="AB15" s="8">
        <v>0.1922923325788353</v>
      </c>
      <c r="AC15" s="161">
        <f t="shared" ref="AC15:AC22" si="23">(AH15/SUM(AH$7:AH$27))*0.98</f>
        <v>0.1059368565545642</v>
      </c>
      <c r="AE15" s="183"/>
      <c r="AF15" s="20">
        <v>0.01</v>
      </c>
      <c r="AG15" s="20">
        <v>0.216</v>
      </c>
      <c r="AH15" s="20">
        <v>7.0000000000000007E-2</v>
      </c>
    </row>
    <row r="16" spans="1:34" x14ac:dyDescent="0.2">
      <c r="A16" s="18" t="s">
        <v>6</v>
      </c>
      <c r="B16" s="19" t="s">
        <v>257</v>
      </c>
      <c r="C16" s="19">
        <v>14</v>
      </c>
      <c r="D16" s="158"/>
      <c r="E16" s="158"/>
      <c r="F16" s="158"/>
      <c r="G16" s="158"/>
      <c r="H16" s="158"/>
      <c r="I16" s="157">
        <f t="shared" si="15"/>
        <v>22.995961659999995</v>
      </c>
      <c r="J16" s="157">
        <f t="shared" si="16"/>
        <v>120.03891986519997</v>
      </c>
      <c r="K16" s="157">
        <f t="shared" si="17"/>
        <v>1.237575826558371</v>
      </c>
      <c r="L16" s="157">
        <f t="shared" si="18"/>
        <v>86.150900360000009</v>
      </c>
      <c r="M16" s="157">
        <f t="shared" si="19"/>
        <v>56.48730666704396</v>
      </c>
      <c r="N16" s="157">
        <f t="shared" si="19"/>
        <v>602.60634392071938</v>
      </c>
      <c r="O16" s="157">
        <f t="shared" si="20"/>
        <v>3.5587003200237697</v>
      </c>
      <c r="Q16" s="14"/>
      <c r="R16" s="149"/>
      <c r="S16" s="148"/>
      <c r="T16" s="149"/>
      <c r="U16" s="149"/>
      <c r="V16" s="21">
        <v>5.22</v>
      </c>
      <c r="W16" s="161">
        <f t="shared" si="21"/>
        <v>4.802E-2</v>
      </c>
      <c r="X16" s="20">
        <v>5.3817093838308794E-2</v>
      </c>
      <c r="Y16" s="20">
        <v>0.65567865722818497</v>
      </c>
      <c r="Z16" s="21">
        <v>10.667995687468213</v>
      </c>
      <c r="AA16" s="161">
        <f t="shared" si="22"/>
        <v>0.14307999999999998</v>
      </c>
      <c r="AB16" s="8">
        <v>0.14622800044087528</v>
      </c>
      <c r="AC16" s="161">
        <f t="shared" si="23"/>
        <v>9.5343170899107779E-2</v>
      </c>
      <c r="AE16" s="183"/>
      <c r="AF16" s="20">
        <v>4.9000000000000002E-2</v>
      </c>
      <c r="AG16" s="20">
        <v>0.14599999999999999</v>
      </c>
      <c r="AH16" s="20">
        <v>6.3E-2</v>
      </c>
    </row>
    <row r="17" spans="1:34" x14ac:dyDescent="0.2">
      <c r="A17" s="18" t="s">
        <v>489</v>
      </c>
      <c r="B17" s="19" t="s">
        <v>257</v>
      </c>
      <c r="C17" s="19">
        <v>14</v>
      </c>
      <c r="D17" s="158"/>
      <c r="E17" s="158"/>
      <c r="F17" s="158"/>
      <c r="G17" s="158"/>
      <c r="H17" s="158"/>
      <c r="I17" s="157">
        <f t="shared" si="15"/>
        <v>0</v>
      </c>
      <c r="J17" s="157">
        <f t="shared" si="16"/>
        <v>0</v>
      </c>
      <c r="K17" s="157">
        <f t="shared" si="17"/>
        <v>0</v>
      </c>
      <c r="L17" s="157">
        <f t="shared" si="18"/>
        <v>132.76679850000002</v>
      </c>
      <c r="M17" s="157">
        <f t="shared" si="19"/>
        <v>79.925612697000005</v>
      </c>
      <c r="N17" s="157">
        <f t="shared" si="19"/>
        <v>1086.9883326792001</v>
      </c>
      <c r="O17" s="157">
        <f t="shared" si="20"/>
        <v>7.1933051427299999</v>
      </c>
      <c r="Q17" s="14"/>
      <c r="R17" s="149"/>
      <c r="S17" s="148"/>
      <c r="T17" s="149"/>
      <c r="U17" s="149"/>
      <c r="V17" s="21">
        <v>0</v>
      </c>
      <c r="W17" s="161">
        <f t="shared" si="21"/>
        <v>0</v>
      </c>
      <c r="X17" s="20">
        <v>4.7095761381475672E-3</v>
      </c>
      <c r="Y17" s="20">
        <v>0.60199999999999998</v>
      </c>
      <c r="Z17" s="21">
        <v>13.6</v>
      </c>
      <c r="AA17" s="161">
        <f t="shared" si="22"/>
        <v>0.2205</v>
      </c>
      <c r="AB17" s="8">
        <v>7.9859126348044471E-2</v>
      </c>
      <c r="AC17" s="161">
        <f t="shared" si="23"/>
        <v>0.13620452985586823</v>
      </c>
      <c r="AE17" s="183"/>
      <c r="AF17" s="20">
        <v>0</v>
      </c>
      <c r="AG17" s="20">
        <v>0.22500000000000001</v>
      </c>
      <c r="AH17" s="20">
        <v>0.09</v>
      </c>
    </row>
    <row r="18" spans="1:34" x14ac:dyDescent="0.2">
      <c r="A18" s="18" t="s">
        <v>253</v>
      </c>
      <c r="B18" s="19" t="s">
        <v>257</v>
      </c>
      <c r="C18" s="19">
        <v>14</v>
      </c>
      <c r="D18" s="158"/>
      <c r="E18" s="158"/>
      <c r="F18" s="158"/>
      <c r="G18" s="158"/>
      <c r="H18" s="158"/>
      <c r="I18" s="157">
        <f t="shared" si="15"/>
        <v>0</v>
      </c>
      <c r="J18" s="157">
        <f t="shared" si="16"/>
        <v>0</v>
      </c>
      <c r="K18" s="157">
        <f t="shared" si="17"/>
        <v>0</v>
      </c>
      <c r="L18" s="157">
        <f t="shared" si="18"/>
        <v>20.652613100000003</v>
      </c>
      <c r="M18" s="157">
        <f t="shared" si="19"/>
        <v>12.012129533312951</v>
      </c>
      <c r="N18" s="157">
        <f t="shared" si="19"/>
        <v>151.83331730107571</v>
      </c>
      <c r="O18" s="157">
        <f t="shared" si="20"/>
        <v>0.5165215699324569</v>
      </c>
      <c r="Q18" s="14"/>
      <c r="R18" s="149"/>
      <c r="S18" s="148"/>
      <c r="T18" s="149"/>
      <c r="U18" s="149"/>
      <c r="V18" s="21">
        <v>0</v>
      </c>
      <c r="W18" s="161">
        <f t="shared" si="21"/>
        <v>0</v>
      </c>
      <c r="X18" s="20">
        <v>0</v>
      </c>
      <c r="Y18" s="20">
        <v>0.58162758751883792</v>
      </c>
      <c r="Z18" s="21">
        <v>12.64</v>
      </c>
      <c r="AA18" s="161">
        <f t="shared" si="22"/>
        <v>3.4300000000000004E-2</v>
      </c>
      <c r="AB18" s="8">
        <v>1.4733470973034185E-2</v>
      </c>
      <c r="AC18" s="161">
        <f t="shared" si="23"/>
        <v>6.5075497597803705E-2</v>
      </c>
      <c r="AE18" s="183"/>
      <c r="AF18" s="20">
        <v>0</v>
      </c>
      <c r="AG18" s="20">
        <v>3.5000000000000003E-2</v>
      </c>
      <c r="AH18" s="20">
        <v>4.2999999999999997E-2</v>
      </c>
    </row>
    <row r="19" spans="1:34" x14ac:dyDescent="0.2">
      <c r="A19" s="18" t="s">
        <v>545</v>
      </c>
      <c r="B19" s="19" t="s">
        <v>257</v>
      </c>
      <c r="C19" s="19">
        <v>14</v>
      </c>
      <c r="D19" s="158"/>
      <c r="E19" s="158"/>
      <c r="F19" s="158"/>
      <c r="G19" s="158"/>
      <c r="H19" s="158"/>
      <c r="I19" s="157">
        <f t="shared" si="15"/>
        <v>0</v>
      </c>
      <c r="J19" s="157">
        <f t="shared" si="16"/>
        <v>0</v>
      </c>
      <c r="K19" s="157">
        <f t="shared" si="17"/>
        <v>0</v>
      </c>
      <c r="L19" s="157">
        <f t="shared" si="18"/>
        <v>12.981642520000001</v>
      </c>
      <c r="M19" s="157">
        <f t="shared" si="19"/>
        <v>7.8668753671200005</v>
      </c>
      <c r="N19" s="157">
        <f t="shared" si="19"/>
        <v>78.668753671200008</v>
      </c>
      <c r="O19" s="157">
        <f t="shared" si="20"/>
        <v>0.33827564078616001</v>
      </c>
      <c r="Q19" s="14"/>
      <c r="R19" s="149"/>
      <c r="S19" s="148"/>
      <c r="T19" s="149"/>
      <c r="U19" s="149"/>
      <c r="V19" s="21">
        <v>0</v>
      </c>
      <c r="W19" s="161">
        <f t="shared" si="21"/>
        <v>0</v>
      </c>
      <c r="X19" s="20">
        <v>0</v>
      </c>
      <c r="Y19" s="20">
        <v>0.60599999999999998</v>
      </c>
      <c r="Z19" s="21">
        <v>10</v>
      </c>
      <c r="AA19" s="161">
        <f t="shared" si="22"/>
        <v>2.1559999999999999E-2</v>
      </c>
      <c r="AB19" s="8">
        <v>4.8800519473424689E-2</v>
      </c>
      <c r="AC19" s="161">
        <f t="shared" si="23"/>
        <v>6.5075497597803705E-2</v>
      </c>
      <c r="AE19" s="183"/>
      <c r="AF19" s="20">
        <v>0</v>
      </c>
      <c r="AG19" s="20">
        <v>2.1999999999999999E-2</v>
      </c>
      <c r="AH19" s="20">
        <v>4.2999999999999997E-2</v>
      </c>
    </row>
    <row r="20" spans="1:34" x14ac:dyDescent="0.2">
      <c r="B20" s="19" t="s">
        <v>257</v>
      </c>
      <c r="C20" s="19">
        <v>14</v>
      </c>
      <c r="D20" s="158"/>
      <c r="E20" s="158"/>
      <c r="F20" s="158"/>
      <c r="G20" s="158"/>
      <c r="H20" s="158"/>
      <c r="I20" s="157">
        <f t="shared" si="15"/>
        <v>0</v>
      </c>
      <c r="J20" s="157">
        <f t="shared" si="16"/>
        <v>0</v>
      </c>
      <c r="K20" s="157">
        <f t="shared" si="17"/>
        <v>0</v>
      </c>
      <c r="L20" s="157">
        <f t="shared" si="18"/>
        <v>0</v>
      </c>
      <c r="M20" s="157">
        <f t="shared" si="19"/>
        <v>0</v>
      </c>
      <c r="N20" s="157">
        <f t="shared" si="19"/>
        <v>0</v>
      </c>
      <c r="O20" s="157">
        <f t="shared" si="20"/>
        <v>0</v>
      </c>
      <c r="Q20" s="14"/>
      <c r="R20" s="149"/>
      <c r="S20" s="148"/>
      <c r="T20" s="149"/>
      <c r="U20" s="149"/>
      <c r="V20" s="21">
        <v>0</v>
      </c>
      <c r="W20" s="161">
        <f t="shared" si="21"/>
        <v>0</v>
      </c>
      <c r="X20" s="20">
        <v>0</v>
      </c>
      <c r="Y20" s="20">
        <v>0</v>
      </c>
      <c r="Z20" s="21">
        <v>0</v>
      </c>
      <c r="AA20" s="161">
        <f t="shared" si="22"/>
        <v>0</v>
      </c>
      <c r="AB20" s="8">
        <v>7.9953635813665505E-2</v>
      </c>
      <c r="AC20" s="161">
        <f t="shared" si="23"/>
        <v>0</v>
      </c>
      <c r="AE20" s="183"/>
      <c r="AF20" s="20">
        <v>0</v>
      </c>
      <c r="AG20" s="20">
        <v>0</v>
      </c>
      <c r="AH20" s="20">
        <v>0</v>
      </c>
    </row>
    <row r="21" spans="1:34" x14ac:dyDescent="0.2">
      <c r="B21" s="19" t="s">
        <v>257</v>
      </c>
      <c r="C21" s="19">
        <v>14</v>
      </c>
      <c r="D21" s="158"/>
      <c r="E21" s="158"/>
      <c r="F21" s="158"/>
      <c r="G21" s="158"/>
      <c r="H21" s="158"/>
      <c r="I21" s="157">
        <f t="shared" si="15"/>
        <v>0</v>
      </c>
      <c r="J21" s="157">
        <f t="shared" si="16"/>
        <v>0</v>
      </c>
      <c r="K21" s="157">
        <f t="shared" si="17"/>
        <v>0</v>
      </c>
      <c r="L21" s="157">
        <f t="shared" si="18"/>
        <v>0</v>
      </c>
      <c r="M21" s="157">
        <f t="shared" si="19"/>
        <v>0</v>
      </c>
      <c r="N21" s="157">
        <f t="shared" si="19"/>
        <v>0</v>
      </c>
      <c r="O21" s="157">
        <f t="shared" si="20"/>
        <v>0</v>
      </c>
      <c r="Q21" s="14"/>
      <c r="R21" s="149"/>
      <c r="S21" s="148"/>
      <c r="T21" s="149"/>
      <c r="U21" s="149"/>
      <c r="V21" s="21">
        <v>0</v>
      </c>
      <c r="W21" s="161">
        <f t="shared" si="21"/>
        <v>0</v>
      </c>
      <c r="X21" s="20">
        <v>0</v>
      </c>
      <c r="Y21" s="20">
        <v>0</v>
      </c>
      <c r="Z21" s="21">
        <v>0</v>
      </c>
      <c r="AA21" s="161">
        <f t="shared" si="22"/>
        <v>0</v>
      </c>
      <c r="AB21" s="8">
        <v>5.0620814626722611E-2</v>
      </c>
      <c r="AC21" s="161">
        <f t="shared" si="23"/>
        <v>0</v>
      </c>
      <c r="AE21" s="183"/>
      <c r="AF21" s="20">
        <v>0</v>
      </c>
      <c r="AG21" s="20">
        <v>0</v>
      </c>
      <c r="AH21" s="20">
        <v>0</v>
      </c>
    </row>
    <row r="22" spans="1:34" x14ac:dyDescent="0.2">
      <c r="B22" s="19" t="s">
        <v>257</v>
      </c>
      <c r="C22" s="19">
        <v>14</v>
      </c>
      <c r="D22" s="158"/>
      <c r="E22" s="158"/>
      <c r="F22" s="158"/>
      <c r="G22" s="158"/>
      <c r="H22" s="158"/>
      <c r="I22" s="157">
        <f t="shared" si="15"/>
        <v>0</v>
      </c>
      <c r="J22" s="157">
        <f t="shared" si="16"/>
        <v>0</v>
      </c>
      <c r="K22" s="157">
        <f t="shared" si="17"/>
        <v>0</v>
      </c>
      <c r="L22" s="157">
        <f t="shared" si="18"/>
        <v>0</v>
      </c>
      <c r="M22" s="157">
        <f t="shared" si="19"/>
        <v>0</v>
      </c>
      <c r="N22" s="157">
        <f t="shared" si="19"/>
        <v>0</v>
      </c>
      <c r="O22" s="157">
        <f t="shared" si="20"/>
        <v>0</v>
      </c>
      <c r="Q22" s="14"/>
      <c r="R22" s="149"/>
      <c r="S22" s="148"/>
      <c r="T22" s="149"/>
      <c r="U22" s="149"/>
      <c r="V22" s="21">
        <v>0</v>
      </c>
      <c r="W22" s="161">
        <f t="shared" si="21"/>
        <v>0</v>
      </c>
      <c r="X22" s="20">
        <v>0</v>
      </c>
      <c r="Y22" s="20">
        <v>0</v>
      </c>
      <c r="Z22" s="21">
        <v>0</v>
      </c>
      <c r="AA22" s="161">
        <f t="shared" si="22"/>
        <v>0</v>
      </c>
      <c r="AB22" s="8">
        <v>0</v>
      </c>
      <c r="AC22" s="161">
        <f t="shared" si="23"/>
        <v>0</v>
      </c>
      <c r="AE22" s="183"/>
      <c r="AF22" s="20">
        <v>0</v>
      </c>
      <c r="AG22" s="20">
        <v>0</v>
      </c>
      <c r="AH22" s="20">
        <v>0</v>
      </c>
    </row>
    <row r="23" spans="1:34" x14ac:dyDescent="0.2"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Q23" s="3"/>
      <c r="W23" s="164"/>
      <c r="AA23" s="163"/>
      <c r="AB23" s="7"/>
      <c r="AC23" s="3"/>
      <c r="AE23" s="182"/>
      <c r="AF23" s="132"/>
      <c r="AG23" s="27"/>
      <c r="AH23" s="27"/>
    </row>
    <row r="24" spans="1:34" x14ac:dyDescent="0.2">
      <c r="A24" s="18" t="s">
        <v>187</v>
      </c>
      <c r="B24" s="19" t="s">
        <v>10</v>
      </c>
      <c r="C24" s="19">
        <v>14</v>
      </c>
      <c r="D24" s="158"/>
      <c r="E24" s="158"/>
      <c r="F24" s="158"/>
      <c r="G24" s="158"/>
      <c r="H24" s="158"/>
      <c r="I24" s="158"/>
      <c r="J24" s="158"/>
      <c r="K24" s="158"/>
      <c r="L24" s="157">
        <f>((D$2+D$3+D$4)*AA24)</f>
        <v>54.286868720000001</v>
      </c>
      <c r="M24" s="157">
        <f t="shared" ref="M24:N27" si="24">L24*Y24</f>
        <v>34.819194581331786</v>
      </c>
      <c r="N24" s="157">
        <f t="shared" si="24"/>
        <v>351.67386527145101</v>
      </c>
      <c r="O24" s="157">
        <f t="shared" ref="O24:O27" si="25">M24*AH24</f>
        <v>2.3677052315305618</v>
      </c>
      <c r="Q24" s="14"/>
      <c r="R24" s="149"/>
      <c r="S24" s="148"/>
      <c r="T24" s="149"/>
      <c r="U24" s="149"/>
      <c r="V24" s="150"/>
      <c r="W24" s="165"/>
      <c r="X24" s="149"/>
      <c r="Y24" s="20">
        <v>0.64139257618489121</v>
      </c>
      <c r="Z24" s="115">
        <v>10.1</v>
      </c>
      <c r="AA24" s="161">
        <f t="shared" ref="AA24:AA27" si="26">(AG24/SUM(AG$7:AG$27))*0.98</f>
        <v>9.015999999999999E-2</v>
      </c>
      <c r="AB24" s="8">
        <v>0.13714946989377905</v>
      </c>
      <c r="AC24" s="161">
        <f t="shared" ref="AC24:AC27" si="27">(AH24/SUM(AH$7:AH$27))*0.98</f>
        <v>0.10291008922443379</v>
      </c>
      <c r="AE24" s="183"/>
      <c r="AF24" s="181"/>
      <c r="AG24" s="20">
        <v>9.1999999999999998E-2</v>
      </c>
      <c r="AH24" s="20">
        <v>6.8000000000000005E-2</v>
      </c>
    </row>
    <row r="25" spans="1:34" x14ac:dyDescent="0.2">
      <c r="A25" s="18" t="s">
        <v>669</v>
      </c>
      <c r="B25" s="19" t="s">
        <v>10</v>
      </c>
      <c r="C25" s="19">
        <v>14</v>
      </c>
      <c r="D25" s="158"/>
      <c r="E25" s="158"/>
      <c r="F25" s="158"/>
      <c r="G25" s="158"/>
      <c r="H25" s="158"/>
      <c r="I25" s="158"/>
      <c r="J25" s="158"/>
      <c r="K25" s="158"/>
      <c r="L25" s="157">
        <f>((D$2+D$3+D$4)*AA25)</f>
        <v>32.454106299999999</v>
      </c>
      <c r="M25" s="157">
        <f t="shared" si="24"/>
        <v>19.6022802052</v>
      </c>
      <c r="N25" s="157">
        <f t="shared" si="24"/>
        <v>199.94325809303999</v>
      </c>
      <c r="O25" s="157">
        <f t="shared" si="25"/>
        <v>1.3917618945691999</v>
      </c>
      <c r="Q25" s="14"/>
      <c r="R25" s="149"/>
      <c r="S25" s="148"/>
      <c r="T25" s="149"/>
      <c r="U25" s="149"/>
      <c r="V25" s="150"/>
      <c r="W25" s="165"/>
      <c r="X25" s="149"/>
      <c r="Y25" s="20">
        <v>0.60399999999999998</v>
      </c>
      <c r="Z25" s="115">
        <v>10.199999999999999</v>
      </c>
      <c r="AA25" s="161">
        <f t="shared" si="26"/>
        <v>5.3899999999999997E-2</v>
      </c>
      <c r="AB25" s="8">
        <v>1.7460909603359023E-2</v>
      </c>
      <c r="AC25" s="161">
        <f t="shared" si="27"/>
        <v>0.10745024021962939</v>
      </c>
      <c r="AE25" s="183"/>
      <c r="AF25" s="181"/>
      <c r="AG25" s="20">
        <v>5.5E-2</v>
      </c>
      <c r="AH25" s="20">
        <v>7.0999999999999994E-2</v>
      </c>
    </row>
    <row r="26" spans="1:34" x14ac:dyDescent="0.2">
      <c r="A26" s="18" t="s">
        <v>225</v>
      </c>
      <c r="B26" s="19" t="s">
        <v>10</v>
      </c>
      <c r="C26" s="19">
        <v>14</v>
      </c>
      <c r="D26" s="158"/>
      <c r="E26" s="158"/>
      <c r="F26" s="158"/>
      <c r="G26" s="158"/>
      <c r="H26" s="158"/>
      <c r="I26" s="158"/>
      <c r="J26" s="158"/>
      <c r="K26" s="158"/>
      <c r="L26" s="157">
        <f>((D$2+D$3+D$4)*AA26)</f>
        <v>7.6709705800000005</v>
      </c>
      <c r="M26" s="157">
        <f t="shared" si="24"/>
        <v>4.7253178772800002</v>
      </c>
      <c r="N26" s="157">
        <f t="shared" si="24"/>
        <v>47.247580814687751</v>
      </c>
      <c r="O26" s="157">
        <f t="shared" si="25"/>
        <v>0.30242034414592001</v>
      </c>
      <c r="Q26" s="14"/>
      <c r="R26" s="149"/>
      <c r="S26" s="148"/>
      <c r="T26" s="149"/>
      <c r="U26" s="149"/>
      <c r="V26" s="150"/>
      <c r="W26" s="165"/>
      <c r="X26" s="149"/>
      <c r="Y26" s="20">
        <v>0.61599999999999999</v>
      </c>
      <c r="Z26" s="115">
        <v>9.9988153266599973</v>
      </c>
      <c r="AA26" s="161">
        <f t="shared" si="26"/>
        <v>1.274E-2</v>
      </c>
      <c r="AB26" s="8">
        <v>9.3517092574694708E-3</v>
      </c>
      <c r="AC26" s="161">
        <f t="shared" si="27"/>
        <v>9.6856554564172984E-2</v>
      </c>
      <c r="AE26" s="183"/>
      <c r="AF26" s="181"/>
      <c r="AG26" s="20">
        <v>1.2999999999999999E-2</v>
      </c>
      <c r="AH26" s="20">
        <v>6.4000000000000001E-2</v>
      </c>
    </row>
    <row r="27" spans="1:34" x14ac:dyDescent="0.2">
      <c r="B27" s="19" t="s">
        <v>10</v>
      </c>
      <c r="C27" s="19">
        <v>14</v>
      </c>
      <c r="D27" s="158"/>
      <c r="E27" s="158"/>
      <c r="F27" s="158"/>
      <c r="G27" s="158"/>
      <c r="H27" s="158"/>
      <c r="I27" s="158"/>
      <c r="J27" s="158"/>
      <c r="K27" s="158"/>
      <c r="L27" s="157">
        <f>((D$2+D$3+D$4)*AA27)</f>
        <v>0</v>
      </c>
      <c r="M27" s="157">
        <f t="shared" si="24"/>
        <v>0</v>
      </c>
      <c r="N27" s="157">
        <f t="shared" si="24"/>
        <v>0</v>
      </c>
      <c r="O27" s="157">
        <f t="shared" si="25"/>
        <v>0</v>
      </c>
      <c r="Q27" s="14"/>
      <c r="R27" s="149"/>
      <c r="S27" s="148"/>
      <c r="T27" s="149"/>
      <c r="U27" s="149"/>
      <c r="V27" s="150"/>
      <c r="W27" s="165"/>
      <c r="X27" s="149"/>
      <c r="Y27" s="20">
        <v>0</v>
      </c>
      <c r="Z27" s="115">
        <v>0</v>
      </c>
      <c r="AA27" s="161">
        <f t="shared" si="26"/>
        <v>0</v>
      </c>
      <c r="AB27" s="8">
        <v>0</v>
      </c>
      <c r="AC27" s="161">
        <f t="shared" si="27"/>
        <v>0</v>
      </c>
      <c r="AE27" s="183"/>
      <c r="AF27" s="181"/>
      <c r="AG27" s="20">
        <v>0</v>
      </c>
      <c r="AH27" s="20">
        <v>0</v>
      </c>
    </row>
    <row r="28" spans="1:34" x14ac:dyDescent="0.2">
      <c r="A28" s="43"/>
      <c r="N28" s="24"/>
      <c r="O28" s="24"/>
      <c r="Q28" s="25"/>
      <c r="R28" s="25"/>
      <c r="T28" s="25"/>
      <c r="U28" s="25"/>
      <c r="W28" s="164"/>
      <c r="X28" s="25"/>
      <c r="Y28" s="25"/>
      <c r="AA28" s="7"/>
      <c r="AB28" s="7"/>
      <c r="AC28" s="4"/>
    </row>
    <row r="29" spans="1:34" s="28" customFormat="1" x14ac:dyDescent="0.2">
      <c r="A29" s="44"/>
      <c r="B29" s="29"/>
      <c r="C29" s="29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9"/>
      <c r="Q29" s="31"/>
      <c r="R29" s="31"/>
      <c r="S29" s="30"/>
      <c r="T29" s="31"/>
      <c r="U29" s="31"/>
      <c r="V29" s="32"/>
      <c r="W29" s="10" t="s">
        <v>344</v>
      </c>
      <c r="X29" s="31"/>
      <c r="Y29" s="31"/>
      <c r="Z29" s="32"/>
      <c r="AA29" s="10" t="s">
        <v>344</v>
      </c>
      <c r="AB29" s="10" t="s">
        <v>344</v>
      </c>
      <c r="AC29" s="10" t="s">
        <v>344</v>
      </c>
      <c r="AD29" s="45"/>
      <c r="AE29" s="10" t="s">
        <v>344</v>
      </c>
      <c r="AF29" s="10" t="s">
        <v>344</v>
      </c>
      <c r="AG29" s="10" t="s">
        <v>344</v>
      </c>
    </row>
    <row r="30" spans="1:34" s="28" customFormat="1" x14ac:dyDescent="0.2">
      <c r="A30" s="46" t="s">
        <v>345</v>
      </c>
      <c r="B30" s="29"/>
      <c r="C30" s="29"/>
      <c r="D30" s="35" t="s">
        <v>349</v>
      </c>
      <c r="E30" s="35" t="s">
        <v>346</v>
      </c>
      <c r="F30" s="166" t="s">
        <v>347</v>
      </c>
      <c r="G30" s="35" t="s">
        <v>366</v>
      </c>
      <c r="H30" s="35" t="s">
        <v>348</v>
      </c>
      <c r="I30" s="30"/>
      <c r="J30" s="30"/>
      <c r="K30" s="30"/>
      <c r="L30" s="30"/>
      <c r="M30" s="30"/>
      <c r="N30" s="30"/>
      <c r="O30" s="30"/>
      <c r="P30" s="29"/>
      <c r="Q30" s="31"/>
      <c r="R30" s="31"/>
      <c r="S30" s="30"/>
      <c r="T30" s="31"/>
      <c r="U30" s="31"/>
      <c r="V30" s="32"/>
      <c r="W30" s="161">
        <f>SUM(W2:W4,W7:W27)</f>
        <v>0.98</v>
      </c>
      <c r="X30" s="31"/>
      <c r="Y30" s="31"/>
      <c r="Z30" s="32"/>
      <c r="AA30" s="161">
        <f>SUM(AA7:AA27)</f>
        <v>0.98</v>
      </c>
      <c r="AB30" s="161">
        <f t="shared" ref="AB30" si="28">SUM(AB2:AB4,AB7:AB12,AB15:AB22,AB24:AB27)</f>
        <v>0.97499999999999998</v>
      </c>
      <c r="AC30" s="161">
        <f>SUM(AC7:AC27)</f>
        <v>0.9800000000000002</v>
      </c>
      <c r="AD30" s="36"/>
      <c r="AE30" s="161">
        <f>SUM(AE2:AE4,AE7:AE27)</f>
        <v>1</v>
      </c>
      <c r="AF30" s="161">
        <f>SUM(AF2:AF4,AF7:AF27)</f>
        <v>1</v>
      </c>
      <c r="AG30" s="161">
        <f>SUM(AG7:AG27)</f>
        <v>1</v>
      </c>
    </row>
    <row r="31" spans="1:34" s="28" customFormat="1" x14ac:dyDescent="0.2">
      <c r="A31" s="44"/>
      <c r="B31" s="29"/>
      <c r="C31" s="29"/>
      <c r="D31" s="47">
        <v>1081</v>
      </c>
      <c r="E31" s="48">
        <v>0.55700000000000005</v>
      </c>
      <c r="F31" s="2">
        <f>1-E31</f>
        <v>0.44299999999999995</v>
      </c>
      <c r="G31" s="114">
        <v>4.1500000000000004</v>
      </c>
      <c r="H31" s="134">
        <v>3.3000000000000002E-2</v>
      </c>
      <c r="I31" s="31"/>
      <c r="J31" s="30"/>
      <c r="K31" s="30"/>
      <c r="L31" s="30"/>
      <c r="M31" s="30"/>
      <c r="N31" s="30"/>
      <c r="O31" s="30"/>
      <c r="P31" s="29"/>
      <c r="Q31" s="31"/>
      <c r="R31" s="31"/>
      <c r="S31" s="30"/>
      <c r="T31" s="31"/>
      <c r="U31" s="31"/>
      <c r="V31" s="32"/>
      <c r="W31" s="32"/>
      <c r="X31" s="31"/>
      <c r="Y31" s="31"/>
      <c r="Z31" s="32"/>
      <c r="AA31" s="29"/>
      <c r="AB31" s="29"/>
      <c r="AC31" s="31"/>
      <c r="AE31" s="29"/>
      <c r="AF31" s="29"/>
    </row>
    <row r="32" spans="1:34" s="28" customFormat="1" x14ac:dyDescent="0.2">
      <c r="A32" s="44"/>
      <c r="B32" s="29"/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9"/>
      <c r="Q32" s="31"/>
      <c r="R32" s="31"/>
      <c r="S32" s="30"/>
      <c r="T32" s="31"/>
      <c r="U32" s="31"/>
      <c r="V32" s="32"/>
      <c r="W32" s="32"/>
      <c r="X32" s="31"/>
      <c r="Y32" s="31"/>
      <c r="Z32" s="32"/>
      <c r="AA32" s="29"/>
      <c r="AB32" s="29"/>
      <c r="AC32" s="31"/>
      <c r="AE32" s="29"/>
      <c r="AF32" s="29"/>
    </row>
    <row r="33" spans="1:32" s="28" customFormat="1" x14ac:dyDescent="0.2">
      <c r="A33" s="46" t="s">
        <v>345</v>
      </c>
      <c r="B33" s="29"/>
      <c r="C33" s="29"/>
      <c r="D33" s="173" t="s">
        <v>358</v>
      </c>
      <c r="E33" s="173" t="s">
        <v>1</v>
      </c>
      <c r="F33" s="173" t="s">
        <v>343</v>
      </c>
      <c r="G33" s="173" t="s">
        <v>159</v>
      </c>
      <c r="H33" s="30"/>
      <c r="I33" s="30"/>
      <c r="J33" s="30"/>
      <c r="K33" s="30"/>
      <c r="L33" s="30"/>
      <c r="M33" s="30"/>
      <c r="N33" s="30"/>
      <c r="O33" s="30"/>
      <c r="P33" s="29"/>
      <c r="Q33" s="31"/>
      <c r="R33" s="31"/>
      <c r="S33" s="30"/>
      <c r="T33" s="31"/>
      <c r="U33" s="31"/>
      <c r="V33" s="32"/>
      <c r="W33" s="32"/>
      <c r="X33" s="31"/>
      <c r="Y33" s="31"/>
      <c r="Z33" s="32"/>
      <c r="AA33" s="29"/>
      <c r="AB33" s="29"/>
      <c r="AC33" s="31"/>
      <c r="AE33" s="29"/>
      <c r="AF33" s="29"/>
    </row>
    <row r="34" spans="1:32" s="28" customFormat="1" x14ac:dyDescent="0.2">
      <c r="A34" s="44"/>
      <c r="B34" s="29"/>
      <c r="C34" s="29"/>
      <c r="D34" s="174">
        <f>D31*E31</f>
        <v>602.11700000000008</v>
      </c>
      <c r="E34" s="167">
        <f>SUM(E2:E4)</f>
        <v>379.42703813500003</v>
      </c>
      <c r="F34" s="167">
        <f>SUM(F2:F4)</f>
        <v>4230.2501748994009</v>
      </c>
      <c r="G34" s="167">
        <f>SUM(G2:G4)</f>
        <v>25.164543723065005</v>
      </c>
      <c r="H34" s="30"/>
      <c r="I34" s="30"/>
      <c r="J34" s="30"/>
      <c r="K34" s="30"/>
      <c r="L34" s="30"/>
      <c r="M34" s="30"/>
      <c r="N34" s="30"/>
      <c r="O34" s="30"/>
      <c r="P34" s="29"/>
      <c r="Q34" s="31"/>
      <c r="R34" s="31"/>
      <c r="S34" s="30"/>
      <c r="T34" s="31"/>
      <c r="U34" s="31"/>
      <c r="V34" s="32"/>
      <c r="W34" s="32"/>
      <c r="X34" s="31"/>
      <c r="Y34" s="31"/>
      <c r="Z34" s="32"/>
      <c r="AA34" s="29"/>
      <c r="AB34" s="29"/>
      <c r="AC34" s="31"/>
      <c r="AE34" s="29"/>
      <c r="AF34" s="29"/>
    </row>
    <row r="35" spans="1:32" s="28" customFormat="1" x14ac:dyDescent="0.2">
      <c r="A35" s="44"/>
      <c r="B35" s="29"/>
      <c r="C35" s="29"/>
      <c r="D35" s="151"/>
      <c r="E35" s="151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9"/>
      <c r="Q35" s="31"/>
      <c r="R35" s="31"/>
      <c r="S35" s="30"/>
      <c r="T35" s="31"/>
      <c r="U35" s="31"/>
      <c r="V35" s="32"/>
      <c r="W35" s="32"/>
      <c r="X35" s="31"/>
      <c r="Y35" s="31"/>
      <c r="Z35" s="32"/>
      <c r="AA35" s="29"/>
      <c r="AB35" s="29"/>
      <c r="AC35" s="31"/>
      <c r="AE35" s="29"/>
      <c r="AF35" s="29"/>
    </row>
    <row r="36" spans="1:32" s="28" customFormat="1" x14ac:dyDescent="0.2">
      <c r="A36" s="46" t="s">
        <v>345</v>
      </c>
      <c r="B36" s="29"/>
      <c r="C36" s="29"/>
      <c r="D36" s="173" t="s">
        <v>350</v>
      </c>
      <c r="E36" s="173" t="s">
        <v>343</v>
      </c>
      <c r="F36" s="173" t="s">
        <v>159</v>
      </c>
      <c r="G36" s="30"/>
      <c r="H36" s="30"/>
      <c r="I36" s="30"/>
      <c r="J36" s="30"/>
      <c r="K36" s="30"/>
      <c r="L36" s="30"/>
      <c r="M36" s="30"/>
      <c r="N36" s="30"/>
      <c r="O36" s="30"/>
      <c r="P36" s="29"/>
      <c r="Q36" s="31"/>
      <c r="R36" s="31"/>
      <c r="S36" s="30"/>
      <c r="T36" s="31"/>
      <c r="U36" s="31"/>
      <c r="V36" s="32"/>
      <c r="W36" s="32"/>
      <c r="X36" s="31"/>
      <c r="Y36" s="31"/>
      <c r="Z36" s="32"/>
      <c r="AA36" s="29"/>
      <c r="AB36" s="29"/>
      <c r="AC36" s="31"/>
      <c r="AE36" s="29"/>
      <c r="AF36" s="29"/>
    </row>
    <row r="37" spans="1:32" s="28" customFormat="1" x14ac:dyDescent="0.2">
      <c r="A37" s="44"/>
      <c r="B37" s="29"/>
      <c r="C37" s="29"/>
      <c r="D37" s="174">
        <f>D31*F31</f>
        <v>478.88299999999992</v>
      </c>
      <c r="E37" s="167">
        <f>D37*G31</f>
        <v>1987.3644499999998</v>
      </c>
      <c r="F37" s="167">
        <f>D37*H31</f>
        <v>15.803138999999998</v>
      </c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31"/>
      <c r="R37" s="31"/>
      <c r="S37" s="30"/>
      <c r="T37" s="31"/>
      <c r="U37" s="31"/>
      <c r="V37" s="32"/>
      <c r="W37" s="32"/>
      <c r="X37" s="31"/>
      <c r="Y37" s="31"/>
      <c r="Z37" s="32"/>
      <c r="AA37" s="29"/>
      <c r="AB37" s="29"/>
      <c r="AC37" s="31"/>
      <c r="AE37" s="29"/>
      <c r="AF37" s="29"/>
    </row>
    <row r="38" spans="1:32" s="28" customFormat="1" x14ac:dyDescent="0.2">
      <c r="A38" s="44"/>
      <c r="B38" s="29"/>
      <c r="C38" s="29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9"/>
      <c r="Q38" s="31"/>
      <c r="R38" s="31"/>
      <c r="S38" s="30"/>
      <c r="T38" s="31"/>
      <c r="U38" s="31"/>
      <c r="V38" s="32"/>
      <c r="W38" s="32"/>
      <c r="X38" s="31"/>
      <c r="Y38" s="31"/>
      <c r="Z38" s="32"/>
      <c r="AA38" s="29"/>
      <c r="AB38" s="29"/>
      <c r="AC38" s="31"/>
      <c r="AE38" s="29"/>
      <c r="AF38" s="29"/>
    </row>
    <row r="39" spans="1:32" s="39" customFormat="1" ht="25.5" customHeight="1" x14ac:dyDescent="0.2">
      <c r="A39" s="49" t="s">
        <v>359</v>
      </c>
      <c r="B39" s="38"/>
      <c r="C39" s="38"/>
      <c r="D39" s="175" t="s">
        <v>353</v>
      </c>
      <c r="E39" s="175" t="s">
        <v>354</v>
      </c>
      <c r="F39" s="11" t="s">
        <v>355</v>
      </c>
      <c r="G39" s="171" t="s">
        <v>351</v>
      </c>
      <c r="H39" s="171" t="s">
        <v>352</v>
      </c>
      <c r="I39" s="171" t="s">
        <v>356</v>
      </c>
      <c r="J39" s="171" t="s">
        <v>357</v>
      </c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E39" s="38"/>
      <c r="AF39" s="38"/>
    </row>
    <row r="40" spans="1:32" ht="15" thickBot="1" x14ac:dyDescent="0.25">
      <c r="D40" s="168">
        <f>SUM(I2:I22)</f>
        <v>469.30533999999989</v>
      </c>
      <c r="E40" s="168">
        <f>SUM(J2:J4,J7:J12,J15:J22)</f>
        <v>1981.5754786607852</v>
      </c>
      <c r="F40" s="168">
        <f>SUM(K2:K4,K7:K12,K15:K22)</f>
        <v>15.796682841242923</v>
      </c>
      <c r="G40" s="168">
        <f>SUM(L7:L12,L15:L22,L24:L27)</f>
        <v>590.07466000000011</v>
      </c>
      <c r="H40" s="168">
        <f>SUM(M7:M12,M15:M22,M24:M27)</f>
        <v>377.58522291559177</v>
      </c>
      <c r="I40" s="168">
        <f>SUM(N7:N12,N15:N22,N24:N27)</f>
        <v>4228.0100773475533</v>
      </c>
      <c r="J40" s="168">
        <f>SUM(O7:O12,O15:O22,O24:O27)</f>
        <v>25.138551188936162</v>
      </c>
      <c r="Q40" s="19"/>
      <c r="R40" s="19"/>
      <c r="S40" s="19"/>
      <c r="T40" s="19"/>
      <c r="U40" s="19"/>
      <c r="V40" s="19"/>
      <c r="W40" s="19"/>
      <c r="X40" s="19"/>
      <c r="Y40" s="19"/>
      <c r="Z40" s="19"/>
      <c r="AC40" s="19"/>
    </row>
    <row r="41" spans="1:32" ht="15" thickTop="1" x14ac:dyDescent="0.2">
      <c r="D41" s="169">
        <f>D37-D40</f>
        <v>9.5776600000000371</v>
      </c>
      <c r="E41" s="169">
        <f>E37-E40</f>
        <v>5.7889713392146405</v>
      </c>
      <c r="F41" s="169">
        <f>F37-F40</f>
        <v>6.4561587570750589E-3</v>
      </c>
      <c r="G41" s="169">
        <f>SUM(D2:D4)-G40</f>
        <v>12.042339999999967</v>
      </c>
      <c r="H41" s="169">
        <f>E34-H40</f>
        <v>1.8418152194082609</v>
      </c>
      <c r="I41" s="169">
        <f>F34-I40</f>
        <v>2.2400975518476116</v>
      </c>
      <c r="J41" s="169">
        <f>G34-J40</f>
        <v>2.5992534128842948E-2</v>
      </c>
      <c r="Q41" s="19"/>
      <c r="R41" s="19"/>
      <c r="S41" s="19"/>
      <c r="T41" s="19"/>
      <c r="U41" s="19"/>
      <c r="V41" s="19"/>
      <c r="W41" s="19"/>
      <c r="X41" s="19"/>
      <c r="Y41" s="19"/>
      <c r="Z41" s="19"/>
      <c r="AC41" s="19"/>
    </row>
    <row r="42" spans="1:32" x14ac:dyDescent="0.2">
      <c r="N42" s="24"/>
      <c r="O42" s="24"/>
    </row>
    <row r="43" spans="1:32" x14ac:dyDescent="0.2">
      <c r="N43" s="24"/>
      <c r="O43" s="24"/>
    </row>
  </sheetData>
  <sheetProtection selectLockedCells="1"/>
  <conditionalFormatting sqref="D41:J41">
    <cfRule type="cellIs" dxfId="2" priority="1" operator="lessThan">
      <formula>0</formula>
    </cfRule>
  </conditionalFormatting>
  <conditionalFormatting sqref="W30">
    <cfRule type="cellIs" dxfId="1" priority="2" operator="greaterThan">
      <formula>1</formula>
    </cfRule>
  </conditionalFormatting>
  <conditionalFormatting sqref="AA30:AG30">
    <cfRule type="cellIs" dxfId="0" priority="3" operator="greaterThan">
      <formula>1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tabColor rgb="FFFFC87D"/>
  </sheetPr>
  <dimension ref="A1:AA66"/>
  <sheetViews>
    <sheetView showGridLines="0" zoomScale="85" zoomScaleNormal="85" workbookViewId="0"/>
  </sheetViews>
  <sheetFormatPr baseColWidth="10" defaultColWidth="8.796875" defaultRowHeight="14" x14ac:dyDescent="0.2"/>
  <cols>
    <col min="1" max="1" width="6.3984375" bestFit="1" customWidth="1"/>
    <col min="2" max="2" width="22.19921875" style="86" bestFit="1" customWidth="1"/>
    <col min="3" max="3" width="10" style="86" bestFit="1" customWidth="1"/>
    <col min="4" max="4" width="6.796875" style="58" bestFit="1" customWidth="1"/>
    <col min="5" max="5" width="8.796875" style="58" bestFit="1" customWidth="1"/>
    <col min="6" max="6" width="6.3984375" style="58" bestFit="1" customWidth="1"/>
    <col min="7" max="7" width="10.19921875" style="58" bestFit="1" customWidth="1"/>
    <col min="8" max="8" width="10.796875" style="82" bestFit="1" customWidth="1"/>
    <col min="9" max="9" width="10.59765625" style="58" bestFit="1" customWidth="1"/>
    <col min="10" max="10" width="9" style="58" bestFit="1" customWidth="1"/>
    <col min="11" max="11" width="9.796875" style="58" bestFit="1" customWidth="1"/>
    <col min="12" max="14" width="9.59765625" style="58" bestFit="1" customWidth="1"/>
    <col min="15" max="17" width="10.59765625" style="58" bestFit="1" customWidth="1"/>
    <col min="18" max="18" width="9.59765625" style="58" bestFit="1" customWidth="1"/>
    <col min="19" max="19" width="9.19921875" bestFit="1" customWidth="1"/>
  </cols>
  <sheetData>
    <row r="1" spans="1:27" s="88" customFormat="1" ht="30" x14ac:dyDescent="0.2">
      <c r="A1" s="87" t="s">
        <v>406</v>
      </c>
      <c r="B1" s="88" t="s">
        <v>202</v>
      </c>
      <c r="C1" s="88" t="s">
        <v>566</v>
      </c>
      <c r="D1" s="89" t="s">
        <v>143</v>
      </c>
      <c r="E1" s="87" t="s">
        <v>274</v>
      </c>
      <c r="F1" s="87" t="s">
        <v>2</v>
      </c>
      <c r="G1" s="87" t="s">
        <v>321</v>
      </c>
      <c r="H1" s="87" t="s">
        <v>320</v>
      </c>
      <c r="I1" s="90" t="s">
        <v>275</v>
      </c>
      <c r="J1" s="87" t="s">
        <v>276</v>
      </c>
      <c r="K1" s="87" t="s">
        <v>318</v>
      </c>
      <c r="L1" s="87" t="s">
        <v>335</v>
      </c>
      <c r="M1" s="87" t="s">
        <v>336</v>
      </c>
      <c r="N1" s="87" t="s">
        <v>337</v>
      </c>
      <c r="O1" s="87" t="s">
        <v>338</v>
      </c>
      <c r="P1" s="87" t="s">
        <v>340</v>
      </c>
      <c r="Q1" s="87" t="s">
        <v>341</v>
      </c>
      <c r="R1" s="87" t="s">
        <v>339</v>
      </c>
      <c r="S1" s="87" t="s">
        <v>319</v>
      </c>
    </row>
    <row r="2" spans="1:27" x14ac:dyDescent="0.2">
      <c r="A2" s="58" t="s">
        <v>407</v>
      </c>
      <c r="B2" t="s">
        <v>277</v>
      </c>
      <c r="C2" t="s">
        <v>107</v>
      </c>
      <c r="D2" s="81">
        <v>14</v>
      </c>
      <c r="E2" s="58">
        <v>37.239999999999995</v>
      </c>
      <c r="F2" s="58">
        <v>11.742222222222223</v>
      </c>
      <c r="G2" s="58">
        <v>16.762942697807862</v>
      </c>
      <c r="H2" s="58">
        <v>10.178567214496416</v>
      </c>
      <c r="I2" s="82">
        <v>0.196392457269672</v>
      </c>
      <c r="J2" s="58">
        <v>1.7142857142857144</v>
      </c>
      <c r="K2" s="58">
        <v>23.870036764705883</v>
      </c>
      <c r="L2" s="58">
        <v>0.30130978359514216</v>
      </c>
      <c r="M2" s="58">
        <v>0.73876695088883004</v>
      </c>
      <c r="N2" s="58">
        <v>2.1493431229786815</v>
      </c>
      <c r="O2" s="58">
        <v>3.9717093326485595</v>
      </c>
      <c r="P2" s="58">
        <v>4.7026645484071459</v>
      </c>
      <c r="Q2" s="58">
        <v>3.69096484710809</v>
      </c>
      <c r="R2" s="58">
        <v>2.6805411118353026</v>
      </c>
      <c r="S2" s="58">
        <v>343.63250000000005</v>
      </c>
      <c r="T2" s="84"/>
      <c r="U2" s="84"/>
      <c r="V2" s="84"/>
      <c r="W2" s="84"/>
      <c r="X2" s="84"/>
      <c r="Y2" s="84"/>
      <c r="Z2" s="84"/>
      <c r="AA2" s="85"/>
    </row>
    <row r="3" spans="1:27" x14ac:dyDescent="0.2">
      <c r="A3" s="58" t="s">
        <v>412</v>
      </c>
      <c r="B3" t="s">
        <v>278</v>
      </c>
      <c r="C3" t="s">
        <v>108</v>
      </c>
      <c r="D3" s="81">
        <v>11</v>
      </c>
      <c r="E3" s="58">
        <v>27.54</v>
      </c>
      <c r="F3" s="58">
        <v>11.882222222222222</v>
      </c>
      <c r="G3" s="58">
        <v>15.302411568897924</v>
      </c>
      <c r="H3" s="58">
        <v>8.6528529287821314</v>
      </c>
      <c r="I3" s="82">
        <v>0.53547523427494093</v>
      </c>
      <c r="J3" s="58">
        <v>1.8704761904761904</v>
      </c>
      <c r="K3" s="58">
        <v>21.002389705882354</v>
      </c>
      <c r="L3" s="58">
        <v>0.2651116778595472</v>
      </c>
      <c r="M3" s="58">
        <v>0.65001455830748234</v>
      </c>
      <c r="N3" s="58">
        <v>1.8911299687314369</v>
      </c>
      <c r="O3" s="58">
        <v>3.4945646722301054</v>
      </c>
      <c r="P3" s="58">
        <v>4.1377059648153036</v>
      </c>
      <c r="Q3" s="58">
        <v>3.2475476629468756</v>
      </c>
      <c r="R3" s="58">
        <v>2.3585120378467868</v>
      </c>
      <c r="S3" s="58">
        <v>333.19132352941182</v>
      </c>
      <c r="T3" s="84"/>
      <c r="U3" s="84"/>
      <c r="V3" s="84"/>
      <c r="W3" s="84"/>
      <c r="X3" s="84"/>
      <c r="Y3" s="84"/>
      <c r="Z3" s="84"/>
      <c r="AA3" s="85"/>
    </row>
    <row r="4" spans="1:27" x14ac:dyDescent="0.2">
      <c r="A4" s="58" t="s">
        <v>413</v>
      </c>
      <c r="B4" t="s">
        <v>279</v>
      </c>
      <c r="C4" t="s">
        <v>109</v>
      </c>
      <c r="D4" s="81">
        <v>13</v>
      </c>
      <c r="E4" s="58">
        <v>45.6</v>
      </c>
      <c r="F4" s="58">
        <v>12.888888888888889</v>
      </c>
      <c r="G4" s="58">
        <v>18.375789604664199</v>
      </c>
      <c r="H4" s="58">
        <v>11.015710071639276</v>
      </c>
      <c r="I4" s="82">
        <v>0.12036120432694915</v>
      </c>
      <c r="J4" s="58">
        <v>1.559047619047619</v>
      </c>
      <c r="K4" s="58">
        <v>17.546507352941177</v>
      </c>
      <c r="L4" s="58">
        <v>0.22148831966536858</v>
      </c>
      <c r="M4" s="58">
        <v>0.54305654673508885</v>
      </c>
      <c r="N4" s="58">
        <v>1.5799500136129629</v>
      </c>
      <c r="O4" s="58">
        <v>2.9195441840335068</v>
      </c>
      <c r="P4" s="58">
        <v>3.4568584409994938</v>
      </c>
      <c r="Q4" s="58">
        <v>2.7131731076756678</v>
      </c>
      <c r="R4" s="58">
        <v>1.9704257179119091</v>
      </c>
      <c r="S4" s="58">
        <v>294.25749999999999</v>
      </c>
      <c r="T4" s="84"/>
      <c r="U4" s="84"/>
      <c r="V4" s="84"/>
      <c r="W4" s="84"/>
      <c r="X4" s="84"/>
      <c r="Y4" s="84"/>
      <c r="Z4" s="84"/>
      <c r="AA4" s="85"/>
    </row>
    <row r="5" spans="1:27" x14ac:dyDescent="0.2">
      <c r="A5" s="58" t="s">
        <v>414</v>
      </c>
      <c r="B5" t="s">
        <v>280</v>
      </c>
      <c r="C5" t="s">
        <v>110</v>
      </c>
      <c r="D5" s="81">
        <v>13</v>
      </c>
      <c r="E5" s="58">
        <v>42.14</v>
      </c>
      <c r="F5" s="58">
        <v>15.755555555555555</v>
      </c>
      <c r="G5" s="58">
        <v>15.5226330986299</v>
      </c>
      <c r="H5" s="58">
        <v>9.8299957859249893</v>
      </c>
      <c r="I5" s="82">
        <v>0.490001989840671</v>
      </c>
      <c r="J5" s="58">
        <v>1.7904761904761903</v>
      </c>
      <c r="K5" s="58">
        <v>19.017095588235296</v>
      </c>
      <c r="L5" s="58">
        <v>0.24005145081182758</v>
      </c>
      <c r="M5" s="58">
        <v>0.58857059421270319</v>
      </c>
      <c r="N5" s="58">
        <v>1.7123670157910371</v>
      </c>
      <c r="O5" s="58">
        <v>3.164233753478868</v>
      </c>
      <c r="P5" s="58">
        <v>3.7465807915594134</v>
      </c>
      <c r="Q5" s="58">
        <v>2.9405665354506501</v>
      </c>
      <c r="R5" s="58">
        <v>2.1355688327778148</v>
      </c>
      <c r="S5" s="58">
        <v>314.62514705882353</v>
      </c>
      <c r="T5" s="84"/>
      <c r="U5" s="84"/>
      <c r="V5" s="84"/>
      <c r="W5" s="84"/>
      <c r="X5" s="84"/>
      <c r="Y5" s="84"/>
      <c r="Z5" s="84"/>
      <c r="AA5" s="85"/>
    </row>
    <row r="6" spans="1:27" x14ac:dyDescent="0.2">
      <c r="A6" s="58" t="s">
        <v>415</v>
      </c>
      <c r="B6" t="s">
        <v>281</v>
      </c>
      <c r="C6" t="s">
        <v>111</v>
      </c>
      <c r="D6" s="81">
        <v>7</v>
      </c>
      <c r="E6" s="58">
        <v>39.700000000000003</v>
      </c>
      <c r="F6" s="58">
        <v>7.0422222222222217</v>
      </c>
      <c r="G6" s="58">
        <v>14.809138002935034</v>
      </c>
      <c r="H6" s="58">
        <v>9.4699957859249899</v>
      </c>
      <c r="I6" s="82">
        <v>0.30244858188104218</v>
      </c>
      <c r="J6" s="58">
        <v>2.000952380952381</v>
      </c>
      <c r="K6" s="58">
        <v>19.384742647058825</v>
      </c>
      <c r="L6" s="58">
        <v>0.2446922335984423</v>
      </c>
      <c r="M6" s="58">
        <v>0.59994910608210672</v>
      </c>
      <c r="N6" s="58">
        <v>1.7454712663355556</v>
      </c>
      <c r="O6" s="58">
        <v>3.2254061458402083</v>
      </c>
      <c r="P6" s="58">
        <v>3.8190113791993929</v>
      </c>
      <c r="Q6" s="58">
        <v>2.9974148923943953</v>
      </c>
      <c r="R6" s="58">
        <v>2.1768546114942908</v>
      </c>
      <c r="S6" s="58">
        <v>320.13985294117646</v>
      </c>
      <c r="T6" s="84"/>
      <c r="U6" s="84"/>
      <c r="V6" s="84"/>
      <c r="W6" s="84"/>
      <c r="X6" s="84"/>
      <c r="Y6" s="84"/>
      <c r="Z6" s="84"/>
      <c r="AA6" s="85"/>
    </row>
    <row r="7" spans="1:27" x14ac:dyDescent="0.2">
      <c r="A7" s="58" t="s">
        <v>408</v>
      </c>
      <c r="B7" t="s">
        <v>282</v>
      </c>
      <c r="C7" t="s">
        <v>112</v>
      </c>
      <c r="D7" s="81">
        <v>13</v>
      </c>
      <c r="E7" s="58">
        <v>27.28</v>
      </c>
      <c r="F7" s="58">
        <v>12.653333333333334</v>
      </c>
      <c r="G7" s="58">
        <v>15.517783972404832</v>
      </c>
      <c r="H7" s="58">
        <v>9.4099957859249894</v>
      </c>
      <c r="I7" s="82">
        <v>0.3217188256547473</v>
      </c>
      <c r="J7" s="58">
        <v>1.339047619047619</v>
      </c>
      <c r="K7" s="58">
        <v>25.450919117647057</v>
      </c>
      <c r="L7" s="58">
        <v>0.32126514957758556</v>
      </c>
      <c r="M7" s="58">
        <v>0.78769455192726534</v>
      </c>
      <c r="N7" s="58">
        <v>2.2916914003201105</v>
      </c>
      <c r="O7" s="58">
        <v>4.2347506198023224</v>
      </c>
      <c r="P7" s="58">
        <v>5.0141160752590581</v>
      </c>
      <c r="Q7" s="58">
        <v>3.9354127819661953</v>
      </c>
      <c r="R7" s="58">
        <v>2.8580699603161506</v>
      </c>
      <c r="S7" s="58">
        <v>357.41926470588243</v>
      </c>
      <c r="T7" s="84"/>
      <c r="U7" s="84"/>
      <c r="V7" s="84"/>
      <c r="W7" s="84"/>
      <c r="X7" s="84"/>
      <c r="Y7" s="84"/>
      <c r="Z7" s="84"/>
      <c r="AA7" s="85"/>
    </row>
    <row r="8" spans="1:27" x14ac:dyDescent="0.2">
      <c r="A8" s="58" t="s">
        <v>410</v>
      </c>
      <c r="B8" t="s">
        <v>283</v>
      </c>
      <c r="C8" t="s">
        <v>113</v>
      </c>
      <c r="D8" s="81">
        <v>7</v>
      </c>
      <c r="E8" s="58">
        <v>38.5</v>
      </c>
      <c r="F8" s="58">
        <v>13.135555555555555</v>
      </c>
      <c r="G8" s="58">
        <v>18.264310044130486</v>
      </c>
      <c r="H8" s="58">
        <v>10.044281500210705</v>
      </c>
      <c r="I8" s="82">
        <v>0.1250267602335812</v>
      </c>
      <c r="J8" s="58">
        <v>1.4980952380952379</v>
      </c>
      <c r="K8" s="58">
        <v>18.465624999999999</v>
      </c>
      <c r="L8" s="58">
        <v>0.23309027663190543</v>
      </c>
      <c r="M8" s="58">
        <v>0.57150282640859773</v>
      </c>
      <c r="N8" s="58">
        <v>1.6627106399742591</v>
      </c>
      <c r="O8" s="58">
        <v>3.0724751649368574</v>
      </c>
      <c r="P8" s="58">
        <v>3.6379349100994429</v>
      </c>
      <c r="Q8" s="58">
        <v>2.8552940000350313</v>
      </c>
      <c r="R8" s="58">
        <v>2.0736401647030998</v>
      </c>
      <c r="S8" s="58">
        <v>303.5589705882353</v>
      </c>
      <c r="T8" s="84"/>
      <c r="U8" s="84"/>
      <c r="V8" s="84"/>
      <c r="W8" s="84"/>
      <c r="X8" s="84"/>
      <c r="Y8" s="84"/>
      <c r="Z8" s="84"/>
      <c r="AA8" s="85"/>
    </row>
    <row r="9" spans="1:27" x14ac:dyDescent="0.2">
      <c r="A9" s="58" t="s">
        <v>409</v>
      </c>
      <c r="B9" t="s">
        <v>284</v>
      </c>
      <c r="C9" t="s">
        <v>114</v>
      </c>
      <c r="D9" s="81">
        <v>5</v>
      </c>
      <c r="E9" s="58">
        <v>40.380000000000003</v>
      </c>
      <c r="F9" s="58">
        <v>13.171111111111111</v>
      </c>
      <c r="G9" s="58">
        <v>16.983572291049391</v>
      </c>
      <c r="H9" s="58">
        <v>9.2985672144964173</v>
      </c>
      <c r="I9" s="82">
        <v>0.35522475085918531</v>
      </c>
      <c r="J9" s="58">
        <v>1.9000000000000004</v>
      </c>
      <c r="K9" s="58">
        <v>21.149448529411764</v>
      </c>
      <c r="L9" s="58">
        <v>0.26696799097419305</v>
      </c>
      <c r="M9" s="58">
        <v>0.65456596305524373</v>
      </c>
      <c r="N9" s="58">
        <v>1.9043716689492443</v>
      </c>
      <c r="O9" s="58">
        <v>3.5190336291746411</v>
      </c>
      <c r="P9" s="58">
        <v>4.1666781998712956</v>
      </c>
      <c r="Q9" s="58">
        <v>3.2702870057243731</v>
      </c>
      <c r="R9" s="58">
        <v>2.3750263493333774</v>
      </c>
      <c r="S9" s="58">
        <v>320.47073529411767</v>
      </c>
      <c r="T9" s="84"/>
      <c r="U9" s="84"/>
      <c r="V9" s="84"/>
      <c r="W9" s="84"/>
      <c r="X9" s="84"/>
      <c r="Y9" s="84"/>
      <c r="Z9" s="84"/>
      <c r="AA9" s="85"/>
    </row>
    <row r="10" spans="1:27" x14ac:dyDescent="0.2">
      <c r="A10" s="58" t="s">
        <v>411</v>
      </c>
      <c r="B10" t="s">
        <v>285</v>
      </c>
      <c r="C10" t="s">
        <v>115</v>
      </c>
      <c r="D10" s="81">
        <v>7</v>
      </c>
      <c r="E10" s="58">
        <v>42.64</v>
      </c>
      <c r="F10" s="58">
        <v>15.38</v>
      </c>
      <c r="G10" s="58">
        <v>22.943607484025122</v>
      </c>
      <c r="H10" s="58">
        <v>13.095710071639274</v>
      </c>
      <c r="I10" s="82">
        <v>9.8859481227294252E-2</v>
      </c>
      <c r="J10" s="58">
        <v>2.3009523809523813</v>
      </c>
      <c r="K10" s="58">
        <v>22.031801470588235</v>
      </c>
      <c r="L10" s="58">
        <v>0.27810586966206846</v>
      </c>
      <c r="M10" s="58">
        <v>0.68187439154181229</v>
      </c>
      <c r="N10" s="58">
        <v>1.9838218702560886</v>
      </c>
      <c r="O10" s="58">
        <v>3.665847370841858</v>
      </c>
      <c r="P10" s="58">
        <v>4.3405116102072467</v>
      </c>
      <c r="Q10" s="58">
        <v>3.4067230623893625</v>
      </c>
      <c r="R10" s="58">
        <v>2.4741122182529205</v>
      </c>
      <c r="S10" s="58">
        <v>340.13985294117646</v>
      </c>
      <c r="T10" s="84"/>
      <c r="U10" s="84"/>
      <c r="V10" s="84"/>
      <c r="W10" s="84"/>
      <c r="X10" s="84"/>
      <c r="Y10" s="84"/>
      <c r="Z10" s="84"/>
      <c r="AA10" s="85"/>
    </row>
    <row r="11" spans="1:27" x14ac:dyDescent="0.2">
      <c r="A11" s="58" t="s">
        <v>416</v>
      </c>
      <c r="B11" t="s">
        <v>286</v>
      </c>
      <c r="C11" t="s">
        <v>116</v>
      </c>
      <c r="D11" s="81">
        <v>9</v>
      </c>
      <c r="E11" s="58">
        <v>40.159999999999997</v>
      </c>
      <c r="F11" s="58">
        <v>14.904444444444445</v>
      </c>
      <c r="G11" s="58">
        <v>15.646169448524301</v>
      </c>
      <c r="H11" s="58">
        <v>8.4499957859249886</v>
      </c>
      <c r="I11" s="82">
        <v>6.9847803933260594E-2</v>
      </c>
      <c r="J11" s="58">
        <v>1.2723809523809524</v>
      </c>
      <c r="K11" s="58">
        <v>19.384742647058825</v>
      </c>
      <c r="L11" s="58">
        <v>0.2446922335984423</v>
      </c>
      <c r="M11" s="58">
        <v>0.59994910608210672</v>
      </c>
      <c r="N11" s="58">
        <v>1.7454712663355556</v>
      </c>
      <c r="O11" s="58">
        <v>3.2254061458402083</v>
      </c>
      <c r="P11" s="58">
        <v>3.8190113791993929</v>
      </c>
      <c r="Q11" s="58">
        <v>2.9974148923943953</v>
      </c>
      <c r="R11" s="58">
        <v>2.1768546114942908</v>
      </c>
      <c r="S11" s="58">
        <v>285.32367647058823</v>
      </c>
      <c r="T11" s="84"/>
      <c r="U11" s="84"/>
      <c r="V11" s="84"/>
      <c r="W11" s="84"/>
      <c r="X11" s="84"/>
      <c r="Y11" s="84"/>
      <c r="Z11" s="84"/>
      <c r="AA11" s="85"/>
    </row>
    <row r="12" spans="1:27" x14ac:dyDescent="0.2">
      <c r="A12" s="58" t="s">
        <v>417</v>
      </c>
      <c r="B12" t="s">
        <v>287</v>
      </c>
      <c r="C12" t="s">
        <v>117</v>
      </c>
      <c r="D12" s="81">
        <v>9</v>
      </c>
      <c r="E12" s="58">
        <v>41.72</v>
      </c>
      <c r="F12" s="58">
        <v>8.0911111111111111</v>
      </c>
      <c r="G12" s="58">
        <v>17.715692512962697</v>
      </c>
      <c r="H12" s="58">
        <v>9.6471386430678461</v>
      </c>
      <c r="I12" s="82">
        <v>0.43120355179006475</v>
      </c>
      <c r="J12" s="58">
        <v>1.7276190476190474</v>
      </c>
      <c r="K12" s="58">
        <v>22.436213235294119</v>
      </c>
      <c r="L12" s="58">
        <v>0.28321073072734465</v>
      </c>
      <c r="M12" s="58">
        <v>0.69439075459815625</v>
      </c>
      <c r="N12" s="58">
        <v>2.0202365458550591</v>
      </c>
      <c r="O12" s="58">
        <v>3.7331370024393324</v>
      </c>
      <c r="P12" s="58">
        <v>4.4201852566112247</v>
      </c>
      <c r="Q12" s="58">
        <v>3.4692562550274828</v>
      </c>
      <c r="R12" s="58">
        <v>2.5195265748410449</v>
      </c>
      <c r="S12" s="58">
        <v>363.48544117647066</v>
      </c>
      <c r="T12" s="84"/>
      <c r="U12" s="84"/>
      <c r="V12" s="84"/>
      <c r="W12" s="84"/>
      <c r="X12" s="84"/>
      <c r="Y12" s="84"/>
      <c r="Z12" s="84"/>
      <c r="AA12" s="85"/>
    </row>
    <row r="13" spans="1:27" x14ac:dyDescent="0.2">
      <c r="A13" s="58" t="s">
        <v>418</v>
      </c>
      <c r="B13" t="s">
        <v>288</v>
      </c>
      <c r="C13" t="s">
        <v>118</v>
      </c>
      <c r="D13" s="81">
        <v>6</v>
      </c>
      <c r="E13" s="58">
        <v>39.440000000000005</v>
      </c>
      <c r="F13" s="58">
        <v>15.762222222222224</v>
      </c>
      <c r="G13" s="58">
        <v>14.955174663946645</v>
      </c>
      <c r="H13" s="58">
        <v>8.4699957859249899</v>
      </c>
      <c r="I13" s="82">
        <v>0.49717368566732123</v>
      </c>
      <c r="J13" s="58">
        <v>2.0866666666666664</v>
      </c>
      <c r="K13" s="58">
        <v>21.774448529411764</v>
      </c>
      <c r="L13" s="58">
        <v>0.27485732171143812</v>
      </c>
      <c r="M13" s="58">
        <v>0.67390943323322972</v>
      </c>
      <c r="N13" s="58">
        <v>1.9606488948749257</v>
      </c>
      <c r="O13" s="58">
        <v>3.6230266961889197</v>
      </c>
      <c r="P13" s="58">
        <v>4.2898101988592607</v>
      </c>
      <c r="Q13" s="58">
        <v>3.3669292125287407</v>
      </c>
      <c r="R13" s="58">
        <v>2.4452121731513872</v>
      </c>
      <c r="S13" s="58">
        <v>335.17661764705883</v>
      </c>
      <c r="T13" s="84"/>
      <c r="U13" s="84"/>
      <c r="V13" s="84"/>
      <c r="W13" s="84"/>
      <c r="X13" s="84"/>
      <c r="Y13" s="84"/>
      <c r="Z13" s="84"/>
      <c r="AA13" s="85"/>
    </row>
    <row r="14" spans="1:27" x14ac:dyDescent="0.2">
      <c r="A14" s="58" t="s">
        <v>419</v>
      </c>
      <c r="B14" t="s">
        <v>289</v>
      </c>
      <c r="C14" t="s">
        <v>119</v>
      </c>
      <c r="D14" s="81">
        <v>7</v>
      </c>
      <c r="E14" s="58">
        <v>37.299999999999997</v>
      </c>
      <c r="F14" s="58">
        <v>14.657777777777778</v>
      </c>
      <c r="G14" s="58">
        <v>16.391838745582024</v>
      </c>
      <c r="H14" s="58">
        <v>9.7099957859249901</v>
      </c>
      <c r="I14" s="82">
        <v>0.33365040021764863</v>
      </c>
      <c r="J14" s="58">
        <v>1.4980952380952379</v>
      </c>
      <c r="K14" s="58">
        <v>23.428860294117648</v>
      </c>
      <c r="L14" s="58">
        <v>0.2957408442512045</v>
      </c>
      <c r="M14" s="58">
        <v>0.72511273664554576</v>
      </c>
      <c r="N14" s="58">
        <v>2.1096180223252592</v>
      </c>
      <c r="O14" s="58">
        <v>3.8983024618149513</v>
      </c>
      <c r="P14" s="58">
        <v>4.6157478432391699</v>
      </c>
      <c r="Q14" s="58">
        <v>3.6227468187755956</v>
      </c>
      <c r="R14" s="58">
        <v>2.6309981773755307</v>
      </c>
      <c r="S14" s="58">
        <v>335.65455882352944</v>
      </c>
      <c r="T14" s="84"/>
      <c r="U14" s="84"/>
      <c r="V14" s="84"/>
      <c r="W14" s="84"/>
      <c r="X14" s="84"/>
      <c r="Y14" s="84"/>
      <c r="Z14" s="84"/>
      <c r="AA14" s="85"/>
    </row>
    <row r="15" spans="1:27" x14ac:dyDescent="0.2">
      <c r="A15" s="58" t="s">
        <v>420</v>
      </c>
      <c r="B15" t="s">
        <v>290</v>
      </c>
      <c r="C15" t="s">
        <v>120</v>
      </c>
      <c r="D15" s="81">
        <v>11</v>
      </c>
      <c r="E15" s="58">
        <v>41</v>
      </c>
      <c r="F15" s="58">
        <v>13.886666666666665</v>
      </c>
      <c r="G15" s="58">
        <v>16.100000000000001</v>
      </c>
      <c r="H15" s="58">
        <v>8.6</v>
      </c>
      <c r="I15" s="82">
        <v>0.5</v>
      </c>
      <c r="J15" s="58">
        <v>1.8333333333333333</v>
      </c>
      <c r="K15" s="58">
        <v>24.421507352941177</v>
      </c>
      <c r="L15" s="58">
        <v>0.3082709577750643</v>
      </c>
      <c r="M15" s="58">
        <v>0.75583471869293539</v>
      </c>
      <c r="N15" s="58">
        <v>2.1989994987954589</v>
      </c>
      <c r="O15" s="58">
        <v>4.0634679211905702</v>
      </c>
      <c r="P15" s="58">
        <v>4.811310429867115</v>
      </c>
      <c r="Q15" s="58">
        <v>3.7762373825237083</v>
      </c>
      <c r="R15" s="58">
        <v>2.7424697799100168</v>
      </c>
      <c r="S15" s="58">
        <v>335.58102941176475</v>
      </c>
      <c r="T15" s="84"/>
      <c r="U15" s="84"/>
      <c r="V15" s="84"/>
      <c r="W15" s="84"/>
      <c r="X15" s="84"/>
      <c r="Y15" s="84"/>
      <c r="Z15" s="84"/>
      <c r="AA15" s="85"/>
    </row>
    <row r="16" spans="1:27" x14ac:dyDescent="0.2">
      <c r="A16" s="58" t="s">
        <v>421</v>
      </c>
      <c r="B16" t="s">
        <v>291</v>
      </c>
      <c r="C16" t="s">
        <v>139</v>
      </c>
      <c r="D16" s="81">
        <v>9</v>
      </c>
      <c r="E16" s="58">
        <v>38.046666666666667</v>
      </c>
      <c r="F16" s="58">
        <v>12.482222222222223</v>
      </c>
      <c r="G16" s="58">
        <v>19.624862257914362</v>
      </c>
      <c r="H16" s="58">
        <v>11.96999578592499</v>
      </c>
      <c r="I16" s="82">
        <v>0.3146782550658706</v>
      </c>
      <c r="J16" s="58">
        <v>1.8961904761904762</v>
      </c>
      <c r="K16" s="58">
        <v>20.855330882352941</v>
      </c>
      <c r="L16" s="58">
        <v>0.26325536474490124</v>
      </c>
      <c r="M16" s="58">
        <v>0.64546315355972084</v>
      </c>
      <c r="N16" s="58">
        <v>1.8778882685136296</v>
      </c>
      <c r="O16" s="58">
        <v>3.4700957152855691</v>
      </c>
      <c r="P16" s="58">
        <v>4.1087337297593116</v>
      </c>
      <c r="Q16" s="58">
        <v>3.2248083201693771</v>
      </c>
      <c r="R16" s="58">
        <v>2.3419977263601961</v>
      </c>
      <c r="S16" s="58">
        <v>331.53691176470591</v>
      </c>
      <c r="T16" s="84"/>
      <c r="U16" s="84"/>
      <c r="V16" s="84"/>
      <c r="W16" s="84"/>
      <c r="X16" s="84"/>
      <c r="Y16" s="84"/>
      <c r="Z16" s="84"/>
      <c r="AA16" s="85"/>
    </row>
    <row r="17" spans="1:27" x14ac:dyDescent="0.2">
      <c r="A17" s="58" t="s">
        <v>422</v>
      </c>
      <c r="B17" t="s">
        <v>292</v>
      </c>
      <c r="C17" t="s">
        <v>122</v>
      </c>
      <c r="D17" s="81">
        <v>10</v>
      </c>
      <c r="E17" s="58">
        <v>47.74</v>
      </c>
      <c r="F17" s="58">
        <v>13.651111111111112</v>
      </c>
      <c r="G17" s="58">
        <v>15.284305576834685</v>
      </c>
      <c r="H17" s="58">
        <v>9.8899957859249898</v>
      </c>
      <c r="I17" s="82">
        <v>0.38956022614034425</v>
      </c>
      <c r="J17" s="58">
        <v>2.1542857142857144</v>
      </c>
      <c r="K17" s="58">
        <v>22.803860294117648</v>
      </c>
      <c r="L17" s="58">
        <v>0.28785151351395943</v>
      </c>
      <c r="M17" s="58">
        <v>0.70576926646755977</v>
      </c>
      <c r="N17" s="58">
        <v>2.0533407963995778</v>
      </c>
      <c r="O17" s="58">
        <v>3.7943093948006728</v>
      </c>
      <c r="P17" s="58">
        <v>4.4926158442512047</v>
      </c>
      <c r="Q17" s="58">
        <v>3.526104611971228</v>
      </c>
      <c r="R17" s="58">
        <v>2.5608123535575209</v>
      </c>
      <c r="S17" s="58">
        <v>333.41191176470591</v>
      </c>
      <c r="T17" s="84"/>
      <c r="U17" s="84"/>
      <c r="V17" s="84"/>
      <c r="W17" s="84"/>
      <c r="X17" s="84"/>
      <c r="Y17" s="84"/>
      <c r="Z17" s="84"/>
      <c r="AA17" s="85"/>
    </row>
    <row r="18" spans="1:27" x14ac:dyDescent="0.2">
      <c r="A18" s="58" t="s">
        <v>423</v>
      </c>
      <c r="B18" t="s">
        <v>293</v>
      </c>
      <c r="C18" t="s">
        <v>192</v>
      </c>
      <c r="D18" s="81">
        <v>13</v>
      </c>
      <c r="E18" s="58">
        <v>32.5</v>
      </c>
      <c r="F18" s="58">
        <v>9.0377777777777766</v>
      </c>
      <c r="G18" s="58">
        <v>13.997919577909405</v>
      </c>
      <c r="H18" s="58">
        <v>8.2214243573535608</v>
      </c>
      <c r="I18" s="82">
        <v>0.41365622454341866</v>
      </c>
      <c r="J18" s="58">
        <v>1.7942857142857143</v>
      </c>
      <c r="K18" s="58">
        <v>23.575919117647057</v>
      </c>
      <c r="L18" s="58">
        <v>0.29759715736585035</v>
      </c>
      <c r="M18" s="58">
        <v>0.72966414139330715</v>
      </c>
      <c r="N18" s="58">
        <v>2.1228597225430663</v>
      </c>
      <c r="O18" s="58">
        <v>3.9227714187594871</v>
      </c>
      <c r="P18" s="58">
        <v>4.6447200782951619</v>
      </c>
      <c r="Q18" s="58">
        <v>3.6454861615530931</v>
      </c>
      <c r="R18" s="58">
        <v>2.6475124888621213</v>
      </c>
      <c r="S18" s="58">
        <v>353.85308823529419</v>
      </c>
      <c r="T18" s="84"/>
      <c r="U18" s="84"/>
      <c r="V18" s="84"/>
      <c r="W18" s="84"/>
      <c r="X18" s="84"/>
      <c r="Y18" s="84"/>
      <c r="Z18" s="84"/>
      <c r="AA18" s="85"/>
    </row>
    <row r="19" spans="1:27" x14ac:dyDescent="0.2">
      <c r="A19" s="58" t="s">
        <v>424</v>
      </c>
      <c r="B19" t="s">
        <v>294</v>
      </c>
      <c r="C19" t="s">
        <v>123</v>
      </c>
      <c r="D19" s="81">
        <v>5</v>
      </c>
      <c r="E19" s="58">
        <v>41.760000000000005</v>
      </c>
      <c r="F19" s="58">
        <v>13.308888888888887</v>
      </c>
      <c r="G19" s="58">
        <v>16.678454270506101</v>
      </c>
      <c r="H19" s="58">
        <v>10.747138643067846</v>
      </c>
      <c r="I19" s="82">
        <v>0.38487065206791027</v>
      </c>
      <c r="J19" s="58">
        <v>1.7047619047619047</v>
      </c>
      <c r="K19" s="58">
        <v>21.039154411764706</v>
      </c>
      <c r="L19" s="58">
        <v>0.26557575613820861</v>
      </c>
      <c r="M19" s="58">
        <v>0.65115240949442266</v>
      </c>
      <c r="N19" s="58">
        <v>1.8944403937858887</v>
      </c>
      <c r="O19" s="58">
        <v>3.5006819114662391</v>
      </c>
      <c r="P19" s="58">
        <v>4.1449490235793016</v>
      </c>
      <c r="Q19" s="58">
        <v>3.2532324986412497</v>
      </c>
      <c r="R19" s="58">
        <v>2.3626406157184343</v>
      </c>
      <c r="S19" s="58">
        <v>327.97073529411767</v>
      </c>
      <c r="T19" s="84"/>
      <c r="U19" s="84"/>
      <c r="V19" s="84"/>
      <c r="W19" s="84"/>
      <c r="X19" s="84"/>
      <c r="Y19" s="84"/>
      <c r="Z19" s="84"/>
      <c r="AA19" s="85"/>
    </row>
    <row r="20" spans="1:27" x14ac:dyDescent="0.2">
      <c r="A20" s="58" t="s">
        <v>425</v>
      </c>
      <c r="B20" t="s">
        <v>295</v>
      </c>
      <c r="C20" t="s">
        <v>124</v>
      </c>
      <c r="D20" s="81">
        <v>10</v>
      </c>
      <c r="E20" s="58">
        <v>41.540000000000006</v>
      </c>
      <c r="F20" s="58">
        <v>13.48</v>
      </c>
      <c r="G20" s="58">
        <v>11.955982739056303</v>
      </c>
      <c r="H20" s="58">
        <v>7.4757100716392744</v>
      </c>
      <c r="I20" s="82">
        <v>0.14460553976245738</v>
      </c>
      <c r="J20" s="58">
        <v>1.7180952380952383</v>
      </c>
      <c r="K20" s="58">
        <v>20.59797794117647</v>
      </c>
      <c r="L20" s="58">
        <v>0.26000681679427096</v>
      </c>
      <c r="M20" s="58">
        <v>0.63749819525113838</v>
      </c>
      <c r="N20" s="58">
        <v>1.8547152931324664</v>
      </c>
      <c r="O20" s="58">
        <v>3.4272750406326309</v>
      </c>
      <c r="P20" s="58">
        <v>4.0580323184113256</v>
      </c>
      <c r="Q20" s="58">
        <v>3.1850144703087553</v>
      </c>
      <c r="R20" s="58">
        <v>2.3130976812586628</v>
      </c>
      <c r="S20" s="58">
        <v>322.34573529411767</v>
      </c>
      <c r="T20" s="84"/>
      <c r="U20" s="84"/>
      <c r="V20" s="84"/>
      <c r="W20" s="84"/>
      <c r="X20" s="84"/>
      <c r="Y20" s="84"/>
      <c r="Z20" s="84"/>
      <c r="AA20" s="85"/>
    </row>
    <row r="21" spans="1:27" x14ac:dyDescent="0.2">
      <c r="A21" s="58" t="s">
        <v>426</v>
      </c>
      <c r="B21" t="s">
        <v>296</v>
      </c>
      <c r="C21" t="s">
        <v>125</v>
      </c>
      <c r="D21" s="81">
        <v>10</v>
      </c>
      <c r="E21" s="58">
        <v>46.06</v>
      </c>
      <c r="F21" s="58">
        <v>12.34</v>
      </c>
      <c r="G21" s="58">
        <v>14.030023584036556</v>
      </c>
      <c r="H21" s="58">
        <v>8.915710071639273</v>
      </c>
      <c r="I21" s="82">
        <v>0.42472707241104024</v>
      </c>
      <c r="J21" s="58">
        <v>2.0676190476190475</v>
      </c>
      <c r="K21" s="58">
        <v>19.752389705882354</v>
      </c>
      <c r="L21" s="58">
        <v>0.24933301638505706</v>
      </c>
      <c r="M21" s="58">
        <v>0.61132761795151025</v>
      </c>
      <c r="N21" s="58">
        <v>1.7785755168800741</v>
      </c>
      <c r="O21" s="58">
        <v>3.2865785382015487</v>
      </c>
      <c r="P21" s="58">
        <v>3.8914419668393725</v>
      </c>
      <c r="Q21" s="58">
        <v>3.054263249338141</v>
      </c>
      <c r="R21" s="58">
        <v>2.2181403902107673</v>
      </c>
      <c r="S21" s="58">
        <v>285.06632352941176</v>
      </c>
      <c r="T21" s="84"/>
      <c r="U21" s="84"/>
      <c r="V21" s="84"/>
      <c r="W21" s="84"/>
      <c r="X21" s="84"/>
      <c r="Y21" s="84"/>
      <c r="Z21" s="84"/>
      <c r="AA21" s="85"/>
    </row>
    <row r="22" spans="1:27" x14ac:dyDescent="0.2">
      <c r="A22" s="58" t="s">
        <v>427</v>
      </c>
      <c r="B22" t="s">
        <v>297</v>
      </c>
      <c r="C22" t="s">
        <v>126</v>
      </c>
      <c r="D22" s="81">
        <v>13</v>
      </c>
      <c r="E22" s="58">
        <v>38.880000000000003</v>
      </c>
      <c r="F22" s="58">
        <v>14.513333333333335</v>
      </c>
      <c r="G22" s="58">
        <v>15.481322184825254</v>
      </c>
      <c r="H22" s="58">
        <v>8.8814243573535609</v>
      </c>
      <c r="I22" s="82">
        <v>0.18947276657538381</v>
      </c>
      <c r="J22" s="58">
        <v>1.6447619047619051</v>
      </c>
      <c r="K22" s="58">
        <v>24.017095588235293</v>
      </c>
      <c r="L22" s="58">
        <v>0.30316609670978806</v>
      </c>
      <c r="M22" s="58">
        <v>0.74331835563659143</v>
      </c>
      <c r="N22" s="58">
        <v>2.1625848231964886</v>
      </c>
      <c r="O22" s="58">
        <v>3.9961782895930953</v>
      </c>
      <c r="P22" s="58">
        <v>4.731636783463137</v>
      </c>
      <c r="Q22" s="58">
        <v>3.713704189885588</v>
      </c>
      <c r="R22" s="58">
        <v>2.6970554233218929</v>
      </c>
      <c r="S22" s="58">
        <v>344.73544117647066</v>
      </c>
      <c r="T22" s="84"/>
      <c r="U22" s="84"/>
      <c r="V22" s="84"/>
      <c r="W22" s="84"/>
      <c r="X22" s="84"/>
      <c r="Y22" s="84"/>
      <c r="Z22" s="84"/>
      <c r="AA22" s="85"/>
    </row>
    <row r="23" spans="1:27" x14ac:dyDescent="0.2">
      <c r="A23" s="58" t="s">
        <v>428</v>
      </c>
      <c r="B23" t="s">
        <v>298</v>
      </c>
      <c r="C23" t="s">
        <v>127</v>
      </c>
      <c r="D23" s="81">
        <v>11</v>
      </c>
      <c r="E23" s="58">
        <v>46.06</v>
      </c>
      <c r="F23" s="58">
        <v>17.904444444444444</v>
      </c>
      <c r="G23" s="58">
        <v>14.887323525740879</v>
      </c>
      <c r="H23" s="58">
        <v>8.9899957859249895</v>
      </c>
      <c r="I23" s="82">
        <v>0.38037177441387127</v>
      </c>
      <c r="J23" s="58">
        <v>2.1904761904761902</v>
      </c>
      <c r="K23" s="58">
        <v>23.061213235294119</v>
      </c>
      <c r="L23" s="58">
        <v>0.29110006146458972</v>
      </c>
      <c r="M23" s="58">
        <v>0.71373422477614223</v>
      </c>
      <c r="N23" s="58">
        <v>2.0765137717807405</v>
      </c>
      <c r="O23" s="58">
        <v>3.837130069453611</v>
      </c>
      <c r="P23" s="58">
        <v>4.5433172555991908</v>
      </c>
      <c r="Q23" s="58">
        <v>3.5658984618318499</v>
      </c>
      <c r="R23" s="58">
        <v>2.5897123986590547</v>
      </c>
      <c r="S23" s="58">
        <v>336.31632352941182</v>
      </c>
      <c r="T23" s="84"/>
      <c r="U23" s="84"/>
      <c r="V23" s="84"/>
      <c r="W23" s="84"/>
      <c r="X23" s="84"/>
      <c r="Y23" s="84"/>
      <c r="Z23" s="84"/>
      <c r="AA23" s="85"/>
    </row>
    <row r="24" spans="1:27" x14ac:dyDescent="0.2">
      <c r="A24" s="58" t="s">
        <v>429</v>
      </c>
      <c r="B24" t="s">
        <v>299</v>
      </c>
      <c r="C24" t="s">
        <v>128</v>
      </c>
      <c r="D24" s="81">
        <v>11</v>
      </c>
      <c r="E24" s="58">
        <v>47.660000000000004</v>
      </c>
      <c r="F24" s="58">
        <v>13.264444444444445</v>
      </c>
      <c r="G24" s="58">
        <v>13.551976468871917</v>
      </c>
      <c r="H24" s="58">
        <v>7.8042815002107035</v>
      </c>
      <c r="I24" s="82">
        <v>0.2027833293253839</v>
      </c>
      <c r="J24" s="58">
        <v>1.7180952380952383</v>
      </c>
      <c r="K24" s="58">
        <v>18.281801470588235</v>
      </c>
      <c r="L24" s="58">
        <v>0.23076988523859804</v>
      </c>
      <c r="M24" s="58">
        <v>0.56581357047389602</v>
      </c>
      <c r="N24" s="58">
        <v>1.6461585147019997</v>
      </c>
      <c r="O24" s="58">
        <v>3.041888968756187</v>
      </c>
      <c r="P24" s="58">
        <v>3.6017196162794534</v>
      </c>
      <c r="Q24" s="58">
        <v>2.8268698215631587</v>
      </c>
      <c r="R24" s="58">
        <v>2.0529972753448615</v>
      </c>
      <c r="S24" s="58">
        <v>300.21338235294115</v>
      </c>
      <c r="T24" s="84"/>
      <c r="U24" s="84"/>
      <c r="V24" s="84"/>
      <c r="W24" s="84"/>
      <c r="X24" s="84"/>
      <c r="Y24" s="84"/>
      <c r="Z24" s="84"/>
      <c r="AA24" s="85"/>
    </row>
    <row r="25" spans="1:27" x14ac:dyDescent="0.2">
      <c r="A25" s="58" t="s">
        <v>430</v>
      </c>
      <c r="B25" t="s">
        <v>300</v>
      </c>
      <c r="C25" t="s">
        <v>129</v>
      </c>
      <c r="D25" s="81">
        <v>13</v>
      </c>
      <c r="E25" s="58">
        <v>42.679999999999993</v>
      </c>
      <c r="F25" s="58">
        <v>11.3</v>
      </c>
      <c r="G25" s="58">
        <v>16.647096774392921</v>
      </c>
      <c r="H25" s="58">
        <v>10.198567214496418</v>
      </c>
      <c r="I25" s="82">
        <v>0.46854349377483051</v>
      </c>
      <c r="J25" s="58">
        <v>1.8504761904761906</v>
      </c>
      <c r="K25" s="58">
        <v>21.590624999999999</v>
      </c>
      <c r="L25" s="58">
        <v>0.27253693031813075</v>
      </c>
      <c r="M25" s="58">
        <v>0.66822017729852801</v>
      </c>
      <c r="N25" s="58">
        <v>1.9440967696026663</v>
      </c>
      <c r="O25" s="58">
        <v>3.5924405000082498</v>
      </c>
      <c r="P25" s="58">
        <v>4.2535949050392707</v>
      </c>
      <c r="Q25" s="58">
        <v>3.338505034056868</v>
      </c>
      <c r="R25" s="58">
        <v>2.424569283793149</v>
      </c>
      <c r="S25" s="58">
        <v>344.91926470588243</v>
      </c>
      <c r="T25" s="84"/>
      <c r="U25" s="84"/>
      <c r="V25" s="84"/>
      <c r="W25" s="84"/>
      <c r="X25" s="84"/>
      <c r="Y25" s="84"/>
      <c r="Z25" s="84"/>
      <c r="AA25" s="85"/>
    </row>
    <row r="26" spans="1:27" x14ac:dyDescent="0.2">
      <c r="A26" s="58" t="s">
        <v>431</v>
      </c>
      <c r="B26" t="s">
        <v>301</v>
      </c>
      <c r="C26" t="s">
        <v>130</v>
      </c>
      <c r="D26" s="81">
        <v>7</v>
      </c>
      <c r="E26" s="58">
        <v>44.54</v>
      </c>
      <c r="F26" s="58">
        <v>12.644444444444444</v>
      </c>
      <c r="G26" s="58">
        <v>13.726909443774849</v>
      </c>
      <c r="H26" s="58">
        <v>7.6242815002107021</v>
      </c>
      <c r="I26" s="82">
        <v>0.55885807631669149</v>
      </c>
      <c r="J26" s="58">
        <v>1.7085714285714284</v>
      </c>
      <c r="K26" s="58">
        <v>17.362683823529412</v>
      </c>
      <c r="L26" s="58">
        <v>0.21916792827206119</v>
      </c>
      <c r="M26" s="58">
        <v>0.53736729080038714</v>
      </c>
      <c r="N26" s="58">
        <v>1.5633978883407036</v>
      </c>
      <c r="O26" s="58">
        <v>2.8889579878528364</v>
      </c>
      <c r="P26" s="58">
        <v>3.4206431471795038</v>
      </c>
      <c r="Q26" s="58">
        <v>2.6847489292037952</v>
      </c>
      <c r="R26" s="58">
        <v>1.9497828285536709</v>
      </c>
      <c r="S26" s="58">
        <v>284.07367647058823</v>
      </c>
      <c r="T26" s="84"/>
      <c r="U26" s="84"/>
      <c r="V26" s="84"/>
      <c r="W26" s="84"/>
      <c r="X26" s="84"/>
      <c r="Y26" s="84"/>
      <c r="Z26" s="84"/>
      <c r="AA26" s="85"/>
    </row>
    <row r="27" spans="1:27" x14ac:dyDescent="0.2">
      <c r="A27" s="58" t="s">
        <v>432</v>
      </c>
      <c r="B27" t="s">
        <v>302</v>
      </c>
      <c r="C27" t="s">
        <v>132</v>
      </c>
      <c r="D27" s="81">
        <v>10</v>
      </c>
      <c r="E27" s="58">
        <v>56.160000000000004</v>
      </c>
      <c r="F27" s="58">
        <v>12.120000000000001</v>
      </c>
      <c r="G27" s="58">
        <v>16.895608942811801</v>
      </c>
      <c r="H27" s="58">
        <v>9.4671386430678464</v>
      </c>
      <c r="I27" s="82">
        <v>0.29200890601040191</v>
      </c>
      <c r="J27" s="58">
        <v>2.1514285714285717</v>
      </c>
      <c r="K27" s="58">
        <v>21.958272058823532</v>
      </c>
      <c r="L27" s="58">
        <v>0.27717771310474554</v>
      </c>
      <c r="M27" s="58">
        <v>0.67959868916793165</v>
      </c>
      <c r="N27" s="58">
        <v>1.9772010201471852</v>
      </c>
      <c r="O27" s="58">
        <v>3.6536128923695905</v>
      </c>
      <c r="P27" s="58">
        <v>4.3260254926792516</v>
      </c>
      <c r="Q27" s="58">
        <v>3.3953533910006137</v>
      </c>
      <c r="R27" s="58">
        <v>2.4658550625096254</v>
      </c>
      <c r="S27" s="58">
        <v>308.22808823529414</v>
      </c>
      <c r="T27" s="84"/>
      <c r="U27" s="84"/>
      <c r="V27" s="84"/>
      <c r="W27" s="84"/>
      <c r="X27" s="84"/>
      <c r="Y27" s="84"/>
      <c r="Z27" s="84"/>
      <c r="AA27" s="85"/>
    </row>
    <row r="28" spans="1:27" x14ac:dyDescent="0.2">
      <c r="A28" s="58" t="s">
        <v>433</v>
      </c>
      <c r="B28" t="s">
        <v>303</v>
      </c>
      <c r="C28" t="s">
        <v>133</v>
      </c>
      <c r="D28" s="81">
        <v>6</v>
      </c>
      <c r="E28" s="58">
        <v>48.08</v>
      </c>
      <c r="F28" s="58">
        <v>17.128888888888888</v>
      </c>
      <c r="G28" s="58">
        <v>14.3</v>
      </c>
      <c r="H28" s="58">
        <v>8.6999999999999993</v>
      </c>
      <c r="I28" s="82">
        <v>7.2123967187527796E-2</v>
      </c>
      <c r="J28" s="58">
        <v>1.5457142857142856</v>
      </c>
      <c r="K28" s="58">
        <v>18.649448529411764</v>
      </c>
      <c r="L28" s="58">
        <v>0.23541066802521279</v>
      </c>
      <c r="M28" s="58">
        <v>0.57719208234329955</v>
      </c>
      <c r="N28" s="58">
        <v>1.6792627652465182</v>
      </c>
      <c r="O28" s="58">
        <v>3.1030613611175273</v>
      </c>
      <c r="P28" s="58">
        <v>3.6741502039194329</v>
      </c>
      <c r="Q28" s="58">
        <v>2.8837181785069044</v>
      </c>
      <c r="R28" s="58">
        <v>2.094283054061338</v>
      </c>
      <c r="S28" s="58">
        <v>294.1104411764706</v>
      </c>
      <c r="T28" s="84"/>
      <c r="U28" s="84"/>
      <c r="V28" s="84"/>
      <c r="W28" s="84"/>
      <c r="X28" s="84"/>
      <c r="Y28" s="84"/>
      <c r="Z28" s="84"/>
      <c r="AA28" s="85"/>
    </row>
    <row r="29" spans="1:27" x14ac:dyDescent="0.2">
      <c r="A29" s="58" t="s">
        <v>434</v>
      </c>
      <c r="B29" t="s">
        <v>304</v>
      </c>
      <c r="C29" t="s">
        <v>135</v>
      </c>
      <c r="D29" s="81">
        <v>9</v>
      </c>
      <c r="E29" s="58">
        <v>39.96</v>
      </c>
      <c r="F29" s="58">
        <v>15.673333333333332</v>
      </c>
      <c r="G29" s="58">
        <v>16.81299869418557</v>
      </c>
      <c r="H29" s="58">
        <v>10.195710071639276</v>
      </c>
      <c r="I29" s="82">
        <v>0.42067890156423027</v>
      </c>
      <c r="J29" s="58">
        <v>1.7047619047619047</v>
      </c>
      <c r="K29" s="58">
        <v>22.546507352941177</v>
      </c>
      <c r="L29" s="58">
        <v>0.28460296556332909</v>
      </c>
      <c r="M29" s="58">
        <v>0.6978043081589772</v>
      </c>
      <c r="N29" s="58">
        <v>2.0301678210184146</v>
      </c>
      <c r="O29" s="58">
        <v>3.7514887201477345</v>
      </c>
      <c r="P29" s="58">
        <v>4.4419144329032187</v>
      </c>
      <c r="Q29" s="58">
        <v>3.4863107621106062</v>
      </c>
      <c r="R29" s="58">
        <v>2.5319123084559876</v>
      </c>
      <c r="S29" s="58">
        <v>342.38250000000005</v>
      </c>
      <c r="T29" s="84"/>
      <c r="U29" s="84"/>
      <c r="V29" s="84"/>
      <c r="W29" s="84"/>
      <c r="X29" s="84"/>
      <c r="Y29" s="84"/>
      <c r="Z29" s="84"/>
      <c r="AA29" s="85"/>
    </row>
    <row r="30" spans="1:27" x14ac:dyDescent="0.2">
      <c r="A30" s="58" t="s">
        <v>435</v>
      </c>
      <c r="B30" t="s">
        <v>305</v>
      </c>
      <c r="C30" t="s">
        <v>134</v>
      </c>
      <c r="D30" s="81">
        <v>5</v>
      </c>
      <c r="E30" s="58">
        <v>44.62</v>
      </c>
      <c r="F30" s="58">
        <v>14.882222222222222</v>
      </c>
      <c r="G30" s="58">
        <v>16.64860358119396</v>
      </c>
      <c r="H30" s="58">
        <v>9.9099957859249894</v>
      </c>
      <c r="I30" s="82">
        <v>4.5417690226717149E-2</v>
      </c>
      <c r="J30" s="58">
        <v>1.5819047619047619</v>
      </c>
      <c r="K30" s="58">
        <v>17.950919117647061</v>
      </c>
      <c r="L30" s="58">
        <v>0.2265931807306448</v>
      </c>
      <c r="M30" s="58">
        <v>0.55557290979143281</v>
      </c>
      <c r="N30" s="58">
        <v>1.6163646892119334</v>
      </c>
      <c r="O30" s="58">
        <v>2.9868338156309813</v>
      </c>
      <c r="P30" s="58">
        <v>3.5365320874034718</v>
      </c>
      <c r="Q30" s="58">
        <v>2.7757063003137881</v>
      </c>
      <c r="R30" s="58">
        <v>2.0158400745000331</v>
      </c>
      <c r="S30" s="58">
        <v>305.58102941176475</v>
      </c>
      <c r="T30" s="84"/>
      <c r="U30" s="84"/>
      <c r="V30" s="84"/>
      <c r="W30" s="84"/>
      <c r="X30" s="84"/>
      <c r="Y30" s="84"/>
      <c r="Z30" s="84"/>
      <c r="AA30" s="85"/>
    </row>
    <row r="31" spans="1:27" x14ac:dyDescent="0.2">
      <c r="A31" s="58" t="s">
        <v>436</v>
      </c>
      <c r="B31" t="s">
        <v>306</v>
      </c>
      <c r="C31" t="s">
        <v>136</v>
      </c>
      <c r="D31" s="81">
        <v>5</v>
      </c>
      <c r="E31" s="58">
        <v>43.58</v>
      </c>
      <c r="F31" s="58">
        <v>6.74</v>
      </c>
      <c r="G31" s="58">
        <v>18.604537402855026</v>
      </c>
      <c r="H31" s="58">
        <v>11.275710071639276</v>
      </c>
      <c r="I31" s="82">
        <v>7.2434970154451328E-2</v>
      </c>
      <c r="J31" s="58">
        <v>1.4923809523809526</v>
      </c>
      <c r="K31" s="58">
        <v>21.333272058823528</v>
      </c>
      <c r="L31" s="58">
        <v>0.26928838236750041</v>
      </c>
      <c r="M31" s="58">
        <v>0.66025521898994544</v>
      </c>
      <c r="N31" s="58">
        <v>1.9209237942215034</v>
      </c>
      <c r="O31" s="58">
        <v>3.5496198253553115</v>
      </c>
      <c r="P31" s="58">
        <v>4.2028934936912847</v>
      </c>
      <c r="Q31" s="58">
        <v>3.2987111841962462</v>
      </c>
      <c r="R31" s="58">
        <v>2.3956692386916152</v>
      </c>
      <c r="S31" s="58">
        <v>314.77220588235298</v>
      </c>
      <c r="T31" s="84"/>
      <c r="U31" s="84"/>
      <c r="V31" s="84"/>
      <c r="W31" s="84"/>
      <c r="X31" s="84"/>
      <c r="Y31" s="84"/>
      <c r="Z31" s="84"/>
      <c r="AA31" s="85"/>
    </row>
    <row r="32" spans="1:27" x14ac:dyDescent="0.2">
      <c r="A32" s="58" t="s">
        <v>437</v>
      </c>
      <c r="B32" t="s">
        <v>307</v>
      </c>
      <c r="C32" t="s">
        <v>137</v>
      </c>
      <c r="D32" s="81">
        <v>7</v>
      </c>
      <c r="E32" s="58">
        <v>38.480000000000004</v>
      </c>
      <c r="F32" s="58">
        <v>14.997777777777776</v>
      </c>
      <c r="G32" s="58">
        <v>13.847661394781813</v>
      </c>
      <c r="H32" s="58">
        <v>8.1214243573535612</v>
      </c>
      <c r="I32" s="82">
        <v>9.843108201090589E-2</v>
      </c>
      <c r="J32" s="58">
        <v>1.8485714285714285</v>
      </c>
      <c r="K32" s="58">
        <v>19.568566176470586</v>
      </c>
      <c r="L32" s="58">
        <v>0.24701262499174964</v>
      </c>
      <c r="M32" s="58">
        <v>0.60563836201680832</v>
      </c>
      <c r="N32" s="58">
        <v>1.7620233916078145</v>
      </c>
      <c r="O32" s="58">
        <v>3.2559923420208778</v>
      </c>
      <c r="P32" s="58">
        <v>3.855226673019382</v>
      </c>
      <c r="Q32" s="58">
        <v>3.0258390708662675</v>
      </c>
      <c r="R32" s="58">
        <v>2.1974975008525286</v>
      </c>
      <c r="S32" s="58">
        <v>311.75749999999999</v>
      </c>
      <c r="T32" s="84"/>
      <c r="U32" s="84"/>
      <c r="V32" s="84"/>
      <c r="W32" s="84"/>
      <c r="X32" s="84"/>
      <c r="Y32" s="84"/>
      <c r="Z32" s="84"/>
      <c r="AA32" s="85"/>
    </row>
    <row r="33" spans="1:27" x14ac:dyDescent="0.2">
      <c r="A33" s="58" t="s">
        <v>438</v>
      </c>
      <c r="B33" t="s">
        <v>565</v>
      </c>
      <c r="C33" t="s">
        <v>140</v>
      </c>
      <c r="D33" s="81">
        <v>14</v>
      </c>
      <c r="E33" s="58">
        <v>45.220000000000006</v>
      </c>
      <c r="F33" s="58">
        <v>12.4</v>
      </c>
      <c r="G33" s="58">
        <v>15.166627944063885</v>
      </c>
      <c r="H33" s="58">
        <v>10.1</v>
      </c>
      <c r="I33" s="82">
        <v>0.41502609569573301</v>
      </c>
      <c r="J33" s="58">
        <v>1.9342857142857142</v>
      </c>
      <c r="K33" s="58">
        <v>19.97297794117647</v>
      </c>
      <c r="L33" s="58">
        <v>0.25211748605702589</v>
      </c>
      <c r="M33" s="58">
        <v>0.61815472507315239</v>
      </c>
      <c r="N33" s="58">
        <v>1.798438067206785</v>
      </c>
      <c r="O33" s="58">
        <v>3.3232819736183523</v>
      </c>
      <c r="P33" s="58">
        <v>3.93490031942336</v>
      </c>
      <c r="Q33" s="58">
        <v>3.0883722635043878</v>
      </c>
      <c r="R33" s="58">
        <v>2.242911857440653</v>
      </c>
      <c r="S33" s="58">
        <v>305.10308823529414</v>
      </c>
      <c r="T33" s="84"/>
      <c r="U33" s="84"/>
      <c r="V33" s="84"/>
      <c r="W33" s="84"/>
      <c r="X33" s="84"/>
      <c r="Y33" s="84"/>
      <c r="Z33" s="84"/>
      <c r="AA33" s="85"/>
    </row>
    <row r="35" spans="1:27" x14ac:dyDescent="0.2">
      <c r="R35" s="85"/>
    </row>
    <row r="36" spans="1:27" x14ac:dyDescent="0.2">
      <c r="R36" s="85"/>
    </row>
    <row r="37" spans="1:27" x14ac:dyDescent="0.2">
      <c r="R37" s="85"/>
    </row>
    <row r="38" spans="1:27" x14ac:dyDescent="0.2">
      <c r="R38" s="85"/>
    </row>
    <row r="39" spans="1:27" x14ac:dyDescent="0.2">
      <c r="R39" s="85"/>
    </row>
    <row r="40" spans="1:27" x14ac:dyDescent="0.2">
      <c r="R40" s="85"/>
    </row>
    <row r="41" spans="1:27" x14ac:dyDescent="0.2">
      <c r="R41" s="85"/>
    </row>
    <row r="42" spans="1:27" x14ac:dyDescent="0.2">
      <c r="R42" s="85"/>
    </row>
    <row r="43" spans="1:27" x14ac:dyDescent="0.2">
      <c r="R43" s="85"/>
    </row>
    <row r="44" spans="1:27" x14ac:dyDescent="0.2">
      <c r="R44" s="85"/>
    </row>
    <row r="45" spans="1:27" x14ac:dyDescent="0.2">
      <c r="R45" s="85"/>
    </row>
    <row r="46" spans="1:27" x14ac:dyDescent="0.2">
      <c r="R46" s="85"/>
    </row>
    <row r="47" spans="1:27" x14ac:dyDescent="0.2">
      <c r="R47" s="85"/>
    </row>
    <row r="48" spans="1:27" x14ac:dyDescent="0.2">
      <c r="R48" s="85"/>
    </row>
    <row r="49" spans="18:18" x14ac:dyDescent="0.2">
      <c r="R49" s="85"/>
    </row>
    <row r="50" spans="18:18" x14ac:dyDescent="0.2">
      <c r="R50" s="85"/>
    </row>
    <row r="51" spans="18:18" x14ac:dyDescent="0.2">
      <c r="R51" s="85"/>
    </row>
    <row r="52" spans="18:18" x14ac:dyDescent="0.2">
      <c r="R52" s="85"/>
    </row>
    <row r="53" spans="18:18" x14ac:dyDescent="0.2">
      <c r="R53" s="85"/>
    </row>
    <row r="54" spans="18:18" x14ac:dyDescent="0.2">
      <c r="R54" s="85"/>
    </row>
    <row r="55" spans="18:18" x14ac:dyDescent="0.2">
      <c r="R55" s="85"/>
    </row>
    <row r="56" spans="18:18" x14ac:dyDescent="0.2">
      <c r="R56" s="85"/>
    </row>
    <row r="57" spans="18:18" x14ac:dyDescent="0.2">
      <c r="R57" s="85"/>
    </row>
    <row r="58" spans="18:18" x14ac:dyDescent="0.2">
      <c r="R58" s="85"/>
    </row>
    <row r="59" spans="18:18" x14ac:dyDescent="0.2">
      <c r="R59" s="85"/>
    </row>
    <row r="60" spans="18:18" x14ac:dyDescent="0.2">
      <c r="R60" s="85"/>
    </row>
    <row r="61" spans="18:18" x14ac:dyDescent="0.2">
      <c r="R61" s="85"/>
    </row>
    <row r="62" spans="18:18" x14ac:dyDescent="0.2">
      <c r="R62" s="85"/>
    </row>
    <row r="63" spans="18:18" x14ac:dyDescent="0.2">
      <c r="R63" s="85"/>
    </row>
    <row r="64" spans="18:18" x14ac:dyDescent="0.2">
      <c r="R64" s="85"/>
    </row>
    <row r="65" spans="18:18" x14ac:dyDescent="0.2">
      <c r="R65" s="85"/>
    </row>
    <row r="66" spans="18:18" x14ac:dyDescent="0.2">
      <c r="R66" s="85"/>
    </row>
  </sheetData>
  <sheetProtection sheet="1" selectLockedCells="1"/>
  <sortState xmlns:xlrd2="http://schemas.microsoft.com/office/spreadsheetml/2017/richdata2" ref="B2:S66">
    <sortCondition ref="B2:B66"/>
  </sortState>
  <phoneticPr fontId="20" type="noConversion"/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9"/>
  <dimension ref="A1:AP327"/>
  <sheetViews>
    <sheetView showGridLines="0" zoomScale="85" zoomScaleNormal="8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5.796875" defaultRowHeight="15" x14ac:dyDescent="0.2"/>
  <cols>
    <col min="1" max="1" width="3.59765625" style="60" bestFit="1" customWidth="1"/>
    <col min="2" max="2" width="5" style="60" customWidth="1"/>
    <col min="3" max="3" width="27.59765625" style="60" bestFit="1" customWidth="1"/>
    <col min="4" max="4" width="5.19921875" style="60" bestFit="1" customWidth="1"/>
    <col min="5" max="5" width="4.19921875" style="60" bestFit="1" customWidth="1"/>
    <col min="6" max="6" width="7.796875" style="60" bestFit="1" customWidth="1"/>
    <col min="7" max="7" width="5.796875" style="60"/>
    <col min="8" max="8" width="4.19921875" style="60" bestFit="1" customWidth="1"/>
    <col min="9" max="9" width="6.3984375" style="60" customWidth="1"/>
    <col min="10" max="10" width="22.19921875" style="60" bestFit="1" customWidth="1"/>
    <col min="11" max="11" width="5.19921875" style="60" bestFit="1" customWidth="1"/>
    <col min="12" max="12" width="4.19921875" style="60" bestFit="1" customWidth="1"/>
    <col min="13" max="13" width="7.796875" style="60" bestFit="1" customWidth="1"/>
    <col min="14" max="14" width="5.796875" style="60"/>
    <col min="15" max="15" width="4.19921875" style="60" bestFit="1" customWidth="1"/>
    <col min="16" max="16" width="7.19921875" style="60" bestFit="1" customWidth="1"/>
    <col min="17" max="17" width="25.59765625" style="60" bestFit="1" customWidth="1"/>
    <col min="18" max="18" width="5.19921875" style="60" bestFit="1" customWidth="1"/>
    <col min="19" max="19" width="4.19921875" style="60" bestFit="1" customWidth="1"/>
    <col min="20" max="20" width="7.796875" style="60" bestFit="1" customWidth="1"/>
    <col min="21" max="21" width="5.796875" style="60"/>
    <col min="22" max="22" width="3.59765625" style="60" bestFit="1" customWidth="1"/>
    <col min="23" max="23" width="6" style="60" bestFit="1" customWidth="1"/>
    <col min="24" max="24" width="21.3984375" style="60" bestFit="1" customWidth="1"/>
    <col min="25" max="25" width="5.19921875" style="60" bestFit="1" customWidth="1"/>
    <col min="26" max="26" width="4.19921875" style="60" bestFit="1" customWidth="1"/>
    <col min="27" max="27" width="7.796875" style="60" bestFit="1" customWidth="1"/>
    <col min="28" max="28" width="5.796875" style="60"/>
    <col min="29" max="29" width="3.59765625" style="60" bestFit="1" customWidth="1"/>
    <col min="30" max="30" width="7.3984375" style="60" bestFit="1" customWidth="1"/>
    <col min="31" max="31" width="26.59765625" style="60" bestFit="1" customWidth="1"/>
    <col min="32" max="32" width="4.19921875" style="60" bestFit="1" customWidth="1"/>
    <col min="33" max="33" width="7.796875" style="60" bestFit="1" customWidth="1"/>
    <col min="34" max="34" width="5.796875" style="60"/>
    <col min="35" max="35" width="4.59765625" style="60" bestFit="1" customWidth="1"/>
    <col min="36" max="36" width="4.19921875" style="60" bestFit="1" customWidth="1"/>
    <col min="37" max="37" width="7.59765625" style="60" bestFit="1" customWidth="1"/>
    <col min="38" max="38" width="25.59765625" style="60" bestFit="1" customWidth="1"/>
    <col min="39" max="39" width="7.3984375" style="60" bestFit="1" customWidth="1"/>
    <col min="40" max="40" width="5.19921875" style="60" bestFit="1" customWidth="1"/>
    <col min="41" max="41" width="4.19921875" style="60" bestFit="1" customWidth="1"/>
    <col min="42" max="42" width="7.796875" style="60" bestFit="1" customWidth="1"/>
    <col min="43" max="16384" width="5.796875" style="60"/>
  </cols>
  <sheetData>
    <row r="1" spans="1:42" x14ac:dyDescent="0.2">
      <c r="B1" s="110" t="s">
        <v>458</v>
      </c>
    </row>
    <row r="2" spans="1:42" s="59" customFormat="1" x14ac:dyDescent="0.2">
      <c r="A2" s="59" t="s">
        <v>158</v>
      </c>
      <c r="B2" s="59" t="s">
        <v>440</v>
      </c>
      <c r="C2" s="59" t="s">
        <v>0</v>
      </c>
      <c r="D2" s="59" t="s">
        <v>106</v>
      </c>
      <c r="E2" s="59" t="s">
        <v>143</v>
      </c>
      <c r="F2" s="59" t="s">
        <v>401</v>
      </c>
      <c r="H2" s="59" t="s">
        <v>158</v>
      </c>
      <c r="I2" s="59" t="s">
        <v>441</v>
      </c>
      <c r="J2" s="59" t="s">
        <v>0</v>
      </c>
      <c r="K2" s="59" t="s">
        <v>106</v>
      </c>
      <c r="L2" s="59" t="s">
        <v>143</v>
      </c>
      <c r="M2" s="59" t="s">
        <v>401</v>
      </c>
      <c r="O2" s="59" t="s">
        <v>158</v>
      </c>
      <c r="P2" s="59" t="s">
        <v>442</v>
      </c>
      <c r="Q2" s="59" t="s">
        <v>0</v>
      </c>
      <c r="R2" s="59" t="s">
        <v>106</v>
      </c>
      <c r="S2" s="59" t="s">
        <v>143</v>
      </c>
      <c r="T2" s="59" t="s">
        <v>401</v>
      </c>
      <c r="V2" s="59" t="s">
        <v>158</v>
      </c>
      <c r="W2" s="59" t="s">
        <v>443</v>
      </c>
      <c r="X2" s="59" t="s">
        <v>0</v>
      </c>
      <c r="Y2" s="59" t="s">
        <v>106</v>
      </c>
      <c r="Z2" s="59" t="s">
        <v>143</v>
      </c>
      <c r="AA2" s="59" t="s">
        <v>401</v>
      </c>
      <c r="AC2" s="59" t="s">
        <v>158</v>
      </c>
      <c r="AD2" s="59" t="s">
        <v>444</v>
      </c>
      <c r="AE2" s="59" t="s">
        <v>0</v>
      </c>
      <c r="AF2" s="59" t="s">
        <v>143</v>
      </c>
      <c r="AG2" s="59" t="s">
        <v>401</v>
      </c>
      <c r="AI2" s="59" t="s">
        <v>8</v>
      </c>
      <c r="AJ2" s="59" t="s">
        <v>158</v>
      </c>
      <c r="AK2" s="59" t="s">
        <v>460</v>
      </c>
      <c r="AL2" s="59" t="s">
        <v>0</v>
      </c>
      <c r="AM2" s="59" t="s">
        <v>459</v>
      </c>
      <c r="AN2" s="59" t="s">
        <v>106</v>
      </c>
      <c r="AO2" s="59" t="s">
        <v>143</v>
      </c>
      <c r="AP2" s="59" t="s">
        <v>401</v>
      </c>
    </row>
    <row r="3" spans="1:42" x14ac:dyDescent="0.2">
      <c r="A3" s="62">
        <f>IFERROR(RANK(TableQBCalcPts[[#This Row],[Custom]],TableQBCalcPts[Custom])+COUNTIF($F$3:F3,F3)-1,"")</f>
        <v>34</v>
      </c>
      <c r="B3" s="60">
        <v>1</v>
      </c>
      <c r="C3" s="60" t="str">
        <f>IFERROR(INDEX(TableQBMaster[Player],MATCH(TableQBCalcPts[[#This Row],[QBRef]],TableQBMaster[QBRef],0)),"")</f>
        <v>Kyler Murray</v>
      </c>
      <c r="D3" s="60" t="str">
        <f>IFERROR(INDEX(TableQBMaster[TM],MATCH(TableQBCalcPts[[#This Row],[QBRef]],TableQBMaster[QBRef],0)),"")</f>
        <v>ARI</v>
      </c>
      <c r="E3" s="60">
        <f>IFERROR(INDEX(TableQBMaster[BYE],MATCH(TableQBCalcPts[[#This Row],[QBRef]],TableQBMaster[QBRef],0)),"")</f>
        <v>14</v>
      </c>
      <c r="F3" s="61">
        <f>IFERROR(INDEX(TableQBMaster[Custom],MATCH(TableQBCalcPts[[#This Row],[QBRef]],TableQBMaster[QBRef],0)),"")</f>
        <v>67.952044360939965</v>
      </c>
      <c r="H3" s="60">
        <f>IFERROR(RANK(TableRBCalcPts[[#This Row],[Custom]],TableRBCalcPts[Custom])+COUNTIF($M$3:M3,M3)-1,"")</f>
        <v>25</v>
      </c>
      <c r="I3" s="60">
        <v>1</v>
      </c>
      <c r="J3" s="60" t="str">
        <f>IFERROR(INDEX(TableRBMaster[Player],MATCH(TableRBCalcPts[[#This Row],[RBRef]],TableRBMaster[RBRef],0)),"")</f>
        <v>James Conner</v>
      </c>
      <c r="K3" s="60" t="str">
        <f>IFERROR(INDEX(TableRBMaster[TM],MATCH(TableRBCalcPts[[#This Row],[RBRef]],TableRBMaster[RBRef],0)),"")</f>
        <v>ARI</v>
      </c>
      <c r="L3" s="60">
        <f>IFERROR(INDEX(TableRBMaster[BYE],MATCH(TableRBCalcPts[[#This Row],[RBRef]],TableRBMaster[RBRef],0)),"")</f>
        <v>14</v>
      </c>
      <c r="M3" s="61">
        <f>IFERROR(INDEX(TableRBMaster[Custom],MATCH(TableRBCalcPts[[#This Row],[RBRef]],TableRBMaster[RBRef],0)),"")</f>
        <v>185.87450180481002</v>
      </c>
      <c r="O3" s="60">
        <f>IFERROR(RANK(TableWRCalcPts[[#This Row],[Custom]],TableWRCalcPts[Custom])+COUNTIF($T$3:T3,T3)-1,"")</f>
        <v>31</v>
      </c>
      <c r="P3" s="60">
        <v>1</v>
      </c>
      <c r="Q3" s="60" t="str">
        <f>IFERROR(INDEX(TableWRMaster[Player],MATCH(TableWRCalcPts[[#This Row],[WRRef]],TableWRMaster[WRRef],0)),"")</f>
        <v>Marquise Brown</v>
      </c>
      <c r="R3" s="60" t="str">
        <f>IFERROR(INDEX(TableWRMaster[TM],MATCH(TableWRCalcPts[[#This Row],[WRRef]],TableWRMaster[WRRef],0)),"")</f>
        <v>ARI</v>
      </c>
      <c r="S3" s="60">
        <f>IFERROR(INDEX(TableWRMaster[BYE],MATCH(TableWRCalcPts[[#This Row],[WRRef]],TableWRMaster[WRRef],0)),"")</f>
        <v>14</v>
      </c>
      <c r="T3" s="61">
        <f>IFERROR(INDEX(TableWRMaster[Custom],MATCH(TableWRCalcPts[[#This Row],[WRRef]],TableWRMaster[WRRef],0)),"")</f>
        <v>169.79884257105002</v>
      </c>
      <c r="V3" s="60">
        <f>IFERROR(RANK(TableTECalcPts[[#This Row],[Custom]],TableTECalcPts[Custom])+COUNTIF($AA$3:AA3,AA3)-1,"")</f>
        <v>17</v>
      </c>
      <c r="W3" s="60">
        <v>1</v>
      </c>
      <c r="X3" s="60" t="str">
        <f>IFERROR(INDEX(TableTEMaster[Player],MATCH(TableTECalcPts[[#This Row],[TERef]],TableTEMaster[TERef],0)),"")</f>
        <v>Zach Ertz</v>
      </c>
      <c r="Y3" s="60" t="str">
        <f>IFERROR(INDEX(TableTEMaster[TM],MATCH(TableTECalcPts[[#This Row],[TERef]],TableTEMaster[TERef],0)),"")</f>
        <v>ARI</v>
      </c>
      <c r="Z3" s="60">
        <f>IFERROR(INDEX(TableTEMaster[BYE],MATCH(TableTECalcPts[[#This Row],[TERef]],TableTEMaster[TERef],0)),"")</f>
        <v>14</v>
      </c>
      <c r="AA3" s="61">
        <f>IFERROR(INDEX(TableTEMaster[Custom],MATCH(TableTECalcPts[[#This Row],[TERef]],TableTEMaster[TERef],0)),"")</f>
        <v>102.28849844849999</v>
      </c>
      <c r="AC3" s="60">
        <f>IFERROR(RANK(TableDSTCalcPts[[#This Row],[Custom]],TableDSTCalcPts[Custom],0),"")</f>
        <v>24</v>
      </c>
      <c r="AD3" s="60">
        <v>1</v>
      </c>
      <c r="AE3" s="60" t="str">
        <f>IFERROR(INDEX(TableDSTMaster[Player],MATCH(TableDSTCalcPts[[#This Row],[DSTRef]],TableDSTMaster[DSTRef],0)),"")</f>
        <v>Arizona Cardinals</v>
      </c>
      <c r="AF3" s="60">
        <f>IFERROR(INDEX(TableDSTMaster[BYE],MATCH(TableDSTCalcPts[[#This Row],[DSTRef]],TableDSTMaster[DSTRef],0)),"")</f>
        <v>14</v>
      </c>
      <c r="AG3" s="61">
        <f>IFERROR(INDEX(TableDSTMaster[Custom],MATCH(TableDSTCalcPts[[#This Row],[DSTRef]],TableDSTMaster[DSTRef],0)),"")</f>
        <v>114.863439793786</v>
      </c>
      <c r="AI3" s="60" t="s">
        <v>10</v>
      </c>
      <c r="AJ3" s="60">
        <f>IFERROR(RANK(TableWRTECalcPts[[#This Row],[Custom]],TableWRTECalcPts[Custom])+COUNTIF($AP$3:AP3,AP3)-1,"")</f>
        <v>88</v>
      </c>
      <c r="AK3" s="60">
        <v>1</v>
      </c>
      <c r="AL3" s="60" t="str">
        <f>IFERROR(INDEX(TableTEMaster[Player],MATCH(TableWRTECalcPts[[#This Row],[POSRef]],TableTEMaster[TERef],0)),"")</f>
        <v>Zach Ertz</v>
      </c>
      <c r="AM3" s="60" t="str">
        <f>IFERROR(_xlfn.CONCAT(TableWRTECalcPts[[#This Row],[POS]],INDEX(TableTERanks[RK],MATCH(TableWRTECalcPts[[#This Row],[PLAYER]],TableTERanks[Player],0))),"")</f>
        <v>TE17</v>
      </c>
      <c r="AN3" s="60" t="str">
        <f>IFERROR(INDEX(TableTEMaster[TM],MATCH(TableWRTECalcPts[[#This Row],[POSRef]],TableTEMaster[TERef],0)),"")</f>
        <v>ARI</v>
      </c>
      <c r="AO3" s="60">
        <f>IFERROR(INDEX(TableTEMaster[BYE],MATCH(TableWRTECalcPts[[#This Row],[POSRef]],TableTEMaster[TERef],0)),"")</f>
        <v>14</v>
      </c>
      <c r="AP3" s="61">
        <f>IFERROR(INDEX(TableTEMaster[Custom],MATCH(TableWRTECalcPts[[#This Row],[POSRef]],TableTEMaster[TERef],0)),"")</f>
        <v>102.28849844849999</v>
      </c>
    </row>
    <row r="4" spans="1:42" x14ac:dyDescent="0.2">
      <c r="A4" s="62">
        <f>IFERROR(RANK(TableQBCalcPts[[#This Row],[Custom]],TableQBCalcPts[Custom])+COUNTIF($F$3:F4,F4)-1,"")</f>
        <v>32</v>
      </c>
      <c r="B4" s="60">
        <v>2</v>
      </c>
      <c r="C4" s="60" t="str">
        <f>IFERROR(INDEX(TableQBMaster[Player],MATCH(TableQBCalcPts[[#This Row],[QBRef]],TableQBMaster[QBRef],0)),"")</f>
        <v>Joshua Dobbs</v>
      </c>
      <c r="D4" s="60" t="str">
        <f>IFERROR(INDEX(TableQBMaster[TM],MATCH(TableQBCalcPts[[#This Row],[QBRef]],TableQBMaster[QBRef],0)),"")</f>
        <v>ARI</v>
      </c>
      <c r="E4" s="60">
        <f>IFERROR(INDEX(TableQBMaster[BYE],MATCH(TableQBCalcPts[[#This Row],[QBRef]],TableQBMaster[QBRef],0)),"")</f>
        <v>14</v>
      </c>
      <c r="F4" s="61">
        <f>IFERROR(INDEX(TableQBMaster[Custom],MATCH(TableQBCalcPts[[#This Row],[QBRef]],TableQBMaster[QBRef],0)),"")</f>
        <v>120.88669071620204</v>
      </c>
      <c r="H4" s="60">
        <f>IFERROR(RANK(TableRBCalcPts[[#This Row],[Custom]],TableRBCalcPts[Custom])+COUNTIF($M$3:M4,M4)-1,"")</f>
        <v>46</v>
      </c>
      <c r="I4" s="60">
        <v>2</v>
      </c>
      <c r="J4" s="60" t="str">
        <f>IFERROR(INDEX(TableRBMaster[Player],MATCH(TableRBCalcPts[[#This Row],[RBRef]],TableRBMaster[RBRef],0)),"")</f>
        <v>Keaontay Ingram</v>
      </c>
      <c r="K4" s="60" t="str">
        <f>IFERROR(INDEX(TableRBMaster[TM],MATCH(TableRBCalcPts[[#This Row],[RBRef]],TableRBMaster[RBRef],0)),"")</f>
        <v>ARI</v>
      </c>
      <c r="L4" s="60">
        <f>IFERROR(INDEX(TableRBMaster[BYE],MATCH(TableRBCalcPts[[#This Row],[RBRef]],TableRBMaster[RBRef],0)),"")</f>
        <v>14</v>
      </c>
      <c r="M4" s="61">
        <f>IFERROR(INDEX(TableRBMaster[Custom],MATCH(TableRBCalcPts[[#This Row],[RBRef]],TableRBMaster[RBRef],0)),"")</f>
        <v>114.34337921125001</v>
      </c>
      <c r="O4" s="60">
        <f>IFERROR(RANK(TableWRCalcPts[[#This Row],[Custom]],TableWRCalcPts[Custom])+COUNTIF($T$3:T4,T4)-1,"")</f>
        <v>72</v>
      </c>
      <c r="P4" s="60">
        <v>2</v>
      </c>
      <c r="Q4" s="60" t="str">
        <f>IFERROR(INDEX(TableWRMaster[Player],MATCH(TableWRCalcPts[[#This Row],[WRRef]],TableWRMaster[WRRef],0)),"")</f>
        <v>Rondale Moore</v>
      </c>
      <c r="R4" s="60" t="str">
        <f>IFERROR(INDEX(TableWRMaster[TM],MATCH(TableWRCalcPts[[#This Row],[WRRef]],TableWRMaster[WRRef],0)),"")</f>
        <v>ARI</v>
      </c>
      <c r="S4" s="60">
        <f>IFERROR(INDEX(TableWRMaster[BYE],MATCH(TableWRCalcPts[[#This Row],[WRRef]],TableWRMaster[WRRef],0)),"")</f>
        <v>14</v>
      </c>
      <c r="T4" s="61">
        <f>IFERROR(INDEX(TableWRMaster[Custom],MATCH(TableWRCalcPts[[#This Row],[WRRef]],TableWRMaster[WRRef],0)),"")</f>
        <v>98.677687369437947</v>
      </c>
      <c r="V4" s="60">
        <f>IFERROR(RANK(TableTECalcPts[[#This Row],[Custom]],TableTECalcPts[Custom])+COUNTIF($AA$3:AA4,AA4)-1,"")</f>
        <v>25</v>
      </c>
      <c r="W4" s="60">
        <v>2</v>
      </c>
      <c r="X4" s="60" t="str">
        <f>IFERROR(INDEX(TableTEMaster[Player],MATCH(TableTECalcPts[[#This Row],[TERef]],TableTEMaster[TERef],0)),"")</f>
        <v>Trey McBride</v>
      </c>
      <c r="Y4" s="60" t="str">
        <f>IFERROR(INDEX(TableTEMaster[TM],MATCH(TableTECalcPts[[#This Row],[TERef]],TableTEMaster[TERef],0)),"")</f>
        <v>ARI</v>
      </c>
      <c r="Z4" s="60">
        <f>IFERROR(INDEX(TableTEMaster[BYE],MATCH(TableTECalcPts[[#This Row],[TERef]],TableTEMaster[TERef],0)),"")</f>
        <v>14</v>
      </c>
      <c r="AA4" s="61">
        <f>IFERROR(INDEX(TableTEMaster[Custom],MATCH(TableTECalcPts[[#This Row],[TERef]],TableTEMaster[TERef],0)),"")</f>
        <v>93.404355072000016</v>
      </c>
      <c r="AC4" s="60">
        <f>IFERROR(RANK(TableDSTCalcPts[[#This Row],[Custom]],TableDSTCalcPts[Custom],0),"")</f>
        <v>31</v>
      </c>
      <c r="AD4" s="60">
        <v>2</v>
      </c>
      <c r="AE4" s="60" t="str">
        <f>IFERROR(INDEX(TableDSTMaster[Player],MATCH(TableDSTCalcPts[[#This Row],[DSTRef]],TableDSTMaster[DSTRef],0)),"")</f>
        <v>Atlanta Falcons</v>
      </c>
      <c r="AF4" s="60">
        <f>IFERROR(INDEX(TableDSTMaster[BYE],MATCH(TableDSTCalcPts[[#This Row],[DSTRef]],TableDSTMaster[DSTRef],0)),"")</f>
        <v>11</v>
      </c>
      <c r="AG4" s="61">
        <f>IFERROR(INDEX(TableDSTMaster[Custom],MATCH(TableDSTCalcPts[[#This Row],[DSTRef]],TableDSTMaster[DSTRef],0)),"")</f>
        <v>101.78507690188333</v>
      </c>
      <c r="AI4" s="60" t="s">
        <v>10</v>
      </c>
      <c r="AJ4" s="60">
        <f>IFERROR(RANK(TableWRTECalcPts[[#This Row],[Custom]],TableWRTECalcPts[Custom])+COUNTIF($AP$3:AP4,AP4)-1,"")</f>
        <v>102</v>
      </c>
      <c r="AK4" s="60">
        <v>2</v>
      </c>
      <c r="AL4" s="60" t="str">
        <f>IFERROR(INDEX(TableTEMaster[Player],MATCH(TableWRTECalcPts[[#This Row],[POSRef]],TableTEMaster[TERef],0)),"")</f>
        <v>Trey McBride</v>
      </c>
      <c r="AM4" s="60" t="str">
        <f>IFERROR(_xlfn.CONCAT(TableWRTECalcPts[[#This Row],[POS]],INDEX(TableTERanks[RK],MATCH(TableWRTECalcPts[[#This Row],[PLAYER]],TableTERanks[Player],0))),"")</f>
        <v>TE25</v>
      </c>
      <c r="AN4" s="60" t="str">
        <f>IFERROR(INDEX(TableTEMaster[TM],MATCH(TableWRTECalcPts[[#This Row],[POSRef]],TableTEMaster[TERef],0)),"")</f>
        <v>ARI</v>
      </c>
      <c r="AO4" s="60">
        <f>IFERROR(INDEX(TableTEMaster[BYE],MATCH(TableWRTECalcPts[[#This Row],[POSRef]],TableTEMaster[TERef],0)),"")</f>
        <v>14</v>
      </c>
      <c r="AP4" s="61">
        <f>IFERROR(INDEX(TableTEMaster[Custom],MATCH(TableWRTECalcPts[[#This Row],[POSRef]],TableTEMaster[TERef],0)),"")</f>
        <v>93.404355072000016</v>
      </c>
    </row>
    <row r="5" spans="1:42" x14ac:dyDescent="0.2">
      <c r="A5" s="62">
        <f>IFERROR(RANK(TableQBCalcPts[[#This Row],[Custom]],TableQBCalcPts[Custom])+COUNTIF($F$3:F5,F5)-1,"")</f>
        <v>33</v>
      </c>
      <c r="B5" s="60">
        <v>3</v>
      </c>
      <c r="C5" s="60" t="str">
        <f>IFERROR(INDEX(TableQBMaster[Player],MATCH(TableQBCalcPts[[#This Row],[QBRef]],TableQBMaster[QBRef],0)),"")</f>
        <v>Clayton Tune</v>
      </c>
      <c r="D5" s="60" t="str">
        <f>IFERROR(INDEX(TableQBMaster[TM],MATCH(TableQBCalcPts[[#This Row],[QBRef]],TableQBMaster[QBRef],0)),"")</f>
        <v>ARI</v>
      </c>
      <c r="E5" s="60">
        <f>IFERROR(INDEX(TableQBMaster[BYE],MATCH(TableQBCalcPts[[#This Row],[QBRef]],TableQBMaster[QBRef],0)),"")</f>
        <v>14</v>
      </c>
      <c r="F5" s="61">
        <f>IFERROR(INDEX(TableQBMaster[Custom],MATCH(TableQBCalcPts[[#This Row],[QBRef]],TableQBMaster[QBRef],0)),"")</f>
        <v>98.596722720000017</v>
      </c>
      <c r="H5" s="60">
        <f>IFERROR(RANK(TableRBCalcPts[[#This Row],[Custom]],TableRBCalcPts[Custom])+COUNTIF($M$3:M5,M5)-1,"")</f>
        <v>107</v>
      </c>
      <c r="I5" s="60">
        <v>3</v>
      </c>
      <c r="J5" s="60" t="str">
        <f>IFERROR(INDEX(TableRBMaster[Player],MATCH(TableRBCalcPts[[#This Row],[RBRef]],TableRBMaster[RBRef],0)),"")</f>
        <v>Emari Demercado</v>
      </c>
      <c r="K5" s="60" t="str">
        <f>IFERROR(INDEX(TableRBMaster[TM],MATCH(TableRBCalcPts[[#This Row],[RBRef]],TableRBMaster[RBRef],0)),"")</f>
        <v>ARI</v>
      </c>
      <c r="L5" s="60">
        <f>IFERROR(INDEX(TableRBMaster[BYE],MATCH(TableRBCalcPts[[#This Row],[RBRef]],TableRBMaster[RBRef],0)),"")</f>
        <v>14</v>
      </c>
      <c r="M5" s="61">
        <f>IFERROR(INDEX(TableRBMaster[Custom],MATCH(TableRBCalcPts[[#This Row],[RBRef]],TableRBMaster[RBRef],0)),"")</f>
        <v>12.285711469569369</v>
      </c>
      <c r="O5" s="60">
        <f>IFERROR(RANK(TableWRCalcPts[[#This Row],[Custom]],TableWRCalcPts[Custom])+COUNTIF($T$3:T5,T5)-1,"")</f>
        <v>124</v>
      </c>
      <c r="P5" s="60">
        <v>3</v>
      </c>
      <c r="Q5" s="60" t="str">
        <f>IFERROR(INDEX(TableWRMaster[Player],MATCH(TableWRCalcPts[[#This Row],[WRRef]],TableWRMaster[WRRef],0)),"")</f>
        <v>Greg Dortch</v>
      </c>
      <c r="R5" s="60" t="str">
        <f>IFERROR(INDEX(TableWRMaster[TM],MATCH(TableWRCalcPts[[#This Row],[WRRef]],TableWRMaster[WRRef],0)),"")</f>
        <v>ARI</v>
      </c>
      <c r="S5" s="60">
        <f>IFERROR(INDEX(TableWRMaster[BYE],MATCH(TableWRCalcPts[[#This Row],[WRRef]],TableWRMaster[WRRef],0)),"")</f>
        <v>14</v>
      </c>
      <c r="T5" s="61">
        <f>IFERROR(INDEX(TableWRMaster[Custom],MATCH(TableWRCalcPts[[#This Row],[WRRef]],TableWRMaster[WRRef],0)),"")</f>
        <v>33.890268423899997</v>
      </c>
      <c r="V5" s="60">
        <f>IFERROR(RANK(TableTECalcPts[[#This Row],[Custom]],TableTECalcPts[Custom])+COUNTIF($AA$3:AA5,AA5)-1,"")</f>
        <v>7</v>
      </c>
      <c r="W5" s="60">
        <v>3</v>
      </c>
      <c r="X5" s="60" t="str">
        <f>IFERROR(INDEX(TableTEMaster[Player],MATCH(TableTECalcPts[[#This Row],[TERef]],TableTEMaster[TERef],0)),"")</f>
        <v>Kyle Pitts</v>
      </c>
      <c r="Y5" s="60" t="str">
        <f>IFERROR(INDEX(TableTEMaster[TM],MATCH(TableTECalcPts[[#This Row],[TERef]],TableTEMaster[TERef],0)),"")</f>
        <v>ATL</v>
      </c>
      <c r="Z5" s="60">
        <f>IFERROR(INDEX(TableTEMaster[BYE],MATCH(TableTECalcPts[[#This Row],[TERef]],TableTEMaster[TERef],0)),"")</f>
        <v>11</v>
      </c>
      <c r="AA5" s="61">
        <f>IFERROR(INDEX(TableTEMaster[Custom],MATCH(TableTECalcPts[[#This Row],[TERef]],TableTEMaster[TERef],0)),"")</f>
        <v>138.52950994352989</v>
      </c>
      <c r="AC5" s="60">
        <f>IFERROR(RANK(TableDSTCalcPts[[#This Row],[Custom]],TableDSTCalcPts[Custom],0),"")</f>
        <v>6</v>
      </c>
      <c r="AD5" s="60">
        <v>3</v>
      </c>
      <c r="AE5" s="60" t="str">
        <f>IFERROR(INDEX(TableDSTMaster[Player],MATCH(TableDSTCalcPts[[#This Row],[DSTRef]],TableDSTMaster[DSTRef],0)),"")</f>
        <v>Baltimore Ravens</v>
      </c>
      <c r="AF5" s="60">
        <f>IFERROR(INDEX(TableDSTMaster[BYE],MATCH(TableDSTCalcPts[[#This Row],[DSTRef]],TableDSTMaster[DSTRef],0)),"")</f>
        <v>13</v>
      </c>
      <c r="AG5" s="61">
        <f>IFERROR(INDEX(TableDSTMaster[Custom],MATCH(TableDSTCalcPts[[#This Row],[DSTRef]],TableDSTMaster[DSTRef],0)),"")</f>
        <v>126.04074293162151</v>
      </c>
      <c r="AI5" s="60" t="s">
        <v>10</v>
      </c>
      <c r="AJ5" s="60">
        <f>IFERROR(RANK(TableWRTECalcPts[[#This Row],[Custom]],TableWRTECalcPts[Custom])+COUNTIF($AP$3:AP5,AP5)-1,"")</f>
        <v>59</v>
      </c>
      <c r="AK5" s="60">
        <v>3</v>
      </c>
      <c r="AL5" s="60" t="str">
        <f>IFERROR(INDEX(TableTEMaster[Player],MATCH(TableWRTECalcPts[[#This Row],[POSRef]],TableTEMaster[TERef],0)),"")</f>
        <v>Kyle Pitts</v>
      </c>
      <c r="AM5" s="60" t="str">
        <f>IFERROR(_xlfn.CONCAT(TableWRTECalcPts[[#This Row],[POS]],INDEX(TableTERanks[RK],MATCH(TableWRTECalcPts[[#This Row],[PLAYER]],TableTERanks[Player],0))),"")</f>
        <v>TE7</v>
      </c>
      <c r="AN5" s="60" t="str">
        <f>IFERROR(INDEX(TableTEMaster[TM],MATCH(TableWRTECalcPts[[#This Row],[POSRef]],TableTEMaster[TERef],0)),"")</f>
        <v>ATL</v>
      </c>
      <c r="AO5" s="60">
        <f>IFERROR(INDEX(TableTEMaster[BYE],MATCH(TableWRTECalcPts[[#This Row],[POSRef]],TableTEMaster[TERef],0)),"")</f>
        <v>11</v>
      </c>
      <c r="AP5" s="61">
        <f>IFERROR(INDEX(TableTEMaster[Custom],MATCH(TableWRTECalcPts[[#This Row],[POSRef]],TableTEMaster[TERef],0)),"")</f>
        <v>138.52950994352989</v>
      </c>
    </row>
    <row r="6" spans="1:42" x14ac:dyDescent="0.2">
      <c r="A6" s="62">
        <f>IFERROR(RANK(TableQBCalcPts[[#This Row],[Custom]],TableQBCalcPts[Custom])+COUNTIF($F$3:F6,F6)-1,"")</f>
        <v>30</v>
      </c>
      <c r="B6" s="60">
        <v>4</v>
      </c>
      <c r="C6" s="60" t="str">
        <f>IFERROR(INDEX(TableQBMaster[Player],MATCH(TableQBCalcPts[[#This Row],[QBRef]],TableQBMaster[QBRef],0)),"")</f>
        <v>Desmond Ridder</v>
      </c>
      <c r="D6" s="60" t="str">
        <f>IFERROR(INDEX(TableQBMaster[TM],MATCH(TableQBCalcPts[[#This Row],[QBRef]],TableQBMaster[QBRef],0)),"")</f>
        <v>ATL</v>
      </c>
      <c r="E6" s="60">
        <f>IFERROR(INDEX(TableQBMaster[BYE],MATCH(TableQBCalcPts[[#This Row],[QBRef]],TableQBMaster[QBRef],0)),"")</f>
        <v>11</v>
      </c>
      <c r="F6" s="61">
        <f>IFERROR(INDEX(TableQBMaster[Custom],MATCH(TableQBCalcPts[[#This Row],[QBRef]],TableQBMaster[QBRef],0)),"")</f>
        <v>211.34298839932205</v>
      </c>
      <c r="H6" s="60">
        <f>IFERROR(RANK(TableRBCalcPts[[#This Row],[Custom]],TableRBCalcPts[Custom])+COUNTIF($M$3:M6,M6)-1,"")</f>
        <v>7</v>
      </c>
      <c r="I6" s="60">
        <v>4</v>
      </c>
      <c r="J6" s="60" t="str">
        <f>IFERROR(INDEX(TableRBMaster[Player],MATCH(TableRBCalcPts[[#This Row],[RBRef]],TableRBMaster[RBRef],0)),"")</f>
        <v>Bijan Robinson</v>
      </c>
      <c r="K6" s="60" t="str">
        <f>IFERROR(INDEX(TableRBMaster[TM],MATCH(TableRBCalcPts[[#This Row],[RBRef]],TableRBMaster[RBRef],0)),"")</f>
        <v>ATL</v>
      </c>
      <c r="L6" s="60">
        <f>IFERROR(INDEX(TableRBMaster[BYE],MATCH(TableRBCalcPts[[#This Row],[RBRef]],TableRBMaster[RBRef],0)),"")</f>
        <v>11</v>
      </c>
      <c r="M6" s="61">
        <f>IFERROR(INDEX(TableRBMaster[Custom],MATCH(TableRBCalcPts[[#This Row],[RBRef]],TableRBMaster[RBRef],0)),"")</f>
        <v>254.16479553306854</v>
      </c>
      <c r="O6" s="60">
        <f>IFERROR(RANK(TableWRCalcPts[[#This Row],[Custom]],TableWRCalcPts[Custom])+COUNTIF($T$3:T6,T6)-1,"")</f>
        <v>62</v>
      </c>
      <c r="P6" s="60">
        <v>4</v>
      </c>
      <c r="Q6" s="60" t="str">
        <f>IFERROR(INDEX(TableWRMaster[Player],MATCH(TableWRCalcPts[[#This Row],[WRRef]],TableWRMaster[WRRef],0)),"")</f>
        <v>Michael Wilson</v>
      </c>
      <c r="R6" s="60" t="str">
        <f>IFERROR(INDEX(TableWRMaster[TM],MATCH(TableWRCalcPts[[#This Row],[WRRef]],TableWRMaster[WRRef],0)),"")</f>
        <v>ARI</v>
      </c>
      <c r="S6" s="60">
        <f>IFERROR(INDEX(TableWRMaster[BYE],MATCH(TableWRCalcPts[[#This Row],[WRRef]],TableWRMaster[WRRef],0)),"")</f>
        <v>14</v>
      </c>
      <c r="T6" s="61">
        <f>IFERROR(INDEX(TableWRMaster[Custom],MATCH(TableWRCalcPts[[#This Row],[WRRef]],TableWRMaster[WRRef],0)),"")</f>
        <v>119.77105166565002</v>
      </c>
      <c r="V6" s="60">
        <f>IFERROR(RANK(TableTECalcPts[[#This Row],[Custom]],TableTECalcPts[Custom])+COUNTIF($AA$3:AA6,AA6)-1,"")</f>
        <v>42</v>
      </c>
      <c r="W6" s="60">
        <v>4</v>
      </c>
      <c r="X6" s="60" t="str">
        <f>IFERROR(INDEX(TableTEMaster[Player],MATCH(TableTECalcPts[[#This Row],[TERef]],TableTEMaster[TERef],0)),"")</f>
        <v>Jonnu Smith</v>
      </c>
      <c r="Y6" s="60" t="str">
        <f>IFERROR(INDEX(TableTEMaster[TM],MATCH(TableTECalcPts[[#This Row],[TERef]],TableTEMaster[TERef],0)),"")</f>
        <v>ATL</v>
      </c>
      <c r="Z6" s="60">
        <f>IFERROR(INDEX(TableTEMaster[BYE],MATCH(TableTECalcPts[[#This Row],[TERef]],TableTEMaster[TERef],0)),"")</f>
        <v>11</v>
      </c>
      <c r="AA6" s="61">
        <f>IFERROR(INDEX(TableTEMaster[Custom],MATCH(TableTECalcPts[[#This Row],[TERef]],TableTEMaster[TERef],0)),"")</f>
        <v>43.372279950248007</v>
      </c>
      <c r="AC6" s="60">
        <f>IFERROR(RANK(TableDSTCalcPts[[#This Row],[Custom]],TableDSTCalcPts[Custom],0),"")</f>
        <v>7</v>
      </c>
      <c r="AD6" s="60">
        <v>4</v>
      </c>
      <c r="AE6" s="60" t="str">
        <f>IFERROR(INDEX(TableDSTMaster[Player],MATCH(TableDSTCalcPts[[#This Row],[DSTRef]],TableDSTMaster[DSTRef],0)),"")</f>
        <v>Buffalo Bills</v>
      </c>
      <c r="AF6" s="60">
        <f>IFERROR(INDEX(TableDSTMaster[BYE],MATCH(TableDSTCalcPts[[#This Row],[DSTRef]],TableDSTMaster[DSTRef],0)),"")</f>
        <v>13</v>
      </c>
      <c r="AG6" s="61">
        <f>IFERROR(INDEX(TableDSTMaster[Custom],MATCH(TableDSTCalcPts[[#This Row],[DSTRef]],TableDSTMaster[DSTRef],0)),"")</f>
        <v>125.60796552181779</v>
      </c>
      <c r="AI6" s="60" t="s">
        <v>10</v>
      </c>
      <c r="AJ6" s="60">
        <f>IFERROR(RANK(TableWRTECalcPts[[#This Row],[Custom]],TableWRTECalcPts[Custom])+COUNTIF($AP$3:AP6,AP6)-1,"")</f>
        <v>153</v>
      </c>
      <c r="AK6" s="60">
        <v>4</v>
      </c>
      <c r="AL6" s="60" t="str">
        <f>IFERROR(INDEX(TableTEMaster[Player],MATCH(TableWRTECalcPts[[#This Row],[POSRef]],TableTEMaster[TERef],0)),"")</f>
        <v>Jonnu Smith</v>
      </c>
      <c r="AM6" s="60" t="str">
        <f>IFERROR(_xlfn.CONCAT(TableWRTECalcPts[[#This Row],[POS]],INDEX(TableTERanks[RK],MATCH(TableWRTECalcPts[[#This Row],[PLAYER]],TableTERanks[Player],0))),"")</f>
        <v>TE42</v>
      </c>
      <c r="AN6" s="60" t="str">
        <f>IFERROR(INDEX(TableTEMaster[TM],MATCH(TableWRTECalcPts[[#This Row],[POSRef]],TableTEMaster[TERef],0)),"")</f>
        <v>ATL</v>
      </c>
      <c r="AO6" s="60">
        <f>IFERROR(INDEX(TableTEMaster[BYE],MATCH(TableWRTECalcPts[[#This Row],[POSRef]],TableTEMaster[TERef],0)),"")</f>
        <v>11</v>
      </c>
      <c r="AP6" s="61">
        <f>IFERROR(INDEX(TableTEMaster[Custom],MATCH(TableWRTECalcPts[[#This Row],[POSRef]],TableTEMaster[TERef],0)),"")</f>
        <v>43.372279950248007</v>
      </c>
    </row>
    <row r="7" spans="1:42" x14ac:dyDescent="0.2">
      <c r="A7" s="62">
        <f>IFERROR(RANK(TableQBCalcPts[[#This Row],[Custom]],TableQBCalcPts[Custom])+COUNTIF($F$3:F7,F7)-1,"")</f>
        <v>36</v>
      </c>
      <c r="B7" s="60">
        <v>5</v>
      </c>
      <c r="C7" s="60" t="str">
        <f>IFERROR(INDEX(TableQBMaster[Player],MATCH(TableQBCalcPts[[#This Row],[QBRef]],TableQBMaster[QBRef],0)),"")</f>
        <v>Taylor Heinicke</v>
      </c>
      <c r="D7" s="60" t="str">
        <f>IFERROR(INDEX(TableQBMaster[TM],MATCH(TableQBCalcPts[[#This Row],[QBRef]],TableQBMaster[QBRef],0)),"")</f>
        <v>ATL</v>
      </c>
      <c r="E7" s="60">
        <f>IFERROR(INDEX(TableQBMaster[BYE],MATCH(TableQBCalcPts[[#This Row],[QBRef]],TableQBMaster[QBRef],0)),"")</f>
        <v>11</v>
      </c>
      <c r="F7" s="61">
        <f>IFERROR(INDEX(TableQBMaster[Custom],MATCH(TableQBCalcPts[[#This Row],[QBRef]],TableQBMaster[QBRef],0)),"")</f>
        <v>35.980127097215657</v>
      </c>
      <c r="H7" s="60">
        <f>IFERROR(RANK(TableRBCalcPts[[#This Row],[Custom]],TableRBCalcPts[Custom])+COUNTIF($M$3:M7,M7)-1,"")</f>
        <v>62</v>
      </c>
      <c r="I7" s="60">
        <v>5</v>
      </c>
      <c r="J7" s="60" t="str">
        <f>IFERROR(INDEX(TableRBMaster[Player],MATCH(TableRBCalcPts[[#This Row],[RBRef]],TableRBMaster[RBRef],0)),"")</f>
        <v>Tyler Allgeier</v>
      </c>
      <c r="K7" s="60" t="str">
        <f>IFERROR(INDEX(TableRBMaster[TM],MATCH(TableRBCalcPts[[#This Row],[RBRef]],TableRBMaster[RBRef],0)),"")</f>
        <v>ATL</v>
      </c>
      <c r="L7" s="60">
        <f>IFERROR(INDEX(TableRBMaster[BYE],MATCH(TableRBCalcPts[[#This Row],[RBRef]],TableRBMaster[RBRef],0)),"")</f>
        <v>11</v>
      </c>
      <c r="M7" s="61">
        <f>IFERROR(INDEX(TableRBMaster[Custom],MATCH(TableRBCalcPts[[#This Row],[RBRef]],TableRBMaster[RBRef],0)),"")</f>
        <v>74.172152182090741</v>
      </c>
      <c r="O7" s="60">
        <f>IFERROR(RANK(TableWRCalcPts[[#This Row],[Custom]],TableWRCalcPts[Custom])+COUNTIF($T$3:T7,T7)-1,"")</f>
        <v>128</v>
      </c>
      <c r="P7" s="60">
        <v>5</v>
      </c>
      <c r="Q7" s="60" t="str">
        <f>IFERROR(INDEX(TableWRMaster[Player],MATCH(TableWRCalcPts[[#This Row],[WRRef]],TableWRMaster[WRRef],0)),"")</f>
        <v>Zach Pascal</v>
      </c>
      <c r="R7" s="60" t="str">
        <f>IFERROR(INDEX(TableWRMaster[TM],MATCH(TableWRCalcPts[[#This Row],[WRRef]],TableWRMaster[WRRef],0)),"")</f>
        <v>ARI</v>
      </c>
      <c r="S7" s="60">
        <f>IFERROR(INDEX(TableWRMaster[BYE],MATCH(TableWRCalcPts[[#This Row],[WRRef]],TableWRMaster[WRRef],0)),"")</f>
        <v>14</v>
      </c>
      <c r="T7" s="61">
        <f>IFERROR(INDEX(TableWRMaster[Custom],MATCH(TableWRCalcPts[[#This Row],[WRRef]],TableWRMaster[WRRef],0)),"")</f>
        <v>27.765618152580004</v>
      </c>
      <c r="V7" s="60">
        <f>IFERROR(RANK(TableTECalcPts[[#This Row],[Custom]],TableTECalcPts[Custom])+COUNTIF($AA$3:AA7,AA7)-1,"")</f>
        <v>77</v>
      </c>
      <c r="W7" s="60">
        <v>5</v>
      </c>
      <c r="X7" s="60" t="str">
        <f>IFERROR(INDEX(TableTEMaster[Player],MATCH(TableTECalcPts[[#This Row],[TERef]],TableTEMaster[TERef],0)),"")</f>
        <v>MyCole Pruitt</v>
      </c>
      <c r="Y7" s="60" t="str">
        <f>IFERROR(INDEX(TableTEMaster[TM],MATCH(TableTECalcPts[[#This Row],[TERef]],TableTEMaster[TERef],0)),"")</f>
        <v>ATL</v>
      </c>
      <c r="Z7" s="60">
        <f>IFERROR(INDEX(TableTEMaster[BYE],MATCH(TableTECalcPts[[#This Row],[TERef]],TableTEMaster[TERef],0)),"")</f>
        <v>11</v>
      </c>
      <c r="AA7" s="61">
        <f>IFERROR(INDEX(TableTEMaster[Custom],MATCH(TableTECalcPts[[#This Row],[TERef]],TableTEMaster[TERef],0)),"")</f>
        <v>11.888260212326399</v>
      </c>
      <c r="AC7" s="60">
        <f>IFERROR(RANK(TableDSTCalcPts[[#This Row],[Custom]],TableDSTCalcPts[Custom],0),"")</f>
        <v>29</v>
      </c>
      <c r="AD7" s="60">
        <v>5</v>
      </c>
      <c r="AE7" s="60" t="str">
        <f>IFERROR(INDEX(TableDSTMaster[Player],MATCH(TableDSTCalcPts[[#This Row],[DSTRef]],TableDSTMaster[DSTRef],0)),"")</f>
        <v>Carolina Panthers</v>
      </c>
      <c r="AF7" s="60">
        <f>IFERROR(INDEX(TableDSTMaster[BYE],MATCH(TableDSTCalcPts[[#This Row],[DSTRef]],TableDSTMaster[DSTRef],0)),"")</f>
        <v>7</v>
      </c>
      <c r="AG7" s="61">
        <f>IFERROR(INDEX(TableDSTMaster[Custom],MATCH(TableDSTCalcPts[[#This Row],[DSTRef]],TableDSTMaster[DSTRef],0)),"")</f>
        <v>105.2932094200759</v>
      </c>
      <c r="AI7" s="60" t="s">
        <v>10</v>
      </c>
      <c r="AJ7" s="60">
        <f>IFERROR(RANK(TableWRTECalcPts[[#This Row],[Custom]],TableWRTECalcPts[Custom])+COUNTIF($AP$3:AP7,AP7)-1,"")</f>
        <v>234</v>
      </c>
      <c r="AK7" s="60">
        <v>5</v>
      </c>
      <c r="AL7" s="60" t="str">
        <f>IFERROR(INDEX(TableTEMaster[Player],MATCH(TableWRTECalcPts[[#This Row],[POSRef]],TableTEMaster[TERef],0)),"")</f>
        <v>MyCole Pruitt</v>
      </c>
      <c r="AM7" s="60" t="str">
        <f>IFERROR(_xlfn.CONCAT(TableWRTECalcPts[[#This Row],[POS]],INDEX(TableTERanks[RK],MATCH(TableWRTECalcPts[[#This Row],[PLAYER]],TableTERanks[Player],0))),"")</f>
        <v>TE77</v>
      </c>
      <c r="AN7" s="60" t="str">
        <f>IFERROR(INDEX(TableTEMaster[TM],MATCH(TableWRTECalcPts[[#This Row],[POSRef]],TableTEMaster[TERef],0)),"")</f>
        <v>ATL</v>
      </c>
      <c r="AO7" s="60">
        <f>IFERROR(INDEX(TableTEMaster[BYE],MATCH(TableWRTECalcPts[[#This Row],[POSRef]],TableTEMaster[TERef],0)),"")</f>
        <v>11</v>
      </c>
      <c r="AP7" s="61">
        <f>IFERROR(INDEX(TableTEMaster[Custom],MATCH(TableWRTECalcPts[[#This Row],[POSRef]],TableTEMaster[TERef],0)),"")</f>
        <v>11.888260212326399</v>
      </c>
    </row>
    <row r="8" spans="1:42" x14ac:dyDescent="0.2">
      <c r="A8" s="62">
        <f>IFERROR(RANK(TableQBCalcPts[[#This Row],[Custom]],TableQBCalcPts[Custom])+COUNTIF($F$3:F8,F8)-1,"")</f>
        <v>4</v>
      </c>
      <c r="B8" s="60">
        <v>6</v>
      </c>
      <c r="C8" s="60" t="str">
        <f>IFERROR(INDEX(TableQBMaster[Player],MATCH(TableQBCalcPts[[#This Row],[QBRef]],TableQBMaster[QBRef],0)),"")</f>
        <v>Lamar Jackson</v>
      </c>
      <c r="D8" s="60" t="str">
        <f>IFERROR(INDEX(TableQBMaster[TM],MATCH(TableQBCalcPts[[#This Row],[QBRef]],TableQBMaster[QBRef],0)),"")</f>
        <v>BAL</v>
      </c>
      <c r="E8" s="60">
        <f>IFERROR(INDEX(TableQBMaster[BYE],MATCH(TableQBCalcPts[[#This Row],[QBRef]],TableQBMaster[QBRef],0)),"")</f>
        <v>13</v>
      </c>
      <c r="F8" s="61">
        <f>IFERROR(INDEX(TableQBMaster[Custom],MATCH(TableQBCalcPts[[#This Row],[QBRef]],TableQBMaster[QBRef],0)),"")</f>
        <v>361.60434219642514</v>
      </c>
      <c r="H8" s="60">
        <f>IFERROR(RANK(TableRBCalcPts[[#This Row],[Custom]],TableRBCalcPts[Custom])+COUNTIF($M$3:M8,M8)-1,"")</f>
        <v>61</v>
      </c>
      <c r="I8" s="60">
        <v>6</v>
      </c>
      <c r="J8" s="60" t="str">
        <f>IFERROR(INDEX(TableRBMaster[Player],MATCH(TableRBCalcPts[[#This Row],[RBRef]],TableRBMaster[RBRef],0)),"")</f>
        <v>Cordarrelle Patterson</v>
      </c>
      <c r="K8" s="60" t="str">
        <f>IFERROR(INDEX(TableRBMaster[TM],MATCH(TableRBCalcPts[[#This Row],[RBRef]],TableRBMaster[RBRef],0)),"")</f>
        <v>ATL</v>
      </c>
      <c r="L8" s="60">
        <f>IFERROR(INDEX(TableRBMaster[BYE],MATCH(TableRBCalcPts[[#This Row],[RBRef]],TableRBMaster[RBRef],0)),"")</f>
        <v>11</v>
      </c>
      <c r="M8" s="61">
        <f>IFERROR(INDEX(TableRBMaster[Custom],MATCH(TableRBCalcPts[[#This Row],[RBRef]],TableRBMaster[RBRef],0)),"")</f>
        <v>75.105777315267275</v>
      </c>
      <c r="O8" s="60">
        <f>IFERROR(RANK(TableWRCalcPts[[#This Row],[Custom]],TableWRCalcPts[Custom])+COUNTIF($T$3:T8,T8)-1,"")</f>
        <v>35</v>
      </c>
      <c r="P8" s="60">
        <v>6</v>
      </c>
      <c r="Q8" s="60" t="str">
        <f>IFERROR(INDEX(TableWRMaster[Player],MATCH(TableWRCalcPts[[#This Row],[WRRef]],TableWRMaster[WRRef],0)),"")</f>
        <v>Drake London</v>
      </c>
      <c r="R8" s="60" t="str">
        <f>IFERROR(INDEX(TableWRMaster[TM],MATCH(TableWRCalcPts[[#This Row],[WRRef]],TableWRMaster[WRRef],0)),"")</f>
        <v>ATL</v>
      </c>
      <c r="S8" s="60">
        <f>IFERROR(INDEX(TableWRMaster[BYE],MATCH(TableWRCalcPts[[#This Row],[WRRef]],TableWRMaster[WRRef],0)),"")</f>
        <v>11</v>
      </c>
      <c r="T8" s="61">
        <f>IFERROR(INDEX(TableWRMaster[Custom],MATCH(TableWRCalcPts[[#This Row],[WRRef]],TableWRMaster[WRRef],0)),"")</f>
        <v>164.56961695199593</v>
      </c>
      <c r="V8" s="60">
        <f>IFERROR(RANK(TableTECalcPts[[#This Row],[Custom]],TableTECalcPts[Custom])+COUNTIF($AA$3:AA8,AA8)-1,"")</f>
        <v>2</v>
      </c>
      <c r="W8" s="60">
        <v>6</v>
      </c>
      <c r="X8" s="60" t="str">
        <f>IFERROR(INDEX(TableTEMaster[Player],MATCH(TableTECalcPts[[#This Row],[TERef]],TableTEMaster[TERef],0)),"")</f>
        <v>Mark Andrews</v>
      </c>
      <c r="Y8" s="60" t="str">
        <f>IFERROR(INDEX(TableTEMaster[TM],MATCH(TableTECalcPts[[#This Row],[TERef]],TableTEMaster[TERef],0)),"")</f>
        <v>BAL</v>
      </c>
      <c r="Z8" s="60">
        <f>IFERROR(INDEX(TableTEMaster[BYE],MATCH(TableTECalcPts[[#This Row],[TERef]],TableTEMaster[TERef],0)),"")</f>
        <v>13</v>
      </c>
      <c r="AA8" s="61">
        <f>IFERROR(INDEX(TableTEMaster[Custom],MATCH(TableTECalcPts[[#This Row],[TERef]],TableTEMaster[TERef],0)),"")</f>
        <v>182.44202704799619</v>
      </c>
      <c r="AC8" s="60">
        <f>IFERROR(RANK(TableDSTCalcPts[[#This Row],[Custom]],TableDSTCalcPts[Custom],0),"")</f>
        <v>30</v>
      </c>
      <c r="AD8" s="60">
        <v>6</v>
      </c>
      <c r="AE8" s="60" t="str">
        <f>IFERROR(INDEX(TableDSTMaster[Player],MATCH(TableDSTCalcPts[[#This Row],[DSTRef]],TableDSTMaster[DSTRef],0)),"")</f>
        <v>Chicago Bears</v>
      </c>
      <c r="AF8" s="60">
        <f>IFERROR(INDEX(TableDSTMaster[BYE],MATCH(TableDSTCalcPts[[#This Row],[DSTRef]],TableDSTMaster[DSTRef],0)),"")</f>
        <v>13</v>
      </c>
      <c r="AG8" s="61">
        <f>IFERROR(INDEX(TableDSTMaster[Custom],MATCH(TableDSTCalcPts[[#This Row],[DSTRef]],TableDSTMaster[DSTRef],0)),"")</f>
        <v>102.36250253363539</v>
      </c>
      <c r="AI8" s="60" t="s">
        <v>10</v>
      </c>
      <c r="AJ8" s="60">
        <f>IFERROR(RANK(TableWRTECalcPts[[#This Row],[Custom]],TableWRTECalcPts[Custom])+COUNTIF($AP$3:AP8,AP8)-1,"")</f>
        <v>27</v>
      </c>
      <c r="AK8" s="60">
        <v>6</v>
      </c>
      <c r="AL8" s="60" t="str">
        <f>IFERROR(INDEX(TableTEMaster[Player],MATCH(TableWRTECalcPts[[#This Row],[POSRef]],TableTEMaster[TERef],0)),"")</f>
        <v>Mark Andrews</v>
      </c>
      <c r="AM8" s="60" t="str">
        <f>IFERROR(_xlfn.CONCAT(TableWRTECalcPts[[#This Row],[POS]],INDEX(TableTERanks[RK],MATCH(TableWRTECalcPts[[#This Row],[PLAYER]],TableTERanks[Player],0))),"")</f>
        <v>TE2</v>
      </c>
      <c r="AN8" s="60" t="str">
        <f>IFERROR(INDEX(TableTEMaster[TM],MATCH(TableWRTECalcPts[[#This Row],[POSRef]],TableTEMaster[TERef],0)),"")</f>
        <v>BAL</v>
      </c>
      <c r="AO8" s="60">
        <f>IFERROR(INDEX(TableTEMaster[BYE],MATCH(TableWRTECalcPts[[#This Row],[POSRef]],TableTEMaster[TERef],0)),"")</f>
        <v>13</v>
      </c>
      <c r="AP8" s="61">
        <f>IFERROR(INDEX(TableTEMaster[Custom],MATCH(TableWRTECalcPts[[#This Row],[POSRef]],TableTEMaster[TERef],0)),"")</f>
        <v>182.44202704799619</v>
      </c>
    </row>
    <row r="9" spans="1:42" x14ac:dyDescent="0.2">
      <c r="A9" s="62">
        <f>IFERROR(RANK(TableQBCalcPts[[#This Row],[Custom]],TableQBCalcPts[Custom])+COUNTIF($F$3:F9,F9)-1,"")</f>
        <v>53</v>
      </c>
      <c r="B9" s="60">
        <v>7</v>
      </c>
      <c r="C9" s="60" t="str">
        <f>IFERROR(INDEX(TableQBMaster[Player],MATCH(TableQBCalcPts[[#This Row],[QBRef]],TableQBMaster[QBRef],0)),"")</f>
        <v>Tyler Huntley</v>
      </c>
      <c r="D9" s="60" t="str">
        <f>IFERROR(INDEX(TableQBMaster[TM],MATCH(TableQBCalcPts[[#This Row],[QBRef]],TableQBMaster[QBRef],0)),"")</f>
        <v>BAL</v>
      </c>
      <c r="E9" s="60">
        <f>IFERROR(INDEX(TableQBMaster[BYE],MATCH(TableQBCalcPts[[#This Row],[QBRef]],TableQBMaster[QBRef],0)),"")</f>
        <v>13</v>
      </c>
      <c r="F9" s="61">
        <f>IFERROR(INDEX(TableQBMaster[Custom],MATCH(TableQBCalcPts[[#This Row],[QBRef]],TableQBMaster[QBRef],0)),"")</f>
        <v>7.6206734192034498</v>
      </c>
      <c r="H9" s="60">
        <f>IFERROR(RANK(TableRBCalcPts[[#This Row],[Custom]],TableRBCalcPts[Custom])+COUNTIF($M$3:M9,M9)-1,"")</f>
        <v>18</v>
      </c>
      <c r="I9" s="60">
        <v>7</v>
      </c>
      <c r="J9" s="60" t="str">
        <f>IFERROR(INDEX(TableRBMaster[Player],MATCH(TableRBCalcPts[[#This Row],[RBRef]],TableRBMaster[RBRef],0)),"")</f>
        <v>J.K. Dobbins</v>
      </c>
      <c r="K9" s="60" t="str">
        <f>IFERROR(INDEX(TableRBMaster[TM],MATCH(TableRBCalcPts[[#This Row],[RBRef]],TableRBMaster[RBRef],0)),"")</f>
        <v>BAL</v>
      </c>
      <c r="L9" s="60">
        <f>IFERROR(INDEX(TableRBMaster[BYE],MATCH(TableRBCalcPts[[#This Row],[RBRef]],TableRBMaster[RBRef],0)),"")</f>
        <v>13</v>
      </c>
      <c r="M9" s="61">
        <f>IFERROR(INDEX(TableRBMaster[Custom],MATCH(TableRBCalcPts[[#This Row],[RBRef]],TableRBMaster[RBRef],0)),"")</f>
        <v>196.46388437581254</v>
      </c>
      <c r="O9" s="60">
        <f>IFERROR(RANK(TableWRCalcPts[[#This Row],[Custom]],TableWRCalcPts[Custom])+COUNTIF($T$3:T9,T9)-1,"")</f>
        <v>93</v>
      </c>
      <c r="P9" s="60">
        <v>7</v>
      </c>
      <c r="Q9" s="60" t="str">
        <f>IFERROR(INDEX(TableWRMaster[Player],MATCH(TableWRCalcPts[[#This Row],[WRRef]],TableWRMaster[WRRef],0)),"")</f>
        <v>Mack Hollins</v>
      </c>
      <c r="R9" s="60" t="str">
        <f>IFERROR(INDEX(TableWRMaster[TM],MATCH(TableWRCalcPts[[#This Row],[WRRef]],TableWRMaster[WRRef],0)),"")</f>
        <v>ATL</v>
      </c>
      <c r="S9" s="60">
        <f>IFERROR(INDEX(TableWRMaster[BYE],MATCH(TableWRCalcPts[[#This Row],[WRRef]],TableWRMaster[WRRef],0)),"")</f>
        <v>11</v>
      </c>
      <c r="T9" s="61">
        <f>IFERROR(INDEX(TableWRMaster[Custom],MATCH(TableWRCalcPts[[#This Row],[WRRef]],TableWRMaster[WRRef],0)),"")</f>
        <v>77.189576272085475</v>
      </c>
      <c r="V9" s="60">
        <f>IFERROR(RANK(TableTECalcPts[[#This Row],[Custom]],TableTECalcPts[Custom])+COUNTIF($AA$3:AA9,AA9)-1,"")</f>
        <v>41</v>
      </c>
      <c r="W9" s="60">
        <v>7</v>
      </c>
      <c r="X9" s="60" t="str">
        <f>IFERROR(INDEX(TableTEMaster[Player],MATCH(TableTECalcPts[[#This Row],[TERef]],TableTEMaster[TERef],0)),"")</f>
        <v>Isaiah Likely</v>
      </c>
      <c r="Y9" s="60" t="str">
        <f>IFERROR(INDEX(TableTEMaster[TM],MATCH(TableTECalcPts[[#This Row],[TERef]],TableTEMaster[TERef],0)),"")</f>
        <v>BAL</v>
      </c>
      <c r="Z9" s="60">
        <f>IFERROR(INDEX(TableTEMaster[BYE],MATCH(TableTECalcPts[[#This Row],[TERef]],TableTEMaster[TERef],0)),"")</f>
        <v>13</v>
      </c>
      <c r="AA9" s="61">
        <f>IFERROR(INDEX(TableTEMaster[Custom],MATCH(TableTECalcPts[[#This Row],[TERef]],TableTEMaster[TERef],0)),"")</f>
        <v>53.123189134197595</v>
      </c>
      <c r="AC9" s="60">
        <f>IFERROR(RANK(TableDSTCalcPts[[#This Row],[Custom]],TableDSTCalcPts[Custom],0),"")</f>
        <v>21</v>
      </c>
      <c r="AD9" s="60">
        <v>7</v>
      </c>
      <c r="AE9" s="60" t="str">
        <f>IFERROR(INDEX(TableDSTMaster[Player],MATCH(TableDSTCalcPts[[#This Row],[DSTRef]],TableDSTMaster[DSTRef],0)),"")</f>
        <v>Cincinnati Bengals</v>
      </c>
      <c r="AF9" s="60">
        <f>IFERROR(INDEX(TableDSTMaster[BYE],MATCH(TableDSTCalcPts[[#This Row],[DSTRef]],TableDSTMaster[DSTRef],0)),"")</f>
        <v>7</v>
      </c>
      <c r="AG9" s="61">
        <f>IFERROR(INDEX(TableDSTMaster[Custom],MATCH(TableDSTCalcPts[[#This Row],[DSTRef]],TableDSTMaster[DSTRef],0)),"")</f>
        <v>117.26749472186731</v>
      </c>
      <c r="AI9" s="60" t="s">
        <v>10</v>
      </c>
      <c r="AJ9" s="60">
        <f>IFERROR(RANK(TableWRTECalcPts[[#This Row],[Custom]],TableWRTECalcPts[Custom])+COUNTIF($AP$3:AP9,AP9)-1,"")</f>
        <v>149</v>
      </c>
      <c r="AK9" s="60">
        <v>7</v>
      </c>
      <c r="AL9" s="60" t="str">
        <f>IFERROR(INDEX(TableTEMaster[Player],MATCH(TableWRTECalcPts[[#This Row],[POSRef]],TableTEMaster[TERef],0)),"")</f>
        <v>Isaiah Likely</v>
      </c>
      <c r="AM9" s="60" t="str">
        <f>IFERROR(_xlfn.CONCAT(TableWRTECalcPts[[#This Row],[POS]],INDEX(TableTERanks[RK],MATCH(TableWRTECalcPts[[#This Row],[PLAYER]],TableTERanks[Player],0))),"")</f>
        <v>TE41</v>
      </c>
      <c r="AN9" s="60" t="str">
        <f>IFERROR(INDEX(TableTEMaster[TM],MATCH(TableWRTECalcPts[[#This Row],[POSRef]],TableTEMaster[TERef],0)),"")</f>
        <v>BAL</v>
      </c>
      <c r="AO9" s="60">
        <f>IFERROR(INDEX(TableTEMaster[BYE],MATCH(TableWRTECalcPts[[#This Row],[POSRef]],TableTEMaster[TERef],0)),"")</f>
        <v>13</v>
      </c>
      <c r="AP9" s="61">
        <f>IFERROR(INDEX(TableTEMaster[Custom],MATCH(TableWRTECalcPts[[#This Row],[POSRef]],TableTEMaster[TERef],0)),"")</f>
        <v>53.123189134197595</v>
      </c>
    </row>
    <row r="10" spans="1:42" x14ac:dyDescent="0.2">
      <c r="A10" s="62">
        <f>IFERROR(RANK(TableQBCalcPts[[#This Row],[Custom]],TableQBCalcPts[Custom])+COUNTIF($F$3:F10,F10)-1,"")</f>
        <v>1</v>
      </c>
      <c r="B10" s="60">
        <v>8</v>
      </c>
      <c r="C10" s="60" t="str">
        <f>IFERROR(INDEX(TableQBMaster[Player],MATCH(TableQBCalcPts[[#This Row],[QBRef]],TableQBMaster[QBRef],0)),"")</f>
        <v>Josh Allen</v>
      </c>
      <c r="D10" s="60" t="str">
        <f>IFERROR(INDEX(TableQBMaster[TM],MATCH(TableQBCalcPts[[#This Row],[QBRef]],TableQBMaster[QBRef],0)),"")</f>
        <v>BUF</v>
      </c>
      <c r="E10" s="60">
        <f>IFERROR(INDEX(TableQBMaster[BYE],MATCH(TableQBCalcPts[[#This Row],[QBRef]],TableQBMaster[QBRef],0)),"")</f>
        <v>13</v>
      </c>
      <c r="F10" s="61">
        <f>IFERROR(INDEX(TableQBMaster[Custom],MATCH(TableQBCalcPts[[#This Row],[QBRef]],TableQBMaster[QBRef],0)),"")</f>
        <v>420.77642148998893</v>
      </c>
      <c r="H10" s="60">
        <f>IFERROR(RANK(TableRBCalcPts[[#This Row],[Custom]],TableRBCalcPts[Custom])+COUNTIF($M$3:M10,M10)-1,"")</f>
        <v>57</v>
      </c>
      <c r="I10" s="60">
        <v>8</v>
      </c>
      <c r="J10" s="60" t="str">
        <f>IFERROR(INDEX(TableRBMaster[Player],MATCH(TableRBCalcPts[[#This Row],[RBRef]],TableRBMaster[RBRef],0)),"")</f>
        <v>Gus Edwards</v>
      </c>
      <c r="K10" s="60" t="str">
        <f>IFERROR(INDEX(TableRBMaster[TM],MATCH(TableRBCalcPts[[#This Row],[RBRef]],TableRBMaster[RBRef],0)),"")</f>
        <v>BAL</v>
      </c>
      <c r="L10" s="60">
        <f>IFERROR(INDEX(TableRBMaster[BYE],MATCH(TableRBCalcPts[[#This Row],[RBRef]],TableRBMaster[RBRef],0)),"")</f>
        <v>13</v>
      </c>
      <c r="M10" s="61">
        <f>IFERROR(INDEX(TableRBMaster[Custom],MATCH(TableRBCalcPts[[#This Row],[RBRef]],TableRBMaster[RBRef],0)),"")</f>
        <v>87.245089713516052</v>
      </c>
      <c r="O10" s="60">
        <f>IFERROR(RANK(TableWRCalcPts[[#This Row],[Custom]],TableWRCalcPts[Custom])+COUNTIF($T$3:T10,T10)-1,"")</f>
        <v>126</v>
      </c>
      <c r="P10" s="60">
        <v>8</v>
      </c>
      <c r="Q10" s="60" t="str">
        <f>IFERROR(INDEX(TableWRMaster[Player],MATCH(TableWRCalcPts[[#This Row],[WRRef]],TableWRMaster[WRRef],0)),"")</f>
        <v>Scott Miller</v>
      </c>
      <c r="R10" s="60" t="str">
        <f>IFERROR(INDEX(TableWRMaster[TM],MATCH(TableWRCalcPts[[#This Row],[WRRef]],TableWRMaster[WRRef],0)),"")</f>
        <v>ATL</v>
      </c>
      <c r="S10" s="60">
        <f>IFERROR(INDEX(TableWRMaster[BYE],MATCH(TableWRCalcPts[[#This Row],[WRRef]],TableWRMaster[WRRef],0)),"")</f>
        <v>11</v>
      </c>
      <c r="T10" s="61">
        <f>IFERROR(INDEX(TableWRMaster[Custom],MATCH(TableWRCalcPts[[#This Row],[WRRef]],TableWRMaster[WRRef],0)),"")</f>
        <v>30.037570986869504</v>
      </c>
      <c r="V10" s="60">
        <f>IFERROR(RANK(TableTECalcPts[[#This Row],[Custom]],TableTECalcPts[Custom])+COUNTIF($AA$3:AA10,AA10)-1,"")</f>
        <v>88</v>
      </c>
      <c r="W10" s="60">
        <v>8</v>
      </c>
      <c r="X10" s="60" t="str">
        <f>IFERROR(INDEX(TableTEMaster[Player],MATCH(TableTECalcPts[[#This Row],[TERef]],TableTEMaster[TERef],0)),"")</f>
        <v>Charlie Kolar</v>
      </c>
      <c r="Y10" s="60" t="str">
        <f>IFERROR(INDEX(TableTEMaster[TM],MATCH(TableTECalcPts[[#This Row],[TERef]],TableTEMaster[TERef],0)),"")</f>
        <v>BAL</v>
      </c>
      <c r="Z10" s="60">
        <f>IFERROR(INDEX(TableTEMaster[BYE],MATCH(TableTECalcPts[[#This Row],[TERef]],TableTEMaster[TERef],0)),"")</f>
        <v>13</v>
      </c>
      <c r="AA10" s="61">
        <f>IFERROR(INDEX(TableTEMaster[Custom],MATCH(TableTECalcPts[[#This Row],[TERef]],TableTEMaster[TERef],0)),"")</f>
        <v>7.7628243148098379</v>
      </c>
      <c r="AC10" s="60">
        <f>IFERROR(RANK(TableDSTCalcPts[[#This Row],[Custom]],TableDSTCalcPts[Custom],0),"")</f>
        <v>17</v>
      </c>
      <c r="AD10" s="60">
        <v>8</v>
      </c>
      <c r="AE10" s="60" t="str">
        <f>IFERROR(INDEX(TableDSTMaster[Player],MATCH(TableDSTCalcPts[[#This Row],[DSTRef]],TableDSTMaster[DSTRef],0)),"")</f>
        <v>Cleveland Browns</v>
      </c>
      <c r="AF10" s="60">
        <f>IFERROR(INDEX(TableDSTMaster[BYE],MATCH(TableDSTCalcPts[[#This Row],[DSTRef]],TableDSTMaster[DSTRef],0)),"")</f>
        <v>5</v>
      </c>
      <c r="AG10" s="61">
        <f>IFERROR(INDEX(TableDSTMaster[Custom],MATCH(TableDSTCalcPts[[#This Row],[DSTRef]],TableDSTMaster[DSTRef],0)),"")</f>
        <v>120.03114799702517</v>
      </c>
      <c r="AI10" s="60" t="s">
        <v>10</v>
      </c>
      <c r="AJ10" s="60">
        <f>IFERROR(RANK(TableWRTECalcPts[[#This Row],[Custom]],TableWRTECalcPts[Custom])+COUNTIF($AP$3:AP10,AP10)-1,"")</f>
        <v>248</v>
      </c>
      <c r="AK10" s="60">
        <v>8</v>
      </c>
      <c r="AL10" s="60" t="str">
        <f>IFERROR(INDEX(TableTEMaster[Player],MATCH(TableWRTECalcPts[[#This Row],[POSRef]],TableTEMaster[TERef],0)),"")</f>
        <v>Charlie Kolar</v>
      </c>
      <c r="AM10" s="60" t="str">
        <f>IFERROR(_xlfn.CONCAT(TableWRTECalcPts[[#This Row],[POS]],INDEX(TableTERanks[RK],MATCH(TableWRTECalcPts[[#This Row],[PLAYER]],TableTERanks[Player],0))),"")</f>
        <v>TE88</v>
      </c>
      <c r="AN10" s="60" t="str">
        <f>IFERROR(INDEX(TableTEMaster[TM],MATCH(TableWRTECalcPts[[#This Row],[POSRef]],TableTEMaster[TERef],0)),"")</f>
        <v>BAL</v>
      </c>
      <c r="AO10" s="60">
        <f>IFERROR(INDEX(TableTEMaster[BYE],MATCH(TableWRTECalcPts[[#This Row],[POSRef]],TableTEMaster[TERef],0)),"")</f>
        <v>13</v>
      </c>
      <c r="AP10" s="61">
        <f>IFERROR(INDEX(TableTEMaster[Custom],MATCH(TableWRTECalcPts[[#This Row],[POSRef]],TableTEMaster[TERef],0)),"")</f>
        <v>7.7628243148098379</v>
      </c>
    </row>
    <row r="11" spans="1:42" x14ac:dyDescent="0.2">
      <c r="A11" s="62">
        <f>IFERROR(RANK(TableQBCalcPts[[#This Row],[Custom]],TableQBCalcPts[Custom])+COUNTIF($F$3:F11,F11)-1,"")</f>
        <v>64</v>
      </c>
      <c r="B11" s="60">
        <v>9</v>
      </c>
      <c r="C11" s="60" t="str">
        <f>IFERROR(INDEX(TableQBMaster[Player],MATCH(TableQBCalcPts[[#This Row],[QBRef]],TableQBMaster[QBRef],0)),"")</f>
        <v>Kyle Allen</v>
      </c>
      <c r="D11" s="60" t="str">
        <f>IFERROR(INDEX(TableQBMaster[TM],MATCH(TableQBCalcPts[[#This Row],[QBRef]],TableQBMaster[QBRef],0)),"")</f>
        <v>BUF</v>
      </c>
      <c r="E11" s="60">
        <f>IFERROR(INDEX(TableQBMaster[BYE],MATCH(TableQBCalcPts[[#This Row],[QBRef]],TableQBMaster[QBRef],0)),"")</f>
        <v>13</v>
      </c>
      <c r="F11" s="61">
        <f>IFERROR(INDEX(TableQBMaster[Custom],MATCH(TableQBCalcPts[[#This Row],[QBRef]],TableQBMaster[QBRef],0)),"")</f>
        <v>2.2760892000000021</v>
      </c>
      <c r="H11" s="60">
        <f>IFERROR(RANK(TableRBCalcPts[[#This Row],[Custom]],TableRBCalcPts[Custom])+COUNTIF($M$3:M11,M11)-1,"")</f>
        <v>75</v>
      </c>
      <c r="I11" s="60">
        <v>9</v>
      </c>
      <c r="J11" s="60" t="str">
        <f>IFERROR(INDEX(TableRBMaster[Player],MATCH(TableRBCalcPts[[#This Row],[RBRef]],TableRBMaster[RBRef],0)),"")</f>
        <v>Keaton Mitchell</v>
      </c>
      <c r="K11" s="60" t="str">
        <f>IFERROR(INDEX(TableRBMaster[TM],MATCH(TableRBCalcPts[[#This Row],[RBRef]],TableRBMaster[RBRef],0)),"")</f>
        <v>BAL</v>
      </c>
      <c r="L11" s="60">
        <f>IFERROR(INDEX(TableRBMaster[BYE],MATCH(TableRBCalcPts[[#This Row],[RBRef]],TableRBMaster[RBRef],0)),"")</f>
        <v>13</v>
      </c>
      <c r="M11" s="61">
        <f>IFERROR(INDEX(TableRBMaster[Custom],MATCH(TableRBCalcPts[[#This Row],[RBRef]],TableRBMaster[RBRef],0)),"")</f>
        <v>44.161659475282342</v>
      </c>
      <c r="O11" s="60">
        <f>IFERROR(RANK(TableWRCalcPts[[#This Row],[Custom]],TableWRCalcPts[Custom])+COUNTIF($T$3:T11,T11)-1,"")</f>
        <v>141</v>
      </c>
      <c r="P11" s="60">
        <v>9</v>
      </c>
      <c r="Q11" s="60" t="str">
        <f>IFERROR(INDEX(TableWRMaster[Player],MATCH(TableWRCalcPts[[#This Row],[WRRef]],TableWRMaster[WRRef],0)),"")</f>
        <v>Josh Ali</v>
      </c>
      <c r="R11" s="60" t="str">
        <f>IFERROR(INDEX(TableWRMaster[TM],MATCH(TableWRCalcPts[[#This Row],[WRRef]],TableWRMaster[WRRef],0)),"")</f>
        <v>ATL</v>
      </c>
      <c r="S11" s="60">
        <f>IFERROR(INDEX(TableWRMaster[BYE],MATCH(TableWRCalcPts[[#This Row],[WRRef]],TableWRMaster[WRRef],0)),"")</f>
        <v>11</v>
      </c>
      <c r="T11" s="61">
        <f>IFERROR(INDEX(TableWRMaster[Custom],MATCH(TableWRCalcPts[[#This Row],[WRRef]],TableWRMaster[WRRef],0)),"")</f>
        <v>21.123903027513649</v>
      </c>
      <c r="V11" s="60">
        <f>IFERROR(RANK(TableTECalcPts[[#This Row],[Custom]],TableTECalcPts[Custom])+COUNTIF($AA$3:AA11,AA11)-1,"")</f>
        <v>18</v>
      </c>
      <c r="W11" s="60">
        <v>9</v>
      </c>
      <c r="X11" s="60" t="str">
        <f>IFERROR(INDEX(TableTEMaster[Player],MATCH(TableTECalcPts[[#This Row],[TERef]],TableTEMaster[TERef],0)),"")</f>
        <v>Dawson Knox</v>
      </c>
      <c r="Y11" s="60" t="str">
        <f>IFERROR(INDEX(TableTEMaster[TM],MATCH(TableTECalcPts[[#This Row],[TERef]],TableTEMaster[TERef],0)),"")</f>
        <v>BUF</v>
      </c>
      <c r="Z11" s="60">
        <f>IFERROR(INDEX(TableTEMaster[BYE],MATCH(TableTECalcPts[[#This Row],[TERef]],TableTEMaster[TERef],0)),"")</f>
        <v>13</v>
      </c>
      <c r="AA11" s="61">
        <f>IFERROR(INDEX(TableTEMaster[Custom],MATCH(TableTECalcPts[[#This Row],[TERef]],TableTEMaster[TERef],0)),"")</f>
        <v>101.98897439520259</v>
      </c>
      <c r="AC11" s="60">
        <f>IFERROR(RANK(TableDSTCalcPts[[#This Row],[Custom]],TableDSTCalcPts[Custom],0),"")</f>
        <v>1</v>
      </c>
      <c r="AD11" s="60">
        <v>9</v>
      </c>
      <c r="AE11" s="60" t="str">
        <f>IFERROR(INDEX(TableDSTMaster[Player],MATCH(TableDSTCalcPts[[#This Row],[DSTRef]],TableDSTMaster[DSTRef],0)),"")</f>
        <v>Dallas Cowboys</v>
      </c>
      <c r="AF11" s="60">
        <f>IFERROR(INDEX(TableDSTMaster[BYE],MATCH(TableDSTCalcPts[[#This Row],[DSTRef]],TableDSTMaster[DSTRef],0)),"")</f>
        <v>7</v>
      </c>
      <c r="AG11" s="61">
        <f>IFERROR(INDEX(TableDSTMaster[Custom],MATCH(TableDSTCalcPts[[#This Row],[DSTRef]],TableDSTMaster[DSTRef],0)),"")</f>
        <v>142.39060322935103</v>
      </c>
      <c r="AI11" s="60" t="s">
        <v>10</v>
      </c>
      <c r="AJ11" s="60">
        <f>IFERROR(RANK(TableWRTECalcPts[[#This Row],[Custom]],TableWRTECalcPts[Custom])+COUNTIF($AP$3:AP11,AP11)-1,"")</f>
        <v>89</v>
      </c>
      <c r="AK11" s="60">
        <v>9</v>
      </c>
      <c r="AL11" s="60" t="str">
        <f>IFERROR(INDEX(TableTEMaster[Player],MATCH(TableWRTECalcPts[[#This Row],[POSRef]],TableTEMaster[TERef],0)),"")</f>
        <v>Dawson Knox</v>
      </c>
      <c r="AM11" s="60" t="str">
        <f>IFERROR(_xlfn.CONCAT(TableWRTECalcPts[[#This Row],[POS]],INDEX(TableTERanks[RK],MATCH(TableWRTECalcPts[[#This Row],[PLAYER]],TableTERanks[Player],0))),"")</f>
        <v>TE18</v>
      </c>
      <c r="AN11" s="60" t="str">
        <f>IFERROR(INDEX(TableTEMaster[TM],MATCH(TableWRTECalcPts[[#This Row],[POSRef]],TableTEMaster[TERef],0)),"")</f>
        <v>BUF</v>
      </c>
      <c r="AO11" s="60">
        <f>IFERROR(INDEX(TableTEMaster[BYE],MATCH(TableWRTECalcPts[[#This Row],[POSRef]],TableTEMaster[TERef],0)),"")</f>
        <v>13</v>
      </c>
      <c r="AP11" s="61">
        <f>IFERROR(INDEX(TableTEMaster[Custom],MATCH(TableWRTECalcPts[[#This Row],[POSRef]],TableTEMaster[TERef],0)),"")</f>
        <v>101.98897439520259</v>
      </c>
    </row>
    <row r="12" spans="1:42" x14ac:dyDescent="0.2">
      <c r="A12" s="62">
        <f>IFERROR(RANK(TableQBCalcPts[[#This Row],[Custom]],TableQBCalcPts[Custom])+COUNTIF($F$3:F12,F12)-1,"")</f>
        <v>18</v>
      </c>
      <c r="B12" s="60">
        <v>10</v>
      </c>
      <c r="C12" s="60" t="str">
        <f>IFERROR(INDEX(TableQBMaster[Player],MATCH(TableQBCalcPts[[#This Row],[QBRef]],TableQBMaster[QBRef],0)),"")</f>
        <v>Bryce Young</v>
      </c>
      <c r="D12" s="60" t="str">
        <f>IFERROR(INDEX(TableQBMaster[TM],MATCH(TableQBCalcPts[[#This Row],[QBRef]],TableQBMaster[QBRef],0)),"")</f>
        <v>CAR</v>
      </c>
      <c r="E12" s="60">
        <f>IFERROR(INDEX(TableQBMaster[BYE],MATCH(TableQBCalcPts[[#This Row],[QBRef]],TableQBMaster[QBRef],0)),"")</f>
        <v>7</v>
      </c>
      <c r="F12" s="61">
        <f>IFERROR(INDEX(TableQBMaster[Custom],MATCH(TableQBCalcPts[[#This Row],[QBRef]],TableQBMaster[QBRef],0)),"")</f>
        <v>294.26252157990365</v>
      </c>
      <c r="H12" s="60">
        <f>IFERROR(RANK(TableRBCalcPts[[#This Row],[Custom]],TableRBCalcPts[Custom])+COUNTIF($M$3:M12,M12)-1,"")</f>
        <v>98</v>
      </c>
      <c r="I12" s="60">
        <v>10</v>
      </c>
      <c r="J12" s="60" t="str">
        <f>IFERROR(INDEX(TableRBMaster[Player],MATCH(TableRBCalcPts[[#This Row],[RBRef]],TableRBMaster[RBRef],0)),"")</f>
        <v>Justice Hill</v>
      </c>
      <c r="K12" s="60" t="str">
        <f>IFERROR(INDEX(TableRBMaster[TM],MATCH(TableRBCalcPts[[#This Row],[RBRef]],TableRBMaster[RBRef],0)),"")</f>
        <v>BAL</v>
      </c>
      <c r="L12" s="60">
        <f>IFERROR(INDEX(TableRBMaster[BYE],MATCH(TableRBCalcPts[[#This Row],[RBRef]],TableRBMaster[RBRef],0)),"")</f>
        <v>13</v>
      </c>
      <c r="M12" s="61">
        <f>IFERROR(INDEX(TableRBMaster[Custom],MATCH(TableRBCalcPts[[#This Row],[RBRef]],TableRBMaster[RBRef],0)),"")</f>
        <v>21.261982117647044</v>
      </c>
      <c r="O12" s="60">
        <f>IFERROR(RANK(TableWRCalcPts[[#This Row],[Custom]],TableWRCalcPts[Custom])+COUNTIF($T$3:T12,T12)-1,"")</f>
        <v>110</v>
      </c>
      <c r="P12" s="60">
        <v>10</v>
      </c>
      <c r="Q12" s="60" t="str">
        <f>IFERROR(INDEX(TableWRMaster[Player],MATCH(TableWRCalcPts[[#This Row],[WRRef]],TableWRMaster[WRRef],0)),"")</f>
        <v>KhaDarel Hodge</v>
      </c>
      <c r="R12" s="60" t="str">
        <f>IFERROR(INDEX(TableWRMaster[TM],MATCH(TableWRCalcPts[[#This Row],[WRRef]],TableWRMaster[WRRef],0)),"")</f>
        <v>ATL</v>
      </c>
      <c r="S12" s="60">
        <f>IFERROR(INDEX(TableWRMaster[BYE],MATCH(TableWRCalcPts[[#This Row],[WRRef]],TableWRMaster[WRRef],0)),"")</f>
        <v>11</v>
      </c>
      <c r="T12" s="61">
        <f>IFERROR(INDEX(TableWRMaster[Custom],MATCH(TableWRCalcPts[[#This Row],[WRRef]],TableWRMaster[WRRef],0)),"")</f>
        <v>46.12868847008707</v>
      </c>
      <c r="V12" s="60">
        <f>IFERROR(RANK(TableTECalcPts[[#This Row],[Custom]],TableTECalcPts[Custom])+COUNTIF($AA$3:AA12,AA12)-1,"")</f>
        <v>15</v>
      </c>
      <c r="W12" s="60">
        <v>10</v>
      </c>
      <c r="X12" s="60" t="str">
        <f>IFERROR(INDEX(TableTEMaster[Player],MATCH(TableTECalcPts[[#This Row],[TERef]],TableTEMaster[TERef],0)),"")</f>
        <v>Dalton Kincaid</v>
      </c>
      <c r="Y12" s="60" t="str">
        <f>IFERROR(INDEX(TableTEMaster[TM],MATCH(TableTECalcPts[[#This Row],[TERef]],TableTEMaster[TERef],0)),"")</f>
        <v>BUF</v>
      </c>
      <c r="Z12" s="60">
        <f>IFERROR(INDEX(TableTEMaster[BYE],MATCH(TableTECalcPts[[#This Row],[TERef]],TableTEMaster[TERef],0)),"")</f>
        <v>13</v>
      </c>
      <c r="AA12" s="61">
        <f>IFERROR(INDEX(TableTEMaster[Custom],MATCH(TableTECalcPts[[#This Row],[TERef]],TableTEMaster[TERef],0)),"")</f>
        <v>111.19421970139238</v>
      </c>
      <c r="AC12" s="60">
        <f>IFERROR(RANK(TableDSTCalcPts[[#This Row],[Custom]],TableDSTCalcPts[Custom],0),"")</f>
        <v>22</v>
      </c>
      <c r="AD12" s="60">
        <v>10</v>
      </c>
      <c r="AE12" s="60" t="str">
        <f>IFERROR(INDEX(TableDSTMaster[Player],MATCH(TableDSTCalcPts[[#This Row],[DSTRef]],TableDSTMaster[DSTRef],0)),"")</f>
        <v>Denver Broncos</v>
      </c>
      <c r="AF12" s="60">
        <f>IFERROR(INDEX(TableDSTMaster[BYE],MATCH(TableDSTCalcPts[[#This Row],[DSTRef]],TableDSTMaster[DSTRef],0)),"")</f>
        <v>9</v>
      </c>
      <c r="AG12" s="61">
        <f>IFERROR(INDEX(TableDSTMaster[Custom],MATCH(TableDSTCalcPts[[#This Row],[DSTRef]],TableDSTMaster[DSTRef],0)),"")</f>
        <v>115.43805518278545</v>
      </c>
      <c r="AI12" s="60" t="s">
        <v>10</v>
      </c>
      <c r="AJ12" s="60">
        <f>IFERROR(RANK(TableWRTECalcPts[[#This Row],[Custom]],TableWRTECalcPts[Custom])+COUNTIF($AP$3:AP12,AP12)-1,"")</f>
        <v>85</v>
      </c>
      <c r="AK12" s="60">
        <v>10</v>
      </c>
      <c r="AL12" s="60" t="str">
        <f>IFERROR(INDEX(TableTEMaster[Player],MATCH(TableWRTECalcPts[[#This Row],[POSRef]],TableTEMaster[TERef],0)),"")</f>
        <v>Dalton Kincaid</v>
      </c>
      <c r="AM12" s="60" t="str">
        <f>IFERROR(_xlfn.CONCAT(TableWRTECalcPts[[#This Row],[POS]],INDEX(TableTERanks[RK],MATCH(TableWRTECalcPts[[#This Row],[PLAYER]],TableTERanks[Player],0))),"")</f>
        <v>TE15</v>
      </c>
      <c r="AN12" s="60" t="str">
        <f>IFERROR(INDEX(TableTEMaster[TM],MATCH(TableWRTECalcPts[[#This Row],[POSRef]],TableTEMaster[TERef],0)),"")</f>
        <v>BUF</v>
      </c>
      <c r="AO12" s="60">
        <f>IFERROR(INDEX(TableTEMaster[BYE],MATCH(TableWRTECalcPts[[#This Row],[POSRef]],TableTEMaster[TERef],0)),"")</f>
        <v>13</v>
      </c>
      <c r="AP12" s="61">
        <f>IFERROR(INDEX(TableTEMaster[Custom],MATCH(TableWRTECalcPts[[#This Row],[POSRef]],TableTEMaster[TERef],0)),"")</f>
        <v>111.19421970139238</v>
      </c>
    </row>
    <row r="13" spans="1:42" x14ac:dyDescent="0.2">
      <c r="A13" s="62">
        <f>IFERROR(RANK(TableQBCalcPts[[#This Row],[Custom]],TableQBCalcPts[Custom])+COUNTIF($F$3:F13,F13)-1,"")</f>
        <v>41</v>
      </c>
      <c r="B13" s="60">
        <v>11</v>
      </c>
      <c r="C13" s="60" t="str">
        <f>IFERROR(INDEX(TableQBMaster[Player],MATCH(TableQBCalcPts[[#This Row],[QBRef]],TableQBMaster[QBRef],0)),"")</f>
        <v>Andy Dalton</v>
      </c>
      <c r="D13" s="60" t="str">
        <f>IFERROR(INDEX(TableQBMaster[TM],MATCH(TableQBCalcPts[[#This Row],[QBRef]],TableQBMaster[QBRef],0)),"")</f>
        <v>CAR</v>
      </c>
      <c r="E13" s="60">
        <f>IFERROR(INDEX(TableQBMaster[BYE],MATCH(TableQBCalcPts[[#This Row],[QBRef]],TableQBMaster[QBRef],0)),"")</f>
        <v>7</v>
      </c>
      <c r="F13" s="61">
        <f>IFERROR(INDEX(TableQBMaster[Custom],MATCH(TableQBCalcPts[[#This Row],[QBRef]],TableQBMaster[QBRef],0)),"")</f>
        <v>13.859334107446738</v>
      </c>
      <c r="H13" s="60">
        <f>IFERROR(RANK(TableRBCalcPts[[#This Row],[Custom]],TableRBCalcPts[Custom])+COUNTIF($M$3:M13,M13)-1,"")</f>
        <v>27</v>
      </c>
      <c r="I13" s="60">
        <v>11</v>
      </c>
      <c r="J13" s="60" t="str">
        <f>IFERROR(INDEX(TableRBMaster[Player],MATCH(TableRBCalcPts[[#This Row],[RBRef]],TableRBMaster[RBRef],0)),"")</f>
        <v>James Cook</v>
      </c>
      <c r="K13" s="60" t="str">
        <f>IFERROR(INDEX(TableRBMaster[TM],MATCH(TableRBCalcPts[[#This Row],[RBRef]],TableRBMaster[RBRef],0)),"")</f>
        <v>BUF</v>
      </c>
      <c r="L13" s="60">
        <f>IFERROR(INDEX(TableRBMaster[BYE],MATCH(TableRBCalcPts[[#This Row],[RBRef]],TableRBMaster[RBRef],0)),"")</f>
        <v>13</v>
      </c>
      <c r="M13" s="61">
        <f>IFERROR(INDEX(TableRBMaster[Custom],MATCH(TableRBCalcPts[[#This Row],[RBRef]],TableRBMaster[RBRef],0)),"")</f>
        <v>182.3763858942709</v>
      </c>
      <c r="O13" s="60">
        <f>IFERROR(RANK(TableWRCalcPts[[#This Row],[Custom]],TableWRCalcPts[Custom])+COUNTIF($T$3:T13,T13)-1,"")</f>
        <v>57</v>
      </c>
      <c r="P13" s="60">
        <v>11</v>
      </c>
      <c r="Q13" s="60" t="str">
        <f>IFERROR(INDEX(TableWRMaster[Player],MATCH(TableWRCalcPts[[#This Row],[WRRef]],TableWRMaster[WRRef],0)),"")</f>
        <v>Zay Flowers</v>
      </c>
      <c r="R13" s="60" t="str">
        <f>IFERROR(INDEX(TableWRMaster[TM],MATCH(TableWRCalcPts[[#This Row],[WRRef]],TableWRMaster[WRRef],0)),"")</f>
        <v>BAL</v>
      </c>
      <c r="S13" s="60">
        <f>IFERROR(INDEX(TableWRMaster[BYE],MATCH(TableWRCalcPts[[#This Row],[WRRef]],TableWRMaster[WRRef],0)),"")</f>
        <v>13</v>
      </c>
      <c r="T13" s="61">
        <f>IFERROR(INDEX(TableWRMaster[Custom],MATCH(TableWRCalcPts[[#This Row],[WRRef]],TableWRMaster[WRRef],0)),"")</f>
        <v>130.29209093511014</v>
      </c>
      <c r="V13" s="60">
        <f>IFERROR(RANK(TableTECalcPts[[#This Row],[Custom]],TableTECalcPts[Custom])+COUNTIF($AA$3:AA13,AA13)-1,"")</f>
        <v>83</v>
      </c>
      <c r="W13" s="60">
        <v>11</v>
      </c>
      <c r="X13" s="60" t="str">
        <f>IFERROR(INDEX(TableTEMaster[Player],MATCH(TableTECalcPts[[#This Row],[TERef]],TableTEMaster[TERef],0)),"")</f>
        <v>Quintin Morris</v>
      </c>
      <c r="Y13" s="60" t="str">
        <f>IFERROR(INDEX(TableTEMaster[TM],MATCH(TableTECalcPts[[#This Row],[TERef]],TableTEMaster[TERef],0)),"")</f>
        <v>BUF</v>
      </c>
      <c r="Z13" s="60">
        <f>IFERROR(INDEX(TableTEMaster[BYE],MATCH(TableTECalcPts[[#This Row],[TERef]],TableTEMaster[TERef],0)),"")</f>
        <v>13</v>
      </c>
      <c r="AA13" s="61">
        <f>IFERROR(INDEX(TableTEMaster[Custom],MATCH(TableTECalcPts[[#This Row],[TERef]],TableTEMaster[TERef],0)),"")</f>
        <v>9.2599325460133226</v>
      </c>
      <c r="AC13" s="60">
        <f>IFERROR(RANK(TableDSTCalcPts[[#This Row],[Custom]],TableDSTCalcPts[Custom],0),"")</f>
        <v>27</v>
      </c>
      <c r="AD13" s="60">
        <v>11</v>
      </c>
      <c r="AE13" s="60" t="str">
        <f>IFERROR(INDEX(TableDSTMaster[Player],MATCH(TableDSTCalcPts[[#This Row],[DSTRef]],TableDSTMaster[DSTRef],0)),"")</f>
        <v>Detroit Lions</v>
      </c>
      <c r="AF13" s="60">
        <f>IFERROR(INDEX(TableDSTMaster[BYE],MATCH(TableDSTCalcPts[[#This Row],[DSTRef]],TableDSTMaster[DSTRef],0)),"")</f>
        <v>9</v>
      </c>
      <c r="AG13" s="61">
        <f>IFERROR(INDEX(TableDSTMaster[Custom],MATCH(TableDSTCalcPts[[#This Row],[DSTRef]],TableDSTMaster[DSTRef],0)),"")</f>
        <v>112.09987663154347</v>
      </c>
      <c r="AI13" s="60" t="s">
        <v>10</v>
      </c>
      <c r="AJ13" s="60">
        <f>IFERROR(RANK(TableWRTECalcPts[[#This Row],[Custom]],TableWRTECalcPts[Custom])+COUNTIF($AP$3:AP13,AP13)-1,"")</f>
        <v>243</v>
      </c>
      <c r="AK13" s="60">
        <v>11</v>
      </c>
      <c r="AL13" s="60" t="str">
        <f>IFERROR(INDEX(TableTEMaster[Player],MATCH(TableWRTECalcPts[[#This Row],[POSRef]],TableTEMaster[TERef],0)),"")</f>
        <v>Quintin Morris</v>
      </c>
      <c r="AM13" s="60" t="str">
        <f>IFERROR(_xlfn.CONCAT(TableWRTECalcPts[[#This Row],[POS]],INDEX(TableTERanks[RK],MATCH(TableWRTECalcPts[[#This Row],[PLAYER]],TableTERanks[Player],0))),"")</f>
        <v>TE83</v>
      </c>
      <c r="AN13" s="60" t="str">
        <f>IFERROR(INDEX(TableTEMaster[TM],MATCH(TableWRTECalcPts[[#This Row],[POSRef]],TableTEMaster[TERef],0)),"")</f>
        <v>BUF</v>
      </c>
      <c r="AO13" s="60">
        <f>IFERROR(INDEX(TableTEMaster[BYE],MATCH(TableWRTECalcPts[[#This Row],[POSRef]],TableTEMaster[TERef],0)),"")</f>
        <v>13</v>
      </c>
      <c r="AP13" s="61">
        <f>IFERROR(INDEX(TableTEMaster[Custom],MATCH(TableWRTECalcPts[[#This Row],[POSRef]],TableTEMaster[TERef],0)),"")</f>
        <v>9.2599325460133226</v>
      </c>
    </row>
    <row r="14" spans="1:42" x14ac:dyDescent="0.2">
      <c r="A14" s="62">
        <f>IFERROR(RANK(TableQBCalcPts[[#This Row],[Custom]],TableQBCalcPts[Custom])+COUNTIF($F$3:F14,F14)-1,"")</f>
        <v>5</v>
      </c>
      <c r="B14" s="60">
        <v>12</v>
      </c>
      <c r="C14" s="60" t="str">
        <f>IFERROR(INDEX(TableQBMaster[Player],MATCH(TableQBCalcPts[[#This Row],[QBRef]],TableQBMaster[QBRef],0)),"")</f>
        <v>Justin Fields</v>
      </c>
      <c r="D14" s="60" t="str">
        <f>IFERROR(INDEX(TableQBMaster[TM],MATCH(TableQBCalcPts[[#This Row],[QBRef]],TableQBMaster[QBRef],0)),"")</f>
        <v>CHI</v>
      </c>
      <c r="E14" s="60">
        <f>IFERROR(INDEX(TableQBMaster[BYE],MATCH(TableQBCalcPts[[#This Row],[QBRef]],TableQBMaster[QBRef],0)),"")</f>
        <v>13</v>
      </c>
      <c r="F14" s="61">
        <f>IFERROR(INDEX(TableQBMaster[Custom],MATCH(TableQBCalcPts[[#This Row],[QBRef]],TableQBMaster[QBRef],0)),"")</f>
        <v>356.81311597053582</v>
      </c>
      <c r="H14" s="60">
        <f>IFERROR(RANK(TableRBCalcPts[[#This Row],[Custom]],TableRBCalcPts[Custom])+COUNTIF($M$3:M14,M14)-1,"")</f>
        <v>50</v>
      </c>
      <c r="I14" s="60">
        <v>12</v>
      </c>
      <c r="J14" s="60" t="str">
        <f>IFERROR(INDEX(TableRBMaster[Player],MATCH(TableRBCalcPts[[#This Row],[RBRef]],TableRBMaster[RBRef],0)),"")</f>
        <v>Damien Harris</v>
      </c>
      <c r="K14" s="60" t="str">
        <f>IFERROR(INDEX(TableRBMaster[TM],MATCH(TableRBCalcPts[[#This Row],[RBRef]],TableRBMaster[RBRef],0)),"")</f>
        <v>BUF</v>
      </c>
      <c r="L14" s="60">
        <f>IFERROR(INDEX(TableRBMaster[BYE],MATCH(TableRBCalcPts[[#This Row],[RBRef]],TableRBMaster[RBRef],0)),"")</f>
        <v>13</v>
      </c>
      <c r="M14" s="61">
        <f>IFERROR(INDEX(TableRBMaster[Custom],MATCH(TableRBCalcPts[[#This Row],[RBRef]],TableRBMaster[RBRef],0)),"")</f>
        <v>105.48261995841824</v>
      </c>
      <c r="O14" s="60">
        <f>IFERROR(RANK(TableWRCalcPts[[#This Row],[Custom]],TableWRCalcPts[Custom])+COUNTIF($T$3:T14,T14)-1,"")</f>
        <v>75</v>
      </c>
      <c r="P14" s="60">
        <v>12</v>
      </c>
      <c r="Q14" s="60" t="str">
        <f>IFERROR(INDEX(TableWRMaster[Player],MATCH(TableWRCalcPts[[#This Row],[WRRef]],TableWRMaster[WRRef],0)),"")</f>
        <v>Rashod Bateman</v>
      </c>
      <c r="R14" s="60" t="str">
        <f>IFERROR(INDEX(TableWRMaster[TM],MATCH(TableWRCalcPts[[#This Row],[WRRef]],TableWRMaster[WRRef],0)),"")</f>
        <v>BAL</v>
      </c>
      <c r="S14" s="60">
        <f>IFERROR(INDEX(TableWRMaster[BYE],MATCH(TableWRCalcPts[[#This Row],[WRRef]],TableWRMaster[WRRef],0)),"")</f>
        <v>13</v>
      </c>
      <c r="T14" s="61">
        <f>IFERROR(INDEX(TableWRMaster[Custom],MATCH(TableWRCalcPts[[#This Row],[WRRef]],TableWRMaster[WRRef],0)),"")</f>
        <v>95.75240316946082</v>
      </c>
      <c r="V14" s="60">
        <f>IFERROR(RANK(TableTECalcPts[[#This Row],[Custom]],TableTECalcPts[Custom])+COUNTIF($AA$3:AA14,AA14)-1,"")</f>
        <v>30</v>
      </c>
      <c r="W14" s="60">
        <v>12</v>
      </c>
      <c r="X14" s="60" t="str">
        <f>IFERROR(INDEX(TableTEMaster[Player],MATCH(TableTECalcPts[[#This Row],[TERef]],TableTEMaster[TERef],0)),"")</f>
        <v>Hayden Hurst</v>
      </c>
      <c r="Y14" s="60" t="str">
        <f>IFERROR(INDEX(TableTEMaster[TM],MATCH(TableTECalcPts[[#This Row],[TERef]],TableTEMaster[TERef],0)),"")</f>
        <v>CAR</v>
      </c>
      <c r="Z14" s="60">
        <f>IFERROR(INDEX(TableTEMaster[BYE],MATCH(TableTECalcPts[[#This Row],[TERef]],TableTEMaster[TERef],0)),"")</f>
        <v>7</v>
      </c>
      <c r="AA14" s="61">
        <f>IFERROR(INDEX(TableTEMaster[Custom],MATCH(TableTECalcPts[[#This Row],[TERef]],TableTEMaster[TERef],0)),"")</f>
        <v>84.191268201874024</v>
      </c>
      <c r="AC14" s="60">
        <f>IFERROR(RANK(TableDSTCalcPts[[#This Row],[Custom]],TableDSTCalcPts[Custom],0),"")</f>
        <v>13</v>
      </c>
      <c r="AD14" s="60">
        <v>12</v>
      </c>
      <c r="AE14" s="60" t="str">
        <f>IFERROR(INDEX(TableDSTMaster[Player],MATCH(TableDSTCalcPts[[#This Row],[DSTRef]],TableDSTMaster[DSTRef],0)),"")</f>
        <v>Green Bay Packers</v>
      </c>
      <c r="AF14" s="60">
        <f>IFERROR(INDEX(TableDSTMaster[BYE],MATCH(TableDSTCalcPts[[#This Row],[DSTRef]],TableDSTMaster[DSTRef],0)),"")</f>
        <v>6</v>
      </c>
      <c r="AG14" s="61">
        <f>IFERROR(INDEX(TableDSTMaster[Custom],MATCH(TableDSTCalcPts[[#This Row],[DSTRef]],TableDSTMaster[DSTRef],0)),"")</f>
        <v>122.15774167187708</v>
      </c>
      <c r="AI14" s="60" t="s">
        <v>10</v>
      </c>
      <c r="AJ14" s="60">
        <f>IFERROR(RANK(TableWRTECalcPts[[#This Row],[Custom]],TableWRTECalcPts[Custom])+COUNTIF($AP$3:AP14,AP14)-1,"")</f>
        <v>119</v>
      </c>
      <c r="AK14" s="60">
        <v>12</v>
      </c>
      <c r="AL14" s="60" t="str">
        <f>IFERROR(INDEX(TableTEMaster[Player],MATCH(TableWRTECalcPts[[#This Row],[POSRef]],TableTEMaster[TERef],0)),"")</f>
        <v>Hayden Hurst</v>
      </c>
      <c r="AM14" s="60" t="str">
        <f>IFERROR(_xlfn.CONCAT(TableWRTECalcPts[[#This Row],[POS]],INDEX(TableTERanks[RK],MATCH(TableWRTECalcPts[[#This Row],[PLAYER]],TableTERanks[Player],0))),"")</f>
        <v>TE30</v>
      </c>
      <c r="AN14" s="60" t="str">
        <f>IFERROR(INDEX(TableTEMaster[TM],MATCH(TableWRTECalcPts[[#This Row],[POSRef]],TableTEMaster[TERef],0)),"")</f>
        <v>CAR</v>
      </c>
      <c r="AO14" s="60">
        <f>IFERROR(INDEX(TableTEMaster[BYE],MATCH(TableWRTECalcPts[[#This Row],[POSRef]],TableTEMaster[TERef],0)),"")</f>
        <v>7</v>
      </c>
      <c r="AP14" s="61">
        <f>IFERROR(INDEX(TableTEMaster[Custom],MATCH(TableWRTECalcPts[[#This Row],[POSRef]],TableTEMaster[TERef],0)),"")</f>
        <v>84.191268201874024</v>
      </c>
    </row>
    <row r="15" spans="1:42" x14ac:dyDescent="0.2">
      <c r="A15" s="62">
        <f>IFERROR(RANK(TableQBCalcPts[[#This Row],[Custom]],TableQBCalcPts[Custom])+COUNTIF($F$3:F15,F15)-1,"")</f>
        <v>56</v>
      </c>
      <c r="B15" s="60">
        <v>13</v>
      </c>
      <c r="C15" s="60" t="str">
        <f>IFERROR(INDEX(TableQBMaster[Player],MATCH(TableQBCalcPts[[#This Row],[QBRef]],TableQBMaster[QBRef],0)),"")</f>
        <v>Tyson Bagent</v>
      </c>
      <c r="D15" s="60" t="str">
        <f>IFERROR(INDEX(TableQBMaster[TM],MATCH(TableQBCalcPts[[#This Row],[QBRef]],TableQBMaster[QBRef],0)),"")</f>
        <v>CHI</v>
      </c>
      <c r="E15" s="60">
        <f>IFERROR(INDEX(TableQBMaster[BYE],MATCH(TableQBCalcPts[[#This Row],[QBRef]],TableQBMaster[QBRef],0)),"")</f>
        <v>13</v>
      </c>
      <c r="F15" s="61">
        <f>IFERROR(INDEX(TableQBMaster[Custom],MATCH(TableQBCalcPts[[#This Row],[QBRef]],TableQBMaster[QBRef],0)),"")</f>
        <v>6.6868205304145709</v>
      </c>
      <c r="H15" s="60">
        <f>IFERROR(RANK(TableRBCalcPts[[#This Row],[Custom]],TableRBCalcPts[Custom])+COUNTIF($M$3:M15,M15)-1,"")</f>
        <v>79</v>
      </c>
      <c r="I15" s="60">
        <v>13</v>
      </c>
      <c r="J15" s="60" t="str">
        <f>IFERROR(INDEX(TableRBMaster[Player],MATCH(TableRBCalcPts[[#This Row],[RBRef]],TableRBMaster[RBRef],0)),"")</f>
        <v>Latavius Murray</v>
      </c>
      <c r="K15" s="60" t="str">
        <f>IFERROR(INDEX(TableRBMaster[TM],MATCH(TableRBCalcPts[[#This Row],[RBRef]],TableRBMaster[RBRef],0)),"")</f>
        <v>BUF</v>
      </c>
      <c r="L15" s="60">
        <f>IFERROR(INDEX(TableRBMaster[BYE],MATCH(TableRBCalcPts[[#This Row],[RBRef]],TableRBMaster[RBRef],0)),"")</f>
        <v>13</v>
      </c>
      <c r="M15" s="61">
        <f>IFERROR(INDEX(TableRBMaster[Custom],MATCH(TableRBCalcPts[[#This Row],[RBRef]],TableRBMaster[RBRef],0)),"")</f>
        <v>38.743776008500859</v>
      </c>
      <c r="O15" s="60">
        <f>IFERROR(RANK(TableWRCalcPts[[#This Row],[Custom]],TableWRCalcPts[Custom])+COUNTIF($T$3:T15,T15)-1,"")</f>
        <v>53</v>
      </c>
      <c r="P15" s="60">
        <v>13</v>
      </c>
      <c r="Q15" s="60" t="str">
        <f>IFERROR(INDEX(TableWRMaster[Player],MATCH(TableWRCalcPts[[#This Row],[WRRef]],TableWRMaster[WRRef],0)),"")</f>
        <v>Odell Beckham</v>
      </c>
      <c r="R15" s="60" t="str">
        <f>IFERROR(INDEX(TableWRMaster[TM],MATCH(TableWRCalcPts[[#This Row],[WRRef]],TableWRMaster[WRRef],0)),"")</f>
        <v>BAL</v>
      </c>
      <c r="S15" s="60">
        <f>IFERROR(INDEX(TableWRMaster[BYE],MATCH(TableWRCalcPts[[#This Row],[WRRef]],TableWRMaster[WRRef],0)),"")</f>
        <v>13</v>
      </c>
      <c r="T15" s="61">
        <f>IFERROR(INDEX(TableWRMaster[Custom],MATCH(TableWRCalcPts[[#This Row],[WRRef]],TableWRMaster[WRRef],0)),"")</f>
        <v>136.85398142950658</v>
      </c>
      <c r="V15" s="60">
        <f>IFERROR(RANK(TableTECalcPts[[#This Row],[Custom]],TableTECalcPts[Custom])+COUNTIF($AA$3:AA15,AA15)-1,"")</f>
        <v>79</v>
      </c>
      <c r="W15" s="60">
        <v>13</v>
      </c>
      <c r="X15" s="60" t="str">
        <f>IFERROR(INDEX(TableTEMaster[Player],MATCH(TableTECalcPts[[#This Row],[TERef]],TableTEMaster[TERef],0)),"")</f>
        <v>Ian Thomas</v>
      </c>
      <c r="Y15" s="60" t="str">
        <f>IFERROR(INDEX(TableTEMaster[TM],MATCH(TableTECalcPts[[#This Row],[TERef]],TableTEMaster[TERef],0)),"")</f>
        <v>CAR</v>
      </c>
      <c r="Z15" s="60">
        <f>IFERROR(INDEX(TableTEMaster[BYE],MATCH(TableTECalcPts[[#This Row],[TERef]],TableTEMaster[TERef],0)),"")</f>
        <v>7</v>
      </c>
      <c r="AA15" s="61">
        <f>IFERROR(INDEX(TableTEMaster[Custom],MATCH(TableTECalcPts[[#This Row],[TERef]],TableTEMaster[TERef],0)),"")</f>
        <v>11.840852666214957</v>
      </c>
      <c r="AC15" s="60">
        <f>IFERROR(RANK(TableDSTCalcPts[[#This Row],[Custom]],TableDSTCalcPts[Custom],0),"")</f>
        <v>19</v>
      </c>
      <c r="AD15" s="60">
        <v>13</v>
      </c>
      <c r="AE15" s="60" t="str">
        <f>IFERROR(INDEX(TableDSTMaster[Player],MATCH(TableDSTCalcPts[[#This Row],[DSTRef]],TableDSTMaster[DSTRef],0)),"")</f>
        <v>Houston Texans</v>
      </c>
      <c r="AF15" s="60">
        <f>IFERROR(INDEX(TableDSTMaster[BYE],MATCH(TableDSTCalcPts[[#This Row],[DSTRef]],TableDSTMaster[DSTRef],0)),"")</f>
        <v>7</v>
      </c>
      <c r="AG15" s="61">
        <f>IFERROR(INDEX(TableDSTMaster[Custom],MATCH(TableDSTCalcPts[[#This Row],[DSTRef]],TableDSTMaster[DSTRef],0)),"")</f>
        <v>118.30649072386342</v>
      </c>
      <c r="AI15" s="60" t="s">
        <v>10</v>
      </c>
      <c r="AJ15" s="60">
        <f>IFERROR(RANK(TableWRTECalcPts[[#This Row],[Custom]],TableWRTECalcPts[Custom])+COUNTIF($AP$3:AP15,AP15)-1,"")</f>
        <v>236</v>
      </c>
      <c r="AK15" s="60">
        <v>13</v>
      </c>
      <c r="AL15" s="60" t="str">
        <f>IFERROR(INDEX(TableTEMaster[Player],MATCH(TableWRTECalcPts[[#This Row],[POSRef]],TableTEMaster[TERef],0)),"")</f>
        <v>Ian Thomas</v>
      </c>
      <c r="AM15" s="60" t="str">
        <f>IFERROR(_xlfn.CONCAT(TableWRTECalcPts[[#This Row],[POS]],INDEX(TableTERanks[RK],MATCH(TableWRTECalcPts[[#This Row],[PLAYER]],TableTERanks[Player],0))),"")</f>
        <v>TE79</v>
      </c>
      <c r="AN15" s="60" t="str">
        <f>IFERROR(INDEX(TableTEMaster[TM],MATCH(TableWRTECalcPts[[#This Row],[POSRef]],TableTEMaster[TERef],0)),"")</f>
        <v>CAR</v>
      </c>
      <c r="AO15" s="60">
        <f>IFERROR(INDEX(TableTEMaster[BYE],MATCH(TableWRTECalcPts[[#This Row],[POSRef]],TableTEMaster[TERef],0)),"")</f>
        <v>7</v>
      </c>
      <c r="AP15" s="61">
        <f>IFERROR(INDEX(TableTEMaster[Custom],MATCH(TableWRTECalcPts[[#This Row],[POSRef]],TableTEMaster[TERef],0)),"")</f>
        <v>11.840852666214957</v>
      </c>
    </row>
    <row r="16" spans="1:42" x14ac:dyDescent="0.2">
      <c r="A16" s="62">
        <f>IFERROR(RANK(TableQBCalcPts[[#This Row],[Custom]],TableQBCalcPts[Custom])+COUNTIF($F$3:F16,F16)-1,"")</f>
        <v>6</v>
      </c>
      <c r="B16" s="60">
        <v>14</v>
      </c>
      <c r="C16" s="60" t="str">
        <f>IFERROR(INDEX(TableQBMaster[Player],MATCH(TableQBCalcPts[[#This Row],[QBRef]],TableQBMaster[QBRef],0)),"")</f>
        <v>Joe Burrow</v>
      </c>
      <c r="D16" s="60" t="str">
        <f>IFERROR(INDEX(TableQBMaster[TM],MATCH(TableQBCalcPts[[#This Row],[QBRef]],TableQBMaster[QBRef],0)),"")</f>
        <v>CIN</v>
      </c>
      <c r="E16" s="60">
        <f>IFERROR(INDEX(TableQBMaster[BYE],MATCH(TableQBCalcPts[[#This Row],[QBRef]],TableQBMaster[QBRef],0)),"")</f>
        <v>7</v>
      </c>
      <c r="F16" s="61">
        <f>IFERROR(INDEX(TableQBMaster[Custom],MATCH(TableQBCalcPts[[#This Row],[QBRef]],TableQBMaster[QBRef],0)),"")</f>
        <v>349.60554170617019</v>
      </c>
      <c r="H16" s="60">
        <f>IFERROR(RANK(TableRBCalcPts[[#This Row],[Custom]],TableRBCalcPts[Custom])+COUNTIF($M$3:M16,M16)-1,"")</f>
        <v>17</v>
      </c>
      <c r="I16" s="60">
        <v>14</v>
      </c>
      <c r="J16" s="60" t="str">
        <f>IFERROR(INDEX(TableRBMaster[Player],MATCH(TableRBCalcPts[[#This Row],[RBRef]],TableRBMaster[RBRef],0)),"")</f>
        <v>Miles Sanders</v>
      </c>
      <c r="K16" s="60" t="str">
        <f>IFERROR(INDEX(TableRBMaster[TM],MATCH(TableRBCalcPts[[#This Row],[RBRef]],TableRBMaster[RBRef],0)),"")</f>
        <v>CAR</v>
      </c>
      <c r="L16" s="60">
        <f>IFERROR(INDEX(TableRBMaster[BYE],MATCH(TableRBCalcPts[[#This Row],[RBRef]],TableRBMaster[RBRef],0)),"")</f>
        <v>7</v>
      </c>
      <c r="M16" s="61">
        <f>IFERROR(INDEX(TableRBMaster[Custom],MATCH(TableRBCalcPts[[#This Row],[RBRef]],TableRBMaster[RBRef],0)),"")</f>
        <v>198.17585634036573</v>
      </c>
      <c r="O16" s="60">
        <f>IFERROR(RANK(TableWRCalcPts[[#This Row],[Custom]],TableWRCalcPts[Custom])+COUNTIF($T$3:T16,T16)-1,"")</f>
        <v>133</v>
      </c>
      <c r="P16" s="60">
        <v>14</v>
      </c>
      <c r="Q16" s="60" t="str">
        <f>IFERROR(INDEX(TableWRMaster[Player],MATCH(TableWRCalcPts[[#This Row],[WRRef]],TableWRMaster[WRRef],0)),"")</f>
        <v>Nelson Agholor</v>
      </c>
      <c r="R16" s="60" t="str">
        <f>IFERROR(INDEX(TableWRMaster[TM],MATCH(TableWRCalcPts[[#This Row],[WRRef]],TableWRMaster[WRRef],0)),"")</f>
        <v>BAL</v>
      </c>
      <c r="S16" s="60">
        <f>IFERROR(INDEX(TableWRMaster[BYE],MATCH(TableWRCalcPts[[#This Row],[WRRef]],TableWRMaster[WRRef],0)),"")</f>
        <v>13</v>
      </c>
      <c r="T16" s="61">
        <f>IFERROR(INDEX(TableWRMaster[Custom],MATCH(TableWRCalcPts[[#This Row],[WRRef]],TableWRMaster[WRRef],0)),"")</f>
        <v>24.648219082428216</v>
      </c>
      <c r="V16" s="60">
        <f>IFERROR(RANK(TableTECalcPts[[#This Row],[Custom]],TableTECalcPts[Custom])+COUNTIF($AA$3:AA16,AA16)-1,"")</f>
        <v>64</v>
      </c>
      <c r="W16" s="60">
        <v>14</v>
      </c>
      <c r="X16" s="60" t="str">
        <f>IFERROR(INDEX(TableTEMaster[Player],MATCH(TableTECalcPts[[#This Row],[TERef]],TableTEMaster[TERef],0)),"")</f>
        <v>Tommy Tremble</v>
      </c>
      <c r="Y16" s="60" t="str">
        <f>IFERROR(INDEX(TableTEMaster[TM],MATCH(TableTECalcPts[[#This Row],[TERef]],TableTEMaster[TERef],0)),"")</f>
        <v>CAR</v>
      </c>
      <c r="Z16" s="60">
        <f>IFERROR(INDEX(TableTEMaster[BYE],MATCH(TableTECalcPts[[#This Row],[TERef]],TableTEMaster[TERef],0)),"")</f>
        <v>7</v>
      </c>
      <c r="AA16" s="61">
        <f>IFERROR(INDEX(TableTEMaster[Custom],MATCH(TableTECalcPts[[#This Row],[TERef]],TableTEMaster[TERef],0)),"")</f>
        <v>21.056662527364388</v>
      </c>
      <c r="AC16" s="60">
        <f>IFERROR(RANK(TableDSTCalcPts[[#This Row],[Custom]],TableDSTCalcPts[Custom],0),"")</f>
        <v>15</v>
      </c>
      <c r="AD16" s="60">
        <v>14</v>
      </c>
      <c r="AE16" s="60" t="str">
        <f>IFERROR(INDEX(TableDSTMaster[Player],MATCH(TableDSTCalcPts[[#This Row],[DSTRef]],TableDSTMaster[DSTRef],0)),"")</f>
        <v>Indianapolis Colts</v>
      </c>
      <c r="AF16" s="60">
        <f>IFERROR(INDEX(TableDSTMaster[BYE],MATCH(TableDSTCalcPts[[#This Row],[DSTRef]],TableDSTMaster[DSTRef],0)),"")</f>
        <v>11</v>
      </c>
      <c r="AG16" s="61">
        <f>IFERROR(INDEX(TableDSTMaster[Custom],MATCH(TableDSTCalcPts[[#This Row],[DSTRef]],TableDSTMaster[DSTRef],0)),"")</f>
        <v>120.56023535614318</v>
      </c>
      <c r="AI16" s="60" t="s">
        <v>10</v>
      </c>
      <c r="AJ16" s="60">
        <f>IFERROR(RANK(TableWRTECalcPts[[#This Row],[Custom]],TableWRTECalcPts[Custom])+COUNTIF($AP$3:AP16,AP16)-1,"")</f>
        <v>205</v>
      </c>
      <c r="AK16" s="60">
        <v>14</v>
      </c>
      <c r="AL16" s="60" t="str">
        <f>IFERROR(INDEX(TableTEMaster[Player],MATCH(TableWRTECalcPts[[#This Row],[POSRef]],TableTEMaster[TERef],0)),"")</f>
        <v>Tommy Tremble</v>
      </c>
      <c r="AM16" s="60" t="str">
        <f>IFERROR(_xlfn.CONCAT(TableWRTECalcPts[[#This Row],[POS]],INDEX(TableTERanks[RK],MATCH(TableWRTECalcPts[[#This Row],[PLAYER]],TableTERanks[Player],0))),"")</f>
        <v>TE64</v>
      </c>
      <c r="AN16" s="60" t="str">
        <f>IFERROR(INDEX(TableTEMaster[TM],MATCH(TableWRTECalcPts[[#This Row],[POSRef]],TableTEMaster[TERef],0)),"")</f>
        <v>CAR</v>
      </c>
      <c r="AO16" s="60">
        <f>IFERROR(INDEX(TableTEMaster[BYE],MATCH(TableWRTECalcPts[[#This Row],[POSRef]],TableTEMaster[TERef],0)),"")</f>
        <v>7</v>
      </c>
      <c r="AP16" s="61">
        <f>IFERROR(INDEX(TableTEMaster[Custom],MATCH(TableWRTECalcPts[[#This Row],[POSRef]],TableTEMaster[TERef],0)),"")</f>
        <v>21.056662527364388</v>
      </c>
    </row>
    <row r="17" spans="1:42" x14ac:dyDescent="0.2">
      <c r="A17" s="62">
        <f>IFERROR(RANK(TableQBCalcPts[[#This Row],[Custom]],TableQBCalcPts[Custom])+COUNTIF($F$3:F17,F17)-1,"")</f>
        <v>43</v>
      </c>
      <c r="B17" s="60">
        <v>15</v>
      </c>
      <c r="C17" s="60" t="str">
        <f>IFERROR(INDEX(TableQBMaster[Player],MATCH(TableQBCalcPts[[#This Row],[QBRef]],TableQBMaster[QBRef],0)),"")</f>
        <v>Jake Browning</v>
      </c>
      <c r="D17" s="60" t="str">
        <f>IFERROR(INDEX(TableQBMaster[TM],MATCH(TableQBCalcPts[[#This Row],[QBRef]],TableQBMaster[QBRef],0)),"")</f>
        <v>CIN</v>
      </c>
      <c r="E17" s="60">
        <f>IFERROR(INDEX(TableQBMaster[BYE],MATCH(TableQBCalcPts[[#This Row],[QBRef]],TableQBMaster[QBRef],0)),"")</f>
        <v>7</v>
      </c>
      <c r="F17" s="61">
        <f>IFERROR(INDEX(TableQBMaster[Custom],MATCH(TableQBCalcPts[[#This Row],[QBRef]],TableQBMaster[QBRef],0)),"")</f>
        <v>13.238857219174539</v>
      </c>
      <c r="H17" s="60">
        <f>IFERROR(RANK(TableRBCalcPts[[#This Row],[Custom]],TableRBCalcPts[Custom])+COUNTIF($M$3:M17,M17)-1,"")</f>
        <v>60</v>
      </c>
      <c r="I17" s="60">
        <v>15</v>
      </c>
      <c r="J17" s="60" t="str">
        <f>IFERROR(INDEX(TableRBMaster[Player],MATCH(TableRBCalcPts[[#This Row],[RBRef]],TableRBMaster[RBRef],0)),"")</f>
        <v>Chuba Hubbard</v>
      </c>
      <c r="K17" s="60" t="str">
        <f>IFERROR(INDEX(TableRBMaster[TM],MATCH(TableRBCalcPts[[#This Row],[RBRef]],TableRBMaster[RBRef],0)),"")</f>
        <v>CAR</v>
      </c>
      <c r="L17" s="60">
        <f>IFERROR(INDEX(TableRBMaster[BYE],MATCH(TableRBCalcPts[[#This Row],[RBRef]],TableRBMaster[RBRef],0)),"")</f>
        <v>7</v>
      </c>
      <c r="M17" s="61">
        <f>IFERROR(INDEX(TableRBMaster[Custom],MATCH(TableRBCalcPts[[#This Row],[RBRef]],TableRBMaster[RBRef],0)),"")</f>
        <v>79.540807738711649</v>
      </c>
      <c r="O17" s="60">
        <f>IFERROR(RANK(TableWRCalcPts[[#This Row],[Custom]],TableWRCalcPts[Custom])+COUNTIF($T$3:T17,T17)-1,"")</f>
        <v>151</v>
      </c>
      <c r="P17" s="60">
        <v>15</v>
      </c>
      <c r="Q17" s="60" t="str">
        <f>IFERROR(INDEX(TableWRMaster[Player],MATCH(TableWRCalcPts[[#This Row],[WRRef]],TableWRMaster[WRRef],0)),"")</f>
        <v>Devin Duvernay</v>
      </c>
      <c r="R17" s="60" t="str">
        <f>IFERROR(INDEX(TableWRMaster[TM],MATCH(TableWRCalcPts[[#This Row],[WRRef]],TableWRMaster[WRRef],0)),"")</f>
        <v>BAL</v>
      </c>
      <c r="S17" s="60">
        <f>IFERROR(INDEX(TableWRMaster[BYE],MATCH(TableWRCalcPts[[#This Row],[WRRef]],TableWRMaster[WRRef],0)),"")</f>
        <v>13</v>
      </c>
      <c r="T17" s="61">
        <f>IFERROR(INDEX(TableWRMaster[Custom],MATCH(TableWRCalcPts[[#This Row],[WRRef]],TableWRMaster[WRRef],0)),"")</f>
        <v>14.822361132585366</v>
      </c>
      <c r="V17" s="60">
        <f>IFERROR(RANK(TableTECalcPts[[#This Row],[Custom]],TableTECalcPts[Custom])+COUNTIF($AA$3:AA17,AA17)-1,"")</f>
        <v>14</v>
      </c>
      <c r="W17" s="60">
        <v>15</v>
      </c>
      <c r="X17" s="60" t="str">
        <f>IFERROR(INDEX(TableTEMaster[Player],MATCH(TableTECalcPts[[#This Row],[TERef]],TableTEMaster[TERef],0)),"")</f>
        <v>Cole Kmet</v>
      </c>
      <c r="Y17" s="60" t="str">
        <f>IFERROR(INDEX(TableTEMaster[TM],MATCH(TableTECalcPts[[#This Row],[TERef]],TableTEMaster[TERef],0)),"")</f>
        <v>CHI</v>
      </c>
      <c r="Z17" s="60">
        <f>IFERROR(INDEX(TableTEMaster[BYE],MATCH(TableTECalcPts[[#This Row],[TERef]],TableTEMaster[TERef],0)),"")</f>
        <v>13</v>
      </c>
      <c r="AA17" s="61">
        <f>IFERROR(INDEX(TableTEMaster[Custom],MATCH(TableTECalcPts[[#This Row],[TERef]],TableTEMaster[TERef],0)),"")</f>
        <v>112.27012334528251</v>
      </c>
      <c r="AC17" s="60">
        <f>IFERROR(RANK(TableDSTCalcPts[[#This Row],[Custom]],TableDSTCalcPts[Custom],0),"")</f>
        <v>10</v>
      </c>
      <c r="AD17" s="60">
        <v>15</v>
      </c>
      <c r="AE17" s="60" t="str">
        <f>IFERROR(INDEX(TableDSTMaster[Player],MATCH(TableDSTCalcPts[[#This Row],[DSTRef]],TableDSTMaster[DSTRef],0)),"")</f>
        <v>Jacksonville Jaguars</v>
      </c>
      <c r="AF17" s="60">
        <f>IFERROR(INDEX(TableDSTMaster[BYE],MATCH(TableDSTCalcPts[[#This Row],[DSTRef]],TableDSTMaster[DSTRef],0)),"")</f>
        <v>9</v>
      </c>
      <c r="AG17" s="61">
        <f>IFERROR(INDEX(TableDSTMaster[Custom],MATCH(TableDSTCalcPts[[#This Row],[DSTRef]],TableDSTMaster[DSTRef],0)),"")</f>
        <v>124.12210959424701</v>
      </c>
      <c r="AI17" s="60" t="s">
        <v>10</v>
      </c>
      <c r="AJ17" s="60">
        <f>IFERROR(RANK(TableWRTECalcPts[[#This Row],[Custom]],TableWRTECalcPts[Custom])+COUNTIF($AP$3:AP17,AP17)-1,"")</f>
        <v>83</v>
      </c>
      <c r="AK17" s="60">
        <v>15</v>
      </c>
      <c r="AL17" s="60" t="str">
        <f>IFERROR(INDEX(TableTEMaster[Player],MATCH(TableWRTECalcPts[[#This Row],[POSRef]],TableTEMaster[TERef],0)),"")</f>
        <v>Cole Kmet</v>
      </c>
      <c r="AM17" s="60" t="str">
        <f>IFERROR(_xlfn.CONCAT(TableWRTECalcPts[[#This Row],[POS]],INDEX(TableTERanks[RK],MATCH(TableWRTECalcPts[[#This Row],[PLAYER]],TableTERanks[Player],0))),"")</f>
        <v>TE14</v>
      </c>
      <c r="AN17" s="60" t="str">
        <f>IFERROR(INDEX(TableTEMaster[TM],MATCH(TableWRTECalcPts[[#This Row],[POSRef]],TableTEMaster[TERef],0)),"")</f>
        <v>CHI</v>
      </c>
      <c r="AO17" s="60">
        <f>IFERROR(INDEX(TableTEMaster[BYE],MATCH(TableWRTECalcPts[[#This Row],[POSRef]],TableTEMaster[TERef],0)),"")</f>
        <v>13</v>
      </c>
      <c r="AP17" s="61">
        <f>IFERROR(INDEX(TableTEMaster[Custom],MATCH(TableWRTECalcPts[[#This Row],[POSRef]],TableTEMaster[TERef],0)),"")</f>
        <v>112.27012334528251</v>
      </c>
    </row>
    <row r="18" spans="1:42" x14ac:dyDescent="0.2">
      <c r="A18" s="62">
        <f>IFERROR(RANK(TableQBCalcPts[[#This Row],[Custom]],TableQBCalcPts[Custom])+COUNTIF($F$3:F18,F18)-1,"")</f>
        <v>9</v>
      </c>
      <c r="B18" s="60">
        <v>16</v>
      </c>
      <c r="C18" s="60" t="str">
        <f>IFERROR(INDEX(TableQBMaster[Player],MATCH(TableQBCalcPts[[#This Row],[QBRef]],TableQBMaster[QBRef],0)),"")</f>
        <v>Deshaun Watson</v>
      </c>
      <c r="D18" s="60" t="str">
        <f>IFERROR(INDEX(TableQBMaster[TM],MATCH(TableQBCalcPts[[#This Row],[QBRef]],TableQBMaster[QBRef],0)),"")</f>
        <v>CLE</v>
      </c>
      <c r="E18" s="60">
        <f>IFERROR(INDEX(TableQBMaster[BYE],MATCH(TableQBCalcPts[[#This Row],[QBRef]],TableQBMaster[QBRef],0)),"")</f>
        <v>5</v>
      </c>
      <c r="F18" s="61">
        <f>IFERROR(INDEX(TableQBMaster[Custom],MATCH(TableQBCalcPts[[#This Row],[QBRef]],TableQBMaster[QBRef],0)),"")</f>
        <v>335.72963468077643</v>
      </c>
      <c r="H18" s="60">
        <f>IFERROR(RANK(TableRBCalcPts[[#This Row],[Custom]],TableRBCalcPts[Custom])+COUNTIF($M$3:M18,M18)-1,"")</f>
        <v>77</v>
      </c>
      <c r="I18" s="60">
        <v>16</v>
      </c>
      <c r="J18" s="60" t="str">
        <f>IFERROR(INDEX(TableRBMaster[Player],MATCH(TableRBCalcPts[[#This Row],[RBRef]],TableRBMaster[RBRef],0)),"")</f>
        <v>Raheem Blackshear</v>
      </c>
      <c r="K18" s="60" t="str">
        <f>IFERROR(INDEX(TableRBMaster[TM],MATCH(TableRBCalcPts[[#This Row],[RBRef]],TableRBMaster[RBRef],0)),"")</f>
        <v>CAR</v>
      </c>
      <c r="L18" s="60">
        <f>IFERROR(INDEX(TableRBMaster[BYE],MATCH(TableRBCalcPts[[#This Row],[RBRef]],TableRBMaster[RBRef],0)),"")</f>
        <v>7</v>
      </c>
      <c r="M18" s="61">
        <f>IFERROR(INDEX(TableRBMaster[Custom],MATCH(TableRBCalcPts[[#This Row],[RBRef]],TableRBMaster[RBRef],0)),"")</f>
        <v>41.245026651799179</v>
      </c>
      <c r="O18" s="60">
        <f>IFERROR(RANK(TableWRCalcPts[[#This Row],[Custom]],TableWRCalcPts[Custom])+COUNTIF($T$3:T18,T18)-1,"")</f>
        <v>7</v>
      </c>
      <c r="P18" s="60">
        <v>16</v>
      </c>
      <c r="Q18" s="60" t="str">
        <f>IFERROR(INDEX(TableWRMaster[Player],MATCH(TableWRCalcPts[[#This Row],[WRRef]],TableWRMaster[WRRef],0)),"")</f>
        <v>Stefon Diggs</v>
      </c>
      <c r="R18" s="60" t="str">
        <f>IFERROR(INDEX(TableWRMaster[TM],MATCH(TableWRCalcPts[[#This Row],[WRRef]],TableWRMaster[WRRef],0)),"")</f>
        <v>BUF</v>
      </c>
      <c r="S18" s="60">
        <f>IFERROR(INDEX(TableWRMaster[BYE],MATCH(TableWRCalcPts[[#This Row],[WRRef]],TableWRMaster[WRRef],0)),"")</f>
        <v>13</v>
      </c>
      <c r="T18" s="61">
        <f>IFERROR(INDEX(TableWRMaster[Custom],MATCH(TableWRCalcPts[[#This Row],[WRRef]],TableWRMaster[WRRef],0)),"")</f>
        <v>230.83501137252614</v>
      </c>
      <c r="V18" s="60">
        <f>IFERROR(RANK(TableTECalcPts[[#This Row],[Custom]],TableTECalcPts[Custom])+COUNTIF($AA$3:AA18,AA18)-1,"")</f>
        <v>59</v>
      </c>
      <c r="W18" s="60">
        <v>16</v>
      </c>
      <c r="X18" s="60" t="str">
        <f>IFERROR(INDEX(TableTEMaster[Player],MATCH(TableTECalcPts[[#This Row],[TERef]],TableTEMaster[TERef],0)),"")</f>
        <v>Robert Tonyan</v>
      </c>
      <c r="Y18" s="60" t="str">
        <f>IFERROR(INDEX(TableTEMaster[TM],MATCH(TableTECalcPts[[#This Row],[TERef]],TableTEMaster[TERef],0)),"")</f>
        <v>CHI</v>
      </c>
      <c r="Z18" s="60">
        <f>IFERROR(INDEX(TableTEMaster[BYE],MATCH(TableTECalcPts[[#This Row],[TERef]],TableTEMaster[TERef],0)),"")</f>
        <v>13</v>
      </c>
      <c r="AA18" s="61">
        <f>IFERROR(INDEX(TableTEMaster[Custom],MATCH(TableTECalcPts[[#This Row],[TERef]],TableTEMaster[TERef],0)),"")</f>
        <v>23.028311172227735</v>
      </c>
      <c r="AC18" s="60">
        <f>IFERROR(RANK(TableDSTCalcPts[[#This Row],[Custom]],TableDSTCalcPts[Custom],0),"")</f>
        <v>4</v>
      </c>
      <c r="AD18" s="60">
        <v>16</v>
      </c>
      <c r="AE18" s="60" t="str">
        <f>IFERROR(INDEX(TableDSTMaster[Player],MATCH(TableDSTCalcPts[[#This Row],[DSTRef]],TableDSTMaster[DSTRef],0)),"")</f>
        <v>Kansas City Chiefs</v>
      </c>
      <c r="AF18" s="60">
        <f>IFERROR(INDEX(TableDSTMaster[BYE],MATCH(TableDSTCalcPts[[#This Row],[DSTRef]],TableDSTMaster[DSTRef],0)),"")</f>
        <v>10</v>
      </c>
      <c r="AG18" s="61">
        <f>IFERROR(INDEX(TableDSTMaster[Custom],MATCH(TableDSTCalcPts[[#This Row],[DSTRef]],TableDSTMaster[DSTRef],0)),"")</f>
        <v>129.86857266351205</v>
      </c>
      <c r="AI18" s="60" t="s">
        <v>10</v>
      </c>
      <c r="AJ18" s="60">
        <f>IFERROR(RANK(TableWRTECalcPts[[#This Row],[Custom]],TableWRTECalcPts[Custom])+COUNTIF($AP$3:AP18,AP18)-1,"")</f>
        <v>194</v>
      </c>
      <c r="AK18" s="60">
        <v>16</v>
      </c>
      <c r="AL18" s="60" t="str">
        <f>IFERROR(INDEX(TableTEMaster[Player],MATCH(TableWRTECalcPts[[#This Row],[POSRef]],TableTEMaster[TERef],0)),"")</f>
        <v>Robert Tonyan</v>
      </c>
      <c r="AM18" s="60" t="str">
        <f>IFERROR(_xlfn.CONCAT(TableWRTECalcPts[[#This Row],[POS]],INDEX(TableTERanks[RK],MATCH(TableWRTECalcPts[[#This Row],[PLAYER]],TableTERanks[Player],0))),"")</f>
        <v>TE59</v>
      </c>
      <c r="AN18" s="60" t="str">
        <f>IFERROR(INDEX(TableTEMaster[TM],MATCH(TableWRTECalcPts[[#This Row],[POSRef]],TableTEMaster[TERef],0)),"")</f>
        <v>CHI</v>
      </c>
      <c r="AO18" s="60">
        <f>IFERROR(INDEX(TableTEMaster[BYE],MATCH(TableWRTECalcPts[[#This Row],[POSRef]],TableTEMaster[TERef],0)),"")</f>
        <v>13</v>
      </c>
      <c r="AP18" s="61">
        <f>IFERROR(INDEX(TableTEMaster[Custom],MATCH(TableWRTECalcPts[[#This Row],[POSRef]],TableTEMaster[TERef],0)),"")</f>
        <v>23.028311172227735</v>
      </c>
    </row>
    <row r="19" spans="1:42" x14ac:dyDescent="0.2">
      <c r="A19" s="62">
        <f>IFERROR(RANK(TableQBCalcPts[[#This Row],[Custom]],TableQBCalcPts[Custom])+COUNTIF($F$3:F19,F19)-1,"")</f>
        <v>55</v>
      </c>
      <c r="B19" s="60">
        <v>17</v>
      </c>
      <c r="C19" s="60" t="str">
        <f>IFERROR(INDEX(TableQBMaster[Player],MATCH(TableQBCalcPts[[#This Row],[QBRef]],TableQBMaster[QBRef],0)),"")</f>
        <v>Dorian Thompson-Robinson</v>
      </c>
      <c r="D19" s="60" t="str">
        <f>IFERROR(INDEX(TableQBMaster[TM],MATCH(TableQBCalcPts[[#This Row],[QBRef]],TableQBMaster[QBRef],0)),"")</f>
        <v>CLE</v>
      </c>
      <c r="E19" s="60">
        <f>IFERROR(INDEX(TableQBMaster[BYE],MATCH(TableQBCalcPts[[#This Row],[QBRef]],TableQBMaster[QBRef],0)),"")</f>
        <v>5</v>
      </c>
      <c r="F19" s="61">
        <f>IFERROR(INDEX(TableQBMaster[Custom],MATCH(TableQBCalcPts[[#This Row],[QBRef]],TableQBMaster[QBRef],0)),"")</f>
        <v>6.7185977184000034</v>
      </c>
      <c r="H19" s="60">
        <f>IFERROR(RANK(TableRBCalcPts[[#This Row],[Custom]],TableRBCalcPts[Custom])+COUNTIF($M$3:M19,M19)-1,"")</f>
        <v>19</v>
      </c>
      <c r="I19" s="60">
        <v>17</v>
      </c>
      <c r="J19" s="60" t="str">
        <f>IFERROR(INDEX(TableRBMaster[Player],MATCH(TableRBCalcPts[[#This Row],[RBRef]],TableRBMaster[RBRef],0)),"")</f>
        <v>Khalil Herbert</v>
      </c>
      <c r="K19" s="60" t="str">
        <f>IFERROR(INDEX(TableRBMaster[TM],MATCH(TableRBCalcPts[[#This Row],[RBRef]],TableRBMaster[RBRef],0)),"")</f>
        <v>CHI</v>
      </c>
      <c r="L19" s="60">
        <f>IFERROR(INDEX(TableRBMaster[BYE],MATCH(TableRBCalcPts[[#This Row],[RBRef]],TableRBMaster[RBRef],0)),"")</f>
        <v>13</v>
      </c>
      <c r="M19" s="61">
        <f>IFERROR(INDEX(TableRBMaster[Custom],MATCH(TableRBCalcPts[[#This Row],[RBRef]],TableRBMaster[RBRef],0)),"")</f>
        <v>194.00349793430235</v>
      </c>
      <c r="O19" s="60">
        <f>IFERROR(RANK(TableWRCalcPts[[#This Row],[Custom]],TableWRCalcPts[Custom])+COUNTIF($T$3:T19,T19)-1,"")</f>
        <v>28</v>
      </c>
      <c r="P19" s="60">
        <v>17</v>
      </c>
      <c r="Q19" s="60" t="str">
        <f>IFERROR(INDEX(TableWRMaster[Player],MATCH(TableWRCalcPts[[#This Row],[WRRef]],TableWRMaster[WRRef],0)),"")</f>
        <v>Gabe Davis</v>
      </c>
      <c r="R19" s="60" t="str">
        <f>IFERROR(INDEX(TableWRMaster[TM],MATCH(TableWRCalcPts[[#This Row],[WRRef]],TableWRMaster[WRRef],0)),"")</f>
        <v>BUF</v>
      </c>
      <c r="S19" s="60">
        <f>IFERROR(INDEX(TableWRMaster[BYE],MATCH(TableWRCalcPts[[#This Row],[WRRef]],TableWRMaster[WRRef],0)),"")</f>
        <v>13</v>
      </c>
      <c r="T19" s="61">
        <f>IFERROR(INDEX(TableWRMaster[Custom],MATCH(TableWRCalcPts[[#This Row],[WRRef]],TableWRMaster[WRRef],0)),"")</f>
        <v>176.46008169396845</v>
      </c>
      <c r="V19" s="60">
        <f>IFERROR(RANK(TableTECalcPts[[#This Row],[Custom]],TableTECalcPts[Custom])+COUNTIF($AA$3:AA19,AA19)-1,"")</f>
        <v>22</v>
      </c>
      <c r="W19" s="60">
        <v>17</v>
      </c>
      <c r="X19" s="60" t="str">
        <f>IFERROR(INDEX(TableTEMaster[Player],MATCH(TableTECalcPts[[#This Row],[TERef]],TableTEMaster[TERef],0)),"")</f>
        <v>Irv Smith</v>
      </c>
      <c r="Y19" s="60" t="str">
        <f>IFERROR(INDEX(TableTEMaster[TM],MATCH(TableTECalcPts[[#This Row],[TERef]],TableTEMaster[TERef],0)),"")</f>
        <v>CIN</v>
      </c>
      <c r="Z19" s="60">
        <f>IFERROR(INDEX(TableTEMaster[BYE],MATCH(TableTECalcPts[[#This Row],[TERef]],TableTEMaster[TERef],0)),"")</f>
        <v>7</v>
      </c>
      <c r="AA19" s="61">
        <f>IFERROR(INDEX(TableTEMaster[Custom],MATCH(TableTECalcPts[[#This Row],[TERef]],TableTEMaster[TERef],0)),"")</f>
        <v>98.061359137818485</v>
      </c>
      <c r="AC19" s="60">
        <f>IFERROR(RANK(TableDSTCalcPts[[#This Row],[Custom]],TableDSTCalcPts[Custom],0),"")</f>
        <v>32</v>
      </c>
      <c r="AD19" s="60">
        <v>17</v>
      </c>
      <c r="AE19" s="60" t="str">
        <f>IFERROR(INDEX(TableDSTMaster[Player],MATCH(TableDSTCalcPts[[#This Row],[DSTRef]],TableDSTMaster[DSTRef],0)),"")</f>
        <v>Las Vegas Raiders</v>
      </c>
      <c r="AF19" s="60">
        <f>IFERROR(INDEX(TableDSTMaster[BYE],MATCH(TableDSTCalcPts[[#This Row],[DSTRef]],TableDSTMaster[DSTRef],0)),"")</f>
        <v>13</v>
      </c>
      <c r="AG19" s="61">
        <f>IFERROR(INDEX(TableDSTMaster[Custom],MATCH(TableDSTCalcPts[[#This Row],[DSTRef]],TableDSTMaster[DSTRef],0)),"")</f>
        <v>98.871645338315005</v>
      </c>
      <c r="AI19" s="60" t="s">
        <v>10</v>
      </c>
      <c r="AJ19" s="60">
        <f>IFERROR(RANK(TableWRTECalcPts[[#This Row],[Custom]],TableWRTECalcPts[Custom])+COUNTIF($AP$3:AP19,AP19)-1,"")</f>
        <v>94</v>
      </c>
      <c r="AK19" s="60">
        <v>17</v>
      </c>
      <c r="AL19" s="60" t="str">
        <f>IFERROR(INDEX(TableTEMaster[Player],MATCH(TableWRTECalcPts[[#This Row],[POSRef]],TableTEMaster[TERef],0)),"")</f>
        <v>Irv Smith</v>
      </c>
      <c r="AM19" s="60" t="str">
        <f>IFERROR(_xlfn.CONCAT(TableWRTECalcPts[[#This Row],[POS]],INDEX(TableTERanks[RK],MATCH(TableWRTECalcPts[[#This Row],[PLAYER]],TableTERanks[Player],0))),"")</f>
        <v>TE22</v>
      </c>
      <c r="AN19" s="60" t="str">
        <f>IFERROR(INDEX(TableTEMaster[TM],MATCH(TableWRTECalcPts[[#This Row],[POSRef]],TableTEMaster[TERef],0)),"")</f>
        <v>CIN</v>
      </c>
      <c r="AO19" s="60">
        <f>IFERROR(INDEX(TableTEMaster[BYE],MATCH(TableWRTECalcPts[[#This Row],[POSRef]],TableTEMaster[TERef],0)),"")</f>
        <v>7</v>
      </c>
      <c r="AP19" s="61">
        <f>IFERROR(INDEX(TableTEMaster[Custom],MATCH(TableWRTECalcPts[[#This Row],[POSRef]],TableTEMaster[TERef],0)),"")</f>
        <v>98.061359137818485</v>
      </c>
    </row>
    <row r="20" spans="1:42" x14ac:dyDescent="0.2">
      <c r="A20" s="62">
        <f>IFERROR(RANK(TableQBCalcPts[[#This Row],[Custom]],TableQBCalcPts[Custom])+COUNTIF($F$3:F20,F20)-1,"")</f>
        <v>15</v>
      </c>
      <c r="B20" s="60">
        <v>18</v>
      </c>
      <c r="C20" s="60" t="str">
        <f>IFERROR(INDEX(TableQBMaster[Player],MATCH(TableQBCalcPts[[#This Row],[QBRef]],TableQBMaster[QBRef],0)),"")</f>
        <v>Dak Prescott</v>
      </c>
      <c r="D20" s="60" t="str">
        <f>IFERROR(INDEX(TableQBMaster[TM],MATCH(TableQBCalcPts[[#This Row],[QBRef]],TableQBMaster[QBRef],0)),"")</f>
        <v>DAL</v>
      </c>
      <c r="E20" s="60">
        <f>IFERROR(INDEX(TableQBMaster[BYE],MATCH(TableQBCalcPts[[#This Row],[QBRef]],TableQBMaster[QBRef],0)),"")</f>
        <v>7</v>
      </c>
      <c r="F20" s="61">
        <f>IFERROR(INDEX(TableQBMaster[Custom],MATCH(TableQBCalcPts[[#This Row],[QBRef]],TableQBMaster[QBRef],0)),"")</f>
        <v>306.21396082571579</v>
      </c>
      <c r="H20" s="60">
        <f>IFERROR(RANK(TableRBCalcPts[[#This Row],[Custom]],TableRBCalcPts[Custom])+COUNTIF($M$3:M20,M20)-1,"")</f>
        <v>90</v>
      </c>
      <c r="I20" s="60">
        <v>18</v>
      </c>
      <c r="J20" s="60" t="str">
        <f>IFERROR(INDEX(TableRBMaster[Player],MATCH(TableRBCalcPts[[#This Row],[RBRef]],TableRBMaster[RBRef],0)),"")</f>
        <v>D'Onta Foreman</v>
      </c>
      <c r="K20" s="60" t="str">
        <f>IFERROR(INDEX(TableRBMaster[TM],MATCH(TableRBCalcPts[[#This Row],[RBRef]],TableRBMaster[RBRef],0)),"")</f>
        <v>CHI</v>
      </c>
      <c r="L20" s="60">
        <f>IFERROR(INDEX(TableRBMaster[BYE],MATCH(TableRBCalcPts[[#This Row],[RBRef]],TableRBMaster[RBRef],0)),"")</f>
        <v>13</v>
      </c>
      <c r="M20" s="61">
        <f>IFERROR(INDEX(TableRBMaster[Custom],MATCH(TableRBCalcPts[[#This Row],[RBRef]],TableRBMaster[RBRef],0)),"")</f>
        <v>27.946418935653998</v>
      </c>
      <c r="O20" s="60">
        <f>IFERROR(RANK(TableWRCalcPts[[#This Row],[Custom]],TableWRCalcPts[Custom])+COUNTIF($T$3:T20,T20)-1,"")</f>
        <v>115</v>
      </c>
      <c r="P20" s="60">
        <v>18</v>
      </c>
      <c r="Q20" s="60" t="str">
        <f>IFERROR(INDEX(TableWRMaster[Player],MATCH(TableWRCalcPts[[#This Row],[WRRef]],TableWRMaster[WRRef],0)),"")</f>
        <v>Khalil Shakir</v>
      </c>
      <c r="R20" s="60" t="str">
        <f>IFERROR(INDEX(TableWRMaster[TM],MATCH(TableWRCalcPts[[#This Row],[WRRef]],TableWRMaster[WRRef],0)),"")</f>
        <v>BUF</v>
      </c>
      <c r="S20" s="60">
        <f>IFERROR(INDEX(TableWRMaster[BYE],MATCH(TableWRCalcPts[[#This Row],[WRRef]],TableWRMaster[WRRef],0)),"")</f>
        <v>13</v>
      </c>
      <c r="T20" s="61">
        <f>IFERROR(INDEX(TableWRMaster[Custom],MATCH(TableWRCalcPts[[#This Row],[WRRef]],TableWRMaster[WRRef],0)),"")</f>
        <v>38.389008385575202</v>
      </c>
      <c r="V20" s="60">
        <f>IFERROR(RANK(TableTECalcPts[[#This Row],[Custom]],TableTECalcPts[Custom])+COUNTIF($AA$3:AA20,AA20)-1,"")</f>
        <v>75</v>
      </c>
      <c r="W20" s="60">
        <v>18</v>
      </c>
      <c r="X20" s="60" t="str">
        <f>IFERROR(INDEX(TableTEMaster[Player],MATCH(TableTECalcPts[[#This Row],[TERef]],TableTEMaster[TERef],0)),"")</f>
        <v>Mitchell Wilcox</v>
      </c>
      <c r="Y20" s="60" t="str">
        <f>IFERROR(INDEX(TableTEMaster[TM],MATCH(TableTECalcPts[[#This Row],[TERef]],TableTEMaster[TERef],0)),"")</f>
        <v>CIN</v>
      </c>
      <c r="Z20" s="60">
        <f>IFERROR(INDEX(TableTEMaster[BYE],MATCH(TableTECalcPts[[#This Row],[TERef]],TableTEMaster[TERef],0)),"")</f>
        <v>7</v>
      </c>
      <c r="AA20" s="61">
        <f>IFERROR(INDEX(TableTEMaster[Custom],MATCH(TableTECalcPts[[#This Row],[TERef]],TableTEMaster[TERef],0)),"")</f>
        <v>14.109268348510804</v>
      </c>
      <c r="AC20" s="60">
        <f>IFERROR(RANK(TableDSTCalcPts[[#This Row],[Custom]],TableDSTCalcPts[Custom],0),"")</f>
        <v>11</v>
      </c>
      <c r="AD20" s="60">
        <v>18</v>
      </c>
      <c r="AE20" s="60" t="str">
        <f>IFERROR(INDEX(TableDSTMaster[Player],MATCH(TableDSTCalcPts[[#This Row],[DSTRef]],TableDSTMaster[DSTRef],0)),"")</f>
        <v>Los Angeles Chargers</v>
      </c>
      <c r="AF20" s="60">
        <f>IFERROR(INDEX(TableDSTMaster[BYE],MATCH(TableDSTCalcPts[[#This Row],[DSTRef]],TableDSTMaster[DSTRef],0)),"")</f>
        <v>5</v>
      </c>
      <c r="AG20" s="61">
        <f>IFERROR(INDEX(TableDSTMaster[Custom],MATCH(TableDSTCalcPts[[#This Row],[DSTRef]],TableDSTMaster[DSTRef],0)),"")</f>
        <v>123.1372950200647</v>
      </c>
      <c r="AI20" s="60" t="s">
        <v>10</v>
      </c>
      <c r="AJ20" s="60">
        <f>IFERROR(RANK(TableWRTECalcPts[[#This Row],[Custom]],TableWRTECalcPts[Custom])+COUNTIF($AP$3:AP20,AP20)-1,"")</f>
        <v>226</v>
      </c>
      <c r="AK20" s="60">
        <v>18</v>
      </c>
      <c r="AL20" s="60" t="str">
        <f>IFERROR(INDEX(TableTEMaster[Player],MATCH(TableWRTECalcPts[[#This Row],[POSRef]],TableTEMaster[TERef],0)),"")</f>
        <v>Mitchell Wilcox</v>
      </c>
      <c r="AM20" s="60" t="str">
        <f>IFERROR(_xlfn.CONCAT(TableWRTECalcPts[[#This Row],[POS]],INDEX(TableTERanks[RK],MATCH(TableWRTECalcPts[[#This Row],[PLAYER]],TableTERanks[Player],0))),"")</f>
        <v>TE75</v>
      </c>
      <c r="AN20" s="60" t="str">
        <f>IFERROR(INDEX(TableTEMaster[TM],MATCH(TableWRTECalcPts[[#This Row],[POSRef]],TableTEMaster[TERef],0)),"")</f>
        <v>CIN</v>
      </c>
      <c r="AO20" s="60">
        <f>IFERROR(INDEX(TableTEMaster[BYE],MATCH(TableWRTECalcPts[[#This Row],[POSRef]],TableTEMaster[TERef],0)),"")</f>
        <v>7</v>
      </c>
      <c r="AP20" s="61">
        <f>IFERROR(INDEX(TableTEMaster[Custom],MATCH(TableWRTECalcPts[[#This Row],[POSRef]],TableTEMaster[TERef],0)),"")</f>
        <v>14.109268348510804</v>
      </c>
    </row>
    <row r="21" spans="1:42" x14ac:dyDescent="0.2">
      <c r="A21" s="62">
        <f>IFERROR(RANK(TableQBCalcPts[[#This Row],[Custom]],TableQBCalcPts[Custom])+COUNTIF($F$3:F21,F21)-1,"")</f>
        <v>48</v>
      </c>
      <c r="B21" s="60">
        <v>19</v>
      </c>
      <c r="C21" s="60" t="str">
        <f>IFERROR(INDEX(TableQBMaster[Player],MATCH(TableQBCalcPts[[#This Row],[QBRef]],TableQBMaster[QBRef],0)),"")</f>
        <v>Trey Lance</v>
      </c>
      <c r="D21" s="60" t="str">
        <f>IFERROR(INDEX(TableQBMaster[TM],MATCH(TableQBCalcPts[[#This Row],[QBRef]],TableQBMaster[QBRef],0)),"")</f>
        <v>DAL</v>
      </c>
      <c r="E21" s="60">
        <f>IFERROR(INDEX(TableQBMaster[BYE],MATCH(TableQBCalcPts[[#This Row],[QBRef]],TableQBMaster[QBRef],0)),"")</f>
        <v>7</v>
      </c>
      <c r="F21" s="61">
        <f>IFERROR(INDEX(TableQBMaster[Custom],MATCH(TableQBCalcPts[[#This Row],[QBRef]],TableQBMaster[QBRef],0)),"")</f>
        <v>10.390084375273929</v>
      </c>
      <c r="H21" s="60">
        <f>IFERROR(RANK(TableRBCalcPts[[#This Row],[Custom]],TableRBCalcPts[Custom])+COUNTIF($M$3:M21,M21)-1,"")</f>
        <v>47</v>
      </c>
      <c r="I21" s="60">
        <v>19</v>
      </c>
      <c r="J21" s="60" t="str">
        <f>IFERROR(INDEX(TableRBMaster[Player],MATCH(TableRBCalcPts[[#This Row],[RBRef]],TableRBMaster[RBRef],0)),"")</f>
        <v>Roschon Johnson</v>
      </c>
      <c r="K21" s="60" t="str">
        <f>IFERROR(INDEX(TableRBMaster[TM],MATCH(TableRBCalcPts[[#This Row],[RBRef]],TableRBMaster[RBRef],0)),"")</f>
        <v>CHI</v>
      </c>
      <c r="L21" s="60">
        <f>IFERROR(INDEX(TableRBMaster[BYE],MATCH(TableRBCalcPts[[#This Row],[RBRef]],TableRBMaster[RBRef],0)),"")</f>
        <v>13</v>
      </c>
      <c r="M21" s="61">
        <f>IFERROR(INDEX(TableRBMaster[Custom],MATCH(TableRBCalcPts[[#This Row],[RBRef]],TableRBMaster[RBRef],0)),"")</f>
        <v>113.11824613203741</v>
      </c>
      <c r="O21" s="60">
        <f>IFERROR(RANK(TableWRCalcPts[[#This Row],[Custom]],TableWRCalcPts[Custom])+COUNTIF($T$3:T21,T21)-1,"")</f>
        <v>100</v>
      </c>
      <c r="P21" s="60">
        <v>19</v>
      </c>
      <c r="Q21" s="60" t="str">
        <f>IFERROR(INDEX(TableWRMaster[Player],MATCH(TableWRCalcPts[[#This Row],[WRRef]],TableWRMaster[WRRef],0)),"")</f>
        <v>Trent Sherfield</v>
      </c>
      <c r="R21" s="60" t="str">
        <f>IFERROR(INDEX(TableWRMaster[TM],MATCH(TableWRCalcPts[[#This Row],[WRRef]],TableWRMaster[WRRef],0)),"")</f>
        <v>BUF</v>
      </c>
      <c r="S21" s="60">
        <f>IFERROR(INDEX(TableWRMaster[BYE],MATCH(TableWRCalcPts[[#This Row],[WRRef]],TableWRMaster[WRRef],0)),"")</f>
        <v>13</v>
      </c>
      <c r="T21" s="61">
        <f>IFERROR(INDEX(TableWRMaster[Custom],MATCH(TableWRCalcPts[[#This Row],[WRRef]],TableWRMaster[WRRef],0)),"")</f>
        <v>59.836018948557339</v>
      </c>
      <c r="V21" s="60">
        <f>IFERROR(RANK(TableTECalcPts[[#This Row],[Custom]],TableTECalcPts[Custom])+COUNTIF($AA$3:AA21,AA21)-1,"")</f>
        <v>62</v>
      </c>
      <c r="W21" s="60">
        <v>19</v>
      </c>
      <c r="X21" s="60" t="str">
        <f>IFERROR(INDEX(TableTEMaster[Player],MATCH(TableTECalcPts[[#This Row],[TERef]],TableTEMaster[TERef],0)),"")</f>
        <v>Drew Sample</v>
      </c>
      <c r="Y21" s="60" t="str">
        <f>IFERROR(INDEX(TableTEMaster[TM],MATCH(TableTECalcPts[[#This Row],[TERef]],TableTEMaster[TERef],0)),"")</f>
        <v>CIN</v>
      </c>
      <c r="Z21" s="60">
        <f>IFERROR(INDEX(TableTEMaster[BYE],MATCH(TableTECalcPts[[#This Row],[TERef]],TableTEMaster[TERef],0)),"")</f>
        <v>7</v>
      </c>
      <c r="AA21" s="61">
        <f>IFERROR(INDEX(TableTEMaster[Custom],MATCH(TableTECalcPts[[#This Row],[TERef]],TableTEMaster[TERef],0)),"")</f>
        <v>22.221847504079999</v>
      </c>
      <c r="AC21" s="60">
        <f>IFERROR(RANK(TableDSTCalcPts[[#This Row],[Custom]],TableDSTCalcPts[Custom],0),"")</f>
        <v>28</v>
      </c>
      <c r="AD21" s="60">
        <v>19</v>
      </c>
      <c r="AE21" s="60" t="str">
        <f>IFERROR(INDEX(TableDSTMaster[Player],MATCH(TableDSTCalcPts[[#This Row],[DSTRef]],TableDSTMaster[DSTRef],0)),"")</f>
        <v>Los Angeles Rams</v>
      </c>
      <c r="AF21" s="60">
        <f>IFERROR(INDEX(TableDSTMaster[BYE],MATCH(TableDSTCalcPts[[#This Row],[DSTRef]],TableDSTMaster[DSTRef],0)),"")</f>
        <v>10</v>
      </c>
      <c r="AG21" s="61">
        <f>IFERROR(INDEX(TableDSTMaster[Custom],MATCH(TableDSTCalcPts[[#This Row],[DSTRef]],TableDSTMaster[DSTRef],0)),"")</f>
        <v>111.47647194295098</v>
      </c>
      <c r="AI21" s="60" t="s">
        <v>10</v>
      </c>
      <c r="AJ21" s="60">
        <f>IFERROR(RANK(TableWRTECalcPts[[#This Row],[Custom]],TableWRTECalcPts[Custom])+COUNTIF($AP$3:AP21,AP21)-1,"")</f>
        <v>199</v>
      </c>
      <c r="AK21" s="60">
        <v>19</v>
      </c>
      <c r="AL21" s="60" t="str">
        <f>IFERROR(INDEX(TableTEMaster[Player],MATCH(TableWRTECalcPts[[#This Row],[POSRef]],TableTEMaster[TERef],0)),"")</f>
        <v>Drew Sample</v>
      </c>
      <c r="AM21" s="60" t="str">
        <f>IFERROR(_xlfn.CONCAT(TableWRTECalcPts[[#This Row],[POS]],INDEX(TableTERanks[RK],MATCH(TableWRTECalcPts[[#This Row],[PLAYER]],TableTERanks[Player],0))),"")</f>
        <v>TE62</v>
      </c>
      <c r="AN21" s="60" t="str">
        <f>IFERROR(INDEX(TableTEMaster[TM],MATCH(TableWRTECalcPts[[#This Row],[POSRef]],TableTEMaster[TERef],0)),"")</f>
        <v>CIN</v>
      </c>
      <c r="AO21" s="60">
        <f>IFERROR(INDEX(TableTEMaster[BYE],MATCH(TableWRTECalcPts[[#This Row],[POSRef]],TableTEMaster[TERef],0)),"")</f>
        <v>7</v>
      </c>
      <c r="AP21" s="61">
        <f>IFERROR(INDEX(TableTEMaster[Custom],MATCH(TableWRTECalcPts[[#This Row],[POSRef]],TableTEMaster[TERef],0)),"")</f>
        <v>22.221847504079999</v>
      </c>
    </row>
    <row r="22" spans="1:42" x14ac:dyDescent="0.2">
      <c r="A22" s="62">
        <f>IFERROR(RANK(TableQBCalcPts[[#This Row],[Custom]],TableQBCalcPts[Custom])+COUNTIF($F$3:F22,F22)-1,"")</f>
        <v>17</v>
      </c>
      <c r="B22" s="60">
        <v>20</v>
      </c>
      <c r="C22" s="60" t="str">
        <f>IFERROR(INDEX(TableQBMaster[Player],MATCH(TableQBCalcPts[[#This Row],[QBRef]],TableQBMaster[QBRef],0)),"")</f>
        <v>Russell Wilson</v>
      </c>
      <c r="D22" s="60" t="str">
        <f>IFERROR(INDEX(TableQBMaster[TM],MATCH(TableQBCalcPts[[#This Row],[QBRef]],TableQBMaster[QBRef],0)),"")</f>
        <v>DEN</v>
      </c>
      <c r="E22" s="60">
        <f>IFERROR(INDEX(TableQBMaster[BYE],MATCH(TableQBCalcPts[[#This Row],[QBRef]],TableQBMaster[QBRef],0)),"")</f>
        <v>9</v>
      </c>
      <c r="F22" s="61">
        <f>IFERROR(INDEX(TableQBMaster[Custom],MATCH(TableQBCalcPts[[#This Row],[QBRef]],TableQBMaster[QBRef],0)),"")</f>
        <v>296.59318059087798</v>
      </c>
      <c r="H22" s="60">
        <f>IFERROR(RANK(TableRBCalcPts[[#This Row],[Custom]],TableRBCalcPts[Custom])+COUNTIF($M$3:M22,M22)-1,"")</f>
        <v>95</v>
      </c>
      <c r="I22" s="60">
        <v>20</v>
      </c>
      <c r="J22" s="60" t="str">
        <f>IFERROR(INDEX(TableRBMaster[Player],MATCH(TableRBCalcPts[[#This Row],[RBRef]],TableRBMaster[RBRef],0)),"")</f>
        <v>Travis Homer</v>
      </c>
      <c r="K22" s="60" t="str">
        <f>IFERROR(INDEX(TableRBMaster[TM],MATCH(TableRBCalcPts[[#This Row],[RBRef]],TableRBMaster[RBRef],0)),"")</f>
        <v>CHI</v>
      </c>
      <c r="L22" s="60">
        <f>IFERROR(INDEX(TableRBMaster[BYE],MATCH(TableRBCalcPts[[#This Row],[RBRef]],TableRBMaster[RBRef],0)),"")</f>
        <v>13</v>
      </c>
      <c r="M22" s="61">
        <f>IFERROR(INDEX(TableRBMaster[Custom],MATCH(TableRBCalcPts[[#This Row],[RBRef]],TableRBMaster[RBRef],0)),"")</f>
        <v>22.560629640663144</v>
      </c>
      <c r="O22" s="60">
        <f>IFERROR(RANK(TableWRCalcPts[[#This Row],[Custom]],TableWRCalcPts[Custom])+COUNTIF($T$3:T22,T22)-1,"")</f>
        <v>105</v>
      </c>
      <c r="P22" s="60">
        <v>20</v>
      </c>
      <c r="Q22" s="60" t="str">
        <f>IFERROR(INDEX(TableWRMaster[Player],MATCH(TableWRCalcPts[[#This Row],[WRRef]],TableWRMaster[WRRef],0)),"")</f>
        <v>Deonte Harty</v>
      </c>
      <c r="R22" s="60" t="str">
        <f>IFERROR(INDEX(TableWRMaster[TM],MATCH(TableWRCalcPts[[#This Row],[WRRef]],TableWRMaster[WRRef],0)),"")</f>
        <v>BUF</v>
      </c>
      <c r="S22" s="60">
        <f>IFERROR(INDEX(TableWRMaster[BYE],MATCH(TableWRCalcPts[[#This Row],[WRRef]],TableWRMaster[WRRef],0)),"")</f>
        <v>13</v>
      </c>
      <c r="T22" s="61">
        <f>IFERROR(INDEX(TableWRMaster[Custom],MATCH(TableWRCalcPts[[#This Row],[WRRef]],TableWRMaster[WRRef],0)),"")</f>
        <v>56.822667667156409</v>
      </c>
      <c r="V22" s="60">
        <f>IFERROR(RANK(TableTECalcPts[[#This Row],[Custom]],TableTECalcPts[Custom])+COUNTIF($AA$3:AA22,AA22)-1,"")</f>
        <v>9</v>
      </c>
      <c r="W22" s="60">
        <v>20</v>
      </c>
      <c r="X22" s="60" t="str">
        <f>IFERROR(INDEX(TableTEMaster[Player],MATCH(TableTECalcPts[[#This Row],[TERef]],TableTEMaster[TERef],0)),"")</f>
        <v>David Njoku</v>
      </c>
      <c r="Y22" s="60" t="str">
        <f>IFERROR(INDEX(TableTEMaster[TM],MATCH(TableTECalcPts[[#This Row],[TERef]],TableTEMaster[TERef],0)),"")</f>
        <v>CLE</v>
      </c>
      <c r="Z22" s="60">
        <f>IFERROR(INDEX(TableTEMaster[BYE],MATCH(TableTECalcPts[[#This Row],[TERef]],TableTEMaster[TERef],0)),"")</f>
        <v>5</v>
      </c>
      <c r="AA22" s="61">
        <f>IFERROR(INDEX(TableTEMaster[Custom],MATCH(TableTECalcPts[[#This Row],[TERef]],TableTEMaster[TERef],0)),"")</f>
        <v>132.8430292226715</v>
      </c>
      <c r="AC22" s="60">
        <f>IFERROR(RANK(TableDSTCalcPts[[#This Row],[Custom]],TableDSTCalcPts[Custom],0),"")</f>
        <v>14</v>
      </c>
      <c r="AD22" s="60">
        <v>20</v>
      </c>
      <c r="AE22" s="60" t="str">
        <f>IFERROR(INDEX(TableDSTMaster[Player],MATCH(TableDSTCalcPts[[#This Row],[DSTRef]],TableDSTMaster[DSTRef],0)),"")</f>
        <v>Miami Dolphins</v>
      </c>
      <c r="AF22" s="60">
        <f>IFERROR(INDEX(TableDSTMaster[BYE],MATCH(TableDSTCalcPts[[#This Row],[DSTRef]],TableDSTMaster[DSTRef],0)),"")</f>
        <v>10</v>
      </c>
      <c r="AG22" s="61">
        <f>IFERROR(INDEX(TableDSTMaster[Custom],MATCH(TableDSTCalcPts[[#This Row],[DSTRef]],TableDSTMaster[DSTRef],0)),"")</f>
        <v>121.10329144290326</v>
      </c>
      <c r="AI22" s="60" t="s">
        <v>10</v>
      </c>
      <c r="AJ22" s="60">
        <f>IFERROR(RANK(TableWRTECalcPts[[#This Row],[Custom]],TableWRTECalcPts[Custom])+COUNTIF($AP$3:AP22,AP22)-1,"")</f>
        <v>64</v>
      </c>
      <c r="AK22" s="60">
        <v>20</v>
      </c>
      <c r="AL22" s="60" t="str">
        <f>IFERROR(INDEX(TableTEMaster[Player],MATCH(TableWRTECalcPts[[#This Row],[POSRef]],TableTEMaster[TERef],0)),"")</f>
        <v>David Njoku</v>
      </c>
      <c r="AM22" s="60" t="str">
        <f>IFERROR(_xlfn.CONCAT(TableWRTECalcPts[[#This Row],[POS]],INDEX(TableTERanks[RK],MATCH(TableWRTECalcPts[[#This Row],[PLAYER]],TableTERanks[Player],0))),"")</f>
        <v>TE9</v>
      </c>
      <c r="AN22" s="60" t="str">
        <f>IFERROR(INDEX(TableTEMaster[TM],MATCH(TableWRTECalcPts[[#This Row],[POSRef]],TableTEMaster[TERef],0)),"")</f>
        <v>CLE</v>
      </c>
      <c r="AO22" s="60">
        <f>IFERROR(INDEX(TableTEMaster[BYE],MATCH(TableWRTECalcPts[[#This Row],[POSRef]],TableTEMaster[TERef],0)),"")</f>
        <v>5</v>
      </c>
      <c r="AP22" s="61">
        <f>IFERROR(INDEX(TableTEMaster[Custom],MATCH(TableWRTECalcPts[[#This Row],[POSRef]],TableTEMaster[TERef],0)),"")</f>
        <v>132.8430292226715</v>
      </c>
    </row>
    <row r="23" spans="1:42" x14ac:dyDescent="0.2">
      <c r="A23" s="62">
        <f>IFERROR(RANK(TableQBCalcPts[[#This Row],[Custom]],TableQBCalcPts[Custom])+COUNTIF($F$3:F23,F23)-1,"")</f>
        <v>59</v>
      </c>
      <c r="B23" s="60">
        <v>21</v>
      </c>
      <c r="C23" s="60" t="str">
        <f>IFERROR(INDEX(TableQBMaster[Player],MATCH(TableQBCalcPts[[#This Row],[QBRef]],TableQBMaster[QBRef],0)),"")</f>
        <v>Jarrett Stidham</v>
      </c>
      <c r="D23" s="60" t="str">
        <f>IFERROR(INDEX(TableQBMaster[TM],MATCH(TableQBCalcPts[[#This Row],[QBRef]],TableQBMaster[QBRef],0)),"")</f>
        <v>DEN</v>
      </c>
      <c r="E23" s="60">
        <f>IFERROR(INDEX(TableQBMaster[BYE],MATCH(TableQBCalcPts[[#This Row],[QBRef]],TableQBMaster[QBRef],0)),"")</f>
        <v>9</v>
      </c>
      <c r="F23" s="61">
        <f>IFERROR(INDEX(TableQBMaster[Custom],MATCH(TableQBCalcPts[[#This Row],[QBRef]],TableQBMaster[QBRef],0)),"")</f>
        <v>3.0679900639155027</v>
      </c>
      <c r="H23" s="60">
        <f>IFERROR(RANK(TableRBCalcPts[[#This Row],[Custom]],TableRBCalcPts[Custom])+COUNTIF($M$3:M23,M23)-1,"")</f>
        <v>10</v>
      </c>
      <c r="I23" s="60">
        <v>21</v>
      </c>
      <c r="J23" s="60" t="str">
        <f>IFERROR(INDEX(TableRBMaster[Player],MATCH(TableRBCalcPts[[#This Row],[RBRef]],TableRBMaster[RBRef],0)),"")</f>
        <v>Joe Mixon</v>
      </c>
      <c r="K23" s="60" t="str">
        <f>IFERROR(INDEX(TableRBMaster[TM],MATCH(TableRBCalcPts[[#This Row],[RBRef]],TableRBMaster[RBRef],0)),"")</f>
        <v>CIN</v>
      </c>
      <c r="L23" s="60">
        <f>IFERROR(INDEX(TableRBMaster[BYE],MATCH(TableRBCalcPts[[#This Row],[RBRef]],TableRBMaster[RBRef],0)),"")</f>
        <v>7</v>
      </c>
      <c r="M23" s="61">
        <f>IFERROR(INDEX(TableRBMaster[Custom],MATCH(TableRBCalcPts[[#This Row],[RBRef]],TableRBMaster[RBRef],0)),"")</f>
        <v>218.79658404116833</v>
      </c>
      <c r="O23" s="60">
        <f>IFERROR(RANK(TableWRCalcPts[[#This Row],[Custom]],TableWRCalcPts[Custom])+COUNTIF($T$3:T23,T23)-1,"")</f>
        <v>146</v>
      </c>
      <c r="P23" s="60">
        <v>21</v>
      </c>
      <c r="Q23" s="60" t="str">
        <f>IFERROR(INDEX(TableWRMaster[Player],MATCH(TableWRCalcPts[[#This Row],[WRRef]],TableWRMaster[WRRef],0)),"")</f>
        <v>Justin Shorter</v>
      </c>
      <c r="R23" s="60" t="str">
        <f>IFERROR(INDEX(TableWRMaster[TM],MATCH(TableWRCalcPts[[#This Row],[WRRef]],TableWRMaster[WRRef],0)),"")</f>
        <v>BUF</v>
      </c>
      <c r="S23" s="60">
        <f>IFERROR(INDEX(TableWRMaster[BYE],MATCH(TableWRCalcPts[[#This Row],[WRRef]],TableWRMaster[WRRef],0)),"")</f>
        <v>13</v>
      </c>
      <c r="T23" s="61">
        <f>IFERROR(INDEX(TableWRMaster[Custom],MATCH(TableWRCalcPts[[#This Row],[WRRef]],TableWRMaster[WRRef],0)),"")</f>
        <v>17.103082196199999</v>
      </c>
      <c r="V23" s="60">
        <f>IFERROR(RANK(TableTECalcPts[[#This Row],[Custom]],TableTECalcPts[Custom])+COUNTIF($AA$3:AA23,AA23)-1,"")</f>
        <v>61</v>
      </c>
      <c r="W23" s="60">
        <v>21</v>
      </c>
      <c r="X23" s="60" t="str">
        <f>IFERROR(INDEX(TableTEMaster[Player],MATCH(TableTECalcPts[[#This Row],[TERef]],TableTEMaster[TERef],0)),"")</f>
        <v>Harrison Bryant</v>
      </c>
      <c r="Y23" s="60" t="str">
        <f>IFERROR(INDEX(TableTEMaster[TM],MATCH(TableTECalcPts[[#This Row],[TERef]],TableTEMaster[TERef],0)),"")</f>
        <v>CLE</v>
      </c>
      <c r="Z23" s="60">
        <f>IFERROR(INDEX(TableTEMaster[BYE],MATCH(TableTECalcPts[[#This Row],[TERef]],TableTEMaster[TERef],0)),"")</f>
        <v>5</v>
      </c>
      <c r="AA23" s="61">
        <f>IFERROR(INDEX(TableTEMaster[Custom],MATCH(TableTECalcPts[[#This Row],[TERef]],TableTEMaster[TERef],0)),"")</f>
        <v>22.41543281140352</v>
      </c>
      <c r="AC23" s="60">
        <f>IFERROR(RANK(TableDSTCalcPts[[#This Row],[Custom]],TableDSTCalcPts[Custom],0),"")</f>
        <v>20</v>
      </c>
      <c r="AD23" s="60">
        <v>21</v>
      </c>
      <c r="AE23" s="60" t="str">
        <f>IFERROR(INDEX(TableDSTMaster[Player],MATCH(TableDSTCalcPts[[#This Row],[DSTRef]],TableDSTMaster[DSTRef],0)),"")</f>
        <v>Minnesota Vikings</v>
      </c>
      <c r="AF23" s="60">
        <f>IFERROR(INDEX(TableDSTMaster[BYE],MATCH(TableDSTCalcPts[[#This Row],[DSTRef]],TableDSTMaster[DSTRef],0)),"")</f>
        <v>13</v>
      </c>
      <c r="AG23" s="61">
        <f>IFERROR(INDEX(TableDSTMaster[Custom],MATCH(TableDSTCalcPts[[#This Row],[DSTRef]],TableDSTMaster[DSTRef],0)),"")</f>
        <v>117.77783568368116</v>
      </c>
      <c r="AI23" s="60" t="s">
        <v>10</v>
      </c>
      <c r="AJ23" s="60">
        <f>IFERROR(RANK(TableWRTECalcPts[[#This Row],[Custom]],TableWRTECalcPts[Custom])+COUNTIF($AP$3:AP23,AP23)-1,"")</f>
        <v>198</v>
      </c>
      <c r="AK23" s="60">
        <v>21</v>
      </c>
      <c r="AL23" s="60" t="str">
        <f>IFERROR(INDEX(TableTEMaster[Player],MATCH(TableWRTECalcPts[[#This Row],[POSRef]],TableTEMaster[TERef],0)),"")</f>
        <v>Harrison Bryant</v>
      </c>
      <c r="AM23" s="60" t="str">
        <f>IFERROR(_xlfn.CONCAT(TableWRTECalcPts[[#This Row],[POS]],INDEX(TableTERanks[RK],MATCH(TableWRTECalcPts[[#This Row],[PLAYER]],TableTERanks[Player],0))),"")</f>
        <v>TE61</v>
      </c>
      <c r="AN23" s="60" t="str">
        <f>IFERROR(INDEX(TableTEMaster[TM],MATCH(TableWRTECalcPts[[#This Row],[POSRef]],TableTEMaster[TERef],0)),"")</f>
        <v>CLE</v>
      </c>
      <c r="AO23" s="60">
        <f>IFERROR(INDEX(TableTEMaster[BYE],MATCH(TableWRTECalcPts[[#This Row],[POSRef]],TableTEMaster[TERef],0)),"")</f>
        <v>5</v>
      </c>
      <c r="AP23" s="61">
        <f>IFERROR(INDEX(TableTEMaster[Custom],MATCH(TableWRTECalcPts[[#This Row],[POSRef]],TableTEMaster[TERef],0)),"")</f>
        <v>22.41543281140352</v>
      </c>
    </row>
    <row r="24" spans="1:42" x14ac:dyDescent="0.2">
      <c r="A24" s="62">
        <f>IFERROR(RANK(TableQBCalcPts[[#This Row],[Custom]],TableQBCalcPts[Custom])+COUNTIF($F$3:F24,F24)-1,"")</f>
        <v>20</v>
      </c>
      <c r="B24" s="60">
        <v>22</v>
      </c>
      <c r="C24" s="60" t="str">
        <f>IFERROR(INDEX(TableQBMaster[Player],MATCH(TableQBCalcPts[[#This Row],[QBRef]],TableQBMaster[QBRef],0)),"")</f>
        <v>Jared Goff</v>
      </c>
      <c r="D24" s="60" t="str">
        <f>IFERROR(INDEX(TableQBMaster[TM],MATCH(TableQBCalcPts[[#This Row],[QBRef]],TableQBMaster[QBRef],0)),"")</f>
        <v>DET</v>
      </c>
      <c r="E24" s="60">
        <f>IFERROR(INDEX(TableQBMaster[BYE],MATCH(TableQBCalcPts[[#This Row],[QBRef]],TableQBMaster[QBRef],0)),"")</f>
        <v>9</v>
      </c>
      <c r="F24" s="61">
        <f>IFERROR(INDEX(TableQBMaster[Custom],MATCH(TableQBCalcPts[[#This Row],[QBRef]],TableQBMaster[QBRef],0)),"")</f>
        <v>286.03273448914445</v>
      </c>
      <c r="H24" s="60">
        <f>IFERROR(RANK(TableRBCalcPts[[#This Row],[Custom]],TableRBCalcPts[Custom])+COUNTIF($M$3:M24,M24)-1,"")</f>
        <v>65</v>
      </c>
      <c r="I24" s="60">
        <v>22</v>
      </c>
      <c r="J24" s="60" t="str">
        <f>IFERROR(INDEX(TableRBMaster[Player],MATCH(TableRBCalcPts[[#This Row],[RBRef]],TableRBMaster[RBRef],0)),"")</f>
        <v>Chris Evans</v>
      </c>
      <c r="K24" s="60" t="str">
        <f>IFERROR(INDEX(TableRBMaster[TM],MATCH(TableRBCalcPts[[#This Row],[RBRef]],TableRBMaster[RBRef],0)),"")</f>
        <v>CIN</v>
      </c>
      <c r="L24" s="60">
        <f>IFERROR(INDEX(TableRBMaster[BYE],MATCH(TableRBCalcPts[[#This Row],[RBRef]],TableRBMaster[RBRef],0)),"")</f>
        <v>7</v>
      </c>
      <c r="M24" s="61">
        <f>IFERROR(INDEX(TableRBMaster[Custom],MATCH(TableRBCalcPts[[#This Row],[RBRef]],TableRBMaster[RBRef],0)),"")</f>
        <v>71.100773257316817</v>
      </c>
      <c r="O24" s="60">
        <f>IFERROR(RANK(TableWRCalcPts[[#This Row],[Custom]],TableWRCalcPts[Custom])+COUNTIF($T$3:T24,T24)-1,"")</f>
        <v>47</v>
      </c>
      <c r="P24" s="60">
        <v>22</v>
      </c>
      <c r="Q24" s="60" t="str">
        <f>IFERROR(INDEX(TableWRMaster[Player],MATCH(TableWRCalcPts[[#This Row],[WRRef]],TableWRMaster[WRRef],0)),"")</f>
        <v>Adam Thielen</v>
      </c>
      <c r="R24" s="60" t="str">
        <f>IFERROR(INDEX(TableWRMaster[TM],MATCH(TableWRCalcPts[[#This Row],[WRRef]],TableWRMaster[WRRef],0)),"")</f>
        <v>CAR</v>
      </c>
      <c r="S24" s="60">
        <f>IFERROR(INDEX(TableWRMaster[BYE],MATCH(TableWRCalcPts[[#This Row],[WRRef]],TableWRMaster[WRRef],0)),"")</f>
        <v>7</v>
      </c>
      <c r="T24" s="61">
        <f>IFERROR(INDEX(TableWRMaster[Custom],MATCH(TableWRCalcPts[[#This Row],[WRRef]],TableWRMaster[WRRef],0)),"")</f>
        <v>146.5873035192601</v>
      </c>
      <c r="V24" s="60">
        <f>IFERROR(RANK(TableTECalcPts[[#This Row],[Custom]],TableTECalcPts[Custom])+COUNTIF($AA$3:AA24,AA24)-1,"")</f>
        <v>60</v>
      </c>
      <c r="W24" s="60">
        <v>22</v>
      </c>
      <c r="X24" s="60" t="str">
        <f>IFERROR(INDEX(TableTEMaster[Player],MATCH(TableTECalcPts[[#This Row],[TERef]],TableTEMaster[TERef],0)),"")</f>
        <v>Jordan Akins</v>
      </c>
      <c r="Y24" s="60" t="str">
        <f>IFERROR(INDEX(TableTEMaster[TM],MATCH(TableTECalcPts[[#This Row],[TERef]],TableTEMaster[TERef],0)),"")</f>
        <v>CLE</v>
      </c>
      <c r="Z24" s="60">
        <f>IFERROR(INDEX(TableTEMaster[BYE],MATCH(TableTECalcPts[[#This Row],[TERef]],TableTEMaster[TERef],0)),"")</f>
        <v>5</v>
      </c>
      <c r="AA24" s="61">
        <f>IFERROR(INDEX(TableTEMaster[Custom],MATCH(TableTECalcPts[[#This Row],[TERef]],TableTEMaster[TERef],0)),"")</f>
        <v>22.879912683379221</v>
      </c>
      <c r="AC24" s="60">
        <f>IFERROR(RANK(TableDSTCalcPts[[#This Row],[Custom]],TableDSTCalcPts[Custom],0),"")</f>
        <v>3</v>
      </c>
      <c r="AD24" s="60">
        <v>22</v>
      </c>
      <c r="AE24" s="60" t="str">
        <f>IFERROR(INDEX(TableDSTMaster[Player],MATCH(TableDSTCalcPts[[#This Row],[DSTRef]],TableDSTMaster[DSTRef],0)),"")</f>
        <v>New England Patriots</v>
      </c>
      <c r="AF24" s="60">
        <f>IFERROR(INDEX(TableDSTMaster[BYE],MATCH(TableDSTCalcPts[[#This Row],[DSTRef]],TableDSTMaster[DSTRef],0)),"")</f>
        <v>11</v>
      </c>
      <c r="AG24" s="61">
        <f>IFERROR(INDEX(TableDSTMaster[Custom],MATCH(TableDSTCalcPts[[#This Row],[DSTRef]],TableDSTMaster[DSTRef],0)),"")</f>
        <v>134.76538196635207</v>
      </c>
      <c r="AI24" s="60" t="s">
        <v>10</v>
      </c>
      <c r="AJ24" s="60">
        <f>IFERROR(RANK(TableWRTECalcPts[[#This Row],[Custom]],TableWRTECalcPts[Custom])+COUNTIF($AP$3:AP24,AP24)-1,"")</f>
        <v>195</v>
      </c>
      <c r="AK24" s="60">
        <v>22</v>
      </c>
      <c r="AL24" s="60" t="str">
        <f>IFERROR(INDEX(TableTEMaster[Player],MATCH(TableWRTECalcPts[[#This Row],[POSRef]],TableTEMaster[TERef],0)),"")</f>
        <v>Jordan Akins</v>
      </c>
      <c r="AM24" s="60" t="str">
        <f>IFERROR(_xlfn.CONCAT(TableWRTECalcPts[[#This Row],[POS]],INDEX(TableTERanks[RK],MATCH(TableWRTECalcPts[[#This Row],[PLAYER]],TableTERanks[Player],0))),"")</f>
        <v>TE60</v>
      </c>
      <c r="AN24" s="60" t="str">
        <f>IFERROR(INDEX(TableTEMaster[TM],MATCH(TableWRTECalcPts[[#This Row],[POSRef]],TableTEMaster[TERef],0)),"")</f>
        <v>CLE</v>
      </c>
      <c r="AO24" s="60">
        <f>IFERROR(INDEX(TableTEMaster[BYE],MATCH(TableWRTECalcPts[[#This Row],[POSRef]],TableTEMaster[TERef],0)),"")</f>
        <v>5</v>
      </c>
      <c r="AP24" s="61">
        <f>IFERROR(INDEX(TableTEMaster[Custom],MATCH(TableWRTECalcPts[[#This Row],[POSRef]],TableTEMaster[TERef],0)),"")</f>
        <v>22.879912683379221</v>
      </c>
    </row>
    <row r="25" spans="1:42" x14ac:dyDescent="0.2">
      <c r="A25" s="62">
        <f>IFERROR(RANK(TableQBCalcPts[[#This Row],[Custom]],TableQBCalcPts[Custom])+COUNTIF($F$3:F25,F25)-1,"")</f>
        <v>58</v>
      </c>
      <c r="B25" s="60">
        <v>23</v>
      </c>
      <c r="C25" s="60" t="str">
        <f>IFERROR(INDEX(TableQBMaster[Player],MATCH(TableQBCalcPts[[#This Row],[QBRef]],TableQBMaster[QBRef],0)),"")</f>
        <v>Teddy Bridgewater</v>
      </c>
      <c r="D25" s="60" t="str">
        <f>IFERROR(INDEX(TableQBMaster[TM],MATCH(TableQBCalcPts[[#This Row],[QBRef]],TableQBMaster[QBRef],0)),"")</f>
        <v>DET</v>
      </c>
      <c r="E25" s="60">
        <f>IFERROR(INDEX(TableQBMaster[BYE],MATCH(TableQBCalcPts[[#This Row],[QBRef]],TableQBMaster[QBRef],0)),"")</f>
        <v>9</v>
      </c>
      <c r="F25" s="61">
        <f>IFERROR(INDEX(TableQBMaster[Custom],MATCH(TableQBCalcPts[[#This Row],[QBRef]],TableQBMaster[QBRef],0)),"")</f>
        <v>5.0024858939142973</v>
      </c>
      <c r="H25" s="60">
        <f>IFERROR(RANK(TableRBCalcPts[[#This Row],[Custom]],TableRBCalcPts[Custom])+COUNTIF($M$3:M25,M25)-1,"")</f>
        <v>89</v>
      </c>
      <c r="I25" s="60">
        <v>23</v>
      </c>
      <c r="J25" s="60" t="str">
        <f>IFERROR(INDEX(TableRBMaster[Player],MATCH(TableRBCalcPts[[#This Row],[RBRef]],TableRBMaster[RBRef],0)),"")</f>
        <v>Trayveon Williams</v>
      </c>
      <c r="K25" s="60" t="str">
        <f>IFERROR(INDEX(TableRBMaster[TM],MATCH(TableRBCalcPts[[#This Row],[RBRef]],TableRBMaster[RBRef],0)),"")</f>
        <v>CIN</v>
      </c>
      <c r="L25" s="60">
        <f>IFERROR(INDEX(TableRBMaster[BYE],MATCH(TableRBCalcPts[[#This Row],[RBRef]],TableRBMaster[RBRef],0)),"")</f>
        <v>7</v>
      </c>
      <c r="M25" s="61">
        <f>IFERROR(INDEX(TableRBMaster[Custom],MATCH(TableRBCalcPts[[#This Row],[RBRef]],TableRBMaster[RBRef],0)),"")</f>
        <v>29.795665618303204</v>
      </c>
      <c r="O25" s="60">
        <f>IFERROR(RANK(TableWRCalcPts[[#This Row],[Custom]],TableWRCalcPts[Custom])+COUNTIF($T$3:T25,T25)-1,"")</f>
        <v>69</v>
      </c>
      <c r="P25" s="60">
        <v>23</v>
      </c>
      <c r="Q25" s="60" t="str">
        <f>IFERROR(INDEX(TableWRMaster[Player],MATCH(TableWRCalcPts[[#This Row],[WRRef]],TableWRMaster[WRRef],0)),"")</f>
        <v>DJ Chark</v>
      </c>
      <c r="R25" s="60" t="str">
        <f>IFERROR(INDEX(TableWRMaster[TM],MATCH(TableWRCalcPts[[#This Row],[WRRef]],TableWRMaster[WRRef],0)),"")</f>
        <v>CAR</v>
      </c>
      <c r="S25" s="60">
        <f>IFERROR(INDEX(TableWRMaster[BYE],MATCH(TableWRCalcPts[[#This Row],[WRRef]],TableWRMaster[WRRef],0)),"")</f>
        <v>7</v>
      </c>
      <c r="T25" s="61">
        <f>IFERROR(INDEX(TableWRMaster[Custom],MATCH(TableWRCalcPts[[#This Row],[WRRef]],TableWRMaster[WRRef],0)),"")</f>
        <v>113.20957392716396</v>
      </c>
      <c r="V25" s="60">
        <f>IFERROR(RANK(TableTECalcPts[[#This Row],[Custom]],TableTECalcPts[Custom])+COUNTIF($AA$3:AA25,AA25)-1,"")</f>
        <v>19</v>
      </c>
      <c r="W25" s="60">
        <v>23</v>
      </c>
      <c r="X25" s="60" t="str">
        <f>IFERROR(INDEX(TableTEMaster[Player],MATCH(TableTECalcPts[[#This Row],[TERef]],TableTEMaster[TERef],0)),"")</f>
        <v>Jake Ferguson</v>
      </c>
      <c r="Y25" s="60" t="str">
        <f>IFERROR(INDEX(TableTEMaster[TM],MATCH(TableTECalcPts[[#This Row],[TERef]],TableTEMaster[TERef],0)),"")</f>
        <v>DAL</v>
      </c>
      <c r="Z25" s="60">
        <f>IFERROR(INDEX(TableTEMaster[BYE],MATCH(TableTECalcPts[[#This Row],[TERef]],TableTEMaster[TERef],0)),"")</f>
        <v>7</v>
      </c>
      <c r="AA25" s="61">
        <f>IFERROR(INDEX(TableTEMaster[Custom],MATCH(TableTECalcPts[[#This Row],[TERef]],TableTEMaster[TERef],0)),"")</f>
        <v>100.82096199922665</v>
      </c>
      <c r="AC25" s="60">
        <f>IFERROR(RANK(TableDSTCalcPts[[#This Row],[Custom]],TableDSTCalcPts[Custom],0),"")</f>
        <v>18</v>
      </c>
      <c r="AD25" s="60">
        <v>23</v>
      </c>
      <c r="AE25" s="60" t="str">
        <f>IFERROR(INDEX(TableDSTMaster[Player],MATCH(TableDSTCalcPts[[#This Row],[DSTRef]],TableDSTMaster[DSTRef],0)),"")</f>
        <v>New Orleans Saints</v>
      </c>
      <c r="AF25" s="60">
        <f>IFERROR(INDEX(TableDSTMaster[BYE],MATCH(TableDSTCalcPts[[#This Row],[DSTRef]],TableDSTMaster[DSTRef],0)),"")</f>
        <v>11</v>
      </c>
      <c r="AG25" s="61">
        <f>IFERROR(INDEX(TableDSTMaster[Custom],MATCH(TableDSTCalcPts[[#This Row],[DSTRef]],TableDSTMaster[DSTRef],0)),"")</f>
        <v>118.91962439572924</v>
      </c>
      <c r="AI25" s="60" t="s">
        <v>10</v>
      </c>
      <c r="AJ25" s="60">
        <f>IFERROR(RANK(TableWRTECalcPts[[#This Row],[Custom]],TableWRTECalcPts[Custom])+COUNTIF($AP$3:AP25,AP25)-1,"")</f>
        <v>90</v>
      </c>
      <c r="AK25" s="60">
        <v>23</v>
      </c>
      <c r="AL25" s="60" t="str">
        <f>IFERROR(INDEX(TableTEMaster[Player],MATCH(TableWRTECalcPts[[#This Row],[POSRef]],TableTEMaster[TERef],0)),"")</f>
        <v>Jake Ferguson</v>
      </c>
      <c r="AM25" s="60" t="str">
        <f>IFERROR(_xlfn.CONCAT(TableWRTECalcPts[[#This Row],[POS]],INDEX(TableTERanks[RK],MATCH(TableWRTECalcPts[[#This Row],[PLAYER]],TableTERanks[Player],0))),"")</f>
        <v>TE19</v>
      </c>
      <c r="AN25" s="60" t="str">
        <f>IFERROR(INDEX(TableTEMaster[TM],MATCH(TableWRTECalcPts[[#This Row],[POSRef]],TableTEMaster[TERef],0)),"")</f>
        <v>DAL</v>
      </c>
      <c r="AO25" s="60">
        <f>IFERROR(INDEX(TableTEMaster[BYE],MATCH(TableWRTECalcPts[[#This Row],[POSRef]],TableTEMaster[TERef],0)),"")</f>
        <v>7</v>
      </c>
      <c r="AP25" s="61">
        <f>IFERROR(INDEX(TableTEMaster[Custom],MATCH(TableWRTECalcPts[[#This Row],[POSRef]],TableTEMaster[TERef],0)),"")</f>
        <v>100.82096199922665</v>
      </c>
    </row>
    <row r="26" spans="1:42" x14ac:dyDescent="0.2">
      <c r="A26" s="62">
        <f>IFERROR(RANK(TableQBCalcPts[[#This Row],[Custom]],TableQBCalcPts[Custom])+COUNTIF($F$3:F26,F26)-1,"")</f>
        <v>21</v>
      </c>
      <c r="B26" s="60">
        <v>24</v>
      </c>
      <c r="C26" s="60" t="str">
        <f>IFERROR(INDEX(TableQBMaster[Player],MATCH(TableQBCalcPts[[#This Row],[QBRef]],TableQBMaster[QBRef],0)),"")</f>
        <v>Jordan Love</v>
      </c>
      <c r="D26" s="60" t="str">
        <f>IFERROR(INDEX(TableQBMaster[TM],MATCH(TableQBCalcPts[[#This Row],[QBRef]],TableQBMaster[QBRef],0)),"")</f>
        <v>GB</v>
      </c>
      <c r="E26" s="60">
        <f>IFERROR(INDEX(TableQBMaster[BYE],MATCH(TableQBCalcPts[[#This Row],[QBRef]],TableQBMaster[QBRef],0)),"")</f>
        <v>6</v>
      </c>
      <c r="F26" s="61">
        <f>IFERROR(INDEX(TableQBMaster[Custom],MATCH(TableQBCalcPts[[#This Row],[QBRef]],TableQBMaster[QBRef],0)),"")</f>
        <v>284.28893491449384</v>
      </c>
      <c r="H26" s="60">
        <f>IFERROR(RANK(TableRBCalcPts[[#This Row],[Custom]],TableRBCalcPts[Custom])+COUNTIF($M$3:M26,M26)-1,"")</f>
        <v>80</v>
      </c>
      <c r="I26" s="60">
        <v>24</v>
      </c>
      <c r="J26" s="60" t="str">
        <f>IFERROR(INDEX(TableRBMaster[Player],MATCH(TableRBCalcPts[[#This Row],[RBRef]],TableRBMaster[RBRef],0)),"")</f>
        <v>Chase Brown</v>
      </c>
      <c r="K26" s="60" t="str">
        <f>IFERROR(INDEX(TableRBMaster[TM],MATCH(TableRBCalcPts[[#This Row],[RBRef]],TableRBMaster[RBRef],0)),"")</f>
        <v>CIN</v>
      </c>
      <c r="L26" s="60">
        <f>IFERROR(INDEX(TableRBMaster[BYE],MATCH(TableRBCalcPts[[#This Row],[RBRef]],TableRBMaster[RBRef],0)),"")</f>
        <v>7</v>
      </c>
      <c r="M26" s="61">
        <f>IFERROR(INDEX(TableRBMaster[Custom],MATCH(TableRBCalcPts[[#This Row],[RBRef]],TableRBMaster[RBRef],0)),"")</f>
        <v>37.926964521529364</v>
      </c>
      <c r="O26" s="60">
        <f>IFERROR(RANK(TableWRCalcPts[[#This Row],[Custom]],TableWRCalcPts[Custom])+COUNTIF($T$3:T26,T26)-1,"")</f>
        <v>46</v>
      </c>
      <c r="P26" s="60">
        <v>24</v>
      </c>
      <c r="Q26" s="60" t="str">
        <f>IFERROR(INDEX(TableWRMaster[Player],MATCH(TableWRCalcPts[[#This Row],[WRRef]],TableWRMaster[WRRef],0)),"")</f>
        <v>Jonathan Mingo</v>
      </c>
      <c r="R26" s="60" t="str">
        <f>IFERROR(INDEX(TableWRMaster[TM],MATCH(TableWRCalcPts[[#This Row],[WRRef]],TableWRMaster[WRRef],0)),"")</f>
        <v>CAR</v>
      </c>
      <c r="S26" s="60">
        <f>IFERROR(INDEX(TableWRMaster[BYE],MATCH(TableWRCalcPts[[#This Row],[WRRef]],TableWRMaster[WRRef],0)),"")</f>
        <v>7</v>
      </c>
      <c r="T26" s="61">
        <f>IFERROR(INDEX(TableWRMaster[Custom],MATCH(TableWRCalcPts[[#This Row],[WRRef]],TableWRMaster[WRRef],0)),"")</f>
        <v>147.26314162241712</v>
      </c>
      <c r="V26" s="60">
        <f>IFERROR(RANK(TableTECalcPts[[#This Row],[Custom]],TableTECalcPts[Custom])+COUNTIF($AA$3:AA26,AA26)-1,"")</f>
        <v>53</v>
      </c>
      <c r="W26" s="60">
        <v>24</v>
      </c>
      <c r="X26" s="60" t="str">
        <f>IFERROR(INDEX(TableTEMaster[Player],MATCH(TableTECalcPts[[#This Row],[TERef]],TableTEMaster[TERef],0)),"")</f>
        <v>Peyton Hendershot</v>
      </c>
      <c r="Y26" s="60" t="str">
        <f>IFERROR(INDEX(TableTEMaster[TM],MATCH(TableTECalcPts[[#This Row],[TERef]],TableTEMaster[TERef],0)),"")</f>
        <v>DAL</v>
      </c>
      <c r="Z26" s="60">
        <f>IFERROR(INDEX(TableTEMaster[BYE],MATCH(TableTECalcPts[[#This Row],[TERef]],TableTEMaster[TERef],0)),"")</f>
        <v>7</v>
      </c>
      <c r="AA26" s="61">
        <f>IFERROR(INDEX(TableTEMaster[Custom],MATCH(TableTECalcPts[[#This Row],[TERef]],TableTEMaster[TERef],0)),"")</f>
        <v>28.504394505953329</v>
      </c>
      <c r="AC26" s="60">
        <f>IFERROR(RANK(TableDSTCalcPts[[#This Row],[Custom]],TableDSTCalcPts[Custom],0),"")</f>
        <v>16</v>
      </c>
      <c r="AD26" s="60">
        <v>24</v>
      </c>
      <c r="AE26" s="60" t="str">
        <f>IFERROR(INDEX(TableDSTMaster[Player],MATCH(TableDSTCalcPts[[#This Row],[DSTRef]],TableDSTMaster[DSTRef],0)),"")</f>
        <v>New York Giants</v>
      </c>
      <c r="AF26" s="60">
        <f>IFERROR(INDEX(TableDSTMaster[BYE],MATCH(TableDSTCalcPts[[#This Row],[DSTRef]],TableDSTMaster[DSTRef],0)),"")</f>
        <v>13</v>
      </c>
      <c r="AG26" s="61">
        <f>IFERROR(INDEX(TableDSTMaster[Custom],MATCH(TableDSTCalcPts[[#This Row],[DSTRef]],TableDSTMaster[DSTRef],0)),"")</f>
        <v>120.09913128725302</v>
      </c>
      <c r="AI26" s="60" t="s">
        <v>10</v>
      </c>
      <c r="AJ26" s="60">
        <f>IFERROR(RANK(TableWRTECalcPts[[#This Row],[Custom]],TableWRTECalcPts[Custom])+COUNTIF($AP$3:AP26,AP26)-1,"")</f>
        <v>180</v>
      </c>
      <c r="AK26" s="60">
        <v>24</v>
      </c>
      <c r="AL26" s="60" t="str">
        <f>IFERROR(INDEX(TableTEMaster[Player],MATCH(TableWRTECalcPts[[#This Row],[POSRef]],TableTEMaster[TERef],0)),"")</f>
        <v>Peyton Hendershot</v>
      </c>
      <c r="AM26" s="60" t="str">
        <f>IFERROR(_xlfn.CONCAT(TableWRTECalcPts[[#This Row],[POS]],INDEX(TableTERanks[RK],MATCH(TableWRTECalcPts[[#This Row],[PLAYER]],TableTERanks[Player],0))),"")</f>
        <v>TE53</v>
      </c>
      <c r="AN26" s="60" t="str">
        <f>IFERROR(INDEX(TableTEMaster[TM],MATCH(TableWRTECalcPts[[#This Row],[POSRef]],TableTEMaster[TERef],0)),"")</f>
        <v>DAL</v>
      </c>
      <c r="AO26" s="60">
        <f>IFERROR(INDEX(TableTEMaster[BYE],MATCH(TableWRTECalcPts[[#This Row],[POSRef]],TableTEMaster[TERef],0)),"")</f>
        <v>7</v>
      </c>
      <c r="AP26" s="61">
        <f>IFERROR(INDEX(TableTEMaster[Custom],MATCH(TableWRTECalcPts[[#This Row],[POSRef]],TableTEMaster[TERef],0)),"")</f>
        <v>28.504394505953329</v>
      </c>
    </row>
    <row r="27" spans="1:42" x14ac:dyDescent="0.2">
      <c r="A27" s="62">
        <f>IFERROR(RANK(TableQBCalcPts[[#This Row],[Custom]],TableQBCalcPts[Custom])+COUNTIF($F$3:F27,F27)-1,"")</f>
        <v>65</v>
      </c>
      <c r="B27" s="60">
        <v>25</v>
      </c>
      <c r="C27" s="60" t="str">
        <f>IFERROR(INDEX(TableQBMaster[Player],MATCH(TableQBCalcPts[[#This Row],[QBRef]],TableQBMaster[QBRef],0)),"")</f>
        <v>Sean Clifford</v>
      </c>
      <c r="D27" s="60" t="str">
        <f>IFERROR(INDEX(TableQBMaster[TM],MATCH(TableQBCalcPts[[#This Row],[QBRef]],TableQBMaster[QBRef],0)),"")</f>
        <v>GB</v>
      </c>
      <c r="E27" s="60">
        <f>IFERROR(INDEX(TableQBMaster[BYE],MATCH(TableQBCalcPts[[#This Row],[QBRef]],TableQBMaster[QBRef],0)),"")</f>
        <v>6</v>
      </c>
      <c r="F27" s="61">
        <f>IFERROR(INDEX(TableQBMaster[Custom],MATCH(TableQBCalcPts[[#This Row],[QBRef]],TableQBMaster[QBRef],0)),"")</f>
        <v>2.2216458982080018</v>
      </c>
      <c r="H27" s="60">
        <f>IFERROR(RANK(TableRBCalcPts[[#This Row],[Custom]],TableRBCalcPts[Custom])+COUNTIF($M$3:M27,M27)-1,"")</f>
        <v>3</v>
      </c>
      <c r="I27" s="60">
        <v>25</v>
      </c>
      <c r="J27" s="60" t="str">
        <f>IFERROR(INDEX(TableRBMaster[Player],MATCH(TableRBCalcPts[[#This Row],[RBRef]],TableRBMaster[RBRef],0)),"")</f>
        <v>Nick Chubb</v>
      </c>
      <c r="K27" s="60" t="str">
        <f>IFERROR(INDEX(TableRBMaster[TM],MATCH(TableRBCalcPts[[#This Row],[RBRef]],TableRBMaster[RBRef],0)),"")</f>
        <v>CLE</v>
      </c>
      <c r="L27" s="60">
        <f>IFERROR(INDEX(TableRBMaster[BYE],MATCH(TableRBCalcPts[[#This Row],[RBRef]],TableRBMaster[RBRef],0)),"")</f>
        <v>5</v>
      </c>
      <c r="M27" s="61">
        <f>IFERROR(INDEX(TableRBMaster[Custom],MATCH(TableRBCalcPts[[#This Row],[RBRef]],TableRBMaster[RBRef],0)),"")</f>
        <v>265.48568433042442</v>
      </c>
      <c r="O27" s="60">
        <f>IFERROR(RANK(TableWRCalcPts[[#This Row],[Custom]],TableWRCalcPts[Custom])+COUNTIF($T$3:T27,T27)-1,"")</f>
        <v>90</v>
      </c>
      <c r="P27" s="60">
        <v>25</v>
      </c>
      <c r="Q27" s="60" t="str">
        <f>IFERROR(INDEX(TableWRMaster[Player],MATCH(TableWRCalcPts[[#This Row],[WRRef]],TableWRMaster[WRRef],0)),"")</f>
        <v>Terrace Marshall</v>
      </c>
      <c r="R27" s="60" t="str">
        <f>IFERROR(INDEX(TableWRMaster[TM],MATCH(TableWRCalcPts[[#This Row],[WRRef]],TableWRMaster[WRRef],0)),"")</f>
        <v>CAR</v>
      </c>
      <c r="S27" s="60">
        <f>IFERROR(INDEX(TableWRMaster[BYE],MATCH(TableWRCalcPts[[#This Row],[WRRef]],TableWRMaster[WRRef],0)),"")</f>
        <v>7</v>
      </c>
      <c r="T27" s="61">
        <f>IFERROR(INDEX(TableWRMaster[Custom],MATCH(TableWRCalcPts[[#This Row],[WRRef]],TableWRMaster[WRRef],0)),"")</f>
        <v>79.745267232922856</v>
      </c>
      <c r="V27" s="60">
        <f>IFERROR(RANK(TableTECalcPts[[#This Row],[Custom]],TableTECalcPts[Custom])+COUNTIF($AA$3:AA27,AA27)-1,"")</f>
        <v>50</v>
      </c>
      <c r="W27" s="60">
        <v>25</v>
      </c>
      <c r="X27" s="60" t="str">
        <f>IFERROR(INDEX(TableTEMaster[Player],MATCH(TableTECalcPts[[#This Row],[TERef]],TableTEMaster[TERef],0)),"")</f>
        <v>Luke Schoonmaker</v>
      </c>
      <c r="Y27" s="60" t="str">
        <f>IFERROR(INDEX(TableTEMaster[TM],MATCH(TableTECalcPts[[#This Row],[TERef]],TableTEMaster[TERef],0)),"")</f>
        <v>DAL</v>
      </c>
      <c r="Z27" s="60">
        <f>IFERROR(INDEX(TableTEMaster[BYE],MATCH(TableTECalcPts[[#This Row],[TERef]],TableTEMaster[TERef],0)),"")</f>
        <v>7</v>
      </c>
      <c r="AA27" s="61">
        <f>IFERROR(INDEX(TableTEMaster[Custom],MATCH(TableTECalcPts[[#This Row],[TERef]],TableTEMaster[TERef],0)),"")</f>
        <v>31.070588099084844</v>
      </c>
      <c r="AC27" s="60">
        <f>IFERROR(RANK(TableDSTCalcPts[[#This Row],[Custom]],TableDSTCalcPts[Custom],0),"")</f>
        <v>25</v>
      </c>
      <c r="AD27" s="60">
        <v>25</v>
      </c>
      <c r="AE27" s="60" t="str">
        <f>IFERROR(INDEX(TableDSTMaster[Player],MATCH(TableDSTCalcPts[[#This Row],[DSTRef]],TableDSTMaster[DSTRef],0)),"")</f>
        <v>New York Jets</v>
      </c>
      <c r="AF27" s="60">
        <f>IFERROR(INDEX(TableDSTMaster[BYE],MATCH(TableDSTCalcPts[[#This Row],[DSTRef]],TableDSTMaster[DSTRef],0)),"")</f>
        <v>7</v>
      </c>
      <c r="AG27" s="61">
        <f>IFERROR(INDEX(TableDSTMaster[Custom],MATCH(TableDSTCalcPts[[#This Row],[DSTRef]],TableDSTMaster[DSTRef],0)),"")</f>
        <v>114.78542567326758</v>
      </c>
      <c r="AI27" s="60" t="s">
        <v>10</v>
      </c>
      <c r="AJ27" s="60">
        <f>IFERROR(RANK(TableWRTECalcPts[[#This Row],[Custom]],TableWRTECalcPts[Custom])+COUNTIF($AP$3:AP27,AP27)-1,"")</f>
        <v>175</v>
      </c>
      <c r="AK27" s="60">
        <v>25</v>
      </c>
      <c r="AL27" s="60" t="str">
        <f>IFERROR(INDEX(TableTEMaster[Player],MATCH(TableWRTECalcPts[[#This Row],[POSRef]],TableTEMaster[TERef],0)),"")</f>
        <v>Luke Schoonmaker</v>
      </c>
      <c r="AM27" s="60" t="str">
        <f>IFERROR(_xlfn.CONCAT(TableWRTECalcPts[[#This Row],[POS]],INDEX(TableTERanks[RK],MATCH(TableWRTECalcPts[[#This Row],[PLAYER]],TableTERanks[Player],0))),"")</f>
        <v>TE50</v>
      </c>
      <c r="AN27" s="60" t="str">
        <f>IFERROR(INDEX(TableTEMaster[TM],MATCH(TableWRTECalcPts[[#This Row],[POSRef]],TableTEMaster[TERef],0)),"")</f>
        <v>DAL</v>
      </c>
      <c r="AO27" s="60">
        <f>IFERROR(INDEX(TableTEMaster[BYE],MATCH(TableWRTECalcPts[[#This Row],[POSRef]],TableTEMaster[TERef],0)),"")</f>
        <v>7</v>
      </c>
      <c r="AP27" s="61">
        <f>IFERROR(INDEX(TableTEMaster[Custom],MATCH(TableWRTECalcPts[[#This Row],[POSRef]],TableTEMaster[TERef],0)),"")</f>
        <v>31.070588099084844</v>
      </c>
    </row>
    <row r="28" spans="1:42" x14ac:dyDescent="0.2">
      <c r="A28" s="62">
        <f>IFERROR(RANK(TableQBCalcPts[[#This Row],[Custom]],TableQBCalcPts[Custom])+COUNTIF($F$3:F28,F28)-1,"")</f>
        <v>57</v>
      </c>
      <c r="B28" s="60">
        <v>26</v>
      </c>
      <c r="C28" s="60" t="str">
        <f>IFERROR(INDEX(TableQBMaster[Player],MATCH(TableQBCalcPts[[#This Row],[QBRef]],TableQBMaster[QBRef],0)),"")</f>
        <v>Davis Mills</v>
      </c>
      <c r="D28" s="60" t="str">
        <f>IFERROR(INDEX(TableQBMaster[TM],MATCH(TableQBCalcPts[[#This Row],[QBRef]],TableQBMaster[QBRef],0)),"")</f>
        <v>HOU</v>
      </c>
      <c r="E28" s="60">
        <f>IFERROR(INDEX(TableQBMaster[BYE],MATCH(TableQBCalcPts[[#This Row],[QBRef]],TableQBMaster[QBRef],0)),"")</f>
        <v>7</v>
      </c>
      <c r="F28" s="61">
        <f>IFERROR(INDEX(TableQBMaster[Custom],MATCH(TableQBCalcPts[[#This Row],[QBRef]],TableQBMaster[QBRef],0)),"")</f>
        <v>6.0265679597533444</v>
      </c>
      <c r="H28" s="60">
        <f>IFERROR(RANK(TableRBCalcPts[[#This Row],[Custom]],TableRBCalcPts[Custom])+COUNTIF($M$3:M28,M28)-1,"")</f>
        <v>72</v>
      </c>
      <c r="I28" s="60">
        <v>26</v>
      </c>
      <c r="J28" s="60" t="str">
        <f>IFERROR(INDEX(TableRBMaster[Player],MATCH(TableRBCalcPts[[#This Row],[RBRef]],TableRBMaster[RBRef],0)),"")</f>
        <v>Jerome Ford</v>
      </c>
      <c r="K28" s="60" t="str">
        <f>IFERROR(INDEX(TableRBMaster[TM],MATCH(TableRBCalcPts[[#This Row],[RBRef]],TableRBMaster[RBRef],0)),"")</f>
        <v>CLE</v>
      </c>
      <c r="L28" s="60">
        <f>IFERROR(INDEX(TableRBMaster[BYE],MATCH(TableRBCalcPts[[#This Row],[RBRef]],TableRBMaster[RBRef],0)),"")</f>
        <v>5</v>
      </c>
      <c r="M28" s="61">
        <f>IFERROR(INDEX(TableRBMaster[Custom],MATCH(TableRBCalcPts[[#This Row],[RBRef]],TableRBMaster[RBRef],0)),"")</f>
        <v>55.672108526486717</v>
      </c>
      <c r="O28" s="60">
        <f>IFERROR(RANK(TableWRCalcPts[[#This Row],[Custom]],TableWRCalcPts[Custom])+COUNTIF($T$3:T28,T28)-1,"")</f>
        <v>83</v>
      </c>
      <c r="P28" s="60">
        <v>26</v>
      </c>
      <c r="Q28" s="60" t="str">
        <f>IFERROR(INDEX(TableWRMaster[Player],MATCH(TableWRCalcPts[[#This Row],[WRRef]],TableWRMaster[WRRef],0)),"")</f>
        <v>Laviska Shenault</v>
      </c>
      <c r="R28" s="60" t="str">
        <f>IFERROR(INDEX(TableWRMaster[TM],MATCH(TableWRCalcPts[[#This Row],[WRRef]],TableWRMaster[WRRef],0)),"")</f>
        <v>CAR</v>
      </c>
      <c r="S28" s="60">
        <f>IFERROR(INDEX(TableWRMaster[BYE],MATCH(TableWRCalcPts[[#This Row],[WRRef]],TableWRMaster[WRRef],0)),"")</f>
        <v>7</v>
      </c>
      <c r="T28" s="61">
        <f>IFERROR(INDEX(TableWRMaster[Custom],MATCH(TableWRCalcPts[[#This Row],[WRRef]],TableWRMaster[WRRef],0)),"")</f>
        <v>90.290516206634649</v>
      </c>
      <c r="V28" s="60">
        <f>IFERROR(RANK(TableTECalcPts[[#This Row],[Custom]],TableTECalcPts[Custom])+COUNTIF($AA$3:AA28,AA28)-1,"")</f>
        <v>28</v>
      </c>
      <c r="W28" s="60">
        <v>26</v>
      </c>
      <c r="X28" s="60" t="str">
        <f>IFERROR(INDEX(TableTEMaster[Player],MATCH(TableTECalcPts[[#This Row],[TERef]],TableTEMaster[TERef],0)),"")</f>
        <v>Greg Dulcich</v>
      </c>
      <c r="Y28" s="60" t="str">
        <f>IFERROR(INDEX(TableTEMaster[TM],MATCH(TableTECalcPts[[#This Row],[TERef]],TableTEMaster[TERef],0)),"")</f>
        <v>DEN</v>
      </c>
      <c r="Z28" s="60">
        <f>IFERROR(INDEX(TableTEMaster[BYE],MATCH(TableTECalcPts[[#This Row],[TERef]],TableTEMaster[TERef],0)),"")</f>
        <v>9</v>
      </c>
      <c r="AA28" s="61">
        <f>IFERROR(INDEX(TableTEMaster[Custom],MATCH(TableTECalcPts[[#This Row],[TERef]],TableTEMaster[TERef],0)),"")</f>
        <v>86.581473187303459</v>
      </c>
      <c r="AC28" s="60">
        <f>IFERROR(RANK(TableDSTCalcPts[[#This Row],[Custom]],TableDSTCalcPts[Custom],0),"")</f>
        <v>2</v>
      </c>
      <c r="AD28" s="60">
        <v>26</v>
      </c>
      <c r="AE28" s="60" t="str">
        <f>IFERROR(INDEX(TableDSTMaster[Player],MATCH(TableDSTCalcPts[[#This Row],[DSTRef]],TableDSTMaster[DSTRef],0)),"")</f>
        <v>Philadelphia Eagles</v>
      </c>
      <c r="AF28" s="60">
        <f>IFERROR(INDEX(TableDSTMaster[BYE],MATCH(TableDSTCalcPts[[#This Row],[DSTRef]],TableDSTMaster[DSTRef],0)),"")</f>
        <v>10</v>
      </c>
      <c r="AG28" s="61">
        <f>IFERROR(INDEX(TableDSTMaster[Custom],MATCH(TableDSTCalcPts[[#This Row],[DSTRef]],TableDSTMaster[DSTRef],0)),"")</f>
        <v>135.55508675668193</v>
      </c>
      <c r="AI28" s="60" t="s">
        <v>10</v>
      </c>
      <c r="AJ28" s="60">
        <f>IFERROR(RANK(TableWRTECalcPts[[#This Row],[Custom]],TableWRTECalcPts[Custom])+COUNTIF($AP$3:AP28,AP28)-1,"")</f>
        <v>115</v>
      </c>
      <c r="AK28" s="60">
        <v>26</v>
      </c>
      <c r="AL28" s="60" t="str">
        <f>IFERROR(INDEX(TableTEMaster[Player],MATCH(TableWRTECalcPts[[#This Row],[POSRef]],TableTEMaster[TERef],0)),"")</f>
        <v>Greg Dulcich</v>
      </c>
      <c r="AM28" s="60" t="str">
        <f>IFERROR(_xlfn.CONCAT(TableWRTECalcPts[[#This Row],[POS]],INDEX(TableTERanks[RK],MATCH(TableWRTECalcPts[[#This Row],[PLAYER]],TableTERanks[Player],0))),"")</f>
        <v>TE28</v>
      </c>
      <c r="AN28" s="60" t="str">
        <f>IFERROR(INDEX(TableTEMaster[TM],MATCH(TableWRTECalcPts[[#This Row],[POSRef]],TableTEMaster[TERef],0)),"")</f>
        <v>DEN</v>
      </c>
      <c r="AO28" s="60">
        <f>IFERROR(INDEX(TableTEMaster[BYE],MATCH(TableWRTECalcPts[[#This Row],[POSRef]],TableTEMaster[TERef],0)),"")</f>
        <v>9</v>
      </c>
      <c r="AP28" s="61">
        <f>IFERROR(INDEX(TableTEMaster[Custom],MATCH(TableWRTECalcPts[[#This Row],[POSRef]],TableTEMaster[TERef],0)),"")</f>
        <v>86.581473187303459</v>
      </c>
    </row>
    <row r="29" spans="1:42" x14ac:dyDescent="0.2">
      <c r="A29" s="62">
        <f>IFERROR(RANK(TableQBCalcPts[[#This Row],[Custom]],TableQBCalcPts[Custom])+COUNTIF($F$3:F29,F29)-1,"")</f>
        <v>27</v>
      </c>
      <c r="B29" s="60">
        <v>27</v>
      </c>
      <c r="C29" s="60" t="str">
        <f>IFERROR(INDEX(TableQBMaster[Player],MATCH(TableQBCalcPts[[#This Row],[QBRef]],TableQBMaster[QBRef],0)),"")</f>
        <v>C.J. Stroud</v>
      </c>
      <c r="D29" s="60" t="str">
        <f>IFERROR(INDEX(TableQBMaster[TM],MATCH(TableQBCalcPts[[#This Row],[QBRef]],TableQBMaster[QBRef],0)),"")</f>
        <v>HOU</v>
      </c>
      <c r="E29" s="60">
        <f>IFERROR(INDEX(TableQBMaster[BYE],MATCH(TableQBCalcPts[[#This Row],[QBRef]],TableQBMaster[QBRef],0)),"")</f>
        <v>7</v>
      </c>
      <c r="F29" s="61">
        <f>IFERROR(INDEX(TableQBMaster[Custom],MATCH(TableQBCalcPts[[#This Row],[QBRef]],TableQBMaster[QBRef],0)),"")</f>
        <v>258.30035640895341</v>
      </c>
      <c r="H29" s="60">
        <f>IFERROR(RANK(TableRBCalcPts[[#This Row],[Custom]],TableRBCalcPts[Custom])+COUNTIF($M$3:M29,M29)-1,"")</f>
        <v>68</v>
      </c>
      <c r="I29" s="60">
        <v>27</v>
      </c>
      <c r="J29" s="60" t="str">
        <f>IFERROR(INDEX(TableRBMaster[Player],MATCH(TableRBCalcPts[[#This Row],[RBRef]],TableRBMaster[RBRef],0)),"")</f>
        <v>Pierre Strong</v>
      </c>
      <c r="K29" s="60" t="str">
        <f>IFERROR(INDEX(TableRBMaster[TM],MATCH(TableRBCalcPts[[#This Row],[RBRef]],TableRBMaster[RBRef],0)),"")</f>
        <v>CLE</v>
      </c>
      <c r="L29" s="60">
        <f>IFERROR(INDEX(TableRBMaster[BYE],MATCH(TableRBCalcPts[[#This Row],[RBRef]],TableRBMaster[RBRef],0)),"")</f>
        <v>5</v>
      </c>
      <c r="M29" s="61">
        <f>IFERROR(INDEX(TableRBMaster[Custom],MATCH(TableRBCalcPts[[#This Row],[RBRef]],TableRBMaster[RBRef],0)),"")</f>
        <v>63.675737980142394</v>
      </c>
      <c r="O29" s="60">
        <f>IFERROR(RANK(TableWRCalcPts[[#This Row],[Custom]],TableWRCalcPts[Custom])+COUNTIF($T$3:T29,T29)-1,"")</f>
        <v>25</v>
      </c>
      <c r="P29" s="60">
        <v>27</v>
      </c>
      <c r="Q29" s="60" t="str">
        <f>IFERROR(INDEX(TableWRMaster[Player],MATCH(TableWRCalcPts[[#This Row],[WRRef]],TableWRMaster[WRRef],0)),"")</f>
        <v>DJ Moore</v>
      </c>
      <c r="R29" s="60" t="str">
        <f>IFERROR(INDEX(TableWRMaster[TM],MATCH(TableWRCalcPts[[#This Row],[WRRef]],TableWRMaster[WRRef],0)),"")</f>
        <v>CHI</v>
      </c>
      <c r="S29" s="60">
        <f>IFERROR(INDEX(TableWRMaster[BYE],MATCH(TableWRCalcPts[[#This Row],[WRRef]],TableWRMaster[WRRef],0)),"")</f>
        <v>13</v>
      </c>
      <c r="T29" s="61">
        <f>IFERROR(INDEX(TableWRMaster[Custom],MATCH(TableWRCalcPts[[#This Row],[WRRef]],TableWRMaster[WRRef],0)),"")</f>
        <v>182.80721027452122</v>
      </c>
      <c r="V29" s="60">
        <f>IFERROR(RANK(TableTECalcPts[[#This Row],[Custom]],TableTECalcPts[Custom])+COUNTIF($AA$3:AA29,AA29)-1,"")</f>
        <v>69</v>
      </c>
      <c r="W29" s="60">
        <v>27</v>
      </c>
      <c r="X29" s="60" t="str">
        <f>IFERROR(INDEX(TableTEMaster[Player],MATCH(TableTECalcPts[[#This Row],[TERef]],TableTEMaster[TERef],0)),"")</f>
        <v>Chris Manhertz</v>
      </c>
      <c r="Y29" s="60" t="str">
        <f>IFERROR(INDEX(TableTEMaster[TM],MATCH(TableTECalcPts[[#This Row],[TERef]],TableTEMaster[TERef],0)),"")</f>
        <v>DEN</v>
      </c>
      <c r="Z29" s="60">
        <f>IFERROR(INDEX(TableTEMaster[BYE],MATCH(TableTECalcPts[[#This Row],[TERef]],TableTEMaster[TERef],0)),"")</f>
        <v>9</v>
      </c>
      <c r="AA29" s="61">
        <f>IFERROR(INDEX(TableTEMaster[Custom],MATCH(TableTECalcPts[[#This Row],[TERef]],TableTEMaster[TERef],0)),"")</f>
        <v>16.832874630670773</v>
      </c>
      <c r="AC29" s="60">
        <f>IFERROR(RANK(TableDSTCalcPts[[#This Row],[Custom]],TableDSTCalcPts[Custom],0),"")</f>
        <v>5</v>
      </c>
      <c r="AD29" s="60">
        <v>27</v>
      </c>
      <c r="AE29" s="60" t="str">
        <f>IFERROR(INDEX(TableDSTMaster[Player],MATCH(TableDSTCalcPts[[#This Row],[DSTRef]],TableDSTMaster[DSTRef],0)),"")</f>
        <v>Pittsburgh Steelers</v>
      </c>
      <c r="AF29" s="60">
        <f>IFERROR(INDEX(TableDSTMaster[BYE],MATCH(TableDSTCalcPts[[#This Row],[DSTRef]],TableDSTMaster[DSTRef],0)),"")</f>
        <v>6</v>
      </c>
      <c r="AG29" s="61">
        <f>IFERROR(INDEX(TableDSTMaster[Custom],MATCH(TableDSTCalcPts[[#This Row],[DSTRef]],TableDSTMaster[DSTRef],0)),"")</f>
        <v>128.41002471044513</v>
      </c>
      <c r="AI29" s="60" t="s">
        <v>10</v>
      </c>
      <c r="AJ29" s="60">
        <f>IFERROR(RANK(TableWRTECalcPts[[#This Row],[Custom]],TableWRTECalcPts[Custom])+COUNTIF($AP$3:AP29,AP29)-1,"")</f>
        <v>215</v>
      </c>
      <c r="AK29" s="60">
        <v>27</v>
      </c>
      <c r="AL29" s="60" t="str">
        <f>IFERROR(INDEX(TableTEMaster[Player],MATCH(TableWRTECalcPts[[#This Row],[POSRef]],TableTEMaster[TERef],0)),"")</f>
        <v>Chris Manhertz</v>
      </c>
      <c r="AM29" s="60" t="str">
        <f>IFERROR(_xlfn.CONCAT(TableWRTECalcPts[[#This Row],[POS]],INDEX(TableTERanks[RK],MATCH(TableWRTECalcPts[[#This Row],[PLAYER]],TableTERanks[Player],0))),"")</f>
        <v>TE69</v>
      </c>
      <c r="AN29" s="60" t="str">
        <f>IFERROR(INDEX(TableTEMaster[TM],MATCH(TableWRTECalcPts[[#This Row],[POSRef]],TableTEMaster[TERef],0)),"")</f>
        <v>DEN</v>
      </c>
      <c r="AO29" s="60">
        <f>IFERROR(INDEX(TableTEMaster[BYE],MATCH(TableWRTECalcPts[[#This Row],[POSRef]],TableTEMaster[TERef],0)),"")</f>
        <v>9</v>
      </c>
      <c r="AP29" s="61">
        <f>IFERROR(INDEX(TableTEMaster[Custom],MATCH(TableWRTECalcPts[[#This Row],[POSRef]],TableTEMaster[TERef],0)),"")</f>
        <v>16.832874630670773</v>
      </c>
    </row>
    <row r="30" spans="1:42" x14ac:dyDescent="0.2">
      <c r="A30" s="62">
        <f>IFERROR(RANK(TableQBCalcPts[[#This Row],[Custom]],TableQBCalcPts[Custom])+COUNTIF($F$3:F30,F30)-1,"")</f>
        <v>10</v>
      </c>
      <c r="B30" s="60">
        <v>28</v>
      </c>
      <c r="C30" s="60" t="str">
        <f>IFERROR(INDEX(TableQBMaster[Player],MATCH(TableQBCalcPts[[#This Row],[QBRef]],TableQBMaster[QBRef],0)),"")</f>
        <v>Anthony Richardson</v>
      </c>
      <c r="D30" s="60" t="str">
        <f>IFERROR(INDEX(TableQBMaster[TM],MATCH(TableQBCalcPts[[#This Row],[QBRef]],TableQBMaster[QBRef],0)),"")</f>
        <v>IND</v>
      </c>
      <c r="E30" s="60">
        <f>IFERROR(INDEX(TableQBMaster[BYE],MATCH(TableQBCalcPts[[#This Row],[QBRef]],TableQBMaster[QBRef],0)),"")</f>
        <v>11</v>
      </c>
      <c r="F30" s="61">
        <f>IFERROR(INDEX(TableQBMaster[Custom],MATCH(TableQBCalcPts[[#This Row],[QBRef]],TableQBMaster[QBRef],0)),"")</f>
        <v>317.19789503289041</v>
      </c>
      <c r="H30" s="60">
        <f>IFERROR(RANK(TableRBCalcPts[[#This Row],[Custom]],TableRBCalcPts[Custom])+COUNTIF($M$3:M30,M30)-1,"")</f>
        <v>6</v>
      </c>
      <c r="I30" s="60">
        <v>28</v>
      </c>
      <c r="J30" s="60" t="str">
        <f>IFERROR(INDEX(TableRBMaster[Player],MATCH(TableRBCalcPts[[#This Row],[RBRef]],TableRBMaster[RBRef],0)),"")</f>
        <v>Tony Pollard</v>
      </c>
      <c r="K30" s="60" t="str">
        <f>IFERROR(INDEX(TableRBMaster[TM],MATCH(TableRBCalcPts[[#This Row],[RBRef]],TableRBMaster[RBRef],0)),"")</f>
        <v>DAL</v>
      </c>
      <c r="L30" s="60">
        <f>IFERROR(INDEX(TableRBMaster[BYE],MATCH(TableRBCalcPts[[#This Row],[RBRef]],TableRBMaster[RBRef],0)),"")</f>
        <v>7</v>
      </c>
      <c r="M30" s="61">
        <f>IFERROR(INDEX(TableRBMaster[Custom],MATCH(TableRBCalcPts[[#This Row],[RBRef]],TableRBMaster[RBRef],0)),"")</f>
        <v>254.78691973258191</v>
      </c>
      <c r="O30" s="60">
        <f>IFERROR(RANK(TableWRCalcPts[[#This Row],[Custom]],TableWRCalcPts[Custom])+COUNTIF($T$3:T30,T30)-1,"")</f>
        <v>74</v>
      </c>
      <c r="P30" s="60">
        <v>28</v>
      </c>
      <c r="Q30" s="60" t="str">
        <f>IFERROR(INDEX(TableWRMaster[Player],MATCH(TableWRCalcPts[[#This Row],[WRRef]],TableWRMaster[WRRef],0)),"")</f>
        <v>Darnell Mooney</v>
      </c>
      <c r="R30" s="60" t="str">
        <f>IFERROR(INDEX(TableWRMaster[TM],MATCH(TableWRCalcPts[[#This Row],[WRRef]],TableWRMaster[WRRef],0)),"")</f>
        <v>CHI</v>
      </c>
      <c r="S30" s="60">
        <f>IFERROR(INDEX(TableWRMaster[BYE],MATCH(TableWRCalcPts[[#This Row],[WRRef]],TableWRMaster[WRRef],0)),"")</f>
        <v>13</v>
      </c>
      <c r="T30" s="61">
        <f>IFERROR(INDEX(TableWRMaster[Custom],MATCH(TableWRCalcPts[[#This Row],[WRRef]],TableWRMaster[WRRef],0)),"")</f>
        <v>96.007529586463335</v>
      </c>
      <c r="V30" s="60">
        <f>IFERROR(RANK(TableTECalcPts[[#This Row],[Custom]],TableTECalcPts[Custom])+COUNTIF($AA$3:AA30,AA30)-1,"")</f>
        <v>36</v>
      </c>
      <c r="W30" s="60">
        <v>28</v>
      </c>
      <c r="X30" s="60" t="str">
        <f>IFERROR(INDEX(TableTEMaster[Player],MATCH(TableTECalcPts[[#This Row],[TERef]],TableTEMaster[TERef],0)),"")</f>
        <v>Adam Trautman</v>
      </c>
      <c r="Y30" s="60" t="str">
        <f>IFERROR(INDEX(TableTEMaster[TM],MATCH(TableTECalcPts[[#This Row],[TERef]],TableTEMaster[TERef],0)),"")</f>
        <v>DEN</v>
      </c>
      <c r="Z30" s="60">
        <f>IFERROR(INDEX(TableTEMaster[BYE],MATCH(TableTECalcPts[[#This Row],[TERef]],TableTEMaster[TERef],0)),"")</f>
        <v>9</v>
      </c>
      <c r="AA30" s="61">
        <f>IFERROR(INDEX(TableTEMaster[Custom],MATCH(TableTECalcPts[[#This Row],[TERef]],TableTEMaster[TERef],0)),"")</f>
        <v>66.361537245636754</v>
      </c>
      <c r="AC30" s="60">
        <f>IFERROR(RANK(TableDSTCalcPts[[#This Row],[Custom]],TableDSTCalcPts[Custom],0),"")</f>
        <v>8</v>
      </c>
      <c r="AD30" s="60">
        <v>28</v>
      </c>
      <c r="AE30" s="60" t="str">
        <f>IFERROR(INDEX(TableDSTMaster[Player],MATCH(TableDSTCalcPts[[#This Row],[DSTRef]],TableDSTMaster[DSTRef],0)),"")</f>
        <v>San Francisco 49ers</v>
      </c>
      <c r="AF30" s="60">
        <f>IFERROR(INDEX(TableDSTMaster[BYE],MATCH(TableDSTCalcPts[[#This Row],[DSTRef]],TableDSTMaster[DSTRef],0)),"")</f>
        <v>9</v>
      </c>
      <c r="AG30" s="61">
        <f>IFERROR(INDEX(TableDSTMaster[Custom],MATCH(TableDSTCalcPts[[#This Row],[DSTRef]],TableDSTMaster[DSTRef],0)),"")</f>
        <v>125.56987455686365</v>
      </c>
      <c r="AI30" s="60" t="s">
        <v>10</v>
      </c>
      <c r="AJ30" s="60">
        <f>IFERROR(RANK(TableWRTECalcPts[[#This Row],[Custom]],TableWRTECalcPts[Custom])+COUNTIF($AP$3:AP30,AP30)-1,"")</f>
        <v>133</v>
      </c>
      <c r="AK30" s="60">
        <v>28</v>
      </c>
      <c r="AL30" s="60" t="str">
        <f>IFERROR(INDEX(TableTEMaster[Player],MATCH(TableWRTECalcPts[[#This Row],[POSRef]],TableTEMaster[TERef],0)),"")</f>
        <v>Adam Trautman</v>
      </c>
      <c r="AM30" s="60" t="str">
        <f>IFERROR(_xlfn.CONCAT(TableWRTECalcPts[[#This Row],[POS]],INDEX(TableTERanks[RK],MATCH(TableWRTECalcPts[[#This Row],[PLAYER]],TableTERanks[Player],0))),"")</f>
        <v>TE36</v>
      </c>
      <c r="AN30" s="60" t="str">
        <f>IFERROR(INDEX(TableTEMaster[TM],MATCH(TableWRTECalcPts[[#This Row],[POSRef]],TableTEMaster[TERef],0)),"")</f>
        <v>DEN</v>
      </c>
      <c r="AO30" s="60">
        <f>IFERROR(INDEX(TableTEMaster[BYE],MATCH(TableWRTECalcPts[[#This Row],[POSRef]],TableTEMaster[TERef],0)),"")</f>
        <v>9</v>
      </c>
      <c r="AP30" s="61">
        <f>IFERROR(INDEX(TableTEMaster[Custom],MATCH(TableWRTECalcPts[[#This Row],[POSRef]],TableTEMaster[TERef],0)),"")</f>
        <v>66.361537245636754</v>
      </c>
    </row>
    <row r="31" spans="1:42" x14ac:dyDescent="0.2">
      <c r="A31" s="62">
        <f>IFERROR(RANK(TableQBCalcPts[[#This Row],[Custom]],TableQBCalcPts[Custom])+COUNTIF($F$3:F31,F31)-1,"")</f>
        <v>42</v>
      </c>
      <c r="B31" s="60">
        <v>29</v>
      </c>
      <c r="C31" s="60" t="str">
        <f>IFERROR(INDEX(TableQBMaster[Player],MATCH(TableQBCalcPts[[#This Row],[QBRef]],TableQBMaster[QBRef],0)),"")</f>
        <v>Gardner Minshew</v>
      </c>
      <c r="D31" s="60" t="str">
        <f>IFERROR(INDEX(TableQBMaster[TM],MATCH(TableQBCalcPts[[#This Row],[QBRef]],TableQBMaster[QBRef],0)),"")</f>
        <v>IND</v>
      </c>
      <c r="E31" s="60">
        <f>IFERROR(INDEX(TableQBMaster[BYE],MATCH(TableQBCalcPts[[#This Row],[QBRef]],TableQBMaster[QBRef],0)),"")</f>
        <v>11</v>
      </c>
      <c r="F31" s="61">
        <f>IFERROR(INDEX(TableQBMaster[Custom],MATCH(TableQBCalcPts[[#This Row],[QBRef]],TableQBMaster[QBRef],0)),"")</f>
        <v>13.361714622133919</v>
      </c>
      <c r="H31" s="60">
        <f>IFERROR(RANK(TableRBCalcPts[[#This Row],[Custom]],TableRBCalcPts[Custom])+COUNTIF($M$3:M31,M31)-1,"")</f>
        <v>63</v>
      </c>
      <c r="I31" s="60">
        <v>29</v>
      </c>
      <c r="J31" s="60" t="str">
        <f>IFERROR(INDEX(TableRBMaster[Player],MATCH(TableRBCalcPts[[#This Row],[RBRef]],TableRBMaster[RBRef],0)),"")</f>
        <v>Rico Dowdle</v>
      </c>
      <c r="K31" s="60" t="str">
        <f>IFERROR(INDEX(TableRBMaster[TM],MATCH(TableRBCalcPts[[#This Row],[RBRef]],TableRBMaster[RBRef],0)),"")</f>
        <v>DAL</v>
      </c>
      <c r="L31" s="60">
        <f>IFERROR(INDEX(TableRBMaster[BYE],MATCH(TableRBCalcPts[[#This Row],[RBRef]],TableRBMaster[RBRef],0)),"")</f>
        <v>7</v>
      </c>
      <c r="M31" s="61">
        <f>IFERROR(INDEX(TableRBMaster[Custom],MATCH(TableRBCalcPts[[#This Row],[RBRef]],TableRBMaster[RBRef],0)),"")</f>
        <v>72.49002424290903</v>
      </c>
      <c r="O31" s="60">
        <f>IFERROR(RANK(TableWRCalcPts[[#This Row],[Custom]],TableWRCalcPts[Custom])+COUNTIF($T$3:T31,T31)-1,"")</f>
        <v>91</v>
      </c>
      <c r="P31" s="60">
        <v>29</v>
      </c>
      <c r="Q31" s="60" t="str">
        <f>IFERROR(INDEX(TableWRMaster[Player],MATCH(TableWRCalcPts[[#This Row],[WRRef]],TableWRMaster[WRRef],0)),"")</f>
        <v>Chase Claypool</v>
      </c>
      <c r="R31" s="60" t="str">
        <f>IFERROR(INDEX(TableWRMaster[TM],MATCH(TableWRCalcPts[[#This Row],[WRRef]],TableWRMaster[WRRef],0)),"")</f>
        <v>CHI</v>
      </c>
      <c r="S31" s="60">
        <f>IFERROR(INDEX(TableWRMaster[BYE],MATCH(TableWRCalcPts[[#This Row],[WRRef]],TableWRMaster[WRRef],0)),"")</f>
        <v>13</v>
      </c>
      <c r="T31" s="61">
        <f>IFERROR(INDEX(TableWRMaster[Custom],MATCH(TableWRCalcPts[[#This Row],[WRRef]],TableWRMaster[WRRef],0)),"")</f>
        <v>78.131442847366372</v>
      </c>
      <c r="V31" s="60">
        <f>IFERROR(RANK(TableTECalcPts[[#This Row],[Custom]],TableTECalcPts[Custom])+COUNTIF($AA$3:AA31,AA31)-1,"")</f>
        <v>20</v>
      </c>
      <c r="W31" s="60">
        <v>29</v>
      </c>
      <c r="X31" s="60" t="str">
        <f>IFERROR(INDEX(TableTEMaster[Player],MATCH(TableTECalcPts[[#This Row],[TERef]],TableTEMaster[TERef],0)),"")</f>
        <v>Sam LaPorta</v>
      </c>
      <c r="Y31" s="60" t="str">
        <f>IFERROR(INDEX(TableTEMaster[TM],MATCH(TableTECalcPts[[#This Row],[TERef]],TableTEMaster[TERef],0)),"")</f>
        <v>DET</v>
      </c>
      <c r="Z31" s="60">
        <f>IFERROR(INDEX(TableTEMaster[BYE],MATCH(TableTECalcPts[[#This Row],[TERef]],TableTEMaster[TERef],0)),"")</f>
        <v>9</v>
      </c>
      <c r="AA31" s="61">
        <f>IFERROR(INDEX(TableTEMaster[Custom],MATCH(TableTECalcPts[[#This Row],[TERef]],TableTEMaster[TERef],0)),"")</f>
        <v>99.61112532514457</v>
      </c>
      <c r="AC31" s="60">
        <f>IFERROR(RANK(TableDSTCalcPts[[#This Row],[Custom]],TableDSTCalcPts[Custom],0),"")</f>
        <v>9</v>
      </c>
      <c r="AD31" s="60">
        <v>29</v>
      </c>
      <c r="AE31" s="60" t="str">
        <f>IFERROR(INDEX(TableDSTMaster[Player],MATCH(TableDSTCalcPts[[#This Row],[DSTRef]],TableDSTMaster[DSTRef],0)),"")</f>
        <v>Seattle Seahawks</v>
      </c>
      <c r="AF31" s="60">
        <f>IFERROR(INDEX(TableDSTMaster[BYE],MATCH(TableDSTCalcPts[[#This Row],[DSTRef]],TableDSTMaster[DSTRef],0)),"")</f>
        <v>5</v>
      </c>
      <c r="AG31" s="61">
        <f>IFERROR(INDEX(TableDSTMaster[Custom],MATCH(TableDSTCalcPts[[#This Row],[DSTRef]],TableDSTMaster[DSTRef],0)),"")</f>
        <v>125.20347169938162</v>
      </c>
      <c r="AI31" s="60" t="s">
        <v>10</v>
      </c>
      <c r="AJ31" s="60">
        <f>IFERROR(RANK(TableWRTECalcPts[[#This Row],[Custom]],TableWRTECalcPts[Custom])+COUNTIF($AP$3:AP31,AP31)-1,"")</f>
        <v>91</v>
      </c>
      <c r="AK31" s="60">
        <v>29</v>
      </c>
      <c r="AL31" s="60" t="str">
        <f>IFERROR(INDEX(TableTEMaster[Player],MATCH(TableWRTECalcPts[[#This Row],[POSRef]],TableTEMaster[TERef],0)),"")</f>
        <v>Sam LaPorta</v>
      </c>
      <c r="AM31" s="60" t="str">
        <f>IFERROR(_xlfn.CONCAT(TableWRTECalcPts[[#This Row],[POS]],INDEX(TableTERanks[RK],MATCH(TableWRTECalcPts[[#This Row],[PLAYER]],TableTERanks[Player],0))),"")</f>
        <v>TE20</v>
      </c>
      <c r="AN31" s="60" t="str">
        <f>IFERROR(INDEX(TableTEMaster[TM],MATCH(TableWRTECalcPts[[#This Row],[POSRef]],TableTEMaster[TERef],0)),"")</f>
        <v>DET</v>
      </c>
      <c r="AO31" s="60">
        <f>IFERROR(INDEX(TableTEMaster[BYE],MATCH(TableWRTECalcPts[[#This Row],[POSRef]],TableTEMaster[TERef],0)),"")</f>
        <v>9</v>
      </c>
      <c r="AP31" s="61">
        <f>IFERROR(INDEX(TableTEMaster[Custom],MATCH(TableWRTECalcPts[[#This Row],[POSRef]],TableTEMaster[TERef],0)),"")</f>
        <v>99.61112532514457</v>
      </c>
    </row>
    <row r="32" spans="1:42" x14ac:dyDescent="0.2">
      <c r="A32" s="62">
        <f>IFERROR(RANK(TableQBCalcPts[[#This Row],[Custom]],TableQBCalcPts[Custom])+COUNTIF($F$3:F32,F32)-1,"")</f>
        <v>7</v>
      </c>
      <c r="B32" s="60">
        <v>30</v>
      </c>
      <c r="C32" s="60" t="str">
        <f>IFERROR(INDEX(TableQBMaster[Player],MATCH(TableQBCalcPts[[#This Row],[QBRef]],TableQBMaster[QBRef],0)),"")</f>
        <v>Trevor Lawrence</v>
      </c>
      <c r="D32" s="60" t="str">
        <f>IFERROR(INDEX(TableQBMaster[TM],MATCH(TableQBCalcPts[[#This Row],[QBRef]],TableQBMaster[QBRef],0)),"")</f>
        <v>JAX</v>
      </c>
      <c r="E32" s="60">
        <f>IFERROR(INDEX(TableQBMaster[BYE],MATCH(TableQBCalcPts[[#This Row],[QBRef]],TableQBMaster[QBRef],0)),"")</f>
        <v>9</v>
      </c>
      <c r="F32" s="61">
        <f>IFERROR(INDEX(TableQBMaster[Custom],MATCH(TableQBCalcPts[[#This Row],[QBRef]],TableQBMaster[QBRef],0)),"")</f>
        <v>342.58985660825209</v>
      </c>
      <c r="H32" s="60">
        <f>IFERROR(RANK(TableRBCalcPts[[#This Row],[Custom]],TableRBCalcPts[Custom])+COUNTIF($M$3:M32,M32)-1,"")</f>
        <v>44</v>
      </c>
      <c r="I32" s="60">
        <v>30</v>
      </c>
      <c r="J32" s="60" t="str">
        <f>IFERROR(INDEX(TableRBMaster[Player],MATCH(TableRBCalcPts[[#This Row],[RBRef]],TableRBMaster[RBRef],0)),"")</f>
        <v>Deuce Vaughn</v>
      </c>
      <c r="K32" s="60" t="str">
        <f>IFERROR(INDEX(TableRBMaster[TM],MATCH(TableRBCalcPts[[#This Row],[RBRef]],TableRBMaster[RBRef],0)),"")</f>
        <v>DAL</v>
      </c>
      <c r="L32" s="60">
        <f>IFERROR(INDEX(TableRBMaster[BYE],MATCH(TableRBCalcPts[[#This Row],[RBRef]],TableRBMaster[RBRef],0)),"")</f>
        <v>7</v>
      </c>
      <c r="M32" s="61">
        <f>IFERROR(INDEX(TableRBMaster[Custom],MATCH(TableRBCalcPts[[#This Row],[RBRef]],TableRBMaster[RBRef],0)),"")</f>
        <v>122.46291553605721</v>
      </c>
      <c r="O32" s="60">
        <f>IFERROR(RANK(TableWRCalcPts[[#This Row],[Custom]],TableWRCalcPts[Custom])+COUNTIF($T$3:T32,T32)-1,"")</f>
        <v>154</v>
      </c>
      <c r="P32" s="60">
        <v>30</v>
      </c>
      <c r="Q32" s="60" t="str">
        <f>IFERROR(INDEX(TableWRMaster[Player],MATCH(TableWRCalcPts[[#This Row],[WRRef]],TableWRMaster[WRRef],0)),"")</f>
        <v>Velus Jones</v>
      </c>
      <c r="R32" s="60" t="str">
        <f>IFERROR(INDEX(TableWRMaster[TM],MATCH(TableWRCalcPts[[#This Row],[WRRef]],TableWRMaster[WRRef],0)),"")</f>
        <v>CHI</v>
      </c>
      <c r="S32" s="60">
        <f>IFERROR(INDEX(TableWRMaster[BYE],MATCH(TableWRCalcPts[[#This Row],[WRRef]],TableWRMaster[WRRef],0)),"")</f>
        <v>13</v>
      </c>
      <c r="T32" s="61">
        <f>IFERROR(INDEX(TableWRMaster[Custom],MATCH(TableWRCalcPts[[#This Row],[WRRef]],TableWRMaster[WRRef],0)),"")</f>
        <v>13.617734530209351</v>
      </c>
      <c r="V32" s="60">
        <f>IFERROR(RANK(TableTECalcPts[[#This Row],[Custom]],TableTECalcPts[Custom])+COUNTIF($AA$3:AA32,AA32)-1,"")</f>
        <v>52</v>
      </c>
      <c r="W32" s="60">
        <v>30</v>
      </c>
      <c r="X32" s="60" t="str">
        <f>IFERROR(INDEX(TableTEMaster[Player],MATCH(TableTECalcPts[[#This Row],[TERef]],TableTEMaster[TERef],0)),"")</f>
        <v>James Mitchell</v>
      </c>
      <c r="Y32" s="60" t="str">
        <f>IFERROR(INDEX(TableTEMaster[TM],MATCH(TableTECalcPts[[#This Row],[TERef]],TableTEMaster[TERef],0)),"")</f>
        <v>DET</v>
      </c>
      <c r="Z32" s="60">
        <f>IFERROR(INDEX(TableTEMaster[BYE],MATCH(TableTECalcPts[[#This Row],[TERef]],TableTEMaster[TERef],0)),"")</f>
        <v>9</v>
      </c>
      <c r="AA32" s="61">
        <f>IFERROR(INDEX(TableTEMaster[Custom],MATCH(TableTECalcPts[[#This Row],[TERef]],TableTEMaster[TERef],0)),"")</f>
        <v>28.641318240820141</v>
      </c>
      <c r="AC32" s="60">
        <f>IFERROR(RANK(TableDSTCalcPts[[#This Row],[Custom]],TableDSTCalcPts[Custom],0),"")</f>
        <v>26</v>
      </c>
      <c r="AD32" s="60">
        <v>30</v>
      </c>
      <c r="AE32" s="60" t="str">
        <f>IFERROR(INDEX(TableDSTMaster[Player],MATCH(TableDSTCalcPts[[#This Row],[DSTRef]],TableDSTMaster[DSTRef],0)),"")</f>
        <v>Tampa Bay Buccaneers</v>
      </c>
      <c r="AF32" s="60">
        <f>IFERROR(INDEX(TableDSTMaster[BYE],MATCH(TableDSTCalcPts[[#This Row],[DSTRef]],TableDSTMaster[DSTRef],0)),"")</f>
        <v>5</v>
      </c>
      <c r="AG32" s="61">
        <f>IFERROR(INDEX(TableDSTMaster[Custom],MATCH(TableDSTCalcPts[[#This Row],[DSTRef]],TableDSTMaster[DSTRef],0)),"")</f>
        <v>112.98171042061145</v>
      </c>
      <c r="AI32" s="60" t="s">
        <v>10</v>
      </c>
      <c r="AJ32" s="60">
        <f>IFERROR(RANK(TableWRTECalcPts[[#This Row],[Custom]],TableWRTECalcPts[Custom])+COUNTIF($AP$3:AP32,AP32)-1,"")</f>
        <v>179</v>
      </c>
      <c r="AK32" s="60">
        <v>30</v>
      </c>
      <c r="AL32" s="60" t="str">
        <f>IFERROR(INDEX(TableTEMaster[Player],MATCH(TableWRTECalcPts[[#This Row],[POSRef]],TableTEMaster[TERef],0)),"")</f>
        <v>James Mitchell</v>
      </c>
      <c r="AM32" s="60" t="str">
        <f>IFERROR(_xlfn.CONCAT(TableWRTECalcPts[[#This Row],[POS]],INDEX(TableTERanks[RK],MATCH(TableWRTECalcPts[[#This Row],[PLAYER]],TableTERanks[Player],0))),"")</f>
        <v>TE52</v>
      </c>
      <c r="AN32" s="60" t="str">
        <f>IFERROR(INDEX(TableTEMaster[TM],MATCH(TableWRTECalcPts[[#This Row],[POSRef]],TableTEMaster[TERef],0)),"")</f>
        <v>DET</v>
      </c>
      <c r="AO32" s="60">
        <f>IFERROR(INDEX(TableTEMaster[BYE],MATCH(TableWRTECalcPts[[#This Row],[POSRef]],TableTEMaster[TERef],0)),"")</f>
        <v>9</v>
      </c>
      <c r="AP32" s="61">
        <f>IFERROR(INDEX(TableTEMaster[Custom],MATCH(TableWRTECalcPts[[#This Row],[POSRef]],TableTEMaster[TERef],0)),"")</f>
        <v>28.641318240820141</v>
      </c>
    </row>
    <row r="33" spans="1:42" x14ac:dyDescent="0.2">
      <c r="A33" s="62">
        <f>IFERROR(RANK(TableQBCalcPts[[#This Row],[Custom]],TableQBCalcPts[Custom])+COUNTIF($F$3:F33,F33)-1,"")</f>
        <v>63</v>
      </c>
      <c r="B33" s="60">
        <v>31</v>
      </c>
      <c r="C33" s="60" t="str">
        <f>IFERROR(INDEX(TableQBMaster[Player],MATCH(TableQBCalcPts[[#This Row],[QBRef]],TableQBMaster[QBRef],0)),"")</f>
        <v>C.J. Beathard</v>
      </c>
      <c r="D33" s="60" t="str">
        <f>IFERROR(INDEX(TableQBMaster[TM],MATCH(TableQBCalcPts[[#This Row],[QBRef]],TableQBMaster[QBRef],0)),"")</f>
        <v>JAX</v>
      </c>
      <c r="E33" s="60">
        <f>IFERROR(INDEX(TableQBMaster[BYE],MATCH(TableQBCalcPts[[#This Row],[QBRef]],TableQBMaster[QBRef],0)),"")</f>
        <v>9</v>
      </c>
      <c r="F33" s="61">
        <f>IFERROR(INDEX(TableQBMaster[Custom],MATCH(TableQBCalcPts[[#This Row],[QBRef]],TableQBMaster[QBRef],0)),"")</f>
        <v>2.3851871068851112</v>
      </c>
      <c r="H33" s="60">
        <f>IFERROR(RANK(TableRBCalcPts[[#This Row],[Custom]],TableRBCalcPts[Custom])+COUNTIF($M$3:M33,M33)-1,"")</f>
        <v>23</v>
      </c>
      <c r="I33" s="60">
        <v>31</v>
      </c>
      <c r="J33" s="60" t="str">
        <f>IFERROR(INDEX(TableRBMaster[Player],MATCH(TableRBCalcPts[[#This Row],[RBRef]],TableRBMaster[RBRef],0)),"")</f>
        <v>Javonte Williams</v>
      </c>
      <c r="K33" s="60" t="str">
        <f>IFERROR(INDEX(TableRBMaster[TM],MATCH(TableRBCalcPts[[#This Row],[RBRef]],TableRBMaster[RBRef],0)),"")</f>
        <v>DEN</v>
      </c>
      <c r="L33" s="60">
        <f>IFERROR(INDEX(TableRBMaster[BYE],MATCH(TableRBCalcPts[[#This Row],[RBRef]],TableRBMaster[RBRef],0)),"")</f>
        <v>9</v>
      </c>
      <c r="M33" s="61">
        <f>IFERROR(INDEX(TableRBMaster[Custom],MATCH(TableRBCalcPts[[#This Row],[RBRef]],TableRBMaster[RBRef],0)),"")</f>
        <v>188.88375102331094</v>
      </c>
      <c r="O33" s="60">
        <f>IFERROR(RANK(TableWRCalcPts[[#This Row],[Custom]],TableWRCalcPts[Custom])+COUNTIF($T$3:T33,T33)-1,"")</f>
        <v>136</v>
      </c>
      <c r="P33" s="60">
        <v>31</v>
      </c>
      <c r="Q33" s="60" t="str">
        <f>IFERROR(INDEX(TableWRMaster[Player],MATCH(TableWRCalcPts[[#This Row],[WRRef]],TableWRMaster[WRRef],0)),"")</f>
        <v>Tyler Scott</v>
      </c>
      <c r="R33" s="60" t="str">
        <f>IFERROR(INDEX(TableWRMaster[TM],MATCH(TableWRCalcPts[[#This Row],[WRRef]],TableWRMaster[WRRef],0)),"")</f>
        <v>CHI</v>
      </c>
      <c r="S33" s="60">
        <f>IFERROR(INDEX(TableWRMaster[BYE],MATCH(TableWRCalcPts[[#This Row],[WRRef]],TableWRMaster[WRRef],0)),"")</f>
        <v>13</v>
      </c>
      <c r="T33" s="61">
        <f>IFERROR(INDEX(TableWRMaster[Custom],MATCH(TableWRCalcPts[[#This Row],[WRRef]],TableWRMaster[WRRef],0)),"")</f>
        <v>22.848987911184629</v>
      </c>
      <c r="V33" s="60">
        <f>IFERROR(RANK(TableTECalcPts[[#This Row],[Custom]],TableTECalcPts[Custom])+COUNTIF($AA$3:AA33,AA33)-1,"")</f>
        <v>66</v>
      </c>
      <c r="W33" s="60">
        <v>31</v>
      </c>
      <c r="X33" s="60" t="str">
        <f>IFERROR(INDEX(TableTEMaster[Player],MATCH(TableTECalcPts[[#This Row],[TERef]],TableTEMaster[TERef],0)),"")</f>
        <v>Brock Wright</v>
      </c>
      <c r="Y33" s="60" t="str">
        <f>IFERROR(INDEX(TableTEMaster[TM],MATCH(TableTECalcPts[[#This Row],[TERef]],TableTEMaster[TERef],0)),"")</f>
        <v>DET</v>
      </c>
      <c r="Z33" s="60">
        <f>IFERROR(INDEX(TableTEMaster[BYE],MATCH(TableTECalcPts[[#This Row],[TERef]],TableTEMaster[TERef],0)),"")</f>
        <v>9</v>
      </c>
      <c r="AA33" s="61">
        <f>IFERROR(INDEX(TableTEMaster[Custom],MATCH(TableTECalcPts[[#This Row],[TERef]],TableTEMaster[TERef],0)),"")</f>
        <v>20.420866563743786</v>
      </c>
      <c r="AC33" s="60">
        <f>IFERROR(RANK(TableDSTCalcPts[[#This Row],[Custom]],TableDSTCalcPts[Custom],0),"")</f>
        <v>23</v>
      </c>
      <c r="AD33" s="60">
        <v>31</v>
      </c>
      <c r="AE33" s="60" t="str">
        <f>IFERROR(INDEX(TableDSTMaster[Player],MATCH(TableDSTCalcPts[[#This Row],[DSTRef]],TableDSTMaster[DSTRef],0)),"")</f>
        <v>Tennessee Titans</v>
      </c>
      <c r="AF33" s="60">
        <f>IFERROR(INDEX(TableDSTMaster[BYE],MATCH(TableDSTCalcPts[[#This Row],[DSTRef]],TableDSTMaster[DSTRef],0)),"")</f>
        <v>7</v>
      </c>
      <c r="AG33" s="61">
        <f>IFERROR(INDEX(TableDSTMaster[Custom],MATCH(TableDSTCalcPts[[#This Row],[DSTRef]],TableDSTMaster[DSTRef],0)),"")</f>
        <v>115.05220801870578</v>
      </c>
      <c r="AI33" s="60" t="s">
        <v>10</v>
      </c>
      <c r="AJ33" s="60">
        <f>IFERROR(RANK(TableWRTECalcPts[[#This Row],[Custom]],TableWRTECalcPts[Custom])+COUNTIF($AP$3:AP33,AP33)-1,"")</f>
        <v>207</v>
      </c>
      <c r="AK33" s="60">
        <v>31</v>
      </c>
      <c r="AL33" s="60" t="str">
        <f>IFERROR(INDEX(TableTEMaster[Player],MATCH(TableWRTECalcPts[[#This Row],[POSRef]],TableTEMaster[TERef],0)),"")</f>
        <v>Brock Wright</v>
      </c>
      <c r="AM33" s="60" t="str">
        <f>IFERROR(_xlfn.CONCAT(TableWRTECalcPts[[#This Row],[POS]],INDEX(TableTERanks[RK],MATCH(TableWRTECalcPts[[#This Row],[PLAYER]],TableTERanks[Player],0))),"")</f>
        <v>TE66</v>
      </c>
      <c r="AN33" s="60" t="str">
        <f>IFERROR(INDEX(TableTEMaster[TM],MATCH(TableWRTECalcPts[[#This Row],[POSRef]],TableTEMaster[TERef],0)),"")</f>
        <v>DET</v>
      </c>
      <c r="AO33" s="60">
        <f>IFERROR(INDEX(TableTEMaster[BYE],MATCH(TableWRTECalcPts[[#This Row],[POSRef]],TableTEMaster[TERef],0)),"")</f>
        <v>9</v>
      </c>
      <c r="AP33" s="61">
        <f>IFERROR(INDEX(TableTEMaster[Custom],MATCH(TableWRTECalcPts[[#This Row],[POSRef]],TableTEMaster[TERef],0)),"")</f>
        <v>20.420866563743786</v>
      </c>
    </row>
    <row r="34" spans="1:42" x14ac:dyDescent="0.2">
      <c r="A34" s="62">
        <f>IFERROR(RANK(TableQBCalcPts[[#This Row],[Custom]],TableQBCalcPts[Custom])+COUNTIF($F$3:F34,F34)-1,"")</f>
        <v>2</v>
      </c>
      <c r="B34" s="60">
        <v>32</v>
      </c>
      <c r="C34" s="60" t="str">
        <f>IFERROR(INDEX(TableQBMaster[Player],MATCH(TableQBCalcPts[[#This Row],[QBRef]],TableQBMaster[QBRef],0)),"")</f>
        <v>Patrick Mahomes</v>
      </c>
      <c r="D34" s="60" t="str">
        <f>IFERROR(INDEX(TableQBMaster[TM],MATCH(TableQBCalcPts[[#This Row],[QBRef]],TableQBMaster[QBRef],0)),"")</f>
        <v>KC</v>
      </c>
      <c r="E34" s="60">
        <f>IFERROR(INDEX(TableQBMaster[BYE],MATCH(TableQBCalcPts[[#This Row],[QBRef]],TableQBMaster[QBRef],0)),"")</f>
        <v>10</v>
      </c>
      <c r="F34" s="61">
        <f>IFERROR(INDEX(TableQBMaster[Custom],MATCH(TableQBCalcPts[[#This Row],[QBRef]],TableQBMaster[QBRef],0)),"")</f>
        <v>415.63322982056599</v>
      </c>
      <c r="H34" s="60">
        <f>IFERROR(RANK(TableRBCalcPts[[#This Row],[Custom]],TableRBCalcPts[Custom])+COUNTIF($M$3:M34,M34)-1,"")</f>
        <v>24</v>
      </c>
      <c r="I34" s="60">
        <v>32</v>
      </c>
      <c r="J34" s="60" t="str">
        <f>IFERROR(INDEX(TableRBMaster[Player],MATCH(TableRBCalcPts[[#This Row],[RBRef]],TableRBMaster[RBRef],0)),"")</f>
        <v>Samaje Perine</v>
      </c>
      <c r="K34" s="60" t="str">
        <f>IFERROR(INDEX(TableRBMaster[TM],MATCH(TableRBCalcPts[[#This Row],[RBRef]],TableRBMaster[RBRef],0)),"")</f>
        <v>DEN</v>
      </c>
      <c r="L34" s="60">
        <f>IFERROR(INDEX(TableRBMaster[BYE],MATCH(TableRBCalcPts[[#This Row],[RBRef]],TableRBMaster[RBRef],0)),"")</f>
        <v>9</v>
      </c>
      <c r="M34" s="61">
        <f>IFERROR(INDEX(TableRBMaster[Custom],MATCH(TableRBCalcPts[[#This Row],[RBRef]],TableRBMaster[RBRef],0)),"")</f>
        <v>185.98112900157915</v>
      </c>
      <c r="O34" s="60">
        <f>IFERROR(RANK(TableWRCalcPts[[#This Row],[Custom]],TableWRCalcPts[Custom])+COUNTIF($T$3:T34,T34)-1,"")</f>
        <v>5</v>
      </c>
      <c r="P34" s="60">
        <v>32</v>
      </c>
      <c r="Q34" s="60" t="str">
        <f>IFERROR(INDEX(TableWRMaster[Player],MATCH(TableWRCalcPts[[#This Row],[WRRef]],TableWRMaster[WRRef],0)),"")</f>
        <v>Ja'Marr Chase</v>
      </c>
      <c r="R34" s="60" t="str">
        <f>IFERROR(INDEX(TableWRMaster[TM],MATCH(TableWRCalcPts[[#This Row],[WRRef]],TableWRMaster[WRRef],0)),"")</f>
        <v>CIN</v>
      </c>
      <c r="S34" s="60">
        <f>IFERROR(INDEX(TableWRMaster[BYE],MATCH(TableWRCalcPts[[#This Row],[WRRef]],TableWRMaster[WRRef],0)),"")</f>
        <v>7</v>
      </c>
      <c r="T34" s="61">
        <f>IFERROR(INDEX(TableWRMaster[Custom],MATCH(TableWRCalcPts[[#This Row],[WRRef]],TableWRMaster[WRRef],0)),"")</f>
        <v>251.63020846296595</v>
      </c>
      <c r="V34" s="60">
        <f>IFERROR(RANK(TableTECalcPts[[#This Row],[Custom]],TableTECalcPts[Custom])+COUNTIF($AA$3:AA34,AA34)-1,"")</f>
        <v>23</v>
      </c>
      <c r="W34" s="60">
        <v>32</v>
      </c>
      <c r="X34" s="60" t="str">
        <f>IFERROR(INDEX(TableTEMaster[Player],MATCH(TableTECalcPts[[#This Row],[TERef]],TableTEMaster[TERef],0)),"")</f>
        <v>Luke Musgrave</v>
      </c>
      <c r="Y34" s="60" t="str">
        <f>IFERROR(INDEX(TableTEMaster[TM],MATCH(TableTECalcPts[[#This Row],[TERef]],TableTEMaster[TERef],0)),"")</f>
        <v>GB</v>
      </c>
      <c r="Z34" s="60">
        <f>IFERROR(INDEX(TableTEMaster[BYE],MATCH(TableTECalcPts[[#This Row],[TERef]],TableTEMaster[TERef],0)),"")</f>
        <v>6</v>
      </c>
      <c r="AA34" s="61">
        <f>IFERROR(INDEX(TableTEMaster[Custom],MATCH(TableTECalcPts[[#This Row],[TERef]],TableTEMaster[TERef],0)),"")</f>
        <v>97.802786851182233</v>
      </c>
      <c r="AC34" s="60">
        <f>IFERROR(RANK(TableDSTCalcPts[[#This Row],[Custom]],TableDSTCalcPts[Custom],0),"")</f>
        <v>12</v>
      </c>
      <c r="AD34" s="60">
        <v>32</v>
      </c>
      <c r="AE34" s="60" t="str">
        <f>IFERROR(INDEX(TableDSTMaster[Player],MATCH(TableDSTCalcPts[[#This Row],[DSTRef]],TableDSTMaster[DSTRef],0)),"")</f>
        <v>Washington Commanders</v>
      </c>
      <c r="AF34" s="60">
        <f>IFERROR(INDEX(TableDSTMaster[BYE],MATCH(TableDSTCalcPts[[#This Row],[DSTRef]],TableDSTMaster[DSTRef],0)),"")</f>
        <v>14</v>
      </c>
      <c r="AG34" s="61">
        <f>IFERROR(INDEX(TableDSTMaster[Custom],MATCH(TableDSTCalcPts[[#This Row],[DSTRef]],TableDSTMaster[DSTRef],0)),"")</f>
        <v>123.12766690643045</v>
      </c>
      <c r="AI34" s="60" t="s">
        <v>10</v>
      </c>
      <c r="AJ34" s="60">
        <f>IFERROR(RANK(TableWRTECalcPts[[#This Row],[Custom]],TableWRTECalcPts[Custom])+COUNTIF($AP$3:AP34,AP34)-1,"")</f>
        <v>95</v>
      </c>
      <c r="AK34" s="60">
        <v>32</v>
      </c>
      <c r="AL34" s="60" t="str">
        <f>IFERROR(INDEX(TableTEMaster[Player],MATCH(TableWRTECalcPts[[#This Row],[POSRef]],TableTEMaster[TERef],0)),"")</f>
        <v>Luke Musgrave</v>
      </c>
      <c r="AM34" s="60" t="str">
        <f>IFERROR(_xlfn.CONCAT(TableWRTECalcPts[[#This Row],[POS]],INDEX(TableTERanks[RK],MATCH(TableWRTECalcPts[[#This Row],[PLAYER]],TableTERanks[Player],0))),"")</f>
        <v>TE23</v>
      </c>
      <c r="AN34" s="60" t="str">
        <f>IFERROR(INDEX(TableTEMaster[TM],MATCH(TableWRTECalcPts[[#This Row],[POSRef]],TableTEMaster[TERef],0)),"")</f>
        <v>GB</v>
      </c>
      <c r="AO34" s="60">
        <f>IFERROR(INDEX(TableTEMaster[BYE],MATCH(TableWRTECalcPts[[#This Row],[POSRef]],TableTEMaster[TERef],0)),"")</f>
        <v>6</v>
      </c>
      <c r="AP34" s="61">
        <f>IFERROR(INDEX(TableTEMaster[Custom],MATCH(TableWRTECalcPts[[#This Row],[POSRef]],TableTEMaster[TERef],0)),"")</f>
        <v>97.802786851182233</v>
      </c>
    </row>
    <row r="35" spans="1:42" x14ac:dyDescent="0.2">
      <c r="A35" s="62">
        <f>IFERROR(RANK(TableQBCalcPts[[#This Row],[Custom]],TableQBCalcPts[Custom])+COUNTIF($F$3:F35,F35)-1,"")</f>
        <v>61</v>
      </c>
      <c r="B35" s="60">
        <v>33</v>
      </c>
      <c r="C35" s="60" t="str">
        <f>IFERROR(INDEX(TableQBMaster[Player],MATCH(TableQBCalcPts[[#This Row],[QBRef]],TableQBMaster[QBRef],0)),"")</f>
        <v>Blaine Gabbert</v>
      </c>
      <c r="D35" s="60" t="str">
        <f>IFERROR(INDEX(TableQBMaster[TM],MATCH(TableQBCalcPts[[#This Row],[QBRef]],TableQBMaster[QBRef],0)),"")</f>
        <v>KC</v>
      </c>
      <c r="E35" s="60">
        <f>IFERROR(INDEX(TableQBMaster[BYE],MATCH(TableQBCalcPts[[#This Row],[QBRef]],TableQBMaster[QBRef],0)),"")</f>
        <v>10</v>
      </c>
      <c r="F35" s="61">
        <f>IFERROR(INDEX(TableQBMaster[Custom],MATCH(TableQBCalcPts[[#This Row],[QBRef]],TableQBMaster[QBRef],0)),"")</f>
        <v>2.7295891675666519</v>
      </c>
      <c r="H35" s="60">
        <f>IFERROR(RANK(TableRBCalcPts[[#This Row],[Custom]],TableRBCalcPts[Custom])+COUNTIF($M$3:M35,M35)-1,"")</f>
        <v>92</v>
      </c>
      <c r="I35" s="60">
        <v>33</v>
      </c>
      <c r="J35" s="60" t="str">
        <f>IFERROR(INDEX(TableRBMaster[Player],MATCH(TableRBCalcPts[[#This Row],[RBRef]],TableRBMaster[RBRef],0)),"")</f>
        <v>Jaleel McLaughlin</v>
      </c>
      <c r="K35" s="60" t="str">
        <f>IFERROR(INDEX(TableRBMaster[TM],MATCH(TableRBCalcPts[[#This Row],[RBRef]],TableRBMaster[RBRef],0)),"")</f>
        <v>DEN</v>
      </c>
      <c r="L35" s="60">
        <f>IFERROR(INDEX(TableRBMaster[BYE],MATCH(TableRBCalcPts[[#This Row],[RBRef]],TableRBMaster[RBRef],0)),"")</f>
        <v>9</v>
      </c>
      <c r="M35" s="61">
        <f>IFERROR(INDEX(TableRBMaster[Custom],MATCH(TableRBCalcPts[[#This Row],[RBRef]],TableRBMaster[RBRef],0)),"")</f>
        <v>24.102129513840001</v>
      </c>
      <c r="O35" s="60">
        <f>IFERROR(RANK(TableWRCalcPts[[#This Row],[Custom]],TableWRCalcPts[Custom])+COUNTIF($T$3:T35,T35)-1,"")</f>
        <v>12</v>
      </c>
      <c r="P35" s="60">
        <v>33</v>
      </c>
      <c r="Q35" s="60" t="str">
        <f>IFERROR(INDEX(TableWRMaster[Player],MATCH(TableWRCalcPts[[#This Row],[WRRef]],TableWRMaster[WRRef],0)),"")</f>
        <v>Tee Higgins</v>
      </c>
      <c r="R35" s="60" t="str">
        <f>IFERROR(INDEX(TableWRMaster[TM],MATCH(TableWRCalcPts[[#This Row],[WRRef]],TableWRMaster[WRRef],0)),"")</f>
        <v>CIN</v>
      </c>
      <c r="S35" s="60">
        <f>IFERROR(INDEX(TableWRMaster[BYE],MATCH(TableWRCalcPts[[#This Row],[WRRef]],TableWRMaster[WRRef],0)),"")</f>
        <v>7</v>
      </c>
      <c r="T35" s="61">
        <f>IFERROR(INDEX(TableWRMaster[Custom],MATCH(TableWRCalcPts[[#This Row],[WRRef]],TableWRMaster[WRRef],0)),"")</f>
        <v>206.05871828961045</v>
      </c>
      <c r="V35" s="60">
        <f>IFERROR(RANK(TableTECalcPts[[#This Row],[Custom]],TableTECalcPts[Custom])+COUNTIF($AA$3:AA35,AA35)-1,"")</f>
        <v>47</v>
      </c>
      <c r="W35" s="60">
        <v>33</v>
      </c>
      <c r="X35" s="60" t="str">
        <f>IFERROR(INDEX(TableTEMaster[Player],MATCH(TableTECalcPts[[#This Row],[TERef]],TableTEMaster[TERef],0)),"")</f>
        <v>Tucker Kraft</v>
      </c>
      <c r="Y35" s="60" t="str">
        <f>IFERROR(INDEX(TableTEMaster[TM],MATCH(TableTECalcPts[[#This Row],[TERef]],TableTEMaster[TERef],0)),"")</f>
        <v>GB</v>
      </c>
      <c r="Z35" s="60">
        <f>IFERROR(INDEX(TableTEMaster[BYE],MATCH(TableTECalcPts[[#This Row],[TERef]],TableTEMaster[TERef],0)),"")</f>
        <v>6</v>
      </c>
      <c r="AA35" s="61">
        <f>IFERROR(INDEX(TableTEMaster[Custom],MATCH(TableTECalcPts[[#This Row],[TERef]],TableTEMaster[TERef],0)),"")</f>
        <v>35.669760428570214</v>
      </c>
      <c r="AF35" s="62"/>
      <c r="AG35" s="61"/>
      <c r="AI35" s="60" t="s">
        <v>10</v>
      </c>
      <c r="AJ35" s="60">
        <f>IFERROR(RANK(TableWRTECalcPts[[#This Row],[Custom]],TableWRTECalcPts[Custom])+COUNTIF($AP$3:AP35,AP35)-1,"")</f>
        <v>164</v>
      </c>
      <c r="AK35" s="60">
        <v>33</v>
      </c>
      <c r="AL35" s="60" t="str">
        <f>IFERROR(INDEX(TableTEMaster[Player],MATCH(TableWRTECalcPts[[#This Row],[POSRef]],TableTEMaster[TERef],0)),"")</f>
        <v>Tucker Kraft</v>
      </c>
      <c r="AM35" s="60" t="str">
        <f>IFERROR(_xlfn.CONCAT(TableWRTECalcPts[[#This Row],[POS]],INDEX(TableTERanks[RK],MATCH(TableWRTECalcPts[[#This Row],[PLAYER]],TableTERanks[Player],0))),"")</f>
        <v>TE47</v>
      </c>
      <c r="AN35" s="60" t="str">
        <f>IFERROR(INDEX(TableTEMaster[TM],MATCH(TableWRTECalcPts[[#This Row],[POSRef]],TableTEMaster[TERef],0)),"")</f>
        <v>GB</v>
      </c>
      <c r="AO35" s="60">
        <f>IFERROR(INDEX(TableTEMaster[BYE],MATCH(TableWRTECalcPts[[#This Row],[POSRef]],TableTEMaster[TERef],0)),"")</f>
        <v>6</v>
      </c>
      <c r="AP35" s="61">
        <f>IFERROR(INDEX(TableTEMaster[Custom],MATCH(TableWRTECalcPts[[#This Row],[POSRef]],TableTEMaster[TERef],0)),"")</f>
        <v>35.669760428570214</v>
      </c>
    </row>
    <row r="36" spans="1:42" x14ac:dyDescent="0.2">
      <c r="A36" s="62">
        <f>IFERROR(RANK(TableQBCalcPts[[#This Row],[Custom]],TableQBCalcPts[Custom])+COUNTIF($F$3:F36,F36)-1,"")</f>
        <v>8</v>
      </c>
      <c r="B36" s="60">
        <v>34</v>
      </c>
      <c r="C36" s="60" t="str">
        <f>IFERROR(INDEX(TableQBMaster[Player],MATCH(TableQBCalcPts[[#This Row],[QBRef]],TableQBMaster[QBRef],0)),"")</f>
        <v>Justin Herbert</v>
      </c>
      <c r="D36" s="60" t="str">
        <f>IFERROR(INDEX(TableQBMaster[TM],MATCH(TableQBCalcPts[[#This Row],[QBRef]],TableQBMaster[QBRef],0)),"")</f>
        <v>LAC</v>
      </c>
      <c r="E36" s="60">
        <f>IFERROR(INDEX(TableQBMaster[BYE],MATCH(TableQBCalcPts[[#This Row],[QBRef]],TableQBMaster[QBRef],0)),"")</f>
        <v>5</v>
      </c>
      <c r="F36" s="61">
        <f>IFERROR(INDEX(TableQBMaster[Custom],MATCH(TableQBCalcPts[[#This Row],[QBRef]],TableQBMaster[QBRef],0)),"")</f>
        <v>340.26559345336074</v>
      </c>
      <c r="H36" s="60">
        <f>IFERROR(RANK(TableRBCalcPts[[#This Row],[Custom]],TableRBCalcPts[Custom])+COUNTIF($M$3:M36,M36)-1,"")</f>
        <v>11</v>
      </c>
      <c r="I36" s="60">
        <v>34</v>
      </c>
      <c r="J36" s="60" t="str">
        <f>IFERROR(INDEX(TableRBMaster[Player],MATCH(TableRBCalcPts[[#This Row],[RBRef]],TableRBMaster[RBRef],0)),"")</f>
        <v>Jahmyr Gibbs</v>
      </c>
      <c r="K36" s="60" t="str">
        <f>IFERROR(INDEX(TableRBMaster[TM],MATCH(TableRBCalcPts[[#This Row],[RBRef]],TableRBMaster[RBRef],0)),"")</f>
        <v>DET</v>
      </c>
      <c r="L36" s="60">
        <f>IFERROR(INDEX(TableRBMaster[BYE],MATCH(TableRBCalcPts[[#This Row],[RBRef]],TableRBMaster[RBRef],0)),"")</f>
        <v>9</v>
      </c>
      <c r="M36" s="61">
        <f>IFERROR(INDEX(TableRBMaster[Custom],MATCH(TableRBCalcPts[[#This Row],[RBRef]],TableRBMaster[RBRef],0)),"")</f>
        <v>218.44083642233855</v>
      </c>
      <c r="O36" s="60">
        <f>IFERROR(RANK(TableWRCalcPts[[#This Row],[Custom]],TableWRCalcPts[Custom])+COUNTIF($T$3:T36,T36)-1,"")</f>
        <v>52</v>
      </c>
      <c r="P36" s="60">
        <v>34</v>
      </c>
      <c r="Q36" s="60" t="str">
        <f>IFERROR(INDEX(TableWRMaster[Player],MATCH(TableWRCalcPts[[#This Row],[WRRef]],TableWRMaster[WRRef],0)),"")</f>
        <v>Tyler Boyd</v>
      </c>
      <c r="R36" s="60" t="str">
        <f>IFERROR(INDEX(TableWRMaster[TM],MATCH(TableWRCalcPts[[#This Row],[WRRef]],TableWRMaster[WRRef],0)),"")</f>
        <v>CIN</v>
      </c>
      <c r="S36" s="60">
        <f>IFERROR(INDEX(TableWRMaster[BYE],MATCH(TableWRCalcPts[[#This Row],[WRRef]],TableWRMaster[WRRef],0)),"")</f>
        <v>7</v>
      </c>
      <c r="T36" s="61">
        <f>IFERROR(INDEX(TableWRMaster[Custom],MATCH(TableWRCalcPts[[#This Row],[WRRef]],TableWRMaster[WRRef],0)),"")</f>
        <v>139.21511967372822</v>
      </c>
      <c r="V36" s="60">
        <f>IFERROR(RANK(TableTECalcPts[[#This Row],[Custom]],TableTECalcPts[Custom])+COUNTIF($AA$3:AA36,AA36)-1,"")</f>
        <v>78</v>
      </c>
      <c r="W36" s="60">
        <v>34</v>
      </c>
      <c r="X36" s="60" t="str">
        <f>IFERROR(INDEX(TableTEMaster[Player],MATCH(TableTECalcPts[[#This Row],[TERef]],TableTEMaster[TERef],0)),"")</f>
        <v>Josiah Deguara</v>
      </c>
      <c r="Y36" s="60" t="str">
        <f>IFERROR(INDEX(TableTEMaster[TM],MATCH(TableTECalcPts[[#This Row],[TERef]],TableTEMaster[TERef],0)),"")</f>
        <v>GB</v>
      </c>
      <c r="Z36" s="60">
        <f>IFERROR(INDEX(TableTEMaster[BYE],MATCH(TableTECalcPts[[#This Row],[TERef]],TableTEMaster[TERef],0)),"")</f>
        <v>6</v>
      </c>
      <c r="AA36" s="61">
        <f>IFERROR(INDEX(TableTEMaster[Custom],MATCH(TableTECalcPts[[#This Row],[TERef]],TableTEMaster[TERef],0)),"")</f>
        <v>11.88686867845238</v>
      </c>
      <c r="AI36" s="60" t="s">
        <v>10</v>
      </c>
      <c r="AJ36" s="60">
        <f>IFERROR(RANK(TableWRTECalcPts[[#This Row],[Custom]],TableWRTECalcPts[Custom])+COUNTIF($AP$3:AP36,AP36)-1,"")</f>
        <v>235</v>
      </c>
      <c r="AK36" s="60">
        <v>34</v>
      </c>
      <c r="AL36" s="60" t="str">
        <f>IFERROR(INDEX(TableTEMaster[Player],MATCH(TableWRTECalcPts[[#This Row],[POSRef]],TableTEMaster[TERef],0)),"")</f>
        <v>Josiah Deguara</v>
      </c>
      <c r="AM36" s="60" t="str">
        <f>IFERROR(_xlfn.CONCAT(TableWRTECalcPts[[#This Row],[POS]],INDEX(TableTERanks[RK],MATCH(TableWRTECalcPts[[#This Row],[PLAYER]],TableTERanks[Player],0))),"")</f>
        <v>TE78</v>
      </c>
      <c r="AN36" s="60" t="str">
        <f>IFERROR(INDEX(TableTEMaster[TM],MATCH(TableWRTECalcPts[[#This Row],[POSRef]],TableTEMaster[TERef],0)),"")</f>
        <v>GB</v>
      </c>
      <c r="AO36" s="60">
        <f>IFERROR(INDEX(TableTEMaster[BYE],MATCH(TableWRTECalcPts[[#This Row],[POSRef]],TableTEMaster[TERef],0)),"")</f>
        <v>6</v>
      </c>
      <c r="AP36" s="61">
        <f>IFERROR(INDEX(TableTEMaster[Custom],MATCH(TableWRTECalcPts[[#This Row],[POSRef]],TableTEMaster[TERef],0)),"")</f>
        <v>11.88686867845238</v>
      </c>
    </row>
    <row r="37" spans="1:42" x14ac:dyDescent="0.2">
      <c r="A37" s="62">
        <f>IFERROR(RANK(TableQBCalcPts[[#This Row],[Custom]],TableQBCalcPts[Custom])+COUNTIF($F$3:F37,F37)-1,"")</f>
        <v>62</v>
      </c>
      <c r="B37" s="60">
        <v>35</v>
      </c>
      <c r="C37" s="60" t="str">
        <f>IFERROR(INDEX(TableQBMaster[Player],MATCH(TableQBCalcPts[[#This Row],[QBRef]],TableQBMaster[QBRef],0)),"")</f>
        <v>Easton Stick</v>
      </c>
      <c r="D37" s="60" t="str">
        <f>IFERROR(INDEX(TableQBMaster[TM],MATCH(TableQBCalcPts[[#This Row],[QBRef]],TableQBMaster[QBRef],0)),"")</f>
        <v>LAC</v>
      </c>
      <c r="E37" s="60">
        <f>IFERROR(INDEX(TableQBMaster[BYE],MATCH(TableQBCalcPts[[#This Row],[QBRef]],TableQBMaster[QBRef],0)),"")</f>
        <v>5</v>
      </c>
      <c r="F37" s="61">
        <f>IFERROR(INDEX(TableQBMaster[Custom],MATCH(TableQBCalcPts[[#This Row],[QBRef]],TableQBMaster[QBRef],0)),"")</f>
        <v>2.583076314319138</v>
      </c>
      <c r="H37" s="60">
        <f>IFERROR(RANK(TableRBCalcPts[[#This Row],[Custom]],TableRBCalcPts[Custom])+COUNTIF($M$3:M37,M37)-1,"")</f>
        <v>20</v>
      </c>
      <c r="I37" s="60">
        <v>35</v>
      </c>
      <c r="J37" s="60" t="str">
        <f>IFERROR(INDEX(TableRBMaster[Player],MATCH(TableRBCalcPts[[#This Row],[RBRef]],TableRBMaster[RBRef],0)),"")</f>
        <v>David Montgomery</v>
      </c>
      <c r="K37" s="60" t="str">
        <f>IFERROR(INDEX(TableRBMaster[TM],MATCH(TableRBCalcPts[[#This Row],[RBRef]],TableRBMaster[RBRef],0)),"")</f>
        <v>DET</v>
      </c>
      <c r="L37" s="60">
        <f>IFERROR(INDEX(TableRBMaster[BYE],MATCH(TableRBCalcPts[[#This Row],[RBRef]],TableRBMaster[RBRef],0)),"")</f>
        <v>9</v>
      </c>
      <c r="M37" s="61">
        <f>IFERROR(INDEX(TableRBMaster[Custom],MATCH(TableRBCalcPts[[#This Row],[RBRef]],TableRBMaster[RBRef],0)),"")</f>
        <v>192.12072685644694</v>
      </c>
      <c r="O37" s="60">
        <f>IFERROR(RANK(TableWRCalcPts[[#This Row],[Custom]],TableWRCalcPts[Custom])+COUNTIF($T$3:T37,T37)-1,"")</f>
        <v>119</v>
      </c>
      <c r="P37" s="60">
        <v>35</v>
      </c>
      <c r="Q37" s="60" t="str">
        <f>IFERROR(INDEX(TableWRMaster[Player],MATCH(TableWRCalcPts[[#This Row],[WRRef]],TableWRMaster[WRRef],0)),"")</f>
        <v>Charlie Jones</v>
      </c>
      <c r="R37" s="60" t="str">
        <f>IFERROR(INDEX(TableWRMaster[TM],MATCH(TableWRCalcPts[[#This Row],[WRRef]],TableWRMaster[WRRef],0)),"")</f>
        <v>CIN</v>
      </c>
      <c r="S37" s="60">
        <f>IFERROR(INDEX(TableWRMaster[BYE],MATCH(TableWRCalcPts[[#This Row],[WRRef]],TableWRMaster[WRRef],0)),"")</f>
        <v>7</v>
      </c>
      <c r="T37" s="61">
        <f>IFERROR(INDEX(TableWRMaster[Custom],MATCH(TableWRCalcPts[[#This Row],[WRRef]],TableWRMaster[WRRef],0)),"")</f>
        <v>35.157696402703706</v>
      </c>
      <c r="V37" s="60">
        <f>IFERROR(RANK(TableTECalcPts[[#This Row],[Custom]],TableTECalcPts[Custom])+COUNTIF($AA$3:AA37,AA37)-1,"")</f>
        <v>16</v>
      </c>
      <c r="W37" s="60">
        <v>35</v>
      </c>
      <c r="X37" s="60" t="str">
        <f>IFERROR(INDEX(TableTEMaster[Player],MATCH(TableTECalcPts[[#This Row],[TERef]],TableTEMaster[TERef],0)),"")</f>
        <v>Dalton Schultz</v>
      </c>
      <c r="Y37" s="60" t="str">
        <f>IFERROR(INDEX(TableTEMaster[TM],MATCH(TableTECalcPts[[#This Row],[TERef]],TableTEMaster[TERef],0)),"")</f>
        <v>HOU</v>
      </c>
      <c r="Z37" s="60">
        <f>IFERROR(INDEX(TableTEMaster[BYE],MATCH(TableTECalcPts[[#This Row],[TERef]],TableTEMaster[TERef],0)),"")</f>
        <v>7</v>
      </c>
      <c r="AA37" s="61">
        <f>IFERROR(INDEX(TableTEMaster[Custom],MATCH(TableTECalcPts[[#This Row],[TERef]],TableTEMaster[TERef],0)),"")</f>
        <v>107.78710020429105</v>
      </c>
      <c r="AI37" s="60" t="s">
        <v>10</v>
      </c>
      <c r="AJ37" s="60">
        <f>IFERROR(RANK(TableWRTECalcPts[[#This Row],[Custom]],TableWRTECalcPts[Custom])+COUNTIF($AP$3:AP37,AP37)-1,"")</f>
        <v>87</v>
      </c>
      <c r="AK37" s="60">
        <v>35</v>
      </c>
      <c r="AL37" s="60" t="str">
        <f>IFERROR(INDEX(TableTEMaster[Player],MATCH(TableWRTECalcPts[[#This Row],[POSRef]],TableTEMaster[TERef],0)),"")</f>
        <v>Dalton Schultz</v>
      </c>
      <c r="AM37" s="60" t="str">
        <f>IFERROR(_xlfn.CONCAT(TableWRTECalcPts[[#This Row],[POS]],INDEX(TableTERanks[RK],MATCH(TableWRTECalcPts[[#This Row],[PLAYER]],TableTERanks[Player],0))),"")</f>
        <v>TE16</v>
      </c>
      <c r="AN37" s="60" t="str">
        <f>IFERROR(INDEX(TableTEMaster[TM],MATCH(TableWRTECalcPts[[#This Row],[POSRef]],TableTEMaster[TERef],0)),"")</f>
        <v>HOU</v>
      </c>
      <c r="AO37" s="60">
        <f>IFERROR(INDEX(TableTEMaster[BYE],MATCH(TableWRTECalcPts[[#This Row],[POSRef]],TableTEMaster[TERef],0)),"")</f>
        <v>7</v>
      </c>
      <c r="AP37" s="61">
        <f>IFERROR(INDEX(TableTEMaster[Custom],MATCH(TableWRTECalcPts[[#This Row],[POSRef]],TableTEMaster[TERef],0)),"")</f>
        <v>107.78710020429105</v>
      </c>
    </row>
    <row r="38" spans="1:42" x14ac:dyDescent="0.2">
      <c r="A38" s="62">
        <f>IFERROR(RANK(TableQBCalcPts[[#This Row],[Custom]],TableQBCalcPts[Custom])+COUNTIF($F$3:F38,F38)-1,"")</f>
        <v>19</v>
      </c>
      <c r="B38" s="60">
        <v>36</v>
      </c>
      <c r="C38" s="60" t="str">
        <f>IFERROR(INDEX(TableQBMaster[Player],MATCH(TableQBCalcPts[[#This Row],[QBRef]],TableQBMaster[QBRef],0)),"")</f>
        <v>Matthew Stafford</v>
      </c>
      <c r="D38" s="60" t="str">
        <f>IFERROR(INDEX(TableQBMaster[TM],MATCH(TableQBCalcPts[[#This Row],[QBRef]],TableQBMaster[QBRef],0)),"")</f>
        <v>LAR</v>
      </c>
      <c r="E38" s="60">
        <f>IFERROR(INDEX(TableQBMaster[BYE],MATCH(TableQBCalcPts[[#This Row],[QBRef]],TableQBMaster[QBRef],0)),"")</f>
        <v>10</v>
      </c>
      <c r="F38" s="61">
        <f>IFERROR(INDEX(TableQBMaster[Custom],MATCH(TableQBCalcPts[[#This Row],[QBRef]],TableQBMaster[QBRef],0)),"")</f>
        <v>287.42028298073348</v>
      </c>
      <c r="H38" s="60">
        <f>IFERROR(RANK(TableRBCalcPts[[#This Row],[Custom]],TableRBCalcPts[Custom])+COUNTIF($M$3:M38,M38)-1,"")</f>
        <v>109</v>
      </c>
      <c r="I38" s="60">
        <v>36</v>
      </c>
      <c r="J38" s="60" t="str">
        <f>IFERROR(INDEX(TableRBMaster[Player],MATCH(TableRBCalcPts[[#This Row],[RBRef]],TableRBMaster[RBRef],0)),"")</f>
        <v>Craig Reynolds</v>
      </c>
      <c r="K38" s="60" t="str">
        <f>IFERROR(INDEX(TableRBMaster[TM],MATCH(TableRBCalcPts[[#This Row],[RBRef]],TableRBMaster[RBRef],0)),"")</f>
        <v>DET</v>
      </c>
      <c r="L38" s="60">
        <f>IFERROR(INDEX(TableRBMaster[BYE],MATCH(TableRBCalcPts[[#This Row],[RBRef]],TableRBMaster[RBRef],0)),"")</f>
        <v>9</v>
      </c>
      <c r="M38" s="61">
        <f>IFERROR(INDEX(TableRBMaster[Custom],MATCH(TableRBCalcPts[[#This Row],[RBRef]],TableRBMaster[RBRef],0)),"")</f>
        <v>5.6978088279839989</v>
      </c>
      <c r="O38" s="60">
        <f>IFERROR(RANK(TableWRCalcPts[[#This Row],[Custom]],TableWRCalcPts[Custom])+COUNTIF($T$3:T38,T38)-1,"")</f>
        <v>150</v>
      </c>
      <c r="P38" s="60">
        <v>36</v>
      </c>
      <c r="Q38" s="60" t="str">
        <f>IFERROR(INDEX(TableWRMaster[Player],MATCH(TableWRCalcPts[[#This Row],[WRRef]],TableWRMaster[WRRef],0)),"")</f>
        <v>Andrei Iosivas</v>
      </c>
      <c r="R38" s="60" t="str">
        <f>IFERROR(INDEX(TableWRMaster[TM],MATCH(TableWRCalcPts[[#This Row],[WRRef]],TableWRMaster[WRRef],0)),"")</f>
        <v>CIN</v>
      </c>
      <c r="S38" s="60">
        <f>IFERROR(INDEX(TableWRMaster[BYE],MATCH(TableWRCalcPts[[#This Row],[WRRef]],TableWRMaster[WRRef],0)),"")</f>
        <v>7</v>
      </c>
      <c r="T38" s="61">
        <f>IFERROR(INDEX(TableWRMaster[Custom],MATCH(TableWRCalcPts[[#This Row],[WRRef]],TableWRMaster[WRRef],0)),"")</f>
        <v>15.523537206239999</v>
      </c>
      <c r="V38" s="60">
        <f>IFERROR(RANK(TableTECalcPts[[#This Row],[Custom]],TableTECalcPts[Custom])+COUNTIF($AA$3:AA38,AA38)-1,"")</f>
        <v>46</v>
      </c>
      <c r="W38" s="60">
        <v>36</v>
      </c>
      <c r="X38" s="60" t="str">
        <f>IFERROR(INDEX(TableTEMaster[Player],MATCH(TableTECalcPts[[#This Row],[TERef]],TableTEMaster[TERef],0)),"")</f>
        <v>Teagan Quitoriano</v>
      </c>
      <c r="Y38" s="60" t="str">
        <f>IFERROR(INDEX(TableTEMaster[TM],MATCH(TableTECalcPts[[#This Row],[TERef]],TableTEMaster[TERef],0)),"")</f>
        <v>HOU</v>
      </c>
      <c r="Z38" s="60">
        <f>IFERROR(INDEX(TableTEMaster[BYE],MATCH(TableTECalcPts[[#This Row],[TERef]],TableTEMaster[TERef],0)),"")</f>
        <v>7</v>
      </c>
      <c r="AA38" s="61">
        <f>IFERROR(INDEX(TableTEMaster[Custom],MATCH(TableTECalcPts[[#This Row],[TERef]],TableTEMaster[TERef],0)),"")</f>
        <v>36.024327486654819</v>
      </c>
      <c r="AI38" s="60" t="s">
        <v>10</v>
      </c>
      <c r="AJ38" s="60">
        <f>IFERROR(RANK(TableWRTECalcPts[[#This Row],[Custom]],TableWRTECalcPts[Custom])+COUNTIF($AP$3:AP38,AP38)-1,"")</f>
        <v>163</v>
      </c>
      <c r="AK38" s="60">
        <v>36</v>
      </c>
      <c r="AL38" s="60" t="str">
        <f>IFERROR(INDEX(TableTEMaster[Player],MATCH(TableWRTECalcPts[[#This Row],[POSRef]],TableTEMaster[TERef],0)),"")</f>
        <v>Teagan Quitoriano</v>
      </c>
      <c r="AM38" s="60" t="str">
        <f>IFERROR(_xlfn.CONCAT(TableWRTECalcPts[[#This Row],[POS]],INDEX(TableTERanks[RK],MATCH(TableWRTECalcPts[[#This Row],[PLAYER]],TableTERanks[Player],0))),"")</f>
        <v>TE46</v>
      </c>
      <c r="AN38" s="60" t="str">
        <f>IFERROR(INDEX(TableTEMaster[TM],MATCH(TableWRTECalcPts[[#This Row],[POSRef]],TableTEMaster[TERef],0)),"")</f>
        <v>HOU</v>
      </c>
      <c r="AO38" s="60">
        <f>IFERROR(INDEX(TableTEMaster[BYE],MATCH(TableWRTECalcPts[[#This Row],[POSRef]],TableTEMaster[TERef],0)),"")</f>
        <v>7</v>
      </c>
      <c r="AP38" s="61">
        <f>IFERROR(INDEX(TableTEMaster[Custom],MATCH(TableWRTECalcPts[[#This Row],[POSRef]],TableTEMaster[TERef],0)),"")</f>
        <v>36.024327486654819</v>
      </c>
    </row>
    <row r="39" spans="1:42" x14ac:dyDescent="0.2">
      <c r="A39" s="62">
        <f>IFERROR(RANK(TableQBCalcPts[[#This Row],[Custom]],TableQBCalcPts[Custom])+COUNTIF($F$3:F39,F39)-1,"")</f>
        <v>49</v>
      </c>
      <c r="B39" s="60">
        <v>37</v>
      </c>
      <c r="C39" s="60" t="str">
        <f>IFERROR(INDEX(TableQBMaster[Player],MATCH(TableQBCalcPts[[#This Row],[QBRef]],TableQBMaster[QBRef],0)),"")</f>
        <v>Stetson Bennett</v>
      </c>
      <c r="D39" s="60" t="str">
        <f>IFERROR(INDEX(TableQBMaster[TM],MATCH(TableQBCalcPts[[#This Row],[QBRef]],TableQBMaster[QBRef],0)),"")</f>
        <v>LAR</v>
      </c>
      <c r="E39" s="60">
        <f>IFERROR(INDEX(TableQBMaster[BYE],MATCH(TableQBCalcPts[[#This Row],[QBRef]],TableQBMaster[QBRef],0)),"")</f>
        <v>10</v>
      </c>
      <c r="F39" s="61">
        <f>IFERROR(INDEX(TableQBMaster[Custom],MATCH(TableQBCalcPts[[#This Row],[QBRef]],TableQBMaster[QBRef],0)),"")</f>
        <v>9.3979359768056128</v>
      </c>
      <c r="H39" s="60">
        <f>IFERROR(RANK(TableRBCalcPts[[#This Row],[Custom]],TableRBCalcPts[Custom])+COUNTIF($M$3:M39,M39)-1,"")</f>
        <v>15</v>
      </c>
      <c r="I39" s="60">
        <v>37</v>
      </c>
      <c r="J39" s="60" t="str">
        <f>IFERROR(INDEX(TableRBMaster[Player],MATCH(TableRBCalcPts[[#This Row],[RBRef]],TableRBMaster[RBRef],0)),"")</f>
        <v>Aaron Jones</v>
      </c>
      <c r="K39" s="60" t="str">
        <f>IFERROR(INDEX(TableRBMaster[TM],MATCH(TableRBCalcPts[[#This Row],[RBRef]],TableRBMaster[RBRef],0)),"")</f>
        <v>GB</v>
      </c>
      <c r="L39" s="60">
        <f>IFERROR(INDEX(TableRBMaster[BYE],MATCH(TableRBCalcPts[[#This Row],[RBRef]],TableRBMaster[RBRef],0)),"")</f>
        <v>6</v>
      </c>
      <c r="M39" s="61">
        <f>IFERROR(INDEX(TableRBMaster[Custom],MATCH(TableRBCalcPts[[#This Row],[RBRef]],TableRBMaster[RBRef],0)),"")</f>
        <v>204.13862350454943</v>
      </c>
      <c r="O39" s="60">
        <f>IFERROR(RANK(TableWRCalcPts[[#This Row],[Custom]],TableWRCalcPts[Custom])+COUNTIF($T$3:T39,T39)-1,"")</f>
        <v>24</v>
      </c>
      <c r="P39" s="60">
        <v>37</v>
      </c>
      <c r="Q39" s="60" t="str">
        <f>IFERROR(INDEX(TableWRMaster[Player],MATCH(TableWRCalcPts[[#This Row],[WRRef]],TableWRMaster[WRRef],0)),"")</f>
        <v>Amari Cooper</v>
      </c>
      <c r="R39" s="60" t="str">
        <f>IFERROR(INDEX(TableWRMaster[TM],MATCH(TableWRCalcPts[[#This Row],[WRRef]],TableWRMaster[WRRef],0)),"")</f>
        <v>CLE</v>
      </c>
      <c r="S39" s="60">
        <f>IFERROR(INDEX(TableWRMaster[BYE],MATCH(TableWRCalcPts[[#This Row],[WRRef]],TableWRMaster[WRRef],0)),"")</f>
        <v>5</v>
      </c>
      <c r="T39" s="61">
        <f>IFERROR(INDEX(TableWRMaster[Custom],MATCH(TableWRCalcPts[[#This Row],[WRRef]],TableWRMaster[WRRef],0)),"")</f>
        <v>183.883298165518</v>
      </c>
      <c r="V39" s="60">
        <f>IFERROR(RANK(TableTECalcPts[[#This Row],[Custom]],TableTECalcPts[Custom])+COUNTIF($AA$3:AA39,AA39)-1,"")</f>
        <v>82</v>
      </c>
      <c r="W39" s="60">
        <v>37</v>
      </c>
      <c r="X39" s="60" t="str">
        <f>IFERROR(INDEX(TableTEMaster[Player],MATCH(TableTECalcPts[[#This Row],[TERef]],TableTEMaster[TERef],0)),"")</f>
        <v>Brevin Jordan</v>
      </c>
      <c r="Y39" s="60" t="str">
        <f>IFERROR(INDEX(TableTEMaster[TM],MATCH(TableTECalcPts[[#This Row],[TERef]],TableTEMaster[TERef],0)),"")</f>
        <v>HOU</v>
      </c>
      <c r="Z39" s="60">
        <f>IFERROR(INDEX(TableTEMaster[BYE],MATCH(TableTECalcPts[[#This Row],[TERef]],TableTEMaster[TERef],0)),"")</f>
        <v>7</v>
      </c>
      <c r="AA39" s="61">
        <f>IFERROR(INDEX(TableTEMaster[Custom],MATCH(TableTECalcPts[[#This Row],[TERef]],TableTEMaster[TERef],0)),"")</f>
        <v>9.8063479724391271</v>
      </c>
      <c r="AI39" s="60" t="s">
        <v>10</v>
      </c>
      <c r="AJ39" s="60">
        <f>IFERROR(RANK(TableWRTECalcPts[[#This Row],[Custom]],TableWRTECalcPts[Custom])+COUNTIF($AP$3:AP39,AP39)-1,"")</f>
        <v>241</v>
      </c>
      <c r="AK39" s="60">
        <v>37</v>
      </c>
      <c r="AL39" s="60" t="str">
        <f>IFERROR(INDEX(TableTEMaster[Player],MATCH(TableWRTECalcPts[[#This Row],[POSRef]],TableTEMaster[TERef],0)),"")</f>
        <v>Brevin Jordan</v>
      </c>
      <c r="AM39" s="60" t="str">
        <f>IFERROR(_xlfn.CONCAT(TableWRTECalcPts[[#This Row],[POS]],INDEX(TableTERanks[RK],MATCH(TableWRTECalcPts[[#This Row],[PLAYER]],TableTERanks[Player],0))),"")</f>
        <v>TE82</v>
      </c>
      <c r="AN39" s="60" t="str">
        <f>IFERROR(INDEX(TableTEMaster[TM],MATCH(TableWRTECalcPts[[#This Row],[POSRef]],TableTEMaster[TERef],0)),"")</f>
        <v>HOU</v>
      </c>
      <c r="AO39" s="60">
        <f>IFERROR(INDEX(TableTEMaster[BYE],MATCH(TableWRTECalcPts[[#This Row],[POSRef]],TableTEMaster[TERef],0)),"")</f>
        <v>7</v>
      </c>
      <c r="AP39" s="61">
        <f>IFERROR(INDEX(TableTEMaster[Custom],MATCH(TableWRTECalcPts[[#This Row],[POSRef]],TableTEMaster[TERef],0)),"")</f>
        <v>9.8063479724391271</v>
      </c>
    </row>
    <row r="40" spans="1:42" x14ac:dyDescent="0.2">
      <c r="A40" s="62">
        <f>IFERROR(RANK(TableQBCalcPts[[#This Row],[Custom]],TableQBCalcPts[Custom])+COUNTIF($F$3:F40,F40)-1,"")</f>
        <v>23</v>
      </c>
      <c r="B40" s="60">
        <v>38</v>
      </c>
      <c r="C40" s="60" t="str">
        <f>IFERROR(INDEX(TableQBMaster[Player],MATCH(TableQBCalcPts[[#This Row],[QBRef]],TableQBMaster[QBRef],0)),"")</f>
        <v>Jimmy Garoppolo</v>
      </c>
      <c r="D40" s="60" t="str">
        <f>IFERROR(INDEX(TableQBMaster[TM],MATCH(TableQBCalcPts[[#This Row],[QBRef]],TableQBMaster[QBRef],0)),"")</f>
        <v>LV</v>
      </c>
      <c r="E40" s="60">
        <f>IFERROR(INDEX(TableQBMaster[BYE],MATCH(TableQBCalcPts[[#This Row],[QBRef]],TableQBMaster[QBRef],0)),"")</f>
        <v>13</v>
      </c>
      <c r="F40" s="61">
        <f>IFERROR(INDEX(TableQBMaster[Custom],MATCH(TableQBCalcPts[[#This Row],[QBRef]],TableQBMaster[QBRef],0)),"")</f>
        <v>267.40904968899622</v>
      </c>
      <c r="H40" s="60">
        <f>IFERROR(RANK(TableRBCalcPts[[#This Row],[Custom]],TableRBCalcPts[Custom])+COUNTIF($M$3:M40,M40)-1,"")</f>
        <v>32</v>
      </c>
      <c r="I40" s="60">
        <v>38</v>
      </c>
      <c r="J40" s="60" t="str">
        <f>IFERROR(INDEX(TableRBMaster[Player],MATCH(TableRBCalcPts[[#This Row],[RBRef]],TableRBMaster[RBRef],0)),"")</f>
        <v>AJ Dillon</v>
      </c>
      <c r="K40" s="60" t="str">
        <f>IFERROR(INDEX(TableRBMaster[TM],MATCH(TableRBCalcPts[[#This Row],[RBRef]],TableRBMaster[RBRef],0)),"")</f>
        <v>GB</v>
      </c>
      <c r="L40" s="60">
        <f>IFERROR(INDEX(TableRBMaster[BYE],MATCH(TableRBCalcPts[[#This Row],[RBRef]],TableRBMaster[RBRef],0)),"")</f>
        <v>6</v>
      </c>
      <c r="M40" s="61">
        <f>IFERROR(INDEX(TableRBMaster[Custom],MATCH(TableRBCalcPts[[#This Row],[RBRef]],TableRBMaster[RBRef],0)),"")</f>
        <v>168.16281556267418</v>
      </c>
      <c r="O40" s="60">
        <f>IFERROR(RANK(TableWRCalcPts[[#This Row],[Custom]],TableWRCalcPts[Custom])+COUNTIF($T$3:T40,T40)-1,"")</f>
        <v>64</v>
      </c>
      <c r="P40" s="60">
        <v>38</v>
      </c>
      <c r="Q40" s="60" t="str">
        <f>IFERROR(INDEX(TableWRMaster[Player],MATCH(TableWRCalcPts[[#This Row],[WRRef]],TableWRMaster[WRRef],0)),"")</f>
        <v>Elijah Moore</v>
      </c>
      <c r="R40" s="60" t="str">
        <f>IFERROR(INDEX(TableWRMaster[TM],MATCH(TableWRCalcPts[[#This Row],[WRRef]],TableWRMaster[WRRef],0)),"")</f>
        <v>CLE</v>
      </c>
      <c r="S40" s="60">
        <f>IFERROR(INDEX(TableWRMaster[BYE],MATCH(TableWRCalcPts[[#This Row],[WRRef]],TableWRMaster[WRRef],0)),"")</f>
        <v>5</v>
      </c>
      <c r="T40" s="61">
        <f>IFERROR(INDEX(TableWRMaster[Custom],MATCH(TableWRCalcPts[[#This Row],[WRRef]],TableWRMaster[WRRef],0)),"")</f>
        <v>118.66713195414852</v>
      </c>
      <c r="V40" s="60">
        <f>IFERROR(RANK(TableTECalcPts[[#This Row],[Custom]],TableTECalcPts[Custom])+COUNTIF($AA$3:AA40,AA40)-1,"")</f>
        <v>39</v>
      </c>
      <c r="W40" s="60">
        <v>38</v>
      </c>
      <c r="X40" s="60" t="str">
        <f>IFERROR(INDEX(TableTEMaster[Player],MATCH(TableTECalcPts[[#This Row],[TERef]],TableTEMaster[TERef],0)),"")</f>
        <v>Mo Alie-Cox</v>
      </c>
      <c r="Y40" s="60" t="str">
        <f>IFERROR(INDEX(TableTEMaster[TM],MATCH(TableTECalcPts[[#This Row],[TERef]],TableTEMaster[TERef],0)),"")</f>
        <v>IND</v>
      </c>
      <c r="Z40" s="60">
        <f>IFERROR(INDEX(TableTEMaster[BYE],MATCH(TableTECalcPts[[#This Row],[TERef]],TableTEMaster[TERef],0)),"")</f>
        <v>11</v>
      </c>
      <c r="AA40" s="61">
        <f>IFERROR(INDEX(TableTEMaster[Custom],MATCH(TableTECalcPts[[#This Row],[TERef]],TableTEMaster[TERef],0)),"")</f>
        <v>54.929491460862458</v>
      </c>
      <c r="AI40" s="60" t="s">
        <v>10</v>
      </c>
      <c r="AJ40" s="60">
        <f>IFERROR(RANK(TableWRTECalcPts[[#This Row],[Custom]],TableWRTECalcPts[Custom])+COUNTIF($AP$3:AP40,AP40)-1,"")</f>
        <v>146</v>
      </c>
      <c r="AK40" s="60">
        <v>38</v>
      </c>
      <c r="AL40" s="60" t="str">
        <f>IFERROR(INDEX(TableTEMaster[Player],MATCH(TableWRTECalcPts[[#This Row],[POSRef]],TableTEMaster[TERef],0)),"")</f>
        <v>Mo Alie-Cox</v>
      </c>
      <c r="AM40" s="60" t="str">
        <f>IFERROR(_xlfn.CONCAT(TableWRTECalcPts[[#This Row],[POS]],INDEX(TableTERanks[RK],MATCH(TableWRTECalcPts[[#This Row],[PLAYER]],TableTERanks[Player],0))),"")</f>
        <v>TE39</v>
      </c>
      <c r="AN40" s="60" t="str">
        <f>IFERROR(INDEX(TableTEMaster[TM],MATCH(TableWRTECalcPts[[#This Row],[POSRef]],TableTEMaster[TERef],0)),"")</f>
        <v>IND</v>
      </c>
      <c r="AO40" s="60">
        <f>IFERROR(INDEX(TableTEMaster[BYE],MATCH(TableWRTECalcPts[[#This Row],[POSRef]],TableTEMaster[TERef],0)),"")</f>
        <v>11</v>
      </c>
      <c r="AP40" s="61">
        <f>IFERROR(INDEX(TableTEMaster[Custom],MATCH(TableWRTECalcPts[[#This Row],[POSRef]],TableTEMaster[TERef],0)),"")</f>
        <v>54.929491460862458</v>
      </c>
    </row>
    <row r="41" spans="1:42" x14ac:dyDescent="0.2">
      <c r="A41" s="62">
        <f>IFERROR(RANK(TableQBCalcPts[[#This Row],[Custom]],TableQBCalcPts[Custom])+COUNTIF($F$3:F41,F41)-1,"")</f>
        <v>38</v>
      </c>
      <c r="B41" s="60">
        <v>39</v>
      </c>
      <c r="C41" s="60" t="str">
        <f>IFERROR(INDEX(TableQBMaster[Player],MATCH(TableQBCalcPts[[#This Row],[QBRef]],TableQBMaster[QBRef],0)),"")</f>
        <v>Brian Hoyer</v>
      </c>
      <c r="D41" s="60" t="str">
        <f>IFERROR(INDEX(TableQBMaster[TM],MATCH(TableQBCalcPts[[#This Row],[QBRef]],TableQBMaster[QBRef],0)),"")</f>
        <v>LV</v>
      </c>
      <c r="E41" s="60">
        <f>IFERROR(INDEX(TableQBMaster[BYE],MATCH(TableQBCalcPts[[#This Row],[QBRef]],TableQBMaster[QBRef],0)),"")</f>
        <v>13</v>
      </c>
      <c r="F41" s="61">
        <f>IFERROR(INDEX(TableQBMaster[Custom],MATCH(TableQBCalcPts[[#This Row],[QBRef]],TableQBMaster[QBRef],0)),"")</f>
        <v>23.338961302415605</v>
      </c>
      <c r="H41" s="60">
        <f>IFERROR(RANK(TableRBCalcPts[[#This Row],[Custom]],TableRBCalcPts[Custom])+COUNTIF($M$3:M41,M41)-1,"")</f>
        <v>105</v>
      </c>
      <c r="I41" s="60">
        <v>39</v>
      </c>
      <c r="J41" s="60" t="str">
        <f>IFERROR(INDEX(TableRBMaster[Player],MATCH(TableRBCalcPts[[#This Row],[RBRef]],TableRBMaster[RBRef],0)),"")</f>
        <v>Emanuel Wilson</v>
      </c>
      <c r="K41" s="60" t="str">
        <f>IFERROR(INDEX(TableRBMaster[TM],MATCH(TableRBCalcPts[[#This Row],[RBRef]],TableRBMaster[RBRef],0)),"")</f>
        <v>GB</v>
      </c>
      <c r="L41" s="60">
        <f>IFERROR(INDEX(TableRBMaster[BYE],MATCH(TableRBCalcPts[[#This Row],[RBRef]],TableRBMaster[RBRef],0)),"")</f>
        <v>6</v>
      </c>
      <c r="M41" s="61">
        <f>IFERROR(INDEX(TableRBMaster[Custom],MATCH(TableRBCalcPts[[#This Row],[RBRef]],TableRBMaster[RBRef],0)),"")</f>
        <v>15.557680466451197</v>
      </c>
      <c r="O41" s="60">
        <f>IFERROR(RANK(TableWRCalcPts[[#This Row],[Custom]],TableWRCalcPts[Custom])+COUNTIF($T$3:T41,T41)-1,"")</f>
        <v>54</v>
      </c>
      <c r="P41" s="60">
        <v>39</v>
      </c>
      <c r="Q41" s="60" t="str">
        <f>IFERROR(INDEX(TableWRMaster[Player],MATCH(TableWRCalcPts[[#This Row],[WRRef]],TableWRMaster[WRRef],0)),"")</f>
        <v>Donovan Peoples-Jones</v>
      </c>
      <c r="R41" s="60" t="str">
        <f>IFERROR(INDEX(TableWRMaster[TM],MATCH(TableWRCalcPts[[#This Row],[WRRef]],TableWRMaster[WRRef],0)),"")</f>
        <v>CLE</v>
      </c>
      <c r="S41" s="60">
        <f>IFERROR(INDEX(TableWRMaster[BYE],MATCH(TableWRCalcPts[[#This Row],[WRRef]],TableWRMaster[WRRef],0)),"")</f>
        <v>5</v>
      </c>
      <c r="T41" s="61">
        <f>IFERROR(INDEX(TableWRMaster[Custom],MATCH(TableWRCalcPts[[#This Row],[WRRef]],TableWRMaster[WRRef],0)),"")</f>
        <v>133.57256369839229</v>
      </c>
      <c r="V41" s="60">
        <f>IFERROR(RANK(TableTECalcPts[[#This Row],[Custom]],TableTECalcPts[Custom])+COUNTIF($AA$3:AA41,AA41)-1,"")</f>
        <v>38</v>
      </c>
      <c r="W41" s="60">
        <v>39</v>
      </c>
      <c r="X41" s="60" t="str">
        <f>IFERROR(INDEX(TableTEMaster[Player],MATCH(TableTECalcPts[[#This Row],[TERef]],TableTEMaster[TERef],0)),"")</f>
        <v>Kylen Granson</v>
      </c>
      <c r="Y41" s="60" t="str">
        <f>IFERROR(INDEX(TableTEMaster[TM],MATCH(TableTECalcPts[[#This Row],[TERef]],TableTEMaster[TERef],0)),"")</f>
        <v>IND</v>
      </c>
      <c r="Z41" s="60">
        <f>IFERROR(INDEX(TableTEMaster[BYE],MATCH(TableTECalcPts[[#This Row],[TERef]],TableTEMaster[TERef],0)),"")</f>
        <v>11</v>
      </c>
      <c r="AA41" s="61">
        <f>IFERROR(INDEX(TableTEMaster[Custom],MATCH(TableTECalcPts[[#This Row],[TERef]],TableTEMaster[TERef],0)),"")</f>
        <v>57.54787370262359</v>
      </c>
      <c r="AI41" s="60" t="s">
        <v>10</v>
      </c>
      <c r="AJ41" s="60">
        <f>IFERROR(RANK(TableWRTECalcPts[[#This Row],[Custom]],TableWRTECalcPts[Custom])+COUNTIF($AP$3:AP41,AP41)-1,"")</f>
        <v>141</v>
      </c>
      <c r="AK41" s="60">
        <v>39</v>
      </c>
      <c r="AL41" s="60" t="str">
        <f>IFERROR(INDEX(TableTEMaster[Player],MATCH(TableWRTECalcPts[[#This Row],[POSRef]],TableTEMaster[TERef],0)),"")</f>
        <v>Kylen Granson</v>
      </c>
      <c r="AM41" s="60" t="str">
        <f>IFERROR(_xlfn.CONCAT(TableWRTECalcPts[[#This Row],[POS]],INDEX(TableTERanks[RK],MATCH(TableWRTECalcPts[[#This Row],[PLAYER]],TableTERanks[Player],0))),"")</f>
        <v>TE38</v>
      </c>
      <c r="AN41" s="60" t="str">
        <f>IFERROR(INDEX(TableTEMaster[TM],MATCH(TableWRTECalcPts[[#This Row],[POSRef]],TableTEMaster[TERef],0)),"")</f>
        <v>IND</v>
      </c>
      <c r="AO41" s="60">
        <f>IFERROR(INDEX(TableTEMaster[BYE],MATCH(TableWRTECalcPts[[#This Row],[POSRef]],TableTEMaster[TERef],0)),"")</f>
        <v>11</v>
      </c>
      <c r="AP41" s="61">
        <f>IFERROR(INDEX(TableTEMaster[Custom],MATCH(TableWRTECalcPts[[#This Row],[POSRef]],TableTEMaster[TERef],0)),"")</f>
        <v>57.54787370262359</v>
      </c>
    </row>
    <row r="42" spans="1:42" x14ac:dyDescent="0.2">
      <c r="A42" s="62">
        <f>IFERROR(RANK(TableQBCalcPts[[#This Row],[Custom]],TableQBCalcPts[Custom])+COUNTIF($F$3:F42,F42)-1,"")</f>
        <v>11</v>
      </c>
      <c r="B42" s="60">
        <v>40</v>
      </c>
      <c r="C42" s="60" t="str">
        <f>IFERROR(INDEX(TableQBMaster[Player],MATCH(TableQBCalcPts[[#This Row],[QBRef]],TableQBMaster[QBRef],0)),"")</f>
        <v>Tua Tagovailoa</v>
      </c>
      <c r="D42" s="60" t="str">
        <f>IFERROR(INDEX(TableQBMaster[TM],MATCH(TableQBCalcPts[[#This Row],[QBRef]],TableQBMaster[QBRef],0)),"")</f>
        <v>MIA</v>
      </c>
      <c r="E42" s="60">
        <f>IFERROR(INDEX(TableQBMaster[BYE],MATCH(TableQBCalcPts[[#This Row],[QBRef]],TableQBMaster[QBRef],0)),"")</f>
        <v>10</v>
      </c>
      <c r="F42" s="61">
        <f>IFERROR(INDEX(TableQBMaster[Custom],MATCH(TableQBCalcPts[[#This Row],[QBRef]],TableQBMaster[QBRef],0)),"")</f>
        <v>314.106028120644</v>
      </c>
      <c r="H42" s="60">
        <f>IFERROR(RANK(TableRBCalcPts[[#This Row],[Custom]],TableRBCalcPts[Custom])+COUNTIF($M$3:M42,M42)-1,"")</f>
        <v>12</v>
      </c>
      <c r="I42" s="60">
        <v>40</v>
      </c>
      <c r="J42" s="60" t="str">
        <f>IFERROR(INDEX(TableRBMaster[Player],MATCH(TableRBCalcPts[[#This Row],[RBRef]],TableRBMaster[RBRef],0)),"")</f>
        <v>Dameon Pierce</v>
      </c>
      <c r="K42" s="60" t="str">
        <f>IFERROR(INDEX(TableRBMaster[TM],MATCH(TableRBCalcPts[[#This Row],[RBRef]],TableRBMaster[RBRef],0)),"")</f>
        <v>HOU</v>
      </c>
      <c r="L42" s="60">
        <f>IFERROR(INDEX(TableRBMaster[BYE],MATCH(TableRBCalcPts[[#This Row],[RBRef]],TableRBMaster[RBRef],0)),"")</f>
        <v>7</v>
      </c>
      <c r="M42" s="61">
        <f>IFERROR(INDEX(TableRBMaster[Custom],MATCH(TableRBCalcPts[[#This Row],[RBRef]],TableRBMaster[RBRef],0)),"")</f>
        <v>218.07090358355615</v>
      </c>
      <c r="O42" s="60">
        <f>IFERROR(RANK(TableWRCalcPts[[#This Row],[Custom]],TableWRCalcPts[Custom])+COUNTIF($T$3:T42,T42)-1,"")</f>
        <v>123</v>
      </c>
      <c r="P42" s="60">
        <v>40</v>
      </c>
      <c r="Q42" s="60" t="str">
        <f>IFERROR(INDEX(TableWRMaster[Player],MATCH(TableWRCalcPts[[#This Row],[WRRef]],TableWRMaster[WRRef],0)),"")</f>
        <v>Cedric Tillman</v>
      </c>
      <c r="R42" s="60" t="str">
        <f>IFERROR(INDEX(TableWRMaster[TM],MATCH(TableWRCalcPts[[#This Row],[WRRef]],TableWRMaster[WRRef],0)),"")</f>
        <v>CLE</v>
      </c>
      <c r="S42" s="60">
        <f>IFERROR(INDEX(TableWRMaster[BYE],MATCH(TableWRCalcPts[[#This Row],[WRRef]],TableWRMaster[WRRef],0)),"")</f>
        <v>5</v>
      </c>
      <c r="T42" s="61">
        <f>IFERROR(INDEX(TableWRMaster[Custom],MATCH(TableWRCalcPts[[#This Row],[WRRef]],TableWRMaster[WRRef],0)),"")</f>
        <v>33.936930944818862</v>
      </c>
      <c r="V42" s="60">
        <f>IFERROR(RANK(TableTECalcPts[[#This Row],[Custom]],TableTECalcPts[Custom])+COUNTIF($AA$3:AA42,AA42)-1,"")</f>
        <v>37</v>
      </c>
      <c r="W42" s="60">
        <v>40</v>
      </c>
      <c r="X42" s="60" t="str">
        <f>IFERROR(INDEX(TableTEMaster[Player],MATCH(TableTECalcPts[[#This Row],[TERef]],TableTEMaster[TERef],0)),"")</f>
        <v>Jelani Woods</v>
      </c>
      <c r="Y42" s="60" t="str">
        <f>IFERROR(INDEX(TableTEMaster[TM],MATCH(TableTECalcPts[[#This Row],[TERef]],TableTEMaster[TERef],0)),"")</f>
        <v>IND</v>
      </c>
      <c r="Z42" s="60">
        <f>IFERROR(INDEX(TableTEMaster[BYE],MATCH(TableTECalcPts[[#This Row],[TERef]],TableTEMaster[TERef],0)),"")</f>
        <v>11</v>
      </c>
      <c r="AA42" s="61">
        <f>IFERROR(INDEX(TableTEMaster[Custom],MATCH(TableTECalcPts[[#This Row],[TERef]],TableTEMaster[TERef],0)),"")</f>
        <v>64.887841835586016</v>
      </c>
      <c r="AI42" s="60" t="s">
        <v>10</v>
      </c>
      <c r="AJ42" s="60">
        <f>IFERROR(RANK(TableWRTECalcPts[[#This Row],[Custom]],TableWRTECalcPts[Custom])+COUNTIF($AP$3:AP42,AP42)-1,"")</f>
        <v>135</v>
      </c>
      <c r="AK42" s="60">
        <v>40</v>
      </c>
      <c r="AL42" s="60" t="str">
        <f>IFERROR(INDEX(TableTEMaster[Player],MATCH(TableWRTECalcPts[[#This Row],[POSRef]],TableTEMaster[TERef],0)),"")</f>
        <v>Jelani Woods</v>
      </c>
      <c r="AM42" s="60" t="str">
        <f>IFERROR(_xlfn.CONCAT(TableWRTECalcPts[[#This Row],[POS]],INDEX(TableTERanks[RK],MATCH(TableWRTECalcPts[[#This Row],[PLAYER]],TableTERanks[Player],0))),"")</f>
        <v>TE37</v>
      </c>
      <c r="AN42" s="60" t="str">
        <f>IFERROR(INDEX(TableTEMaster[TM],MATCH(TableWRTECalcPts[[#This Row],[POSRef]],TableTEMaster[TERef],0)),"")</f>
        <v>IND</v>
      </c>
      <c r="AO42" s="60">
        <f>IFERROR(INDEX(TableTEMaster[BYE],MATCH(TableWRTECalcPts[[#This Row],[POSRef]],TableTEMaster[TERef],0)),"")</f>
        <v>11</v>
      </c>
      <c r="AP42" s="61">
        <f>IFERROR(INDEX(TableTEMaster[Custom],MATCH(TableWRTECalcPts[[#This Row],[POSRef]],TableTEMaster[TERef],0)),"")</f>
        <v>64.887841835586016</v>
      </c>
    </row>
    <row r="43" spans="1:42" x14ac:dyDescent="0.2">
      <c r="A43" s="62">
        <f>IFERROR(RANK(TableQBCalcPts[[#This Row],[Custom]],TableQBCalcPts[Custom])+COUNTIF($F$3:F43,F43)-1,"")</f>
        <v>54</v>
      </c>
      <c r="B43" s="60">
        <v>41</v>
      </c>
      <c r="C43" s="60" t="str">
        <f>IFERROR(INDEX(TableQBMaster[Player],MATCH(TableQBCalcPts[[#This Row],[QBRef]],TableQBMaster[QBRef],0)),"")</f>
        <v>Mike White</v>
      </c>
      <c r="D43" s="60" t="str">
        <f>IFERROR(INDEX(TableQBMaster[TM],MATCH(TableQBCalcPts[[#This Row],[QBRef]],TableQBMaster[QBRef],0)),"")</f>
        <v>MIA</v>
      </c>
      <c r="E43" s="60">
        <f>IFERROR(INDEX(TableQBMaster[BYE],MATCH(TableQBCalcPts[[#This Row],[QBRef]],TableQBMaster[QBRef],0)),"")</f>
        <v>10</v>
      </c>
      <c r="F43" s="61">
        <f>IFERROR(INDEX(TableQBMaster[Custom],MATCH(TableQBCalcPts[[#This Row],[QBRef]],TableQBMaster[QBRef],0)),"")</f>
        <v>7.1777933223661545</v>
      </c>
      <c r="H43" s="60">
        <f>IFERROR(RANK(TableRBCalcPts[[#This Row],[Custom]],TableRBCalcPts[Custom])+COUNTIF($M$3:M43,M43)-1,"")</f>
        <v>58</v>
      </c>
      <c r="I43" s="60">
        <v>41</v>
      </c>
      <c r="J43" s="60" t="str">
        <f>IFERROR(INDEX(TableRBMaster[Player],MATCH(TableRBCalcPts[[#This Row],[RBRef]],TableRBMaster[RBRef],0)),"")</f>
        <v>Devin Singletary</v>
      </c>
      <c r="K43" s="60" t="str">
        <f>IFERROR(INDEX(TableRBMaster[TM],MATCH(TableRBCalcPts[[#This Row],[RBRef]],TableRBMaster[RBRef],0)),"")</f>
        <v>HOU</v>
      </c>
      <c r="L43" s="60">
        <f>IFERROR(INDEX(TableRBMaster[BYE],MATCH(TableRBCalcPts[[#This Row],[RBRef]],TableRBMaster[RBRef],0)),"")</f>
        <v>7</v>
      </c>
      <c r="M43" s="61">
        <f>IFERROR(INDEX(TableRBMaster[Custom],MATCH(TableRBCalcPts[[#This Row],[RBRef]],TableRBMaster[RBRef],0)),"")</f>
        <v>83.837635517984992</v>
      </c>
      <c r="O43" s="60">
        <f>IFERROR(RANK(TableWRCalcPts[[#This Row],[Custom]],TableWRCalcPts[Custom])+COUNTIF($T$3:T43,T43)-1,"")</f>
        <v>149</v>
      </c>
      <c r="P43" s="60">
        <v>41</v>
      </c>
      <c r="Q43" s="60" t="str">
        <f>IFERROR(INDEX(TableWRMaster[Player],MATCH(TableWRCalcPts[[#This Row],[WRRef]],TableWRMaster[WRRef],0)),"")</f>
        <v>David Bell</v>
      </c>
      <c r="R43" s="60" t="str">
        <f>IFERROR(INDEX(TableWRMaster[TM],MATCH(TableWRCalcPts[[#This Row],[WRRef]],TableWRMaster[WRRef],0)),"")</f>
        <v>CLE</v>
      </c>
      <c r="S43" s="60">
        <f>IFERROR(INDEX(TableWRMaster[BYE],MATCH(TableWRCalcPts[[#This Row],[WRRef]],TableWRMaster[WRRef],0)),"")</f>
        <v>5</v>
      </c>
      <c r="T43" s="61">
        <f>IFERROR(INDEX(TableWRMaster[Custom],MATCH(TableWRCalcPts[[#This Row],[WRRef]],TableWRMaster[WRRef],0)),"")</f>
        <v>16.274309090837527</v>
      </c>
      <c r="V43" s="60">
        <f>IFERROR(RANK(TableTECalcPts[[#This Row],[Custom]],TableTECalcPts[Custom])+COUNTIF($AA$3:AA43,AA43)-1,"")</f>
        <v>10</v>
      </c>
      <c r="W43" s="60">
        <v>41</v>
      </c>
      <c r="X43" s="60" t="str">
        <f>IFERROR(INDEX(TableTEMaster[Player],MATCH(TableTECalcPts[[#This Row],[TERef]],TableTEMaster[TERef],0)),"")</f>
        <v>Evan Engram</v>
      </c>
      <c r="Y43" s="60" t="str">
        <f>IFERROR(INDEX(TableTEMaster[TM],MATCH(TableTECalcPts[[#This Row],[TERef]],TableTEMaster[TERef],0)),"")</f>
        <v>JAX</v>
      </c>
      <c r="Z43" s="60">
        <f>IFERROR(INDEX(TableTEMaster[BYE],MATCH(TableTECalcPts[[#This Row],[TERef]],TableTEMaster[TERef],0)),"")</f>
        <v>9</v>
      </c>
      <c r="AA43" s="61">
        <f>IFERROR(INDEX(TableTEMaster[Custom],MATCH(TableTECalcPts[[#This Row],[TERef]],TableTEMaster[TERef],0)),"")</f>
        <v>132.11341947692489</v>
      </c>
      <c r="AI43" s="60" t="s">
        <v>10</v>
      </c>
      <c r="AJ43" s="60">
        <f>IFERROR(RANK(TableWRTECalcPts[[#This Row],[Custom]],TableWRTECalcPts[Custom])+COUNTIF($AP$3:AP43,AP43)-1,"")</f>
        <v>65</v>
      </c>
      <c r="AK43" s="60">
        <v>41</v>
      </c>
      <c r="AL43" s="60" t="str">
        <f>IFERROR(INDEX(TableTEMaster[Player],MATCH(TableWRTECalcPts[[#This Row],[POSRef]],TableTEMaster[TERef],0)),"")</f>
        <v>Evan Engram</v>
      </c>
      <c r="AM43" s="60" t="str">
        <f>IFERROR(_xlfn.CONCAT(TableWRTECalcPts[[#This Row],[POS]],INDEX(TableTERanks[RK],MATCH(TableWRTECalcPts[[#This Row],[PLAYER]],TableTERanks[Player],0))),"")</f>
        <v>TE10</v>
      </c>
      <c r="AN43" s="60" t="str">
        <f>IFERROR(INDEX(TableTEMaster[TM],MATCH(TableWRTECalcPts[[#This Row],[POSRef]],TableTEMaster[TERef],0)),"")</f>
        <v>JAX</v>
      </c>
      <c r="AO43" s="60">
        <f>IFERROR(INDEX(TableTEMaster[BYE],MATCH(TableWRTECalcPts[[#This Row],[POSRef]],TableTEMaster[TERef],0)),"")</f>
        <v>9</v>
      </c>
      <c r="AP43" s="61">
        <f>IFERROR(INDEX(TableTEMaster[Custom],MATCH(TableWRTECalcPts[[#This Row],[POSRef]],TableTEMaster[TERef],0)),"")</f>
        <v>132.11341947692489</v>
      </c>
    </row>
    <row r="44" spans="1:42" x14ac:dyDescent="0.2">
      <c r="A44" s="62">
        <f>IFERROR(RANK(TableQBCalcPts[[#This Row],[Custom]],TableQBCalcPts[Custom])+COUNTIF($F$3:F44,F44)-1,"")</f>
        <v>13</v>
      </c>
      <c r="B44" s="60">
        <v>42</v>
      </c>
      <c r="C44" s="60" t="str">
        <f>IFERROR(INDEX(TableQBMaster[Player],MATCH(TableQBCalcPts[[#This Row],[QBRef]],TableQBMaster[QBRef],0)),"")</f>
        <v>Kirk Cousins</v>
      </c>
      <c r="D44" s="60" t="str">
        <f>IFERROR(INDEX(TableQBMaster[TM],MATCH(TableQBCalcPts[[#This Row],[QBRef]],TableQBMaster[QBRef],0)),"")</f>
        <v>MIN</v>
      </c>
      <c r="E44" s="60">
        <f>IFERROR(INDEX(TableQBMaster[BYE],MATCH(TableQBCalcPts[[#This Row],[QBRef]],TableQBMaster[QBRef],0)),"")</f>
        <v>13</v>
      </c>
      <c r="F44" s="61">
        <f>IFERROR(INDEX(TableQBMaster[Custom],MATCH(TableQBCalcPts[[#This Row],[QBRef]],TableQBMaster[QBRef],0)),"")</f>
        <v>313.66400847738322</v>
      </c>
      <c r="H44" s="60">
        <f>IFERROR(RANK(TableRBCalcPts[[#This Row],[Custom]],TableRBCalcPts[Custom])+COUNTIF($M$3:M44,M44)-1,"")</f>
        <v>103</v>
      </c>
      <c r="I44" s="60">
        <v>42</v>
      </c>
      <c r="J44" s="60" t="str">
        <f>IFERROR(INDEX(TableRBMaster[Player],MATCH(TableRBCalcPts[[#This Row],[RBRef]],TableRBMaster[RBRef],0)),"")</f>
        <v>Mike Boone</v>
      </c>
      <c r="K44" s="60" t="str">
        <f>IFERROR(INDEX(TableRBMaster[TM],MATCH(TableRBCalcPts[[#This Row],[RBRef]],TableRBMaster[RBRef],0)),"")</f>
        <v>HOU</v>
      </c>
      <c r="L44" s="60">
        <f>IFERROR(INDEX(TableRBMaster[BYE],MATCH(TableRBCalcPts[[#This Row],[RBRef]],TableRBMaster[RBRef],0)),"")</f>
        <v>7</v>
      </c>
      <c r="M44" s="61">
        <f>IFERROR(INDEX(TableRBMaster[Custom],MATCH(TableRBCalcPts[[#This Row],[RBRef]],TableRBMaster[RBRef],0)),"")</f>
        <v>17.144728206274554</v>
      </c>
      <c r="O44" s="60">
        <f>IFERROR(RANK(TableWRCalcPts[[#This Row],[Custom]],TableWRCalcPts[Custom])+COUNTIF($T$3:T44,T44)-1,"")</f>
        <v>8</v>
      </c>
      <c r="P44" s="60">
        <v>42</v>
      </c>
      <c r="Q44" s="60" t="str">
        <f>IFERROR(INDEX(TableWRMaster[Player],MATCH(TableWRCalcPts[[#This Row],[WRRef]],TableWRMaster[WRRef],0)),"")</f>
        <v>CeeDee Lamb</v>
      </c>
      <c r="R44" s="60" t="str">
        <f>IFERROR(INDEX(TableWRMaster[TM],MATCH(TableWRCalcPts[[#This Row],[WRRef]],TableWRMaster[WRRef],0)),"")</f>
        <v>DAL</v>
      </c>
      <c r="S44" s="60">
        <f>IFERROR(INDEX(TableWRMaster[BYE],MATCH(TableWRCalcPts[[#This Row],[WRRef]],TableWRMaster[WRRef],0)),"")</f>
        <v>7</v>
      </c>
      <c r="T44" s="61">
        <f>IFERROR(INDEX(TableWRMaster[Custom],MATCH(TableWRCalcPts[[#This Row],[WRRef]],TableWRMaster[WRRef],0)),"")</f>
        <v>217.43365166733861</v>
      </c>
      <c r="V44" s="60">
        <f>IFERROR(RANK(TableTECalcPts[[#This Row],[Custom]],TableTECalcPts[Custom])+COUNTIF($AA$3:AA44,AA44)-1,"")</f>
        <v>90</v>
      </c>
      <c r="W44" s="60">
        <v>42</v>
      </c>
      <c r="X44" s="60" t="str">
        <f>IFERROR(INDEX(TableTEMaster[Player],MATCH(TableTECalcPts[[#This Row],[TERef]],TableTEMaster[TERef],0)),"")</f>
        <v>Luke Farrell</v>
      </c>
      <c r="Y44" s="60" t="str">
        <f>IFERROR(INDEX(TableTEMaster[TM],MATCH(TableTECalcPts[[#This Row],[TERef]],TableTEMaster[TERef],0)),"")</f>
        <v>JAX</v>
      </c>
      <c r="Z44" s="60">
        <f>IFERROR(INDEX(TableTEMaster[BYE],MATCH(TableTECalcPts[[#This Row],[TERef]],TableTEMaster[TERef],0)),"")</f>
        <v>9</v>
      </c>
      <c r="AA44" s="61">
        <f>IFERROR(INDEX(TableTEMaster[Custom],MATCH(TableTECalcPts[[#This Row],[TERef]],TableTEMaster[TERef],0)),"")</f>
        <v>6.4640458763999984</v>
      </c>
      <c r="AI44" s="60" t="s">
        <v>10</v>
      </c>
      <c r="AJ44" s="60">
        <f>IFERROR(RANK(TableWRTECalcPts[[#This Row],[Custom]],TableWRTECalcPts[Custom])+COUNTIF($AP$3:AP44,AP44)-1,"")</f>
        <v>251</v>
      </c>
      <c r="AK44" s="60">
        <v>42</v>
      </c>
      <c r="AL44" s="60" t="str">
        <f>IFERROR(INDEX(TableTEMaster[Player],MATCH(TableWRTECalcPts[[#This Row],[POSRef]],TableTEMaster[TERef],0)),"")</f>
        <v>Luke Farrell</v>
      </c>
      <c r="AM44" s="60" t="str">
        <f>IFERROR(_xlfn.CONCAT(TableWRTECalcPts[[#This Row],[POS]],INDEX(TableTERanks[RK],MATCH(TableWRTECalcPts[[#This Row],[PLAYER]],TableTERanks[Player],0))),"")</f>
        <v>TE90</v>
      </c>
      <c r="AN44" s="60" t="str">
        <f>IFERROR(INDEX(TableTEMaster[TM],MATCH(TableWRTECalcPts[[#This Row],[POSRef]],TableTEMaster[TERef],0)),"")</f>
        <v>JAX</v>
      </c>
      <c r="AO44" s="60">
        <f>IFERROR(INDEX(TableTEMaster[BYE],MATCH(TableWRTECalcPts[[#This Row],[POSRef]],TableTEMaster[TERef],0)),"")</f>
        <v>9</v>
      </c>
      <c r="AP44" s="61">
        <f>IFERROR(INDEX(TableTEMaster[Custom],MATCH(TableWRTECalcPts[[#This Row],[POSRef]],TableTEMaster[TERef],0)),"")</f>
        <v>6.4640458763999984</v>
      </c>
    </row>
    <row r="45" spans="1:42" x14ac:dyDescent="0.2">
      <c r="A45" s="62">
        <f>IFERROR(RANK(TableQBCalcPts[[#This Row],[Custom]],TableQBCalcPts[Custom])+COUNTIF($F$3:F45,F45)-1,"")</f>
        <v>51</v>
      </c>
      <c r="B45" s="60">
        <v>43</v>
      </c>
      <c r="C45" s="60" t="str">
        <f>IFERROR(INDEX(TableQBMaster[Player],MATCH(TableQBCalcPts[[#This Row],[QBRef]],TableQBMaster[QBRef],0)),"")</f>
        <v>Nick Mullens</v>
      </c>
      <c r="D45" s="60" t="str">
        <f>IFERROR(INDEX(TableQBMaster[TM],MATCH(TableQBCalcPts[[#This Row],[QBRef]],TableQBMaster[QBRef],0)),"")</f>
        <v>MIN</v>
      </c>
      <c r="E45" s="60">
        <f>IFERROR(INDEX(TableQBMaster[BYE],MATCH(TableQBCalcPts[[#This Row],[QBRef]],TableQBMaster[QBRef],0)),"")</f>
        <v>13</v>
      </c>
      <c r="F45" s="61">
        <f>IFERROR(INDEX(TableQBMaster[Custom],MATCH(TableQBCalcPts[[#This Row],[QBRef]],TableQBMaster[QBRef],0)),"")</f>
        <v>7.8821260056000071</v>
      </c>
      <c r="H45" s="60">
        <f>IFERROR(RANK(TableRBCalcPts[[#This Row],[Custom]],TableRBCalcPts[Custom])+COUNTIF($M$3:M45,M45)-1,"")</f>
        <v>88</v>
      </c>
      <c r="I45" s="60">
        <v>43</v>
      </c>
      <c r="J45" s="60" t="str">
        <f>IFERROR(INDEX(TableRBMaster[Player],MATCH(TableRBCalcPts[[#This Row],[RBRef]],TableRBMaster[RBRef],0)),"")</f>
        <v>Dare Ogunbowale</v>
      </c>
      <c r="K45" s="60" t="str">
        <f>IFERROR(INDEX(TableRBMaster[TM],MATCH(TableRBCalcPts[[#This Row],[RBRef]],TableRBMaster[RBRef],0)),"")</f>
        <v>HOU</v>
      </c>
      <c r="L45" s="60">
        <f>IFERROR(INDEX(TableRBMaster[BYE],MATCH(TableRBCalcPts[[#This Row],[RBRef]],TableRBMaster[RBRef],0)),"")</f>
        <v>7</v>
      </c>
      <c r="M45" s="61">
        <f>IFERROR(INDEX(TableRBMaster[Custom],MATCH(TableRBCalcPts[[#This Row],[RBRef]],TableRBMaster[RBRef],0)),"")</f>
        <v>29.810729591596797</v>
      </c>
      <c r="O45" s="60">
        <f>IFERROR(RANK(TableWRCalcPts[[#This Row],[Custom]],TableWRCalcPts[Custom])+COUNTIF($T$3:T45,T45)-1,"")</f>
        <v>42</v>
      </c>
      <c r="P45" s="60">
        <v>43</v>
      </c>
      <c r="Q45" s="60" t="str">
        <f>IFERROR(INDEX(TableWRMaster[Player],MATCH(TableWRCalcPts[[#This Row],[WRRef]],TableWRMaster[WRRef],0)),"")</f>
        <v>Brandin Cooks</v>
      </c>
      <c r="R45" s="60" t="str">
        <f>IFERROR(INDEX(TableWRMaster[TM],MATCH(TableWRCalcPts[[#This Row],[WRRef]],TableWRMaster[WRRef],0)),"")</f>
        <v>DAL</v>
      </c>
      <c r="S45" s="60">
        <f>IFERROR(INDEX(TableWRMaster[BYE],MATCH(TableWRCalcPts[[#This Row],[WRRef]],TableWRMaster[WRRef],0)),"")</f>
        <v>7</v>
      </c>
      <c r="T45" s="61">
        <f>IFERROR(INDEX(TableWRMaster[Custom],MATCH(TableWRCalcPts[[#This Row],[WRRef]],TableWRMaster[WRRef],0)),"")</f>
        <v>151.57421394837161</v>
      </c>
      <c r="V45" s="60">
        <f>IFERROR(RANK(TableTECalcPts[[#This Row],[Custom]],TableTECalcPts[Custom])+COUNTIF($AA$3:AA45,AA45)-1,"")</f>
        <v>54</v>
      </c>
      <c r="W45" s="60">
        <v>43</v>
      </c>
      <c r="X45" s="60" t="str">
        <f>IFERROR(INDEX(TableTEMaster[Player],MATCH(TableTECalcPts[[#This Row],[TERef]],TableTEMaster[TERef],0)),"")</f>
        <v>Brenton Strange</v>
      </c>
      <c r="Y45" s="60" t="str">
        <f>IFERROR(INDEX(TableTEMaster[TM],MATCH(TableTECalcPts[[#This Row],[TERef]],TableTEMaster[TERef],0)),"")</f>
        <v>JAX</v>
      </c>
      <c r="Z45" s="60">
        <f>IFERROR(INDEX(TableTEMaster[BYE],MATCH(TableTECalcPts[[#This Row],[TERef]],TableTEMaster[TERef],0)),"")</f>
        <v>9</v>
      </c>
      <c r="AA45" s="61">
        <f>IFERROR(INDEX(TableTEMaster[Custom],MATCH(TableTECalcPts[[#This Row],[TERef]],TableTEMaster[TERef],0)),"")</f>
        <v>27.978221136532827</v>
      </c>
      <c r="AI45" s="60" t="s">
        <v>10</v>
      </c>
      <c r="AJ45" s="60">
        <f>IFERROR(RANK(TableWRTECalcPts[[#This Row],[Custom]],TableWRTECalcPts[Custom])+COUNTIF($AP$3:AP45,AP45)-1,"")</f>
        <v>181</v>
      </c>
      <c r="AK45" s="60">
        <v>43</v>
      </c>
      <c r="AL45" s="60" t="str">
        <f>IFERROR(INDEX(TableTEMaster[Player],MATCH(TableWRTECalcPts[[#This Row],[POSRef]],TableTEMaster[TERef],0)),"")</f>
        <v>Brenton Strange</v>
      </c>
      <c r="AM45" s="60" t="str">
        <f>IFERROR(_xlfn.CONCAT(TableWRTECalcPts[[#This Row],[POS]],INDEX(TableTERanks[RK],MATCH(TableWRTECalcPts[[#This Row],[PLAYER]],TableTERanks[Player],0))),"")</f>
        <v>TE54</v>
      </c>
      <c r="AN45" s="60" t="str">
        <f>IFERROR(INDEX(TableTEMaster[TM],MATCH(TableWRTECalcPts[[#This Row],[POSRef]],TableTEMaster[TERef],0)),"")</f>
        <v>JAX</v>
      </c>
      <c r="AO45" s="60">
        <f>IFERROR(INDEX(TableTEMaster[BYE],MATCH(TableWRTECalcPts[[#This Row],[POSRef]],TableTEMaster[TERef],0)),"")</f>
        <v>9</v>
      </c>
      <c r="AP45" s="61">
        <f>IFERROR(INDEX(TableTEMaster[Custom],MATCH(TableWRTECalcPts[[#This Row],[POSRef]],TableTEMaster[TERef],0)),"")</f>
        <v>27.978221136532827</v>
      </c>
    </row>
    <row r="46" spans="1:42" x14ac:dyDescent="0.2">
      <c r="A46" s="62">
        <f>IFERROR(RANK(TableQBCalcPts[[#This Row],[Custom]],TableQBCalcPts[Custom])+COUNTIF($F$3:F46,F46)-1,"")</f>
        <v>29</v>
      </c>
      <c r="B46" s="60">
        <v>44</v>
      </c>
      <c r="C46" s="60" t="str">
        <f>IFERROR(INDEX(TableQBMaster[Player],MATCH(TableQBCalcPts[[#This Row],[QBRef]],TableQBMaster[QBRef],0)),"")</f>
        <v>Mac Jones</v>
      </c>
      <c r="D46" s="60" t="str">
        <f>IFERROR(INDEX(TableQBMaster[TM],MATCH(TableQBCalcPts[[#This Row],[QBRef]],TableQBMaster[QBRef],0)),"")</f>
        <v>NE</v>
      </c>
      <c r="E46" s="60">
        <f>IFERROR(INDEX(TableQBMaster[BYE],MATCH(TableQBCalcPts[[#This Row],[QBRef]],TableQBMaster[QBRef],0)),"")</f>
        <v>11</v>
      </c>
      <c r="F46" s="61">
        <f>IFERROR(INDEX(TableQBMaster[Custom],MATCH(TableQBCalcPts[[#This Row],[QBRef]],TableQBMaster[QBRef],0)),"")</f>
        <v>248.34398689298061</v>
      </c>
      <c r="H46" s="60">
        <f>IFERROR(RANK(TableRBCalcPts[[#This Row],[Custom]],TableRBCalcPts[Custom])+COUNTIF($M$3:M46,M46)-1,"")</f>
        <v>38</v>
      </c>
      <c r="I46" s="60">
        <v>44</v>
      </c>
      <c r="J46" s="60" t="str">
        <f>IFERROR(INDEX(TableRBMaster[Player],MATCH(TableRBCalcPts[[#This Row],[RBRef]],TableRBMaster[RBRef],0)),"")</f>
        <v>Jonathan Taylor</v>
      </c>
      <c r="K46" s="60" t="str">
        <f>IFERROR(INDEX(TableRBMaster[TM],MATCH(TableRBCalcPts[[#This Row],[RBRef]],TableRBMaster[RBRef],0)),"")</f>
        <v>IND</v>
      </c>
      <c r="L46" s="60">
        <f>IFERROR(INDEX(TableRBMaster[BYE],MATCH(TableRBCalcPts[[#This Row],[RBRef]],TableRBMaster[RBRef],0)),"")</f>
        <v>11</v>
      </c>
      <c r="M46" s="61">
        <f>IFERROR(INDEX(TableRBMaster[Custom],MATCH(TableRBCalcPts[[#This Row],[RBRef]],TableRBMaster[RBRef],0)),"")</f>
        <v>133.35083061101241</v>
      </c>
      <c r="O46" s="60">
        <f>IFERROR(RANK(TableWRCalcPts[[#This Row],[Custom]],TableWRCalcPts[Custom])+COUNTIF($T$3:T46,T46)-1,"")</f>
        <v>77</v>
      </c>
      <c r="P46" s="60">
        <v>44</v>
      </c>
      <c r="Q46" s="60" t="str">
        <f>IFERROR(INDEX(TableWRMaster[Player],MATCH(TableWRCalcPts[[#This Row],[WRRef]],TableWRMaster[WRRef],0)),"")</f>
        <v>Michael Gallup</v>
      </c>
      <c r="R46" s="60" t="str">
        <f>IFERROR(INDEX(TableWRMaster[TM],MATCH(TableWRCalcPts[[#This Row],[WRRef]],TableWRMaster[WRRef],0)),"")</f>
        <v>DAL</v>
      </c>
      <c r="S46" s="60">
        <f>IFERROR(INDEX(TableWRMaster[BYE],MATCH(TableWRCalcPts[[#This Row],[WRRef]],TableWRMaster[WRRef],0)),"")</f>
        <v>7</v>
      </c>
      <c r="T46" s="61">
        <f>IFERROR(INDEX(TableWRMaster[Custom],MATCH(TableWRCalcPts[[#This Row],[WRRef]],TableWRMaster[WRRef],0)),"")</f>
        <v>93.431094692524141</v>
      </c>
      <c r="V46" s="60">
        <f>IFERROR(RANK(TableTECalcPts[[#This Row],[Custom]],TableTECalcPts[Custom])+COUNTIF($AA$3:AA46,AA46)-1,"")</f>
        <v>1</v>
      </c>
      <c r="W46" s="60">
        <v>44</v>
      </c>
      <c r="X46" s="60" t="str">
        <f>IFERROR(INDEX(TableTEMaster[Player],MATCH(TableTECalcPts[[#This Row],[TERef]],TableTEMaster[TERef],0)),"")</f>
        <v>Travis Kelce</v>
      </c>
      <c r="Y46" s="60" t="str">
        <f>IFERROR(INDEX(TableTEMaster[TM],MATCH(TableTECalcPts[[#This Row],[TERef]],TableTEMaster[TERef],0)),"")</f>
        <v>KC</v>
      </c>
      <c r="Z46" s="60">
        <f>IFERROR(INDEX(TableTEMaster[BYE],MATCH(TableTECalcPts[[#This Row],[TERef]],TableTEMaster[TERef],0)),"")</f>
        <v>10</v>
      </c>
      <c r="AA46" s="61">
        <f>IFERROR(INDEX(TableTEMaster[Custom],MATCH(TableTECalcPts[[#This Row],[TERef]],TableTEMaster[TERef],0)),"")</f>
        <v>224.5527577004236</v>
      </c>
      <c r="AI46" s="60" t="s">
        <v>10</v>
      </c>
      <c r="AJ46" s="60">
        <f>IFERROR(RANK(TableWRTECalcPts[[#This Row],[Custom]],TableWRTECalcPts[Custom])+COUNTIF($AP$3:AP46,AP46)-1,"")</f>
        <v>8</v>
      </c>
      <c r="AK46" s="60">
        <v>44</v>
      </c>
      <c r="AL46" s="60" t="str">
        <f>IFERROR(INDEX(TableTEMaster[Player],MATCH(TableWRTECalcPts[[#This Row],[POSRef]],TableTEMaster[TERef],0)),"")</f>
        <v>Travis Kelce</v>
      </c>
      <c r="AM46" s="60" t="str">
        <f>IFERROR(_xlfn.CONCAT(TableWRTECalcPts[[#This Row],[POS]],INDEX(TableTERanks[RK],MATCH(TableWRTECalcPts[[#This Row],[PLAYER]],TableTERanks[Player],0))),"")</f>
        <v>TE1</v>
      </c>
      <c r="AN46" s="60" t="str">
        <f>IFERROR(INDEX(TableTEMaster[TM],MATCH(TableWRTECalcPts[[#This Row],[POSRef]],TableTEMaster[TERef],0)),"")</f>
        <v>KC</v>
      </c>
      <c r="AO46" s="60">
        <f>IFERROR(INDEX(TableTEMaster[BYE],MATCH(TableWRTECalcPts[[#This Row],[POSRef]],TableTEMaster[TERef],0)),"")</f>
        <v>10</v>
      </c>
      <c r="AP46" s="61">
        <f>IFERROR(INDEX(TableTEMaster[Custom],MATCH(TableWRTECalcPts[[#This Row],[POSRef]],TableTEMaster[TERef],0)),"")</f>
        <v>224.5527577004236</v>
      </c>
    </row>
    <row r="47" spans="1:42" x14ac:dyDescent="0.2">
      <c r="A47" s="62">
        <f>IFERROR(RANK(TableQBCalcPts[[#This Row],[Custom]],TableQBCalcPts[Custom])+COUNTIF($F$3:F47,F47)-1,"")</f>
        <v>26</v>
      </c>
      <c r="B47" s="60">
        <v>45</v>
      </c>
      <c r="C47" s="60" t="str">
        <f>IFERROR(INDEX(TableQBMaster[Player],MATCH(TableQBCalcPts[[#This Row],[QBRef]],TableQBMaster[QBRef],0)),"")</f>
        <v>Derek Carr</v>
      </c>
      <c r="D47" s="60" t="str">
        <f>IFERROR(INDEX(TableQBMaster[TM],MATCH(TableQBCalcPts[[#This Row],[QBRef]],TableQBMaster[QBRef],0)),"")</f>
        <v>NO</v>
      </c>
      <c r="E47" s="60">
        <f>IFERROR(INDEX(TableQBMaster[BYE],MATCH(TableQBCalcPts[[#This Row],[QBRef]],TableQBMaster[QBRef],0)),"")</f>
        <v>11</v>
      </c>
      <c r="F47" s="61">
        <f>IFERROR(INDEX(TableQBMaster[Custom],MATCH(TableQBCalcPts[[#This Row],[QBRef]],TableQBMaster[QBRef],0)),"")</f>
        <v>259.6801634925929</v>
      </c>
      <c r="H47" s="60">
        <f>IFERROR(RANK(TableRBCalcPts[[#This Row],[Custom]],TableRBCalcPts[Custom])+COUNTIF($M$3:M47,M47)-1,"")</f>
        <v>66</v>
      </c>
      <c r="I47" s="60">
        <v>45</v>
      </c>
      <c r="J47" s="60" t="str">
        <f>IFERROR(INDEX(TableRBMaster[Player],MATCH(TableRBCalcPts[[#This Row],[RBRef]],TableRBMaster[RBRef],0)),"")</f>
        <v>Deon Jackson</v>
      </c>
      <c r="K47" s="60" t="str">
        <f>IFERROR(INDEX(TableRBMaster[TM],MATCH(TableRBCalcPts[[#This Row],[RBRef]],TableRBMaster[RBRef],0)),"")</f>
        <v>IND</v>
      </c>
      <c r="L47" s="60">
        <f>IFERROR(INDEX(TableRBMaster[BYE],MATCH(TableRBCalcPts[[#This Row],[RBRef]],TableRBMaster[RBRef],0)),"")</f>
        <v>11</v>
      </c>
      <c r="M47" s="61">
        <f>IFERROR(INDEX(TableRBMaster[Custom],MATCH(TableRBCalcPts[[#This Row],[RBRef]],TableRBMaster[RBRef],0)),"")</f>
        <v>71.005509132096009</v>
      </c>
      <c r="O47" s="60">
        <f>IFERROR(RANK(TableWRCalcPts[[#This Row],[Custom]],TableWRCalcPts[Custom])+COUNTIF($T$3:T47,T47)-1,"")</f>
        <v>127</v>
      </c>
      <c r="P47" s="60">
        <v>45</v>
      </c>
      <c r="Q47" s="60" t="str">
        <f>IFERROR(INDEX(TableWRMaster[Player],MATCH(TableWRCalcPts[[#This Row],[WRRef]],TableWRMaster[WRRef],0)),"")</f>
        <v>Jalen Tolbert</v>
      </c>
      <c r="R47" s="60" t="str">
        <f>IFERROR(INDEX(TableWRMaster[TM],MATCH(TableWRCalcPts[[#This Row],[WRRef]],TableWRMaster[WRRef],0)),"")</f>
        <v>DAL</v>
      </c>
      <c r="S47" s="60">
        <f>IFERROR(INDEX(TableWRMaster[BYE],MATCH(TableWRCalcPts[[#This Row],[WRRef]],TableWRMaster[WRRef],0)),"")</f>
        <v>7</v>
      </c>
      <c r="T47" s="61">
        <f>IFERROR(INDEX(TableWRMaster[Custom],MATCH(TableWRCalcPts[[#This Row],[WRRef]],TableWRMaster[WRRef],0)),"")</f>
        <v>29.724437104205709</v>
      </c>
      <c r="V47" s="60">
        <f>IFERROR(RANK(TableTECalcPts[[#This Row],[Custom]],TableTECalcPts[Custom])+COUNTIF($AA$3:AA47,AA47)-1,"")</f>
        <v>58</v>
      </c>
      <c r="W47" s="60">
        <v>45</v>
      </c>
      <c r="X47" s="60" t="str">
        <f>IFERROR(INDEX(TableTEMaster[Player],MATCH(TableTECalcPts[[#This Row],[TERef]],TableTEMaster[TERef],0)),"")</f>
        <v>Noah Gray</v>
      </c>
      <c r="Y47" s="60" t="str">
        <f>IFERROR(INDEX(TableTEMaster[TM],MATCH(TableTECalcPts[[#This Row],[TERef]],TableTEMaster[TERef],0)),"")</f>
        <v>KC</v>
      </c>
      <c r="Z47" s="60">
        <f>IFERROR(INDEX(TableTEMaster[BYE],MATCH(TableTECalcPts[[#This Row],[TERef]],TableTEMaster[TERef],0)),"")</f>
        <v>10</v>
      </c>
      <c r="AA47" s="61">
        <f>IFERROR(INDEX(TableTEMaster[Custom],MATCH(TableTECalcPts[[#This Row],[TERef]],TableTEMaster[TERef],0)),"")</f>
        <v>23.702476663268556</v>
      </c>
      <c r="AI47" s="60" t="s">
        <v>10</v>
      </c>
      <c r="AJ47" s="60">
        <f>IFERROR(RANK(TableWRTECalcPts[[#This Row],[Custom]],TableWRTECalcPts[Custom])+COUNTIF($AP$3:AP47,AP47)-1,"")</f>
        <v>193</v>
      </c>
      <c r="AK47" s="60">
        <v>45</v>
      </c>
      <c r="AL47" s="60" t="str">
        <f>IFERROR(INDEX(TableTEMaster[Player],MATCH(TableWRTECalcPts[[#This Row],[POSRef]],TableTEMaster[TERef],0)),"")</f>
        <v>Noah Gray</v>
      </c>
      <c r="AM47" s="60" t="str">
        <f>IFERROR(_xlfn.CONCAT(TableWRTECalcPts[[#This Row],[POS]],INDEX(TableTERanks[RK],MATCH(TableWRTECalcPts[[#This Row],[PLAYER]],TableTERanks[Player],0))),"")</f>
        <v>TE58</v>
      </c>
      <c r="AN47" s="60" t="str">
        <f>IFERROR(INDEX(TableTEMaster[TM],MATCH(TableWRTECalcPts[[#This Row],[POSRef]],TableTEMaster[TERef],0)),"")</f>
        <v>KC</v>
      </c>
      <c r="AO47" s="60">
        <f>IFERROR(INDEX(TableTEMaster[BYE],MATCH(TableWRTECalcPts[[#This Row],[POSRef]],TableTEMaster[TERef],0)),"")</f>
        <v>10</v>
      </c>
      <c r="AP47" s="61">
        <f>IFERROR(INDEX(TableTEMaster[Custom],MATCH(TableWRTECalcPts[[#This Row],[POSRef]],TableTEMaster[TERef],0)),"")</f>
        <v>23.702476663268556</v>
      </c>
    </row>
    <row r="48" spans="1:42" x14ac:dyDescent="0.2">
      <c r="A48" s="62">
        <f>IFERROR(RANK(TableQBCalcPts[[#This Row],[Custom]],TableQBCalcPts[Custom])+COUNTIF($F$3:F48,F48)-1,"")</f>
        <v>52</v>
      </c>
      <c r="B48" s="60">
        <v>46</v>
      </c>
      <c r="C48" s="60" t="str">
        <f>IFERROR(INDEX(TableQBMaster[Player],MATCH(TableQBCalcPts[[#This Row],[QBRef]],TableQBMaster[QBRef],0)),"")</f>
        <v>Jameis Winston</v>
      </c>
      <c r="D48" s="60" t="str">
        <f>IFERROR(INDEX(TableQBMaster[TM],MATCH(TableQBCalcPts[[#This Row],[QBRef]],TableQBMaster[QBRef],0)),"")</f>
        <v>NO</v>
      </c>
      <c r="E48" s="60">
        <f>IFERROR(INDEX(TableQBMaster[BYE],MATCH(TableQBCalcPts[[#This Row],[QBRef]],TableQBMaster[QBRef],0)),"")</f>
        <v>11</v>
      </c>
      <c r="F48" s="61">
        <f>IFERROR(INDEX(TableQBMaster[Custom],MATCH(TableQBCalcPts[[#This Row],[QBRef]],TableQBMaster[QBRef],0)),"")</f>
        <v>7.8369386964400114</v>
      </c>
      <c r="H48" s="60">
        <f>IFERROR(RANK(TableRBCalcPts[[#This Row],[Custom]],TableRBCalcPts[Custom])+COUNTIF($M$3:M48,M48)-1,"")</f>
        <v>78</v>
      </c>
      <c r="I48" s="60">
        <v>46</v>
      </c>
      <c r="J48" s="60" t="str">
        <f>IFERROR(INDEX(TableRBMaster[Player],MATCH(TableRBCalcPts[[#This Row],[RBRef]],TableRBMaster[RBRef],0)),"")</f>
        <v>Evan Hull</v>
      </c>
      <c r="K48" s="60" t="str">
        <f>IFERROR(INDEX(TableRBMaster[TM],MATCH(TableRBCalcPts[[#This Row],[RBRef]],TableRBMaster[RBRef],0)),"")</f>
        <v>IND</v>
      </c>
      <c r="L48" s="60">
        <f>IFERROR(INDEX(TableRBMaster[BYE],MATCH(TableRBCalcPts[[#This Row],[RBRef]],TableRBMaster[RBRef],0)),"")</f>
        <v>11</v>
      </c>
      <c r="M48" s="61">
        <f>IFERROR(INDEX(TableRBMaster[Custom],MATCH(TableRBCalcPts[[#This Row],[RBRef]],TableRBMaster[RBRef],0)),"")</f>
        <v>39.952245169669872</v>
      </c>
      <c r="O48" s="60">
        <f>IFERROR(RANK(TableWRCalcPts[[#This Row],[Custom]],TableWRCalcPts[Custom])+COUNTIF($T$3:T48,T48)-1,"")</f>
        <v>155</v>
      </c>
      <c r="P48" s="60">
        <v>46</v>
      </c>
      <c r="Q48" s="60" t="str">
        <f>IFERROR(INDEX(TableWRMaster[Player],MATCH(TableWRCalcPts[[#This Row],[WRRef]],TableWRMaster[WRRef],0)),"")</f>
        <v>KaVontae Turpin</v>
      </c>
      <c r="R48" s="60" t="str">
        <f>IFERROR(INDEX(TableWRMaster[TM],MATCH(TableWRCalcPts[[#This Row],[WRRef]],TableWRMaster[WRRef],0)),"")</f>
        <v>DAL</v>
      </c>
      <c r="S48" s="60">
        <f>IFERROR(INDEX(TableWRMaster[BYE],MATCH(TableWRCalcPts[[#This Row],[WRRef]],TableWRMaster[WRRef],0)),"")</f>
        <v>7</v>
      </c>
      <c r="T48" s="61">
        <f>IFERROR(INDEX(TableWRMaster[Custom],MATCH(TableWRCalcPts[[#This Row],[WRRef]],TableWRMaster[WRRef],0)),"")</f>
        <v>13.457139075072</v>
      </c>
      <c r="V48" s="60">
        <f>IFERROR(RANK(TableTECalcPts[[#This Row],[Custom]],TableTECalcPts[Custom])+COUNTIF($AA$3:AA48,AA48)-1,"")</f>
        <v>27</v>
      </c>
      <c r="W48" s="60">
        <v>46</v>
      </c>
      <c r="X48" s="60" t="str">
        <f>IFERROR(INDEX(TableTEMaster[Player],MATCH(TableTECalcPts[[#This Row],[TERef]],TableTEMaster[TERef],0)),"")</f>
        <v>Gerald Everett</v>
      </c>
      <c r="Y48" s="60" t="str">
        <f>IFERROR(INDEX(TableTEMaster[TM],MATCH(TableTECalcPts[[#This Row],[TERef]],TableTEMaster[TERef],0)),"")</f>
        <v>LAC</v>
      </c>
      <c r="Z48" s="60">
        <f>IFERROR(INDEX(TableTEMaster[BYE],MATCH(TableTECalcPts[[#This Row],[TERef]],TableTEMaster[TERef],0)),"")</f>
        <v>5</v>
      </c>
      <c r="AA48" s="61">
        <f>IFERROR(INDEX(TableTEMaster[Custom],MATCH(TableTECalcPts[[#This Row],[TERef]],TableTEMaster[TERef],0)),"")</f>
        <v>88.829688450900846</v>
      </c>
      <c r="AI48" s="60" t="s">
        <v>10</v>
      </c>
      <c r="AJ48" s="60">
        <f>IFERROR(RANK(TableWRTECalcPts[[#This Row],[Custom]],TableWRTECalcPts[Custom])+COUNTIF($AP$3:AP48,AP48)-1,"")</f>
        <v>110</v>
      </c>
      <c r="AK48" s="60">
        <v>46</v>
      </c>
      <c r="AL48" s="60" t="str">
        <f>IFERROR(INDEX(TableTEMaster[Player],MATCH(TableWRTECalcPts[[#This Row],[POSRef]],TableTEMaster[TERef],0)),"")</f>
        <v>Gerald Everett</v>
      </c>
      <c r="AM48" s="60" t="str">
        <f>IFERROR(_xlfn.CONCAT(TableWRTECalcPts[[#This Row],[POS]],INDEX(TableTERanks[RK],MATCH(TableWRTECalcPts[[#This Row],[PLAYER]],TableTERanks[Player],0))),"")</f>
        <v>TE27</v>
      </c>
      <c r="AN48" s="60" t="str">
        <f>IFERROR(INDEX(TableTEMaster[TM],MATCH(TableWRTECalcPts[[#This Row],[POSRef]],TableTEMaster[TERef],0)),"")</f>
        <v>LAC</v>
      </c>
      <c r="AO48" s="60">
        <f>IFERROR(INDEX(TableTEMaster[BYE],MATCH(TableWRTECalcPts[[#This Row],[POSRef]],TableTEMaster[TERef],0)),"")</f>
        <v>5</v>
      </c>
      <c r="AP48" s="61">
        <f>IFERROR(INDEX(TableTEMaster[Custom],MATCH(TableWRTECalcPts[[#This Row],[POSRef]],TableTEMaster[TERef],0)),"")</f>
        <v>88.829688450900846</v>
      </c>
    </row>
    <row r="49" spans="1:42" x14ac:dyDescent="0.2">
      <c r="A49" s="62">
        <f>IFERROR(RANK(TableQBCalcPts[[#This Row],[Custom]],TableQBCalcPts[Custom])+COUNTIF($F$3:F49,F49)-1,"")</f>
        <v>12</v>
      </c>
      <c r="B49" s="60">
        <v>47</v>
      </c>
      <c r="C49" s="60" t="str">
        <f>IFERROR(INDEX(TableQBMaster[Player],MATCH(TableQBCalcPts[[#This Row],[QBRef]],TableQBMaster[QBRef],0)),"")</f>
        <v>Daniel Jones</v>
      </c>
      <c r="D49" s="60" t="str">
        <f>IFERROR(INDEX(TableQBMaster[TM],MATCH(TableQBCalcPts[[#This Row],[QBRef]],TableQBMaster[QBRef],0)),"")</f>
        <v>NYG</v>
      </c>
      <c r="E49" s="60">
        <f>IFERROR(INDEX(TableQBMaster[BYE],MATCH(TableQBCalcPts[[#This Row],[QBRef]],TableQBMaster[QBRef],0)),"")</f>
        <v>13</v>
      </c>
      <c r="F49" s="61">
        <f>IFERROR(INDEX(TableQBMaster[Custom],MATCH(TableQBCalcPts[[#This Row],[QBRef]],TableQBMaster[QBRef],0)),"")</f>
        <v>313.74877869477359</v>
      </c>
      <c r="H49" s="60">
        <f>IFERROR(RANK(TableRBCalcPts[[#This Row],[Custom]],TableRBCalcPts[Custom])+COUNTIF($M$3:M49,M49)-1,"")</f>
        <v>67</v>
      </c>
      <c r="I49" s="60">
        <v>47</v>
      </c>
      <c r="J49" s="60" t="str">
        <f>IFERROR(INDEX(TableRBMaster[Player],MATCH(TableRBCalcPts[[#This Row],[RBRef]],TableRBMaster[RBRef],0)),"")</f>
        <v>Zack Moss</v>
      </c>
      <c r="K49" s="60" t="str">
        <f>IFERROR(INDEX(TableRBMaster[TM],MATCH(TableRBCalcPts[[#This Row],[RBRef]],TableRBMaster[RBRef],0)),"")</f>
        <v>IND</v>
      </c>
      <c r="L49" s="60">
        <f>IFERROR(INDEX(TableRBMaster[BYE],MATCH(TableRBCalcPts[[#This Row],[RBRef]],TableRBMaster[RBRef],0)),"")</f>
        <v>11</v>
      </c>
      <c r="M49" s="61">
        <f>IFERROR(INDEX(TableRBMaster[Custom],MATCH(TableRBCalcPts[[#This Row],[RBRef]],TableRBMaster[RBRef],0)),"")</f>
        <v>66.203085416160008</v>
      </c>
      <c r="O49" s="60">
        <f>IFERROR(RANK(TableWRCalcPts[[#This Row],[Custom]],TableWRCalcPts[Custom])+COUNTIF($T$3:T49,T49)-1,"")</f>
        <v>40</v>
      </c>
      <c r="P49" s="60">
        <v>47</v>
      </c>
      <c r="Q49" s="60" t="str">
        <f>IFERROR(INDEX(TableWRMaster[Player],MATCH(TableWRCalcPts[[#This Row],[WRRef]],TableWRMaster[WRRef],0)),"")</f>
        <v>Courtland Sutton</v>
      </c>
      <c r="R49" s="60" t="str">
        <f>IFERROR(INDEX(TableWRMaster[TM],MATCH(TableWRCalcPts[[#This Row],[WRRef]],TableWRMaster[WRRef],0)),"")</f>
        <v>DEN</v>
      </c>
      <c r="S49" s="60">
        <f>IFERROR(INDEX(TableWRMaster[BYE],MATCH(TableWRCalcPts[[#This Row],[WRRef]],TableWRMaster[WRRef],0)),"")</f>
        <v>9</v>
      </c>
      <c r="T49" s="61">
        <f>IFERROR(INDEX(TableWRMaster[Custom],MATCH(TableWRCalcPts[[#This Row],[WRRef]],TableWRMaster[WRRef],0)),"")</f>
        <v>153.42312532599362</v>
      </c>
      <c r="V49" s="60">
        <f>IFERROR(RANK(TableTECalcPts[[#This Row],[Custom]],TableTECalcPts[Custom])+COUNTIF($AA$3:AA49,AA49)-1,"")</f>
        <v>55</v>
      </c>
      <c r="W49" s="60">
        <v>47</v>
      </c>
      <c r="X49" s="60" t="str">
        <f>IFERROR(INDEX(TableTEMaster[Player],MATCH(TableTECalcPts[[#This Row],[TERef]],TableTEMaster[TERef],0)),"")</f>
        <v>Tre' McKitty</v>
      </c>
      <c r="Y49" s="60" t="str">
        <f>IFERROR(INDEX(TableTEMaster[TM],MATCH(TableTECalcPts[[#This Row],[TERef]],TableTEMaster[TERef],0)),"")</f>
        <v>LAC</v>
      </c>
      <c r="Z49" s="60">
        <f>IFERROR(INDEX(TableTEMaster[BYE],MATCH(TableTECalcPts[[#This Row],[TERef]],TableTEMaster[TERef],0)),"")</f>
        <v>5</v>
      </c>
      <c r="AA49" s="61">
        <f>IFERROR(INDEX(TableTEMaster[Custom],MATCH(TableTECalcPts[[#This Row],[TERef]],TableTEMaster[TERef],0)),"")</f>
        <v>26.7579091087308</v>
      </c>
      <c r="AI49" s="60" t="s">
        <v>10</v>
      </c>
      <c r="AJ49" s="60">
        <f>IFERROR(RANK(TableWRTECalcPts[[#This Row],[Custom]],TableWRTECalcPts[Custom])+COUNTIF($AP$3:AP49,AP49)-1,"")</f>
        <v>183</v>
      </c>
      <c r="AK49" s="60">
        <v>47</v>
      </c>
      <c r="AL49" s="60" t="str">
        <f>IFERROR(INDEX(TableTEMaster[Player],MATCH(TableWRTECalcPts[[#This Row],[POSRef]],TableTEMaster[TERef],0)),"")</f>
        <v>Tre' McKitty</v>
      </c>
      <c r="AM49" s="60" t="str">
        <f>IFERROR(_xlfn.CONCAT(TableWRTECalcPts[[#This Row],[POS]],INDEX(TableTERanks[RK],MATCH(TableWRTECalcPts[[#This Row],[PLAYER]],TableTERanks[Player],0))),"")</f>
        <v>TE55</v>
      </c>
      <c r="AN49" s="60" t="str">
        <f>IFERROR(INDEX(TableTEMaster[TM],MATCH(TableWRTECalcPts[[#This Row],[POSRef]],TableTEMaster[TERef],0)),"")</f>
        <v>LAC</v>
      </c>
      <c r="AO49" s="60">
        <f>IFERROR(INDEX(TableTEMaster[BYE],MATCH(TableWRTECalcPts[[#This Row],[POSRef]],TableTEMaster[TERef],0)),"")</f>
        <v>5</v>
      </c>
      <c r="AP49" s="61">
        <f>IFERROR(INDEX(TableTEMaster[Custom],MATCH(TableWRTECalcPts[[#This Row],[POSRef]],TableTEMaster[TERef],0)),"")</f>
        <v>26.7579091087308</v>
      </c>
    </row>
    <row r="50" spans="1:42" x14ac:dyDescent="0.2">
      <c r="A50" s="62">
        <f>IFERROR(RANK(TableQBCalcPts[[#This Row],[Custom]],TableQBCalcPts[Custom])+COUNTIF($F$3:F50,F50)-1,"")</f>
        <v>37</v>
      </c>
      <c r="B50" s="60">
        <v>48</v>
      </c>
      <c r="C50" s="60" t="str">
        <f>IFERROR(INDEX(TableQBMaster[Player],MATCH(TableQBCalcPts[[#This Row],[QBRef]],TableQBMaster[QBRef],0)),"")</f>
        <v>Tyrod Taylor</v>
      </c>
      <c r="D50" s="60" t="str">
        <f>IFERROR(INDEX(TableQBMaster[TM],MATCH(TableQBCalcPts[[#This Row],[QBRef]],TableQBMaster[QBRef],0)),"")</f>
        <v>NYG</v>
      </c>
      <c r="E50" s="60">
        <f>IFERROR(INDEX(TableQBMaster[BYE],MATCH(TableQBCalcPts[[#This Row],[QBRef]],TableQBMaster[QBRef],0)),"")</f>
        <v>13</v>
      </c>
      <c r="F50" s="61">
        <f>IFERROR(INDEX(TableQBMaster[Custom],MATCH(TableQBCalcPts[[#This Row],[QBRef]],TableQBMaster[QBRef],0)),"")</f>
        <v>23.9509264864007</v>
      </c>
      <c r="H50" s="60">
        <f>IFERROR(RANK(TableRBCalcPts[[#This Row],[Custom]],TableRBCalcPts[Custom])+COUNTIF($M$3:M50,M50)-1,"")</f>
        <v>22</v>
      </c>
      <c r="I50" s="60">
        <v>48</v>
      </c>
      <c r="J50" s="60" t="str">
        <f>IFERROR(INDEX(TableRBMaster[Player],MATCH(TableRBCalcPts[[#This Row],[RBRef]],TableRBMaster[RBRef],0)),"")</f>
        <v>Travis Etienne</v>
      </c>
      <c r="K50" s="60" t="str">
        <f>IFERROR(INDEX(TableRBMaster[TM],MATCH(TableRBCalcPts[[#This Row],[RBRef]],TableRBMaster[RBRef],0)),"")</f>
        <v>JAX</v>
      </c>
      <c r="L50" s="60">
        <f>IFERROR(INDEX(TableRBMaster[BYE],MATCH(TableRBCalcPts[[#This Row],[RBRef]],TableRBMaster[RBRef],0)),"")</f>
        <v>9</v>
      </c>
      <c r="M50" s="61">
        <f>IFERROR(INDEX(TableRBMaster[Custom],MATCH(TableRBCalcPts[[#This Row],[RBRef]],TableRBMaster[RBRef],0)),"")</f>
        <v>189.55388505593726</v>
      </c>
      <c r="O50" s="60">
        <f>IFERROR(RANK(TableWRCalcPts[[#This Row],[Custom]],TableWRCalcPts[Custom])+COUNTIF($T$3:T50,T50)-1,"")</f>
        <v>30</v>
      </c>
      <c r="P50" s="60">
        <v>48</v>
      </c>
      <c r="Q50" s="60" t="str">
        <f>IFERROR(INDEX(TableWRMaster[Player],MATCH(TableWRCalcPts[[#This Row],[WRRef]],TableWRMaster[WRRef],0)),"")</f>
        <v>Jerry Jeudy</v>
      </c>
      <c r="R50" s="60" t="str">
        <f>IFERROR(INDEX(TableWRMaster[TM],MATCH(TableWRCalcPts[[#This Row],[WRRef]],TableWRMaster[WRRef],0)),"")</f>
        <v>DEN</v>
      </c>
      <c r="S50" s="60">
        <f>IFERROR(INDEX(TableWRMaster[BYE],MATCH(TableWRCalcPts[[#This Row],[WRRef]],TableWRMaster[WRRef],0)),"")</f>
        <v>9</v>
      </c>
      <c r="T50" s="61">
        <f>IFERROR(INDEX(TableWRMaster[Custom],MATCH(TableWRCalcPts[[#This Row],[WRRef]],TableWRMaster[WRRef],0)),"")</f>
        <v>171.08206155698551</v>
      </c>
      <c r="V50" s="60">
        <f>IFERROR(RANK(TableTECalcPts[[#This Row],[Custom]],TableTECalcPts[Custom])+COUNTIF($AA$3:AA50,AA50)-1,"")</f>
        <v>48</v>
      </c>
      <c r="W50" s="60">
        <v>48</v>
      </c>
      <c r="X50" s="60" t="str">
        <f>IFERROR(INDEX(TableTEMaster[Player],MATCH(TableTECalcPts[[#This Row],[TERef]],TableTEMaster[TERef],0)),"")</f>
        <v>Donald Parham</v>
      </c>
      <c r="Y50" s="60" t="str">
        <f>IFERROR(INDEX(TableTEMaster[TM],MATCH(TableTECalcPts[[#This Row],[TERef]],TableTEMaster[TERef],0)),"")</f>
        <v>LAC</v>
      </c>
      <c r="Z50" s="60">
        <f>IFERROR(INDEX(TableTEMaster[BYE],MATCH(TableTECalcPts[[#This Row],[TERef]],TableTEMaster[TERef],0)),"")</f>
        <v>5</v>
      </c>
      <c r="AA50" s="61">
        <f>IFERROR(INDEX(TableTEMaster[Custom],MATCH(TableTECalcPts[[#This Row],[TERef]],TableTEMaster[TERef],0)),"")</f>
        <v>32.990479742088795</v>
      </c>
      <c r="AI50" s="60" t="s">
        <v>10</v>
      </c>
      <c r="AJ50" s="60">
        <f>IFERROR(RANK(TableWRTECalcPts[[#This Row],[Custom]],TableWRTECalcPts[Custom])+COUNTIF($AP$3:AP50,AP50)-1,"")</f>
        <v>173</v>
      </c>
      <c r="AK50" s="60">
        <v>48</v>
      </c>
      <c r="AL50" s="60" t="str">
        <f>IFERROR(INDEX(TableTEMaster[Player],MATCH(TableWRTECalcPts[[#This Row],[POSRef]],TableTEMaster[TERef],0)),"")</f>
        <v>Donald Parham</v>
      </c>
      <c r="AM50" s="60" t="str">
        <f>IFERROR(_xlfn.CONCAT(TableWRTECalcPts[[#This Row],[POS]],INDEX(TableTERanks[RK],MATCH(TableWRTECalcPts[[#This Row],[PLAYER]],TableTERanks[Player],0))),"")</f>
        <v>TE48</v>
      </c>
      <c r="AN50" s="60" t="str">
        <f>IFERROR(INDEX(TableTEMaster[TM],MATCH(TableWRTECalcPts[[#This Row],[POSRef]],TableTEMaster[TERef],0)),"")</f>
        <v>LAC</v>
      </c>
      <c r="AO50" s="60">
        <f>IFERROR(INDEX(TableTEMaster[BYE],MATCH(TableWRTECalcPts[[#This Row],[POSRef]],TableTEMaster[TERef],0)),"")</f>
        <v>5</v>
      </c>
      <c r="AP50" s="61">
        <f>IFERROR(INDEX(TableTEMaster[Custom],MATCH(TableWRTECalcPts[[#This Row],[POSRef]],TableTEMaster[TERef],0)),"")</f>
        <v>32.990479742088795</v>
      </c>
    </row>
    <row r="51" spans="1:42" x14ac:dyDescent="0.2">
      <c r="A51" s="62">
        <f>IFERROR(RANK(TableQBCalcPts[[#This Row],[Custom]],TableQBCalcPts[Custom])+COUNTIF($F$3:F51,F51)-1,"")</f>
        <v>16</v>
      </c>
      <c r="B51" s="60">
        <v>49</v>
      </c>
      <c r="C51" s="60" t="str">
        <f>IFERROR(INDEX(TableQBMaster[Player],MATCH(TableQBCalcPts[[#This Row],[QBRef]],TableQBMaster[QBRef],0)),"")</f>
        <v>Aaron Rodgers</v>
      </c>
      <c r="D51" s="60" t="str">
        <f>IFERROR(INDEX(TableQBMaster[TM],MATCH(TableQBCalcPts[[#This Row],[QBRef]],TableQBMaster[QBRef],0)),"")</f>
        <v>NYJ</v>
      </c>
      <c r="E51" s="60">
        <f>IFERROR(INDEX(TableQBMaster[BYE],MATCH(TableQBCalcPts[[#This Row],[QBRef]],TableQBMaster[QBRef],0)),"")</f>
        <v>7</v>
      </c>
      <c r="F51" s="61">
        <f>IFERROR(INDEX(TableQBMaster[Custom],MATCH(TableQBCalcPts[[#This Row],[QBRef]],TableQBMaster[QBRef],0)),"")</f>
        <v>305.28497840435239</v>
      </c>
      <c r="H51" s="60">
        <f>IFERROR(RANK(TableRBCalcPts[[#This Row],[Custom]],TableRBCalcPts[Custom])+COUNTIF($M$3:M51,M51)-1,"")</f>
        <v>48</v>
      </c>
      <c r="I51" s="60">
        <v>49</v>
      </c>
      <c r="J51" s="60" t="str">
        <f>IFERROR(INDEX(TableRBMaster[Player],MATCH(TableRBCalcPts[[#This Row],[RBRef]],TableRBMaster[RBRef],0)),"")</f>
        <v>Tank Bigsby</v>
      </c>
      <c r="K51" s="60" t="str">
        <f>IFERROR(INDEX(TableRBMaster[TM],MATCH(TableRBCalcPts[[#This Row],[RBRef]],TableRBMaster[RBRef],0)),"")</f>
        <v>JAX</v>
      </c>
      <c r="L51" s="60">
        <f>IFERROR(INDEX(TableRBMaster[BYE],MATCH(TableRBCalcPts[[#This Row],[RBRef]],TableRBMaster[RBRef],0)),"")</f>
        <v>9</v>
      </c>
      <c r="M51" s="61">
        <f>IFERROR(INDEX(TableRBMaster[Custom],MATCH(TableRBCalcPts[[#This Row],[RBRef]],TableRBMaster[RBRef],0)),"")</f>
        <v>110.05860429876311</v>
      </c>
      <c r="O51" s="60">
        <f>IFERROR(RANK(TableWRCalcPts[[#This Row],[Custom]],TableWRCalcPts[Custom])+COUNTIF($T$3:T51,T51)-1,"")</f>
        <v>59</v>
      </c>
      <c r="P51" s="60">
        <v>49</v>
      </c>
      <c r="Q51" s="60" t="str">
        <f>IFERROR(INDEX(TableWRMaster[Player],MATCH(TableWRCalcPts[[#This Row],[WRRef]],TableWRMaster[WRRef],0)),"")</f>
        <v>Marvin Mims</v>
      </c>
      <c r="R51" s="60" t="str">
        <f>IFERROR(INDEX(TableWRMaster[TM],MATCH(TableWRCalcPts[[#This Row],[WRRef]],TableWRMaster[WRRef],0)),"")</f>
        <v>DEN</v>
      </c>
      <c r="S51" s="60">
        <f>IFERROR(INDEX(TableWRMaster[BYE],MATCH(TableWRCalcPts[[#This Row],[WRRef]],TableWRMaster[WRRef],0)),"")</f>
        <v>9</v>
      </c>
      <c r="T51" s="61">
        <f>IFERROR(INDEX(TableWRMaster[Custom],MATCH(TableWRCalcPts[[#This Row],[WRRef]],TableWRMaster[WRRef],0)),"")</f>
        <v>129.2891470122569</v>
      </c>
      <c r="V51" s="60">
        <f>IFERROR(RANK(TableTECalcPts[[#This Row],[Custom]],TableTECalcPts[Custom])+COUNTIF($AA$3:AA51,AA51)-1,"")</f>
        <v>8</v>
      </c>
      <c r="W51" s="60">
        <v>49</v>
      </c>
      <c r="X51" s="60" t="str">
        <f>IFERROR(INDEX(TableTEMaster[Player],MATCH(TableTECalcPts[[#This Row],[TERef]],TableTEMaster[TERef],0)),"")</f>
        <v>Tyler Higbee</v>
      </c>
      <c r="Y51" s="60" t="str">
        <f>IFERROR(INDEX(TableTEMaster[TM],MATCH(TableTECalcPts[[#This Row],[TERef]],TableTEMaster[TERef],0)),"")</f>
        <v>LAR</v>
      </c>
      <c r="Z51" s="60">
        <f>IFERROR(INDEX(TableTEMaster[BYE],MATCH(TableTECalcPts[[#This Row],[TERef]],TableTEMaster[TERef],0)),"")</f>
        <v>10</v>
      </c>
      <c r="AA51" s="61">
        <f>IFERROR(INDEX(TableTEMaster[Custom],MATCH(TableTECalcPts[[#This Row],[TERef]],TableTEMaster[TERef],0)),"")</f>
        <v>138.39001077242881</v>
      </c>
      <c r="AI51" s="60" t="s">
        <v>10</v>
      </c>
      <c r="AJ51" s="60">
        <f>IFERROR(RANK(TableWRTECalcPts[[#This Row],[Custom]],TableWRTECalcPts[Custom])+COUNTIF($AP$3:AP51,AP51)-1,"")</f>
        <v>60</v>
      </c>
      <c r="AK51" s="60">
        <v>49</v>
      </c>
      <c r="AL51" s="60" t="str">
        <f>IFERROR(INDEX(TableTEMaster[Player],MATCH(TableWRTECalcPts[[#This Row],[POSRef]],TableTEMaster[TERef],0)),"")</f>
        <v>Tyler Higbee</v>
      </c>
      <c r="AM51" s="60" t="str">
        <f>IFERROR(_xlfn.CONCAT(TableWRTECalcPts[[#This Row],[POS]],INDEX(TableTERanks[RK],MATCH(TableWRTECalcPts[[#This Row],[PLAYER]],TableTERanks[Player],0))),"")</f>
        <v>TE8</v>
      </c>
      <c r="AN51" s="60" t="str">
        <f>IFERROR(INDEX(TableTEMaster[TM],MATCH(TableWRTECalcPts[[#This Row],[POSRef]],TableTEMaster[TERef],0)),"")</f>
        <v>LAR</v>
      </c>
      <c r="AO51" s="60">
        <f>IFERROR(INDEX(TableTEMaster[BYE],MATCH(TableWRTECalcPts[[#This Row],[POSRef]],TableTEMaster[TERef],0)),"")</f>
        <v>10</v>
      </c>
      <c r="AP51" s="61">
        <f>IFERROR(INDEX(TableTEMaster[Custom],MATCH(TableWRTECalcPts[[#This Row],[POSRef]],TableTEMaster[TERef],0)),"")</f>
        <v>138.39001077242881</v>
      </c>
    </row>
    <row r="52" spans="1:42" x14ac:dyDescent="0.2">
      <c r="A52" s="62">
        <f>IFERROR(RANK(TableQBCalcPts[[#This Row],[Custom]],TableQBCalcPts[Custom])+COUNTIF($F$3:F52,F52)-1,"")</f>
        <v>60</v>
      </c>
      <c r="B52" s="60">
        <v>50</v>
      </c>
      <c r="C52" s="60" t="str">
        <f>IFERROR(INDEX(TableQBMaster[Player],MATCH(TableQBCalcPts[[#This Row],[QBRef]],TableQBMaster[QBRef],0)),"")</f>
        <v>Zach Wilson</v>
      </c>
      <c r="D52" s="60" t="str">
        <f>IFERROR(INDEX(TableQBMaster[TM],MATCH(TableQBCalcPts[[#This Row],[QBRef]],TableQBMaster[QBRef],0)),"")</f>
        <v>NYJ</v>
      </c>
      <c r="E52" s="60">
        <f>IFERROR(INDEX(TableQBMaster[BYE],MATCH(TableQBCalcPts[[#This Row],[QBRef]],TableQBMaster[QBRef],0)),"")</f>
        <v>7</v>
      </c>
      <c r="F52" s="61">
        <f>IFERROR(INDEX(TableQBMaster[Custom],MATCH(TableQBCalcPts[[#This Row],[QBRef]],TableQBMaster[QBRef],0)),"")</f>
        <v>2.8400780345311172</v>
      </c>
      <c r="H52" s="60">
        <f>IFERROR(RANK(TableRBCalcPts[[#This Row],[Custom]],TableRBCalcPts[Custom])+COUNTIF($M$3:M52,M52)-1,"")</f>
        <v>101</v>
      </c>
      <c r="I52" s="60">
        <v>50</v>
      </c>
      <c r="J52" s="60" t="str">
        <f>IFERROR(INDEX(TableRBMaster[Player],MATCH(TableRBCalcPts[[#This Row],[RBRef]],TableRBMaster[RBRef],0)),"")</f>
        <v>D'Ernest Johnson</v>
      </c>
      <c r="K52" s="60" t="str">
        <f>IFERROR(INDEX(TableRBMaster[TM],MATCH(TableRBCalcPts[[#This Row],[RBRef]],TableRBMaster[RBRef],0)),"")</f>
        <v>JAX</v>
      </c>
      <c r="L52" s="60">
        <f>IFERROR(INDEX(TableRBMaster[BYE],MATCH(TableRBCalcPts[[#This Row],[RBRef]],TableRBMaster[RBRef],0)),"")</f>
        <v>9</v>
      </c>
      <c r="M52" s="61">
        <f>IFERROR(INDEX(TableRBMaster[Custom],MATCH(TableRBCalcPts[[#This Row],[RBRef]],TableRBMaster[RBRef],0)),"")</f>
        <v>18.497819995829275</v>
      </c>
      <c r="O52" s="60">
        <f>IFERROR(RANK(TableWRCalcPts[[#This Row],[Custom]],TableWRCalcPts[Custom])+COUNTIF($T$3:T52,T52)-1,"")</f>
        <v>121</v>
      </c>
      <c r="P52" s="60">
        <v>50</v>
      </c>
      <c r="Q52" s="60" t="str">
        <f>IFERROR(INDEX(TableWRMaster[Player],MATCH(TableWRCalcPts[[#This Row],[WRRef]],TableWRMaster[WRRef],0)),"")</f>
        <v>Brandon Johnson</v>
      </c>
      <c r="R52" s="60" t="str">
        <f>IFERROR(INDEX(TableWRMaster[TM],MATCH(TableWRCalcPts[[#This Row],[WRRef]],TableWRMaster[WRRef],0)),"")</f>
        <v>DEN</v>
      </c>
      <c r="S52" s="60">
        <f>IFERROR(INDEX(TableWRMaster[BYE],MATCH(TableWRCalcPts[[#This Row],[WRRef]],TableWRMaster[WRRef],0)),"")</f>
        <v>9</v>
      </c>
      <c r="T52" s="61">
        <f>IFERROR(INDEX(TableWRMaster[Custom],MATCH(TableWRCalcPts[[#This Row],[WRRef]],TableWRMaster[WRRef],0)),"")</f>
        <v>34.217311715823605</v>
      </c>
      <c r="V52" s="60">
        <f>IFERROR(RANK(TableTECalcPts[[#This Row],[Custom]],TableTECalcPts[Custom])+COUNTIF($AA$3:AA52,AA52)-1,"")</f>
        <v>81</v>
      </c>
      <c r="W52" s="60">
        <v>50</v>
      </c>
      <c r="X52" s="60" t="str">
        <f>IFERROR(INDEX(TableTEMaster[Player],MATCH(TableTECalcPts[[#This Row],[TERef]],TableTEMaster[TERef],0)),"")</f>
        <v>Brycen Hopkins</v>
      </c>
      <c r="Y52" s="60" t="str">
        <f>IFERROR(INDEX(TableTEMaster[TM],MATCH(TableTECalcPts[[#This Row],[TERef]],TableTEMaster[TERef],0)),"")</f>
        <v>LAR</v>
      </c>
      <c r="Z52" s="60">
        <f>IFERROR(INDEX(TableTEMaster[BYE],MATCH(TableTECalcPts[[#This Row],[TERef]],TableTEMaster[TERef],0)),"")</f>
        <v>10</v>
      </c>
      <c r="AA52" s="61">
        <f>IFERROR(INDEX(TableTEMaster[Custom],MATCH(TableTECalcPts[[#This Row],[TERef]],TableTEMaster[TERef],0)),"")</f>
        <v>10.608457570116235</v>
      </c>
      <c r="AI52" s="60" t="s">
        <v>10</v>
      </c>
      <c r="AJ52" s="60">
        <f>IFERROR(RANK(TableWRTECalcPts[[#This Row],[Custom]],TableWRTECalcPts[Custom])+COUNTIF($AP$3:AP52,AP52)-1,"")</f>
        <v>240</v>
      </c>
      <c r="AK52" s="60">
        <v>50</v>
      </c>
      <c r="AL52" s="60" t="str">
        <f>IFERROR(INDEX(TableTEMaster[Player],MATCH(TableWRTECalcPts[[#This Row],[POSRef]],TableTEMaster[TERef],0)),"")</f>
        <v>Brycen Hopkins</v>
      </c>
      <c r="AM52" s="60" t="str">
        <f>IFERROR(_xlfn.CONCAT(TableWRTECalcPts[[#This Row],[POS]],INDEX(TableTERanks[RK],MATCH(TableWRTECalcPts[[#This Row],[PLAYER]],TableTERanks[Player],0))),"")</f>
        <v>TE81</v>
      </c>
      <c r="AN52" s="60" t="str">
        <f>IFERROR(INDEX(TableTEMaster[TM],MATCH(TableWRTECalcPts[[#This Row],[POSRef]],TableTEMaster[TERef],0)),"")</f>
        <v>LAR</v>
      </c>
      <c r="AO52" s="60">
        <f>IFERROR(INDEX(TableTEMaster[BYE],MATCH(TableWRTECalcPts[[#This Row],[POSRef]],TableTEMaster[TERef],0)),"")</f>
        <v>10</v>
      </c>
      <c r="AP52" s="61">
        <f>IFERROR(INDEX(TableTEMaster[Custom],MATCH(TableWRTECalcPts[[#This Row],[POSRef]],TableTEMaster[TERef],0)),"")</f>
        <v>10.608457570116235</v>
      </c>
    </row>
    <row r="53" spans="1:42" x14ac:dyDescent="0.2">
      <c r="A53" s="62">
        <f>IFERROR(RANK(TableQBCalcPts[[#This Row],[Custom]],TableQBCalcPts[Custom])+COUNTIF($F$3:F53,F53)-1,"")</f>
        <v>3</v>
      </c>
      <c r="B53" s="60">
        <v>51</v>
      </c>
      <c r="C53" s="60" t="str">
        <f>IFERROR(INDEX(TableQBMaster[Player],MATCH(TableQBCalcPts[[#This Row],[QBRef]],TableQBMaster[QBRef],0)),"")</f>
        <v>Jalen Hurts</v>
      </c>
      <c r="D53" s="60" t="str">
        <f>IFERROR(INDEX(TableQBMaster[TM],MATCH(TableQBCalcPts[[#This Row],[QBRef]],TableQBMaster[QBRef],0)),"")</f>
        <v>PHI</v>
      </c>
      <c r="E53" s="60">
        <f>IFERROR(INDEX(TableQBMaster[BYE],MATCH(TableQBCalcPts[[#This Row],[QBRef]],TableQBMaster[QBRef],0)),"")</f>
        <v>10</v>
      </c>
      <c r="F53" s="61">
        <f>IFERROR(INDEX(TableQBMaster[Custom],MATCH(TableQBCalcPts[[#This Row],[QBRef]],TableQBMaster[QBRef],0)),"")</f>
        <v>398.11075336168085</v>
      </c>
      <c r="H53" s="60">
        <f>IFERROR(RANK(TableRBCalcPts[[#This Row],[Custom]],TableRBCalcPts[Custom])+COUNTIF($M$3:M53,M53)-1,"")</f>
        <v>30</v>
      </c>
      <c r="I53" s="60">
        <v>51</v>
      </c>
      <c r="J53" s="60" t="str">
        <f>IFERROR(INDEX(TableRBMaster[Player],MATCH(TableRBCalcPts[[#This Row],[RBRef]],TableRBMaster[RBRef],0)),"")</f>
        <v>Isiah Pacheco</v>
      </c>
      <c r="K53" s="60" t="str">
        <f>IFERROR(INDEX(TableRBMaster[TM],MATCH(TableRBCalcPts[[#This Row],[RBRef]],TableRBMaster[RBRef],0)),"")</f>
        <v>KC</v>
      </c>
      <c r="L53" s="60">
        <f>IFERROR(INDEX(TableRBMaster[BYE],MATCH(TableRBCalcPts[[#This Row],[RBRef]],TableRBMaster[RBRef],0)),"")</f>
        <v>10</v>
      </c>
      <c r="M53" s="61">
        <f>IFERROR(INDEX(TableRBMaster[Custom],MATCH(TableRBCalcPts[[#This Row],[RBRef]],TableRBMaster[RBRef],0)),"")</f>
        <v>169.26071656943054</v>
      </c>
      <c r="O53" s="60">
        <f>IFERROR(RANK(TableWRCalcPts[[#This Row],[Custom]],TableWRCalcPts[Custom])+COUNTIF($T$3:T53,T53)-1,"")</f>
        <v>73</v>
      </c>
      <c r="P53" s="60">
        <v>51</v>
      </c>
      <c r="Q53" s="60" t="str">
        <f>IFERROR(INDEX(TableWRMaster[Player],MATCH(TableWRCalcPts[[#This Row],[WRRef]],TableWRMaster[WRRef],0)),"")</f>
        <v>Jameson Williams</v>
      </c>
      <c r="R53" s="60" t="str">
        <f>IFERROR(INDEX(TableWRMaster[TM],MATCH(TableWRCalcPts[[#This Row],[WRRef]],TableWRMaster[WRRef],0)),"")</f>
        <v>DET</v>
      </c>
      <c r="S53" s="60">
        <f>IFERROR(INDEX(TableWRMaster[BYE],MATCH(TableWRCalcPts[[#This Row],[WRRef]],TableWRMaster[WRRef],0)),"")</f>
        <v>9</v>
      </c>
      <c r="T53" s="61">
        <f>IFERROR(INDEX(TableWRMaster[Custom],MATCH(TableWRCalcPts[[#This Row],[WRRef]],TableWRMaster[WRRef],0)),"")</f>
        <v>96.934568288463439</v>
      </c>
      <c r="V53" s="60">
        <f>IFERROR(RANK(TableTECalcPts[[#This Row],[Custom]],TableTECalcPts[Custom])+COUNTIF($AA$3:AA53,AA53)-1,"")</f>
        <v>67</v>
      </c>
      <c r="W53" s="60">
        <v>51</v>
      </c>
      <c r="X53" s="60" t="str">
        <f>IFERROR(INDEX(TableTEMaster[Player],MATCH(TableTECalcPts[[#This Row],[TERef]],TableTEMaster[TERef],0)),"")</f>
        <v>Hunter Long</v>
      </c>
      <c r="Y53" s="60" t="str">
        <f>IFERROR(INDEX(TableTEMaster[TM],MATCH(TableTECalcPts[[#This Row],[TERef]],TableTEMaster[TERef],0)),"")</f>
        <v>LAR</v>
      </c>
      <c r="Z53" s="60">
        <f>IFERROR(INDEX(TableTEMaster[BYE],MATCH(TableTECalcPts[[#This Row],[TERef]],TableTEMaster[TERef],0)),"")</f>
        <v>10</v>
      </c>
      <c r="AA53" s="61">
        <f>IFERROR(INDEX(TableTEMaster[Custom],MATCH(TableTECalcPts[[#This Row],[TERef]],TableTEMaster[TERef],0)),"")</f>
        <v>20.068881155988553</v>
      </c>
      <c r="AI53" s="60" t="s">
        <v>10</v>
      </c>
      <c r="AJ53" s="60">
        <f>IFERROR(RANK(TableWRTECalcPts[[#This Row],[Custom]],TableWRTECalcPts[Custom])+COUNTIF($AP$3:AP53,AP53)-1,"")</f>
        <v>209</v>
      </c>
      <c r="AK53" s="60">
        <v>51</v>
      </c>
      <c r="AL53" s="60" t="str">
        <f>IFERROR(INDEX(TableTEMaster[Player],MATCH(TableWRTECalcPts[[#This Row],[POSRef]],TableTEMaster[TERef],0)),"")</f>
        <v>Hunter Long</v>
      </c>
      <c r="AM53" s="60" t="str">
        <f>IFERROR(_xlfn.CONCAT(TableWRTECalcPts[[#This Row],[POS]],INDEX(TableTERanks[RK],MATCH(TableWRTECalcPts[[#This Row],[PLAYER]],TableTERanks[Player],0))),"")</f>
        <v>TE67</v>
      </c>
      <c r="AN53" s="60" t="str">
        <f>IFERROR(INDEX(TableTEMaster[TM],MATCH(TableWRTECalcPts[[#This Row],[POSRef]],TableTEMaster[TERef],0)),"")</f>
        <v>LAR</v>
      </c>
      <c r="AO53" s="60">
        <f>IFERROR(INDEX(TableTEMaster[BYE],MATCH(TableWRTECalcPts[[#This Row],[POSRef]],TableTEMaster[TERef],0)),"")</f>
        <v>10</v>
      </c>
      <c r="AP53" s="61">
        <f>IFERROR(INDEX(TableTEMaster[Custom],MATCH(TableWRTECalcPts[[#This Row],[POSRef]],TableTEMaster[TERef],0)),"")</f>
        <v>20.068881155988553</v>
      </c>
    </row>
    <row r="54" spans="1:42" x14ac:dyDescent="0.2">
      <c r="A54" s="62">
        <f>IFERROR(RANK(TableQBCalcPts[[#This Row],[Custom]],TableQBCalcPts[Custom])+COUNTIF($F$3:F54,F54)-1,"")</f>
        <v>50</v>
      </c>
      <c r="B54" s="60">
        <v>52</v>
      </c>
      <c r="C54" s="60" t="str">
        <f>IFERROR(INDEX(TableQBMaster[Player],MATCH(TableQBCalcPts[[#This Row],[QBRef]],TableQBMaster[QBRef],0)),"")</f>
        <v>Marcus Mariota</v>
      </c>
      <c r="D54" s="60" t="str">
        <f>IFERROR(INDEX(TableQBMaster[TM],MATCH(TableQBCalcPts[[#This Row],[QBRef]],TableQBMaster[QBRef],0)),"")</f>
        <v>PHI</v>
      </c>
      <c r="E54" s="60">
        <f>IFERROR(INDEX(TableQBMaster[BYE],MATCH(TableQBCalcPts[[#This Row],[QBRef]],TableQBMaster[QBRef],0)),"")</f>
        <v>10</v>
      </c>
      <c r="F54" s="61">
        <f>IFERROR(INDEX(TableQBMaster[Custom],MATCH(TableQBCalcPts[[#This Row],[QBRef]],TableQBMaster[QBRef],0)),"")</f>
        <v>8.783530238899468</v>
      </c>
      <c r="H54" s="60">
        <f>IFERROR(RANK(TableRBCalcPts[[#This Row],[Custom]],TableRBCalcPts[Custom])+COUNTIF($M$3:M54,M54)-1,"")</f>
        <v>41</v>
      </c>
      <c r="I54" s="60">
        <v>52</v>
      </c>
      <c r="J54" s="60" t="str">
        <f>IFERROR(INDEX(TableRBMaster[Player],MATCH(TableRBCalcPts[[#This Row],[RBRef]],TableRBMaster[RBRef],0)),"")</f>
        <v>Jerick McKinnon</v>
      </c>
      <c r="K54" s="60" t="str">
        <f>IFERROR(INDEX(TableRBMaster[TM],MATCH(TableRBCalcPts[[#This Row],[RBRef]],TableRBMaster[RBRef],0)),"")</f>
        <v>KC</v>
      </c>
      <c r="L54" s="60">
        <f>IFERROR(INDEX(TableRBMaster[BYE],MATCH(TableRBCalcPts[[#This Row],[RBRef]],TableRBMaster[RBRef],0)),"")</f>
        <v>10</v>
      </c>
      <c r="M54" s="61">
        <f>IFERROR(INDEX(TableRBMaster[Custom],MATCH(TableRBCalcPts[[#This Row],[RBRef]],TableRBMaster[RBRef],0)),"")</f>
        <v>127.93849341402913</v>
      </c>
      <c r="O54" s="60">
        <f>IFERROR(RANK(TableWRCalcPts[[#This Row],[Custom]],TableWRCalcPts[Custom])+COUNTIF($T$3:T54,T54)-1,"")</f>
        <v>6</v>
      </c>
      <c r="P54" s="60">
        <v>52</v>
      </c>
      <c r="Q54" s="60" t="str">
        <f>IFERROR(INDEX(TableWRMaster[Player],MATCH(TableWRCalcPts[[#This Row],[WRRef]],TableWRMaster[WRRef],0)),"")</f>
        <v>Amon-Ra St. Brown</v>
      </c>
      <c r="R54" s="60" t="str">
        <f>IFERROR(INDEX(TableWRMaster[TM],MATCH(TableWRCalcPts[[#This Row],[WRRef]],TableWRMaster[WRRef],0)),"")</f>
        <v>DET</v>
      </c>
      <c r="S54" s="60">
        <f>IFERROR(INDEX(TableWRMaster[BYE],MATCH(TableWRCalcPts[[#This Row],[WRRef]],TableWRMaster[WRRef],0)),"")</f>
        <v>9</v>
      </c>
      <c r="T54" s="61">
        <f>IFERROR(INDEX(TableWRMaster[Custom],MATCH(TableWRCalcPts[[#This Row],[WRRef]],TableWRMaster[WRRef],0)),"")</f>
        <v>235.77471963299024</v>
      </c>
      <c r="V54" s="60">
        <f>IFERROR(RANK(TableTECalcPts[[#This Row],[Custom]],TableTECalcPts[Custom])+COUNTIF($AA$3:AA54,AA54)-1,"")</f>
        <v>40</v>
      </c>
      <c r="W54" s="60">
        <v>52</v>
      </c>
      <c r="X54" s="60" t="str">
        <f>IFERROR(INDEX(TableTEMaster[Player],MATCH(TableTECalcPts[[#This Row],[TERef]],TableTEMaster[TERef],0)),"")</f>
        <v>Durham Smythe</v>
      </c>
      <c r="Y54" s="60" t="str">
        <f>IFERROR(INDEX(TableTEMaster[TM],MATCH(TableTECalcPts[[#This Row],[TERef]],TableTEMaster[TERef],0)),"")</f>
        <v>MIA</v>
      </c>
      <c r="Z54" s="60">
        <f>IFERROR(INDEX(TableTEMaster[BYE],MATCH(TableTECalcPts[[#This Row],[TERef]],TableTEMaster[TERef],0)),"")</f>
        <v>10</v>
      </c>
      <c r="AA54" s="61">
        <f>IFERROR(INDEX(TableTEMaster[Custom],MATCH(TableTECalcPts[[#This Row],[TERef]],TableTEMaster[TERef],0)),"")</f>
        <v>54.683501545855158</v>
      </c>
      <c r="AI54" s="60" t="s">
        <v>10</v>
      </c>
      <c r="AJ54" s="60">
        <f>IFERROR(RANK(TableWRTECalcPts[[#This Row],[Custom]],TableWRTECalcPts[Custom])+COUNTIF($AP$3:AP54,AP54)-1,"")</f>
        <v>147</v>
      </c>
      <c r="AK54" s="60">
        <v>52</v>
      </c>
      <c r="AL54" s="60" t="str">
        <f>IFERROR(INDEX(TableTEMaster[Player],MATCH(TableWRTECalcPts[[#This Row],[POSRef]],TableTEMaster[TERef],0)),"")</f>
        <v>Durham Smythe</v>
      </c>
      <c r="AM54" s="60" t="str">
        <f>IFERROR(_xlfn.CONCAT(TableWRTECalcPts[[#This Row],[POS]],INDEX(TableTERanks[RK],MATCH(TableWRTECalcPts[[#This Row],[PLAYER]],TableTERanks[Player],0))),"")</f>
        <v>TE40</v>
      </c>
      <c r="AN54" s="60" t="str">
        <f>IFERROR(INDEX(TableTEMaster[TM],MATCH(TableWRTECalcPts[[#This Row],[POSRef]],TableTEMaster[TERef],0)),"")</f>
        <v>MIA</v>
      </c>
      <c r="AO54" s="60">
        <f>IFERROR(INDEX(TableTEMaster[BYE],MATCH(TableWRTECalcPts[[#This Row],[POSRef]],TableTEMaster[TERef],0)),"")</f>
        <v>10</v>
      </c>
      <c r="AP54" s="61">
        <f>IFERROR(INDEX(TableTEMaster[Custom],MATCH(TableWRTECalcPts[[#This Row],[POSRef]],TableTEMaster[TERef],0)),"")</f>
        <v>54.683501545855158</v>
      </c>
    </row>
    <row r="55" spans="1:42" x14ac:dyDescent="0.2">
      <c r="A55" s="62">
        <f>IFERROR(RANK(TableQBCalcPts[[#This Row],[Custom]],TableQBCalcPts[Custom])+COUNTIF($F$3:F55,F55)-1,"")</f>
        <v>24</v>
      </c>
      <c r="B55" s="60">
        <v>53</v>
      </c>
      <c r="C55" s="60" t="str">
        <f>IFERROR(INDEX(TableQBMaster[Player],MATCH(TableQBCalcPts[[#This Row],[QBRef]],TableQBMaster[QBRef],0)),"")</f>
        <v>Kenny Pickett</v>
      </c>
      <c r="D55" s="60" t="str">
        <f>IFERROR(INDEX(TableQBMaster[TM],MATCH(TableQBCalcPts[[#This Row],[QBRef]],TableQBMaster[QBRef],0)),"")</f>
        <v>PIT</v>
      </c>
      <c r="E55" s="60">
        <f>IFERROR(INDEX(TableQBMaster[BYE],MATCH(TableQBCalcPts[[#This Row],[QBRef]],TableQBMaster[QBRef],0)),"")</f>
        <v>6</v>
      </c>
      <c r="F55" s="61">
        <f>IFERROR(INDEX(TableQBMaster[Custom],MATCH(TableQBCalcPts[[#This Row],[QBRef]],TableQBMaster[QBRef],0)),"")</f>
        <v>263.77245388453917</v>
      </c>
      <c r="H55" s="60">
        <f>IFERROR(RANK(TableRBCalcPts[[#This Row],[Custom]],TableRBCalcPts[Custom])+COUNTIF($M$3:M55,M55)-1,"")</f>
        <v>69</v>
      </c>
      <c r="I55" s="60">
        <v>53</v>
      </c>
      <c r="J55" s="60" t="str">
        <f>IFERROR(INDEX(TableRBMaster[Player],MATCH(TableRBCalcPts[[#This Row],[RBRef]],TableRBMaster[RBRef],0)),"")</f>
        <v>Clyde Edwards-Helaire</v>
      </c>
      <c r="K55" s="60" t="str">
        <f>IFERROR(INDEX(TableRBMaster[TM],MATCH(TableRBCalcPts[[#This Row],[RBRef]],TableRBMaster[RBRef],0)),"")</f>
        <v>KC</v>
      </c>
      <c r="L55" s="60">
        <f>IFERROR(INDEX(TableRBMaster[BYE],MATCH(TableRBCalcPts[[#This Row],[RBRef]],TableRBMaster[RBRef],0)),"")</f>
        <v>10</v>
      </c>
      <c r="M55" s="61">
        <f>IFERROR(INDEX(TableRBMaster[Custom],MATCH(TableRBCalcPts[[#This Row],[RBRef]],TableRBMaster[RBRef],0)),"")</f>
        <v>61.455917554297137</v>
      </c>
      <c r="O55" s="60">
        <f>IFERROR(RANK(TableWRCalcPts[[#This Row],[Custom]],TableWRCalcPts[Custom])+COUNTIF($T$3:T55,T55)-1,"")</f>
        <v>97</v>
      </c>
      <c r="P55" s="60">
        <v>53</v>
      </c>
      <c r="Q55" s="60" t="str">
        <f>IFERROR(INDEX(TableWRMaster[Player],MATCH(TableWRCalcPts[[#This Row],[WRRef]],TableWRMaster[WRRef],0)),"")</f>
        <v>Josh Reynolds</v>
      </c>
      <c r="R55" s="60" t="str">
        <f>IFERROR(INDEX(TableWRMaster[TM],MATCH(TableWRCalcPts[[#This Row],[WRRef]],TableWRMaster[WRRef],0)),"")</f>
        <v>DET</v>
      </c>
      <c r="S55" s="60">
        <f>IFERROR(INDEX(TableWRMaster[BYE],MATCH(TableWRCalcPts[[#This Row],[WRRef]],TableWRMaster[WRRef],0)),"")</f>
        <v>9</v>
      </c>
      <c r="T55" s="61">
        <f>IFERROR(INDEX(TableWRMaster[Custom],MATCH(TableWRCalcPts[[#This Row],[WRRef]],TableWRMaster[WRRef],0)),"")</f>
        <v>68.671312284847986</v>
      </c>
      <c r="V55" s="60">
        <f>IFERROR(RANK(TableTECalcPts[[#This Row],[Custom]],TableTECalcPts[Custom])+COUNTIF($AA$3:AA55,AA55)-1,"")</f>
        <v>49</v>
      </c>
      <c r="W55" s="60">
        <v>53</v>
      </c>
      <c r="X55" s="60" t="str">
        <f>IFERROR(INDEX(TableTEMaster[Player],MATCH(TableTECalcPts[[#This Row],[TERef]],TableTEMaster[TERef],0)),"")</f>
        <v>Julian Hill</v>
      </c>
      <c r="Y55" s="60" t="str">
        <f>IFERROR(INDEX(TableTEMaster[TM],MATCH(TableTECalcPts[[#This Row],[TERef]],TableTEMaster[TERef],0)),"")</f>
        <v>MIA</v>
      </c>
      <c r="Z55" s="60">
        <f>IFERROR(INDEX(TableTEMaster[BYE],MATCH(TableTECalcPts[[#This Row],[TERef]],TableTEMaster[TERef],0)),"")</f>
        <v>10</v>
      </c>
      <c r="AA55" s="61">
        <f>IFERROR(INDEX(TableTEMaster[Custom],MATCH(TableTECalcPts[[#This Row],[TERef]],TableTEMaster[TERef],0)),"")</f>
        <v>31.534379794827011</v>
      </c>
      <c r="AI55" s="60" t="s">
        <v>10</v>
      </c>
      <c r="AJ55" s="60">
        <f>IFERROR(RANK(TableWRTECalcPts[[#This Row],[Custom]],TableWRTECalcPts[Custom])+COUNTIF($AP$3:AP55,AP55)-1,"")</f>
        <v>174</v>
      </c>
      <c r="AK55" s="60">
        <v>53</v>
      </c>
      <c r="AL55" s="60" t="str">
        <f>IFERROR(INDEX(TableTEMaster[Player],MATCH(TableWRTECalcPts[[#This Row],[POSRef]],TableTEMaster[TERef],0)),"")</f>
        <v>Julian Hill</v>
      </c>
      <c r="AM55" s="60" t="str">
        <f>IFERROR(_xlfn.CONCAT(TableWRTECalcPts[[#This Row],[POS]],INDEX(TableTERanks[RK],MATCH(TableWRTECalcPts[[#This Row],[PLAYER]],TableTERanks[Player],0))),"")</f>
        <v>TE49</v>
      </c>
      <c r="AN55" s="60" t="str">
        <f>IFERROR(INDEX(TableTEMaster[TM],MATCH(TableWRTECalcPts[[#This Row],[POSRef]],TableTEMaster[TERef],0)),"")</f>
        <v>MIA</v>
      </c>
      <c r="AO55" s="60">
        <f>IFERROR(INDEX(TableTEMaster[BYE],MATCH(TableWRTECalcPts[[#This Row],[POSRef]],TableTEMaster[TERef],0)),"")</f>
        <v>10</v>
      </c>
      <c r="AP55" s="61">
        <f>IFERROR(INDEX(TableTEMaster[Custom],MATCH(TableWRTECalcPts[[#This Row],[POSRef]],TableTEMaster[TERef],0)),"")</f>
        <v>31.534379794827011</v>
      </c>
    </row>
    <row r="56" spans="1:42" x14ac:dyDescent="0.2">
      <c r="A56" s="62">
        <f>IFERROR(RANK(TableQBCalcPts[[#This Row],[Custom]],TableQBCalcPts[Custom])+COUNTIF($F$3:F56,F56)-1,"")</f>
        <v>47</v>
      </c>
      <c r="B56" s="60">
        <v>54</v>
      </c>
      <c r="C56" s="60" t="str">
        <f>IFERROR(INDEX(TableQBMaster[Player],MATCH(TableQBCalcPts[[#This Row],[QBRef]],TableQBMaster[QBRef],0)),"")</f>
        <v>Mitch Trubisky</v>
      </c>
      <c r="D56" s="60" t="str">
        <f>IFERROR(INDEX(TableQBMaster[TM],MATCH(TableQBCalcPts[[#This Row],[QBRef]],TableQBMaster[QBRef],0)),"")</f>
        <v>PIT</v>
      </c>
      <c r="E56" s="60">
        <f>IFERROR(INDEX(TableQBMaster[BYE],MATCH(TableQBCalcPts[[#This Row],[QBRef]],TableQBMaster[QBRef],0)),"")</f>
        <v>6</v>
      </c>
      <c r="F56" s="61">
        <f>IFERROR(INDEX(TableQBMaster[Custom],MATCH(TableQBCalcPts[[#This Row],[QBRef]],TableQBMaster[QBRef],0)),"")</f>
        <v>10.816911422719926</v>
      </c>
      <c r="H56" s="60">
        <f>IFERROR(RANK(TableRBCalcPts[[#This Row],[Custom]],TableRBCalcPts[Custom])+COUNTIF($M$3:M56,M56)-1,"")</f>
        <v>2</v>
      </c>
      <c r="I56" s="60">
        <v>54</v>
      </c>
      <c r="J56" s="60" t="str">
        <f>IFERROR(INDEX(TableRBMaster[Player],MATCH(TableRBCalcPts[[#This Row],[RBRef]],TableRBMaster[RBRef],0)),"")</f>
        <v>Austin Ekeler</v>
      </c>
      <c r="K56" s="60" t="str">
        <f>IFERROR(INDEX(TableRBMaster[TM],MATCH(TableRBCalcPts[[#This Row],[RBRef]],TableRBMaster[RBRef],0)),"")</f>
        <v>LAC</v>
      </c>
      <c r="L56" s="60">
        <f>IFERROR(INDEX(TableRBMaster[BYE],MATCH(TableRBCalcPts[[#This Row],[RBRef]],TableRBMaster[RBRef],0)),"")</f>
        <v>5</v>
      </c>
      <c r="M56" s="61">
        <f>IFERROR(INDEX(TableRBMaster[Custom],MATCH(TableRBCalcPts[[#This Row],[RBRef]],TableRBMaster[RBRef],0)),"")</f>
        <v>273.37297478652124</v>
      </c>
      <c r="O56" s="60">
        <f>IFERROR(RANK(TableWRCalcPts[[#This Row],[Custom]],TableWRCalcPts[Custom])+COUNTIF($T$3:T56,T56)-1,"")</f>
        <v>80</v>
      </c>
      <c r="P56" s="60">
        <v>54</v>
      </c>
      <c r="Q56" s="60" t="str">
        <f>IFERROR(INDEX(TableWRMaster[Player],MATCH(TableWRCalcPts[[#This Row],[WRRef]],TableWRMaster[WRRef],0)),"")</f>
        <v>Marvin Jones</v>
      </c>
      <c r="R56" s="60" t="str">
        <f>IFERROR(INDEX(TableWRMaster[TM],MATCH(TableWRCalcPts[[#This Row],[WRRef]],TableWRMaster[WRRef],0)),"")</f>
        <v>DET</v>
      </c>
      <c r="S56" s="60">
        <f>IFERROR(INDEX(TableWRMaster[BYE],MATCH(TableWRCalcPts[[#This Row],[WRRef]],TableWRMaster[WRRef],0)),"")</f>
        <v>9</v>
      </c>
      <c r="T56" s="61">
        <f>IFERROR(INDEX(TableWRMaster[Custom],MATCH(TableWRCalcPts[[#This Row],[WRRef]],TableWRMaster[WRRef],0)),"")</f>
        <v>91.94050662758977</v>
      </c>
      <c r="V56" s="60">
        <f>IFERROR(RANK(TableTECalcPts[[#This Row],[Custom]],TableTECalcPts[Custom])+COUNTIF($AA$3:AA56,AA56)-1,"")</f>
        <v>4</v>
      </c>
      <c r="W56" s="60">
        <v>54</v>
      </c>
      <c r="X56" s="60" t="str">
        <f>IFERROR(INDEX(TableTEMaster[Player],MATCH(TableTECalcPts[[#This Row],[TERef]],TableTEMaster[TERef],0)),"")</f>
        <v>T.J. Hockenson</v>
      </c>
      <c r="Y56" s="60" t="str">
        <f>IFERROR(INDEX(TableTEMaster[TM],MATCH(TableTECalcPts[[#This Row],[TERef]],TableTEMaster[TERef],0)),"")</f>
        <v>MIN</v>
      </c>
      <c r="Z56" s="60">
        <f>IFERROR(INDEX(TableTEMaster[BYE],MATCH(TableTECalcPts[[#This Row],[TERef]],TableTEMaster[TERef],0)),"")</f>
        <v>13</v>
      </c>
      <c r="AA56" s="61">
        <f>IFERROR(INDEX(TableTEMaster[Custom],MATCH(TableTECalcPts[[#This Row],[TERef]],TableTEMaster[TERef],0)),"")</f>
        <v>173.66456609490382</v>
      </c>
      <c r="AI56" s="60" t="s">
        <v>10</v>
      </c>
      <c r="AJ56" s="60">
        <f>IFERROR(RANK(TableWRTECalcPts[[#This Row],[Custom]],TableWRTECalcPts[Custom])+COUNTIF($AP$3:AP56,AP56)-1,"")</f>
        <v>32</v>
      </c>
      <c r="AK56" s="60">
        <v>54</v>
      </c>
      <c r="AL56" s="60" t="str">
        <f>IFERROR(INDEX(TableTEMaster[Player],MATCH(TableWRTECalcPts[[#This Row],[POSRef]],TableTEMaster[TERef],0)),"")</f>
        <v>T.J. Hockenson</v>
      </c>
      <c r="AM56" s="60" t="str">
        <f>IFERROR(_xlfn.CONCAT(TableWRTECalcPts[[#This Row],[POS]],INDEX(TableTERanks[RK],MATCH(TableWRTECalcPts[[#This Row],[PLAYER]],TableTERanks[Player],0))),"")</f>
        <v>TE4</v>
      </c>
      <c r="AN56" s="60" t="str">
        <f>IFERROR(INDEX(TableTEMaster[TM],MATCH(TableWRTECalcPts[[#This Row],[POSRef]],TableTEMaster[TERef],0)),"")</f>
        <v>MIN</v>
      </c>
      <c r="AO56" s="60">
        <f>IFERROR(INDEX(TableTEMaster[BYE],MATCH(TableWRTECalcPts[[#This Row],[POSRef]],TableTEMaster[TERef],0)),"")</f>
        <v>13</v>
      </c>
      <c r="AP56" s="61">
        <f>IFERROR(INDEX(TableTEMaster[Custom],MATCH(TableWRTECalcPts[[#This Row],[POSRef]],TableTEMaster[TERef],0)),"")</f>
        <v>173.66456609490382</v>
      </c>
    </row>
    <row r="57" spans="1:42" x14ac:dyDescent="0.2">
      <c r="A57" s="62">
        <f>IFERROR(RANK(TableQBCalcPts[[#This Row],[Custom]],TableQBCalcPts[Custom])+COUNTIF($F$3:F57,F57)-1,"")</f>
        <v>14</v>
      </c>
      <c r="B57" s="60">
        <v>55</v>
      </c>
      <c r="C57" s="60" t="str">
        <f>IFERROR(INDEX(TableQBMaster[Player],MATCH(TableQBCalcPts[[#This Row],[QBRef]],TableQBMaster[QBRef],0)),"")</f>
        <v>Geno Smith</v>
      </c>
      <c r="D57" s="60" t="str">
        <f>IFERROR(INDEX(TableQBMaster[TM],MATCH(TableQBCalcPts[[#This Row],[QBRef]],TableQBMaster[QBRef],0)),"")</f>
        <v>SEA</v>
      </c>
      <c r="E57" s="60">
        <f>IFERROR(INDEX(TableQBMaster[BYE],MATCH(TableQBCalcPts[[#This Row],[QBRef]],TableQBMaster[QBRef],0)),"")</f>
        <v>5</v>
      </c>
      <c r="F57" s="61">
        <f>IFERROR(INDEX(TableQBMaster[Custom],MATCH(TableQBCalcPts[[#This Row],[QBRef]],TableQBMaster[QBRef],0)),"")</f>
        <v>308.46388356938525</v>
      </c>
      <c r="H57" s="60">
        <f>IFERROR(RANK(TableRBCalcPts[[#This Row],[Custom]],TableRBCalcPts[Custom])+COUNTIF($M$3:M57,M57)-1,"")</f>
        <v>86</v>
      </c>
      <c r="I57" s="60">
        <v>55</v>
      </c>
      <c r="J57" s="60" t="str">
        <f>IFERROR(INDEX(TableRBMaster[Player],MATCH(TableRBCalcPts[[#This Row],[RBRef]],TableRBMaster[RBRef],0)),"")</f>
        <v>Isaiah Spiller</v>
      </c>
      <c r="K57" s="60" t="str">
        <f>IFERROR(INDEX(TableRBMaster[TM],MATCH(TableRBCalcPts[[#This Row],[RBRef]],TableRBMaster[RBRef],0)),"")</f>
        <v>LAC</v>
      </c>
      <c r="L57" s="60">
        <f>IFERROR(INDEX(TableRBMaster[BYE],MATCH(TableRBCalcPts[[#This Row],[RBRef]],TableRBMaster[RBRef],0)),"")</f>
        <v>5</v>
      </c>
      <c r="M57" s="61">
        <f>IFERROR(INDEX(TableRBMaster[Custom],MATCH(TableRBCalcPts[[#This Row],[RBRef]],TableRBMaster[RBRef],0)),"")</f>
        <v>34.067763694883844</v>
      </c>
      <c r="O57" s="60">
        <f>IFERROR(RANK(TableWRCalcPts[[#This Row],[Custom]],TableWRCalcPts[Custom])+COUNTIF($T$3:T57,T57)-1,"")</f>
        <v>120</v>
      </c>
      <c r="P57" s="60">
        <v>55</v>
      </c>
      <c r="Q57" s="60" t="str">
        <f>IFERROR(INDEX(TableWRMaster[Player],MATCH(TableWRCalcPts[[#This Row],[WRRef]],TableWRMaster[WRRef],0)),"")</f>
        <v>Antoine Green</v>
      </c>
      <c r="R57" s="60" t="str">
        <f>IFERROR(INDEX(TableWRMaster[TM],MATCH(TableWRCalcPts[[#This Row],[WRRef]],TableWRMaster[WRRef],0)),"")</f>
        <v>DET</v>
      </c>
      <c r="S57" s="60">
        <f>IFERROR(INDEX(TableWRMaster[BYE],MATCH(TableWRCalcPts[[#This Row],[WRRef]],TableWRMaster[WRRef],0)),"")</f>
        <v>9</v>
      </c>
      <c r="T57" s="61">
        <f>IFERROR(INDEX(TableWRMaster[Custom],MATCH(TableWRCalcPts[[#This Row],[WRRef]],TableWRMaster[WRRef],0)),"")</f>
        <v>34.981737176305913</v>
      </c>
      <c r="V57" s="60">
        <f>IFERROR(RANK(TableTECalcPts[[#This Row],[Custom]],TableTECalcPts[Custom])+COUNTIF($AA$3:AA57,AA57)-1,"")</f>
        <v>71</v>
      </c>
      <c r="W57" s="60">
        <v>55</v>
      </c>
      <c r="X57" s="60" t="str">
        <f>IFERROR(INDEX(TableTEMaster[Player],MATCH(TableTECalcPts[[#This Row],[TERef]],TableTEMaster[TERef],0)),"")</f>
        <v>Johnny Mundt</v>
      </c>
      <c r="Y57" s="60" t="str">
        <f>IFERROR(INDEX(TableTEMaster[TM],MATCH(TableTECalcPts[[#This Row],[TERef]],TableTEMaster[TERef],0)),"")</f>
        <v>MIN</v>
      </c>
      <c r="Z57" s="60">
        <f>IFERROR(INDEX(TableTEMaster[BYE],MATCH(TableTECalcPts[[#This Row],[TERef]],TableTEMaster[TERef],0)),"")</f>
        <v>13</v>
      </c>
      <c r="AA57" s="61">
        <f>IFERROR(INDEX(TableTEMaster[Custom],MATCH(TableTECalcPts[[#This Row],[TERef]],TableTEMaster[TERef],0)),"")</f>
        <v>16.388591751839996</v>
      </c>
      <c r="AI57" s="60" t="s">
        <v>10</v>
      </c>
      <c r="AJ57" s="60">
        <f>IFERROR(RANK(TableWRTECalcPts[[#This Row],[Custom]],TableWRTECalcPts[Custom])+COUNTIF($AP$3:AP57,AP57)-1,"")</f>
        <v>218</v>
      </c>
      <c r="AK57" s="60">
        <v>55</v>
      </c>
      <c r="AL57" s="60" t="str">
        <f>IFERROR(INDEX(TableTEMaster[Player],MATCH(TableWRTECalcPts[[#This Row],[POSRef]],TableTEMaster[TERef],0)),"")</f>
        <v>Johnny Mundt</v>
      </c>
      <c r="AM57" s="60" t="str">
        <f>IFERROR(_xlfn.CONCAT(TableWRTECalcPts[[#This Row],[POS]],INDEX(TableTERanks[RK],MATCH(TableWRTECalcPts[[#This Row],[PLAYER]],TableTERanks[Player],0))),"")</f>
        <v>TE71</v>
      </c>
      <c r="AN57" s="60" t="str">
        <f>IFERROR(INDEX(TableTEMaster[TM],MATCH(TableWRTECalcPts[[#This Row],[POSRef]],TableTEMaster[TERef],0)),"")</f>
        <v>MIN</v>
      </c>
      <c r="AO57" s="60">
        <f>IFERROR(INDEX(TableTEMaster[BYE],MATCH(TableWRTECalcPts[[#This Row],[POSRef]],TableTEMaster[TERef],0)),"")</f>
        <v>13</v>
      </c>
      <c r="AP57" s="61">
        <f>IFERROR(INDEX(TableTEMaster[Custom],MATCH(TableWRTECalcPts[[#This Row],[POSRef]],TableTEMaster[TERef],0)),"")</f>
        <v>16.388591751839996</v>
      </c>
    </row>
    <row r="58" spans="1:42" x14ac:dyDescent="0.2">
      <c r="A58" s="62">
        <f>IFERROR(RANK(TableQBCalcPts[[#This Row],[Custom]],TableQBCalcPts[Custom])+COUNTIF($F$3:F58,F58)-1,"")</f>
        <v>45</v>
      </c>
      <c r="B58" s="60">
        <v>56</v>
      </c>
      <c r="C58" s="60" t="str">
        <f>IFERROR(INDEX(TableQBMaster[Player],MATCH(TableQBCalcPts[[#This Row],[QBRef]],TableQBMaster[QBRef],0)),"")</f>
        <v>Drew Lock</v>
      </c>
      <c r="D58" s="60" t="str">
        <f>IFERROR(INDEX(TableQBMaster[TM],MATCH(TableQBCalcPts[[#This Row],[QBRef]],TableQBMaster[QBRef],0)),"")</f>
        <v>SEA</v>
      </c>
      <c r="E58" s="60">
        <f>IFERROR(INDEX(TableQBMaster[BYE],MATCH(TableQBCalcPts[[#This Row],[QBRef]],TableQBMaster[QBRef],0)),"")</f>
        <v>5</v>
      </c>
      <c r="F58" s="61">
        <f>IFERROR(INDEX(TableQBMaster[Custom],MATCH(TableQBCalcPts[[#This Row],[QBRef]],TableQBMaster[QBRef],0)),"")</f>
        <v>11.385994292797822</v>
      </c>
      <c r="H58" s="60">
        <f>IFERROR(RANK(TableRBCalcPts[[#This Row],[Custom]],TableRBCalcPts[Custom])+COUNTIF($M$3:M58,M58)-1,"")</f>
        <v>55</v>
      </c>
      <c r="I58" s="60">
        <v>56</v>
      </c>
      <c r="J58" s="60" t="str">
        <f>IFERROR(INDEX(TableRBMaster[Player],MATCH(TableRBCalcPts[[#This Row],[RBRef]],TableRBMaster[RBRef],0)),"")</f>
        <v>Joshua Kelley</v>
      </c>
      <c r="K58" s="60" t="str">
        <f>IFERROR(INDEX(TableRBMaster[TM],MATCH(TableRBCalcPts[[#This Row],[RBRef]],TableRBMaster[RBRef],0)),"")</f>
        <v>LAC</v>
      </c>
      <c r="L58" s="60">
        <f>IFERROR(INDEX(TableRBMaster[BYE],MATCH(TableRBCalcPts[[#This Row],[RBRef]],TableRBMaster[RBRef],0)),"")</f>
        <v>5</v>
      </c>
      <c r="M58" s="61">
        <f>IFERROR(INDEX(TableRBMaster[Custom],MATCH(TableRBCalcPts[[#This Row],[RBRef]],TableRBMaster[RBRef],0)),"")</f>
        <v>97.654269176520614</v>
      </c>
      <c r="O58" s="60">
        <f>IFERROR(RANK(TableWRCalcPts[[#This Row],[Custom]],TableWRCalcPts[Custom])+COUNTIF($T$3:T58,T58)-1,"")</f>
        <v>14</v>
      </c>
      <c r="P58" s="60">
        <v>56</v>
      </c>
      <c r="Q58" s="60" t="str">
        <f>IFERROR(INDEX(TableWRMaster[Player],MATCH(TableWRCalcPts[[#This Row],[WRRef]],TableWRMaster[WRRef],0)),"")</f>
        <v>Christian Watson</v>
      </c>
      <c r="R58" s="60" t="str">
        <f>IFERROR(INDEX(TableWRMaster[TM],MATCH(TableWRCalcPts[[#This Row],[WRRef]],TableWRMaster[WRRef],0)),"")</f>
        <v>GB</v>
      </c>
      <c r="S58" s="60">
        <f>IFERROR(INDEX(TableWRMaster[BYE],MATCH(TableWRCalcPts[[#This Row],[WRRef]],TableWRMaster[WRRef],0)),"")</f>
        <v>6</v>
      </c>
      <c r="T58" s="61">
        <f>IFERROR(INDEX(TableWRMaster[Custom],MATCH(TableWRCalcPts[[#This Row],[WRRef]],TableWRMaster[WRRef],0)),"")</f>
        <v>194.98899947146739</v>
      </c>
      <c r="V58" s="60">
        <f>IFERROR(RANK(TableTECalcPts[[#This Row],[Custom]],TableTECalcPts[Custom])+COUNTIF($AA$3:AA58,AA58)-1,"")</f>
        <v>87</v>
      </c>
      <c r="W58" s="60">
        <v>56</v>
      </c>
      <c r="X58" s="60" t="str">
        <f>IFERROR(INDEX(TableTEMaster[Player],MATCH(TableTECalcPts[[#This Row],[TERef]],TableTEMaster[TERef],0)),"")</f>
        <v>Josh Oliver</v>
      </c>
      <c r="Y58" s="60" t="str">
        <f>IFERROR(INDEX(TableTEMaster[TM],MATCH(TableTECalcPts[[#This Row],[TERef]],TableTEMaster[TERef],0)),"")</f>
        <v>MIN</v>
      </c>
      <c r="Z58" s="60">
        <f>IFERROR(INDEX(TableTEMaster[BYE],MATCH(TableTECalcPts[[#This Row],[TERef]],TableTEMaster[TERef],0)),"")</f>
        <v>13</v>
      </c>
      <c r="AA58" s="61">
        <f>IFERROR(INDEX(TableTEMaster[Custom],MATCH(TableTECalcPts[[#This Row],[TERef]],TableTEMaster[TERef],0)),"")</f>
        <v>7.947462224774859</v>
      </c>
      <c r="AI58" s="60" t="s">
        <v>10</v>
      </c>
      <c r="AJ58" s="60">
        <f>IFERROR(RANK(TableWRTECalcPts[[#This Row],[Custom]],TableWRTECalcPts[Custom])+COUNTIF($AP$3:AP58,AP58)-1,"")</f>
        <v>247</v>
      </c>
      <c r="AK58" s="60">
        <v>56</v>
      </c>
      <c r="AL58" s="60" t="str">
        <f>IFERROR(INDEX(TableTEMaster[Player],MATCH(TableWRTECalcPts[[#This Row],[POSRef]],TableTEMaster[TERef],0)),"")</f>
        <v>Josh Oliver</v>
      </c>
      <c r="AM58" s="60" t="str">
        <f>IFERROR(_xlfn.CONCAT(TableWRTECalcPts[[#This Row],[POS]],INDEX(TableTERanks[RK],MATCH(TableWRTECalcPts[[#This Row],[PLAYER]],TableTERanks[Player],0))),"")</f>
        <v>TE87</v>
      </c>
      <c r="AN58" s="60" t="str">
        <f>IFERROR(INDEX(TableTEMaster[TM],MATCH(TableWRTECalcPts[[#This Row],[POSRef]],TableTEMaster[TERef],0)),"")</f>
        <v>MIN</v>
      </c>
      <c r="AO58" s="60">
        <f>IFERROR(INDEX(TableTEMaster[BYE],MATCH(TableWRTECalcPts[[#This Row],[POSRef]],TableTEMaster[TERef],0)),"")</f>
        <v>13</v>
      </c>
      <c r="AP58" s="61">
        <f>IFERROR(INDEX(TableTEMaster[Custom],MATCH(TableWRTECalcPts[[#This Row],[POSRef]],TableTEMaster[TERef],0)),"")</f>
        <v>7.947462224774859</v>
      </c>
    </row>
    <row r="59" spans="1:42" x14ac:dyDescent="0.2">
      <c r="A59" s="62">
        <f>IFERROR(RANK(TableQBCalcPts[[#This Row],[Custom]],TableQBCalcPts[Custom])+COUNTIF($F$3:F59,F59)-1,"")</f>
        <v>25</v>
      </c>
      <c r="B59" s="60">
        <v>57</v>
      </c>
      <c r="C59" s="60" t="str">
        <f>IFERROR(INDEX(TableQBMaster[Player],MATCH(TableQBCalcPts[[#This Row],[QBRef]],TableQBMaster[QBRef],0)),"")</f>
        <v>Brock Purdy</v>
      </c>
      <c r="D59" s="60" t="str">
        <f>IFERROR(INDEX(TableQBMaster[TM],MATCH(TableQBCalcPts[[#This Row],[QBRef]],TableQBMaster[QBRef],0)),"")</f>
        <v>SF</v>
      </c>
      <c r="E59" s="60">
        <f>IFERROR(INDEX(TableQBMaster[BYE],MATCH(TableQBCalcPts[[#This Row],[QBRef]],TableQBMaster[QBRef],0)),"")</f>
        <v>9</v>
      </c>
      <c r="F59" s="61">
        <f>IFERROR(INDEX(TableQBMaster[Custom],MATCH(TableQBCalcPts[[#This Row],[QBRef]],TableQBMaster[QBRef],0)),"")</f>
        <v>260.90182349387231</v>
      </c>
      <c r="H59" s="60">
        <f>IFERROR(RANK(TableRBCalcPts[[#This Row],[Custom]],TableRBCalcPts[Custom])+COUNTIF($M$3:M59,M59)-1,"")</f>
        <v>16</v>
      </c>
      <c r="I59" s="60">
        <v>57</v>
      </c>
      <c r="J59" s="60" t="str">
        <f>IFERROR(INDEX(TableRBMaster[Player],MATCH(TableRBCalcPts[[#This Row],[RBRef]],TableRBMaster[RBRef],0)),"")</f>
        <v>Cam Akers</v>
      </c>
      <c r="K59" s="60" t="str">
        <f>IFERROR(INDEX(TableRBMaster[TM],MATCH(TableRBCalcPts[[#This Row],[RBRef]],TableRBMaster[RBRef],0)),"")</f>
        <v>LAR</v>
      </c>
      <c r="L59" s="60">
        <f>IFERROR(INDEX(TableRBMaster[BYE],MATCH(TableRBCalcPts[[#This Row],[RBRef]],TableRBMaster[RBRef],0)),"")</f>
        <v>10</v>
      </c>
      <c r="M59" s="61">
        <f>IFERROR(INDEX(TableRBMaster[Custom],MATCH(TableRBCalcPts[[#This Row],[RBRef]],TableRBMaster[RBRef],0)),"")</f>
        <v>198.18796580263299</v>
      </c>
      <c r="O59" s="60">
        <f>IFERROR(RANK(TableWRCalcPts[[#This Row],[Custom]],TableWRCalcPts[Custom])+COUNTIF($T$3:T59,T59)-1,"")</f>
        <v>56</v>
      </c>
      <c r="P59" s="60">
        <v>57</v>
      </c>
      <c r="Q59" s="60" t="str">
        <f>IFERROR(INDEX(TableWRMaster[Player],MATCH(TableWRCalcPts[[#This Row],[WRRef]],TableWRMaster[WRRef],0)),"")</f>
        <v>Romeo Doubs</v>
      </c>
      <c r="R59" s="60" t="str">
        <f>IFERROR(INDEX(TableWRMaster[TM],MATCH(TableWRCalcPts[[#This Row],[WRRef]],TableWRMaster[WRRef],0)),"")</f>
        <v>GB</v>
      </c>
      <c r="S59" s="60">
        <f>IFERROR(INDEX(TableWRMaster[BYE],MATCH(TableWRCalcPts[[#This Row],[WRRef]],TableWRMaster[WRRef],0)),"")</f>
        <v>6</v>
      </c>
      <c r="T59" s="61">
        <f>IFERROR(INDEX(TableWRMaster[Custom],MATCH(TableWRCalcPts[[#This Row],[WRRef]],TableWRMaster[WRRef],0)),"")</f>
        <v>131.5987978749377</v>
      </c>
      <c r="V59" s="60">
        <f>IFERROR(RANK(TableTECalcPts[[#This Row],[Custom]],TableTECalcPts[Custom])+COUNTIF($AA$3:AA59,AA59)-1,"")</f>
        <v>13</v>
      </c>
      <c r="W59" s="60">
        <v>57</v>
      </c>
      <c r="X59" s="60" t="str">
        <f>IFERROR(INDEX(TableTEMaster[Player],MATCH(TableTECalcPts[[#This Row],[TERef]],TableTEMaster[TERef],0)),"")</f>
        <v>Hunter Henry</v>
      </c>
      <c r="Y59" s="60" t="str">
        <f>IFERROR(INDEX(TableTEMaster[TM],MATCH(TableTECalcPts[[#This Row],[TERef]],TableTEMaster[TERef],0)),"")</f>
        <v>NE</v>
      </c>
      <c r="Z59" s="60">
        <f>IFERROR(INDEX(TableTEMaster[BYE],MATCH(TableTECalcPts[[#This Row],[TERef]],TableTEMaster[TERef],0)),"")</f>
        <v>11</v>
      </c>
      <c r="AA59" s="61">
        <f>IFERROR(INDEX(TableTEMaster[Custom],MATCH(TableTECalcPts[[#This Row],[TERef]],TableTEMaster[TERef],0)),"")</f>
        <v>112.32468213400713</v>
      </c>
      <c r="AI59" s="60" t="s">
        <v>10</v>
      </c>
      <c r="AJ59" s="60">
        <f>IFERROR(RANK(TableWRTECalcPts[[#This Row],[Custom]],TableWRTECalcPts[Custom])+COUNTIF($AP$3:AP59,AP59)-1,"")</f>
        <v>82</v>
      </c>
      <c r="AK59" s="60">
        <v>57</v>
      </c>
      <c r="AL59" s="60" t="str">
        <f>IFERROR(INDEX(TableTEMaster[Player],MATCH(TableWRTECalcPts[[#This Row],[POSRef]],TableTEMaster[TERef],0)),"")</f>
        <v>Hunter Henry</v>
      </c>
      <c r="AM59" s="60" t="str">
        <f>IFERROR(_xlfn.CONCAT(TableWRTECalcPts[[#This Row],[POS]],INDEX(TableTERanks[RK],MATCH(TableWRTECalcPts[[#This Row],[PLAYER]],TableTERanks[Player],0))),"")</f>
        <v>TE13</v>
      </c>
      <c r="AN59" s="60" t="str">
        <f>IFERROR(INDEX(TableTEMaster[TM],MATCH(TableWRTECalcPts[[#This Row],[POSRef]],TableTEMaster[TERef],0)),"")</f>
        <v>NE</v>
      </c>
      <c r="AO59" s="60">
        <f>IFERROR(INDEX(TableTEMaster[BYE],MATCH(TableWRTECalcPts[[#This Row],[POSRef]],TableTEMaster[TERef],0)),"")</f>
        <v>11</v>
      </c>
      <c r="AP59" s="61">
        <f>IFERROR(INDEX(TableTEMaster[Custom],MATCH(TableWRTECalcPts[[#This Row],[POSRef]],TableTEMaster[TERef],0)),"")</f>
        <v>112.32468213400713</v>
      </c>
    </row>
    <row r="60" spans="1:42" x14ac:dyDescent="0.2">
      <c r="A60" s="62">
        <f>IFERROR(RANK(TableQBCalcPts[[#This Row],[Custom]],TableQBCalcPts[Custom])+COUNTIF($F$3:F60,F60)-1,"")</f>
        <v>44</v>
      </c>
      <c r="B60" s="60">
        <v>58</v>
      </c>
      <c r="C60" s="60" t="str">
        <f>IFERROR(INDEX(TableQBMaster[Player],MATCH(TableQBCalcPts[[#This Row],[QBRef]],TableQBMaster[QBRef],0)),"")</f>
        <v>Sam Darnold</v>
      </c>
      <c r="D60" s="60" t="str">
        <f>IFERROR(INDEX(TableQBMaster[TM],MATCH(TableQBCalcPts[[#This Row],[QBRef]],TableQBMaster[QBRef],0)),"")</f>
        <v>SF</v>
      </c>
      <c r="E60" s="60">
        <f>IFERROR(INDEX(TableQBMaster[BYE],MATCH(TableQBCalcPts[[#This Row],[QBRef]],TableQBMaster[QBRef],0)),"")</f>
        <v>9</v>
      </c>
      <c r="F60" s="61">
        <f>IFERROR(INDEX(TableQBMaster[Custom],MATCH(TableQBCalcPts[[#This Row],[QBRef]],TableQBMaster[QBRef],0)),"")</f>
        <v>12.560258565599998</v>
      </c>
      <c r="H60" s="60">
        <f>IFERROR(RANK(TableRBCalcPts[[#This Row],[Custom]],TableRBCalcPts[Custom])+COUNTIF($M$3:M60,M60)-1,"")</f>
        <v>52</v>
      </c>
      <c r="I60" s="60">
        <v>58</v>
      </c>
      <c r="J60" s="60" t="str">
        <f>IFERROR(INDEX(TableRBMaster[Player],MATCH(TableRBCalcPts[[#This Row],[RBRef]],TableRBMaster[RBRef],0)),"")</f>
        <v>Kyren Williams</v>
      </c>
      <c r="K60" s="60" t="str">
        <f>IFERROR(INDEX(TableRBMaster[TM],MATCH(TableRBCalcPts[[#This Row],[RBRef]],TableRBMaster[RBRef],0)),"")</f>
        <v>LAR</v>
      </c>
      <c r="L60" s="60">
        <f>IFERROR(INDEX(TableRBMaster[BYE],MATCH(TableRBCalcPts[[#This Row],[RBRef]],TableRBMaster[RBRef],0)),"")</f>
        <v>10</v>
      </c>
      <c r="M60" s="61">
        <f>IFERROR(INDEX(TableRBMaster[Custom],MATCH(TableRBCalcPts[[#This Row],[RBRef]],TableRBMaster[RBRef],0)),"")</f>
        <v>101.74554570819568</v>
      </c>
      <c r="O60" s="60">
        <f>IFERROR(RANK(TableWRCalcPts[[#This Row],[Custom]],TableWRCalcPts[Custom])+COUNTIF($T$3:T60,T60)-1,"")</f>
        <v>63</v>
      </c>
      <c r="P60" s="60">
        <v>58</v>
      </c>
      <c r="Q60" s="60" t="str">
        <f>IFERROR(INDEX(TableWRMaster[Player],MATCH(TableWRCalcPts[[#This Row],[WRRef]],TableWRMaster[WRRef],0)),"")</f>
        <v>Jayden Reed</v>
      </c>
      <c r="R60" s="60" t="str">
        <f>IFERROR(INDEX(TableWRMaster[TM],MATCH(TableWRCalcPts[[#This Row],[WRRef]],TableWRMaster[WRRef],0)),"")</f>
        <v>GB</v>
      </c>
      <c r="S60" s="60">
        <f>IFERROR(INDEX(TableWRMaster[BYE],MATCH(TableWRCalcPts[[#This Row],[WRRef]],TableWRMaster[WRRef],0)),"")</f>
        <v>6</v>
      </c>
      <c r="T60" s="61">
        <f>IFERROR(INDEX(TableWRMaster[Custom],MATCH(TableWRCalcPts[[#This Row],[WRRef]],TableWRMaster[WRRef],0)),"")</f>
        <v>119.06544448157086</v>
      </c>
      <c r="V60" s="60">
        <f>IFERROR(RANK(TableTECalcPts[[#This Row],[Custom]],TableTECalcPts[Custom])+COUNTIF($AA$3:AA60,AA60)-1,"")</f>
        <v>29</v>
      </c>
      <c r="W60" s="60">
        <v>58</v>
      </c>
      <c r="X60" s="60" t="str">
        <f>IFERROR(INDEX(TableTEMaster[Player],MATCH(TableTECalcPts[[#This Row],[TERef]],TableTEMaster[TERef],0)),"")</f>
        <v>Mike Gesicki</v>
      </c>
      <c r="Y60" s="60" t="str">
        <f>IFERROR(INDEX(TableTEMaster[TM],MATCH(TableTECalcPts[[#This Row],[TERef]],TableTEMaster[TERef],0)),"")</f>
        <v>NE</v>
      </c>
      <c r="Z60" s="60">
        <f>IFERROR(INDEX(TableTEMaster[BYE],MATCH(TableTECalcPts[[#This Row],[TERef]],TableTEMaster[TERef],0)),"")</f>
        <v>11</v>
      </c>
      <c r="AA60" s="61">
        <f>IFERROR(INDEX(TableTEMaster[Custom],MATCH(TableTECalcPts[[#This Row],[TERef]],TableTEMaster[TERef],0)),"")</f>
        <v>84.395870962075392</v>
      </c>
      <c r="AI60" s="60" t="s">
        <v>10</v>
      </c>
      <c r="AJ60" s="60">
        <f>IFERROR(RANK(TableWRTECalcPts[[#This Row],[Custom]],TableWRTECalcPts[Custom])+COUNTIF($AP$3:AP60,AP60)-1,"")</f>
        <v>118</v>
      </c>
      <c r="AK60" s="60">
        <v>58</v>
      </c>
      <c r="AL60" s="60" t="str">
        <f>IFERROR(INDEX(TableTEMaster[Player],MATCH(TableWRTECalcPts[[#This Row],[POSRef]],TableTEMaster[TERef],0)),"")</f>
        <v>Mike Gesicki</v>
      </c>
      <c r="AM60" s="60" t="str">
        <f>IFERROR(_xlfn.CONCAT(TableWRTECalcPts[[#This Row],[POS]],INDEX(TableTERanks[RK],MATCH(TableWRTECalcPts[[#This Row],[PLAYER]],TableTERanks[Player],0))),"")</f>
        <v>TE29</v>
      </c>
      <c r="AN60" s="60" t="str">
        <f>IFERROR(INDEX(TableTEMaster[TM],MATCH(TableWRTECalcPts[[#This Row],[POSRef]],TableTEMaster[TERef],0)),"")</f>
        <v>NE</v>
      </c>
      <c r="AO60" s="60">
        <f>IFERROR(INDEX(TableTEMaster[BYE],MATCH(TableWRTECalcPts[[#This Row],[POSRef]],TableTEMaster[TERef],0)),"")</f>
        <v>11</v>
      </c>
      <c r="AP60" s="61">
        <f>IFERROR(INDEX(TableTEMaster[Custom],MATCH(TableWRTECalcPts[[#This Row],[POSRef]],TableTEMaster[TERef],0)),"")</f>
        <v>84.395870962075392</v>
      </c>
    </row>
    <row r="61" spans="1:42" x14ac:dyDescent="0.2">
      <c r="A61" s="62">
        <f>IFERROR(RANK(TableQBCalcPts[[#This Row],[Custom]],TableQBCalcPts[Custom])+COUNTIF($F$3:F61,F61)-1,"")</f>
        <v>35</v>
      </c>
      <c r="B61" s="60">
        <v>59</v>
      </c>
      <c r="C61" s="60" t="str">
        <f>IFERROR(INDEX(TableQBMaster[Player],MATCH(TableQBCalcPts[[#This Row],[QBRef]],TableQBMaster[QBRef],0)),"")</f>
        <v>Kyle Trask</v>
      </c>
      <c r="D61" s="60" t="str">
        <f>IFERROR(INDEX(TableQBMaster[TM],MATCH(TableQBCalcPts[[#This Row],[QBRef]],TableQBMaster[QBRef],0)),"")</f>
        <v>TB</v>
      </c>
      <c r="E61" s="60">
        <f>IFERROR(INDEX(TableQBMaster[BYE],MATCH(TableQBCalcPts[[#This Row],[QBRef]],TableQBMaster[QBRef],0)),"")</f>
        <v>5</v>
      </c>
      <c r="F61" s="61">
        <f>IFERROR(INDEX(TableQBMaster[Custom],MATCH(TableQBCalcPts[[#This Row],[QBRef]],TableQBMaster[QBRef],0)),"")</f>
        <v>47.169748582619611</v>
      </c>
      <c r="H61" s="60">
        <f>IFERROR(RANK(TableRBCalcPts[[#This Row],[Custom]],TableRBCalcPts[Custom])+COUNTIF($M$3:M61,M61)-1,"")</f>
        <v>84</v>
      </c>
      <c r="I61" s="60">
        <v>59</v>
      </c>
      <c r="J61" s="60" t="str">
        <f>IFERROR(INDEX(TableRBMaster[Player],MATCH(TableRBCalcPts[[#This Row],[RBRef]],TableRBMaster[RBRef],0)),"")</f>
        <v>Ronnie Rivers</v>
      </c>
      <c r="K61" s="60" t="str">
        <f>IFERROR(INDEX(TableRBMaster[TM],MATCH(TableRBCalcPts[[#This Row],[RBRef]],TableRBMaster[RBRef],0)),"")</f>
        <v>LAR</v>
      </c>
      <c r="L61" s="60">
        <f>IFERROR(INDEX(TableRBMaster[BYE],MATCH(TableRBCalcPts[[#This Row],[RBRef]],TableRBMaster[RBRef],0)),"")</f>
        <v>10</v>
      </c>
      <c r="M61" s="61">
        <f>IFERROR(INDEX(TableRBMaster[Custom],MATCH(TableRBCalcPts[[#This Row],[RBRef]],TableRBMaster[RBRef],0)),"")</f>
        <v>34.805722107144163</v>
      </c>
      <c r="O61" s="60">
        <f>IFERROR(RANK(TableWRCalcPts[[#This Row],[Custom]],TableWRCalcPts[Custom])+COUNTIF($T$3:T61,T61)-1,"")</f>
        <v>132</v>
      </c>
      <c r="P61" s="60">
        <v>59</v>
      </c>
      <c r="Q61" s="60" t="str">
        <f>IFERROR(INDEX(TableWRMaster[Player],MATCH(TableWRCalcPts[[#This Row],[WRRef]],TableWRMaster[WRRef],0)),"")</f>
        <v>Samori Toure</v>
      </c>
      <c r="R61" s="60" t="str">
        <f>IFERROR(INDEX(TableWRMaster[TM],MATCH(TableWRCalcPts[[#This Row],[WRRef]],TableWRMaster[WRRef],0)),"")</f>
        <v>GB</v>
      </c>
      <c r="S61" s="60">
        <f>IFERROR(INDEX(TableWRMaster[BYE],MATCH(TableWRCalcPts[[#This Row],[WRRef]],TableWRMaster[WRRef],0)),"")</f>
        <v>6</v>
      </c>
      <c r="T61" s="61">
        <f>IFERROR(INDEX(TableWRMaster[Custom],MATCH(TableWRCalcPts[[#This Row],[WRRef]],TableWRMaster[WRRef],0)),"")</f>
        <v>25.989920188422406</v>
      </c>
      <c r="V61" s="60">
        <f>IFERROR(RANK(TableTECalcPts[[#This Row],[Custom]],TableTECalcPts[Custom])+COUNTIF($AA$3:AA61,AA61)-1,"")</f>
        <v>21</v>
      </c>
      <c r="W61" s="60">
        <v>59</v>
      </c>
      <c r="X61" s="60" t="str">
        <f>IFERROR(INDEX(TableTEMaster[Player],MATCH(TableTECalcPts[[#This Row],[TERef]],TableTEMaster[TERef],0)),"")</f>
        <v>Juwan Johnson</v>
      </c>
      <c r="Y61" s="60" t="str">
        <f>IFERROR(INDEX(TableTEMaster[TM],MATCH(TableTECalcPts[[#This Row],[TERef]],TableTEMaster[TERef],0)),"")</f>
        <v>NO</v>
      </c>
      <c r="Z61" s="60">
        <f>IFERROR(INDEX(TableTEMaster[BYE],MATCH(TableTECalcPts[[#This Row],[TERef]],TableTEMaster[TERef],0)),"")</f>
        <v>11</v>
      </c>
      <c r="AA61" s="61">
        <f>IFERROR(INDEX(TableTEMaster[Custom],MATCH(TableTECalcPts[[#This Row],[TERef]],TableTEMaster[TERef],0)),"")</f>
        <v>98.079881682801982</v>
      </c>
      <c r="AI61" s="60" t="s">
        <v>10</v>
      </c>
      <c r="AJ61" s="60">
        <f>IFERROR(RANK(TableWRTECalcPts[[#This Row],[Custom]],TableWRTECalcPts[Custom])+COUNTIF($AP$3:AP61,AP61)-1,"")</f>
        <v>93</v>
      </c>
      <c r="AK61" s="60">
        <v>59</v>
      </c>
      <c r="AL61" s="60" t="str">
        <f>IFERROR(INDEX(TableTEMaster[Player],MATCH(TableWRTECalcPts[[#This Row],[POSRef]],TableTEMaster[TERef],0)),"")</f>
        <v>Juwan Johnson</v>
      </c>
      <c r="AM61" s="60" t="str">
        <f>IFERROR(_xlfn.CONCAT(TableWRTECalcPts[[#This Row],[POS]],INDEX(TableTERanks[RK],MATCH(TableWRTECalcPts[[#This Row],[PLAYER]],TableTERanks[Player],0))),"")</f>
        <v>TE21</v>
      </c>
      <c r="AN61" s="60" t="str">
        <f>IFERROR(INDEX(TableTEMaster[TM],MATCH(TableWRTECalcPts[[#This Row],[POSRef]],TableTEMaster[TERef],0)),"")</f>
        <v>NO</v>
      </c>
      <c r="AO61" s="60">
        <f>IFERROR(INDEX(TableTEMaster[BYE],MATCH(TableWRTECalcPts[[#This Row],[POSRef]],TableTEMaster[TERef],0)),"")</f>
        <v>11</v>
      </c>
      <c r="AP61" s="61">
        <f>IFERROR(INDEX(TableTEMaster[Custom],MATCH(TableWRTECalcPts[[#This Row],[POSRef]],TableTEMaster[TERef],0)),"")</f>
        <v>98.079881682801982</v>
      </c>
    </row>
    <row r="62" spans="1:42" x14ac:dyDescent="0.2">
      <c r="A62" s="62">
        <f>IFERROR(RANK(TableQBCalcPts[[#This Row],[Custom]],TableQBCalcPts[Custom])+COUNTIF($F$3:F62,F62)-1,"")</f>
        <v>31</v>
      </c>
      <c r="B62" s="60">
        <v>60</v>
      </c>
      <c r="C62" s="60" t="str">
        <f>IFERROR(INDEX(TableQBMaster[Player],MATCH(TableQBCalcPts[[#This Row],[QBRef]],TableQBMaster[QBRef],0)),"")</f>
        <v>Baker Mayfield</v>
      </c>
      <c r="D62" s="60" t="str">
        <f>IFERROR(INDEX(TableQBMaster[TM],MATCH(TableQBCalcPts[[#This Row],[QBRef]],TableQBMaster[QBRef],0)),"")</f>
        <v>TB</v>
      </c>
      <c r="E62" s="60">
        <f>IFERROR(INDEX(TableQBMaster[BYE],MATCH(TableQBCalcPts[[#This Row],[QBRef]],TableQBMaster[QBRef],0)),"")</f>
        <v>5</v>
      </c>
      <c r="F62" s="61">
        <f>IFERROR(INDEX(TableQBMaster[Custom],MATCH(TableQBCalcPts[[#This Row],[QBRef]],TableQBMaster[QBRef],0)),"")</f>
        <v>197.81334754120857</v>
      </c>
      <c r="H62" s="60">
        <f>IFERROR(RANK(TableRBCalcPts[[#This Row],[Custom]],TableRBCalcPts[Custom])+COUNTIF($M$3:M62,M62)-1,"")</f>
        <v>8</v>
      </c>
      <c r="I62" s="60">
        <v>60</v>
      </c>
      <c r="J62" s="60" t="str">
        <f>IFERROR(INDEX(TableRBMaster[Player],MATCH(TableRBCalcPts[[#This Row],[RBRef]],TableRBMaster[RBRef],0)),"")</f>
        <v>Josh Jacobs</v>
      </c>
      <c r="K62" s="60" t="str">
        <f>IFERROR(INDEX(TableRBMaster[TM],MATCH(TableRBCalcPts[[#This Row],[RBRef]],TableRBMaster[RBRef],0)),"")</f>
        <v>LV</v>
      </c>
      <c r="L62" s="60">
        <f>IFERROR(INDEX(TableRBMaster[BYE],MATCH(TableRBCalcPts[[#This Row],[RBRef]],TableRBMaster[RBRef],0)),"")</f>
        <v>13</v>
      </c>
      <c r="M62" s="61">
        <f>IFERROR(INDEX(TableRBMaster[Custom],MATCH(TableRBCalcPts[[#This Row],[RBRef]],TableRBMaster[RBRef],0)),"")</f>
        <v>228.04531439642474</v>
      </c>
      <c r="O62" s="60">
        <f>IFERROR(RANK(TableWRCalcPts[[#This Row],[Custom]],TableWRCalcPts[Custom])+COUNTIF($T$3:T62,T62)-1,"")</f>
        <v>143</v>
      </c>
      <c r="P62" s="60">
        <v>60</v>
      </c>
      <c r="Q62" s="60" t="str">
        <f>IFERROR(INDEX(TableWRMaster[Player],MATCH(TableWRCalcPts[[#This Row],[WRRef]],TableWRMaster[WRRef],0)),"")</f>
        <v>Malik Heath</v>
      </c>
      <c r="R62" s="60" t="str">
        <f>IFERROR(INDEX(TableWRMaster[TM],MATCH(TableWRCalcPts[[#This Row],[WRRef]],TableWRMaster[WRRef],0)),"")</f>
        <v>GB</v>
      </c>
      <c r="S62" s="60">
        <f>IFERROR(INDEX(TableWRMaster[BYE],MATCH(TableWRCalcPts[[#This Row],[WRRef]],TableWRMaster[WRRef],0)),"")</f>
        <v>6</v>
      </c>
      <c r="T62" s="61">
        <f>IFERROR(INDEX(TableWRMaster[Custom],MATCH(TableWRCalcPts[[#This Row],[WRRef]],TableWRMaster[WRRef],0)),"")</f>
        <v>18.534319168668365</v>
      </c>
      <c r="V62" s="60">
        <f>IFERROR(RANK(TableTECalcPts[[#This Row],[Custom]],TableTECalcPts[Custom])+COUNTIF($AA$3:AA62,AA62)-1,"")</f>
        <v>76</v>
      </c>
      <c r="W62" s="60">
        <v>60</v>
      </c>
      <c r="X62" s="60" t="str">
        <f>IFERROR(INDEX(TableTEMaster[Player],MATCH(TableTECalcPts[[#This Row],[TERef]],TableTEMaster[TERef],0)),"")</f>
        <v>Foster Moreau</v>
      </c>
      <c r="Y62" s="60" t="str">
        <f>IFERROR(INDEX(TableTEMaster[TM],MATCH(TableTECalcPts[[#This Row],[TERef]],TableTEMaster[TERef],0)),"")</f>
        <v>NO</v>
      </c>
      <c r="Z62" s="60">
        <f>IFERROR(INDEX(TableTEMaster[BYE],MATCH(TableTECalcPts[[#This Row],[TERef]],TableTEMaster[TERef],0)),"")</f>
        <v>11</v>
      </c>
      <c r="AA62" s="61">
        <f>IFERROR(INDEX(TableTEMaster[Custom],MATCH(TableTECalcPts[[#This Row],[TERef]],TableTEMaster[TERef],0)),"")</f>
        <v>13.781646022609921</v>
      </c>
      <c r="AI62" s="60" t="s">
        <v>10</v>
      </c>
      <c r="AJ62" s="60">
        <f>IFERROR(RANK(TableWRTECalcPts[[#This Row],[Custom]],TableWRTECalcPts[Custom])+COUNTIF($AP$3:AP62,AP62)-1,"")</f>
        <v>228</v>
      </c>
      <c r="AK62" s="60">
        <v>60</v>
      </c>
      <c r="AL62" s="60" t="str">
        <f>IFERROR(INDEX(TableTEMaster[Player],MATCH(TableWRTECalcPts[[#This Row],[POSRef]],TableTEMaster[TERef],0)),"")</f>
        <v>Foster Moreau</v>
      </c>
      <c r="AM62" s="60" t="str">
        <f>IFERROR(_xlfn.CONCAT(TableWRTECalcPts[[#This Row],[POS]],INDEX(TableTERanks[RK],MATCH(TableWRTECalcPts[[#This Row],[PLAYER]],TableTERanks[Player],0))),"")</f>
        <v>TE76</v>
      </c>
      <c r="AN62" s="60" t="str">
        <f>IFERROR(INDEX(TableTEMaster[TM],MATCH(TableWRTECalcPts[[#This Row],[POSRef]],TableTEMaster[TERef],0)),"")</f>
        <v>NO</v>
      </c>
      <c r="AO62" s="60">
        <f>IFERROR(INDEX(TableTEMaster[BYE],MATCH(TableWRTECalcPts[[#This Row],[POSRef]],TableTEMaster[TERef],0)),"")</f>
        <v>11</v>
      </c>
      <c r="AP62" s="61">
        <f>IFERROR(INDEX(TableTEMaster[Custom],MATCH(TableWRTECalcPts[[#This Row],[POSRef]],TableTEMaster[TERef],0)),"")</f>
        <v>13.781646022609921</v>
      </c>
    </row>
    <row r="63" spans="1:42" x14ac:dyDescent="0.2">
      <c r="A63" s="62">
        <f>IFERROR(RANK(TableQBCalcPts[[#This Row],[Custom]],TableQBCalcPts[Custom])+COUNTIF($F$3:F63,F63)-1,"")</f>
        <v>28</v>
      </c>
      <c r="B63" s="60">
        <v>61</v>
      </c>
      <c r="C63" s="60" t="str">
        <f>IFERROR(INDEX(TableQBMaster[Player],MATCH(TableQBCalcPts[[#This Row],[QBRef]],TableQBMaster[QBRef],0)),"")</f>
        <v>Ryan Tannehill</v>
      </c>
      <c r="D63" s="60" t="str">
        <f>IFERROR(INDEX(TableQBMaster[TM],MATCH(TableQBCalcPts[[#This Row],[QBRef]],TableQBMaster[QBRef],0)),"")</f>
        <v>TEN</v>
      </c>
      <c r="E63" s="60">
        <f>IFERROR(INDEX(TableQBMaster[BYE],MATCH(TableQBCalcPts[[#This Row],[QBRef]],TableQBMaster[QBRef],0)),"")</f>
        <v>7</v>
      </c>
      <c r="F63" s="61">
        <f>IFERROR(INDEX(TableQBMaster[Custom],MATCH(TableQBCalcPts[[#This Row],[QBRef]],TableQBMaster[QBRef],0)),"")</f>
        <v>252.82656185119882</v>
      </c>
      <c r="H63" s="60">
        <f>IFERROR(RANK(TableRBCalcPts[[#This Row],[Custom]],TableRBCalcPts[Custom])+COUNTIF($M$3:M63,M63)-1,"")</f>
        <v>97</v>
      </c>
      <c r="I63" s="60">
        <v>61</v>
      </c>
      <c r="J63" s="60" t="str">
        <f>IFERROR(INDEX(TableRBMaster[Player],MATCH(TableRBCalcPts[[#This Row],[RBRef]],TableRBMaster[RBRef],0)),"")</f>
        <v>Brandon Bolden</v>
      </c>
      <c r="K63" s="60" t="str">
        <f>IFERROR(INDEX(TableRBMaster[TM],MATCH(TableRBCalcPts[[#This Row],[RBRef]],TableRBMaster[RBRef],0)),"")</f>
        <v>LV</v>
      </c>
      <c r="L63" s="60">
        <f>IFERROR(INDEX(TableRBMaster[BYE],MATCH(TableRBCalcPts[[#This Row],[RBRef]],TableRBMaster[RBRef],0)),"")</f>
        <v>13</v>
      </c>
      <c r="M63" s="61">
        <f>IFERROR(INDEX(TableRBMaster[Custom],MATCH(TableRBCalcPts[[#This Row],[RBRef]],TableRBMaster[RBRef],0)),"")</f>
        <v>22.341095421120002</v>
      </c>
      <c r="O63" s="60">
        <f>IFERROR(RANK(TableWRCalcPts[[#This Row],[Custom]],TableWRCalcPts[Custom])+COUNTIF($T$3:T63,T63)-1,"")</f>
        <v>71</v>
      </c>
      <c r="P63" s="60">
        <v>61</v>
      </c>
      <c r="Q63" s="60" t="str">
        <f>IFERROR(INDEX(TableWRMaster[Player],MATCH(TableWRCalcPts[[#This Row],[WRRef]],TableWRMaster[WRRef],0)),"")</f>
        <v>Robert Woods</v>
      </c>
      <c r="R63" s="60" t="str">
        <f>IFERROR(INDEX(TableWRMaster[TM],MATCH(TableWRCalcPts[[#This Row],[WRRef]],TableWRMaster[WRRef],0)),"")</f>
        <v>HOU</v>
      </c>
      <c r="S63" s="60">
        <f>IFERROR(INDEX(TableWRMaster[BYE],MATCH(TableWRCalcPts[[#This Row],[WRRef]],TableWRMaster[WRRef],0)),"")</f>
        <v>7</v>
      </c>
      <c r="T63" s="61">
        <f>IFERROR(INDEX(TableWRMaster[Custom],MATCH(TableWRCalcPts[[#This Row],[WRRef]],TableWRMaster[WRRef],0)),"")</f>
        <v>109.84140305335866</v>
      </c>
      <c r="V63" s="60">
        <f>IFERROR(RANK(TableTECalcPts[[#This Row],[Custom]],TableTECalcPts[Custom])+COUNTIF($AA$3:AA63,AA63)-1,"")</f>
        <v>34</v>
      </c>
      <c r="W63" s="60">
        <v>61</v>
      </c>
      <c r="X63" s="60" t="str">
        <f>IFERROR(INDEX(TableTEMaster[Player],MATCH(TableTECalcPts[[#This Row],[TERef]],TableTEMaster[TERef],0)),"")</f>
        <v>Taysom Hill</v>
      </c>
      <c r="Y63" s="60" t="str">
        <f>IFERROR(INDEX(TableTEMaster[TM],MATCH(TableTECalcPts[[#This Row],[TERef]],TableTEMaster[TERef],0)),"")</f>
        <v>NO</v>
      </c>
      <c r="Z63" s="60">
        <f>IFERROR(INDEX(TableTEMaster[BYE],MATCH(TableTECalcPts[[#This Row],[TERef]],TableTEMaster[TERef],0)),"")</f>
        <v>11</v>
      </c>
      <c r="AA63" s="61">
        <f>IFERROR(INDEX(TableTEMaster[Custom],MATCH(TableTECalcPts[[#This Row],[TERef]],TableTEMaster[TERef],0)),"")</f>
        <v>71.977671055054685</v>
      </c>
      <c r="AI63" s="60" t="s">
        <v>10</v>
      </c>
      <c r="AJ63" s="60">
        <f>IFERROR(RANK(TableWRTECalcPts[[#This Row],[Custom]],TableWRTECalcPts[Custom])+COUNTIF($AP$3:AP63,AP63)-1,"")</f>
        <v>128</v>
      </c>
      <c r="AK63" s="60">
        <v>61</v>
      </c>
      <c r="AL63" s="60" t="str">
        <f>IFERROR(INDEX(TableTEMaster[Player],MATCH(TableWRTECalcPts[[#This Row],[POSRef]],TableTEMaster[TERef],0)),"")</f>
        <v>Taysom Hill</v>
      </c>
      <c r="AM63" s="60" t="str">
        <f>IFERROR(_xlfn.CONCAT(TableWRTECalcPts[[#This Row],[POS]],INDEX(TableTERanks[RK],MATCH(TableWRTECalcPts[[#This Row],[PLAYER]],TableTERanks[Player],0))),"")</f>
        <v>TE34</v>
      </c>
      <c r="AN63" s="60" t="str">
        <f>IFERROR(INDEX(TableTEMaster[TM],MATCH(TableWRTECalcPts[[#This Row],[POSRef]],TableTEMaster[TERef],0)),"")</f>
        <v>NO</v>
      </c>
      <c r="AO63" s="60">
        <f>IFERROR(INDEX(TableTEMaster[BYE],MATCH(TableWRTECalcPts[[#This Row],[POSRef]],TableTEMaster[TERef],0)),"")</f>
        <v>11</v>
      </c>
      <c r="AP63" s="61">
        <f>IFERROR(INDEX(TableTEMaster[Custom],MATCH(TableWRTECalcPts[[#This Row],[POSRef]],TableTEMaster[TERef],0)),"")</f>
        <v>71.977671055054685</v>
      </c>
    </row>
    <row r="64" spans="1:42" x14ac:dyDescent="0.2">
      <c r="A64" s="62">
        <f>IFERROR(RANK(TableQBCalcPts[[#This Row],[Custom]],TableQBCalcPts[Custom])+COUNTIF($F$3:F64,F64)-1,"")</f>
        <v>39</v>
      </c>
      <c r="B64" s="60">
        <v>62</v>
      </c>
      <c r="C64" s="60" t="str">
        <f>IFERROR(INDEX(TableQBMaster[Player],MATCH(TableQBCalcPts[[#This Row],[QBRef]],TableQBMaster[QBRef],0)),"")</f>
        <v>Malik Willis</v>
      </c>
      <c r="D64" s="60" t="str">
        <f>IFERROR(INDEX(TableQBMaster[TM],MATCH(TableQBCalcPts[[#This Row],[QBRef]],TableQBMaster[QBRef],0)),"")</f>
        <v>TEN</v>
      </c>
      <c r="E64" s="60">
        <f>IFERROR(INDEX(TableQBMaster[BYE],MATCH(TableQBCalcPts[[#This Row],[QBRef]],TableQBMaster[QBRef],0)),"")</f>
        <v>7</v>
      </c>
      <c r="F64" s="61">
        <f>IFERROR(INDEX(TableQBMaster[Custom],MATCH(TableQBCalcPts[[#This Row],[QBRef]],TableQBMaster[QBRef],0)),"")</f>
        <v>21.063395821755705</v>
      </c>
      <c r="H64" s="60">
        <f>IFERROR(RANK(TableRBCalcPts[[#This Row],[Custom]],TableRBCalcPts[Custom])+COUNTIF($M$3:M64,M64)-1,"")</f>
        <v>59</v>
      </c>
      <c r="I64" s="60">
        <v>62</v>
      </c>
      <c r="J64" s="60" t="str">
        <f>IFERROR(INDEX(TableRBMaster[Player],MATCH(TableRBCalcPts[[#This Row],[RBRef]],TableRBMaster[RBRef],0)),"")</f>
        <v>Zamir White</v>
      </c>
      <c r="K64" s="60" t="str">
        <f>IFERROR(INDEX(TableRBMaster[TM],MATCH(TableRBCalcPts[[#This Row],[RBRef]],TableRBMaster[RBRef],0)),"")</f>
        <v>LV</v>
      </c>
      <c r="L64" s="60">
        <f>IFERROR(INDEX(TableRBMaster[BYE],MATCH(TableRBCalcPts[[#This Row],[RBRef]],TableRBMaster[RBRef],0)),"")</f>
        <v>13</v>
      </c>
      <c r="M64" s="61">
        <f>IFERROR(INDEX(TableRBMaster[Custom],MATCH(TableRBCalcPts[[#This Row],[RBRef]],TableRBMaster[RBRef],0)),"")</f>
        <v>81.180405652583815</v>
      </c>
      <c r="O64" s="60">
        <f>IFERROR(RANK(TableWRCalcPts[[#This Row],[Custom]],TableWRCalcPts[Custom])+COUNTIF($T$3:T64,T64)-1,"")</f>
        <v>66</v>
      </c>
      <c r="P64" s="60">
        <v>62</v>
      </c>
      <c r="Q64" s="60" t="str">
        <f>IFERROR(INDEX(TableWRMaster[Player],MATCH(TableWRCalcPts[[#This Row],[WRRef]],TableWRMaster[WRRef],0)),"")</f>
        <v>Nico Collins</v>
      </c>
      <c r="R64" s="60" t="str">
        <f>IFERROR(INDEX(TableWRMaster[TM],MATCH(TableWRCalcPts[[#This Row],[WRRef]],TableWRMaster[WRRef],0)),"")</f>
        <v>HOU</v>
      </c>
      <c r="S64" s="60">
        <f>IFERROR(INDEX(TableWRMaster[BYE],MATCH(TableWRCalcPts[[#This Row],[WRRef]],TableWRMaster[WRRef],0)),"")</f>
        <v>7</v>
      </c>
      <c r="T64" s="61">
        <f>IFERROR(INDEX(TableWRMaster[Custom],MATCH(TableWRCalcPts[[#This Row],[WRRef]],TableWRMaster[WRRef],0)),"")</f>
        <v>114.84809106865067</v>
      </c>
      <c r="V64" s="60">
        <f>IFERROR(RANK(TableTECalcPts[[#This Row],[Custom]],TableTECalcPts[Custom])+COUNTIF($AA$3:AA64,AA64)-1,"")</f>
        <v>3</v>
      </c>
      <c r="W64" s="60">
        <v>62</v>
      </c>
      <c r="X64" s="60" t="str">
        <f>IFERROR(INDEX(TableTEMaster[Player],MATCH(TableTECalcPts[[#This Row],[TERef]],TableTEMaster[TERef],0)),"")</f>
        <v>Darren Waller</v>
      </c>
      <c r="Y64" s="60" t="str">
        <f>IFERROR(INDEX(TableTEMaster[TM],MATCH(TableTECalcPts[[#This Row],[TERef]],TableTEMaster[TERef],0)),"")</f>
        <v>NYG</v>
      </c>
      <c r="Z64" s="60">
        <f>IFERROR(INDEX(TableTEMaster[BYE],MATCH(TableTECalcPts[[#This Row],[TERef]],TableTEMaster[TERef],0)),"")</f>
        <v>13</v>
      </c>
      <c r="AA64" s="61">
        <f>IFERROR(INDEX(TableTEMaster[Custom],MATCH(TableTECalcPts[[#This Row],[TERef]],TableTEMaster[TERef],0)),"")</f>
        <v>181.80931561622648</v>
      </c>
      <c r="AI64" s="60" t="s">
        <v>10</v>
      </c>
      <c r="AJ64" s="60">
        <f>IFERROR(RANK(TableWRTECalcPts[[#This Row],[Custom]],TableWRTECalcPts[Custom])+COUNTIF($AP$3:AP64,AP64)-1,"")</f>
        <v>28</v>
      </c>
      <c r="AK64" s="60">
        <v>62</v>
      </c>
      <c r="AL64" s="60" t="str">
        <f>IFERROR(INDEX(TableTEMaster[Player],MATCH(TableWRTECalcPts[[#This Row],[POSRef]],TableTEMaster[TERef],0)),"")</f>
        <v>Darren Waller</v>
      </c>
      <c r="AM64" s="60" t="str">
        <f>IFERROR(_xlfn.CONCAT(TableWRTECalcPts[[#This Row],[POS]],INDEX(TableTERanks[RK],MATCH(TableWRTECalcPts[[#This Row],[PLAYER]],TableTERanks[Player],0))),"")</f>
        <v>TE3</v>
      </c>
      <c r="AN64" s="60" t="str">
        <f>IFERROR(INDEX(TableTEMaster[TM],MATCH(TableWRTECalcPts[[#This Row],[POSRef]],TableTEMaster[TERef],0)),"")</f>
        <v>NYG</v>
      </c>
      <c r="AO64" s="60">
        <f>IFERROR(INDEX(TableTEMaster[BYE],MATCH(TableWRTECalcPts[[#This Row],[POSRef]],TableTEMaster[TERef],0)),"")</f>
        <v>13</v>
      </c>
      <c r="AP64" s="61">
        <f>IFERROR(INDEX(TableTEMaster[Custom],MATCH(TableWRTECalcPts[[#This Row],[POSRef]],TableTEMaster[TERef],0)),"")</f>
        <v>181.80931561622648</v>
      </c>
    </row>
    <row r="65" spans="1:42" x14ac:dyDescent="0.2">
      <c r="A65" s="62">
        <f>IFERROR(RANK(TableQBCalcPts[[#This Row],[Custom]],TableQBCalcPts[Custom])+COUNTIF($F$3:F65,F65)-1,"")</f>
        <v>46</v>
      </c>
      <c r="B65" s="60">
        <v>63</v>
      </c>
      <c r="C65" s="60" t="str">
        <f>IFERROR(INDEX(TableQBMaster[Player],MATCH(TableQBCalcPts[[#This Row],[QBRef]],TableQBMaster[QBRef],0)),"")</f>
        <v>Will Levis</v>
      </c>
      <c r="D65" s="60" t="str">
        <f>IFERROR(INDEX(TableQBMaster[TM],MATCH(TableQBCalcPts[[#This Row],[QBRef]],TableQBMaster[QBRef],0)),"")</f>
        <v>TEN</v>
      </c>
      <c r="E65" s="60">
        <f>IFERROR(INDEX(TableQBMaster[BYE],MATCH(TableQBCalcPts[[#This Row],[QBRef]],TableQBMaster[QBRef],0)),"")</f>
        <v>7</v>
      </c>
      <c r="F65" s="61">
        <f>IFERROR(INDEX(TableQBMaster[Custom],MATCH(TableQBCalcPts[[#This Row],[QBRef]],TableQBMaster[QBRef],0)),"")</f>
        <v>11.103596077020001</v>
      </c>
      <c r="H65" s="60">
        <f>IFERROR(RANK(TableRBCalcPts[[#This Row],[Custom]],TableRBCalcPts[Custom])+COUNTIF($M$3:M65,M65)-1,"")</f>
        <v>76</v>
      </c>
      <c r="I65" s="60">
        <v>63</v>
      </c>
      <c r="J65" s="60" t="str">
        <f>IFERROR(INDEX(TableRBMaster[Player],MATCH(TableRBCalcPts[[#This Row],[RBRef]],TableRBMaster[RBRef],0)),"")</f>
        <v>Ameer Abdullah</v>
      </c>
      <c r="K65" s="60" t="str">
        <f>IFERROR(INDEX(TableRBMaster[TM],MATCH(TableRBCalcPts[[#This Row],[RBRef]],TableRBMaster[RBRef],0)),"")</f>
        <v>LV</v>
      </c>
      <c r="L65" s="60">
        <f>IFERROR(INDEX(TableRBMaster[BYE],MATCH(TableRBCalcPts[[#This Row],[RBRef]],TableRBMaster[RBRef],0)),"")</f>
        <v>13</v>
      </c>
      <c r="M65" s="61">
        <f>IFERROR(INDEX(TableRBMaster[Custom],MATCH(TableRBCalcPts[[#This Row],[RBRef]],TableRBMaster[RBRef],0)),"")</f>
        <v>42.351924386554309</v>
      </c>
      <c r="O65" s="60">
        <f>IFERROR(RANK(TableWRCalcPts[[#This Row],[Custom]],TableWRCalcPts[Custom])+COUNTIF($T$3:T65,T65)-1,"")</f>
        <v>94</v>
      </c>
      <c r="P65" s="60">
        <v>63</v>
      </c>
      <c r="Q65" s="60" t="str">
        <f>IFERROR(INDEX(TableWRMaster[Player],MATCH(TableWRCalcPts[[#This Row],[WRRef]],TableWRMaster[WRRef],0)),"")</f>
        <v>John Metchie</v>
      </c>
      <c r="R65" s="60" t="str">
        <f>IFERROR(INDEX(TableWRMaster[TM],MATCH(TableWRCalcPts[[#This Row],[WRRef]],TableWRMaster[WRRef],0)),"")</f>
        <v>HOU</v>
      </c>
      <c r="S65" s="60">
        <f>IFERROR(INDEX(TableWRMaster[BYE],MATCH(TableWRCalcPts[[#This Row],[WRRef]],TableWRMaster[WRRef],0)),"")</f>
        <v>7</v>
      </c>
      <c r="T65" s="61">
        <f>IFERROR(INDEX(TableWRMaster[Custom],MATCH(TableWRCalcPts[[#This Row],[WRRef]],TableWRMaster[WRRef],0)),"")</f>
        <v>73.182013035648367</v>
      </c>
      <c r="V65" s="60">
        <f>IFERROR(RANK(TableTECalcPts[[#This Row],[Custom]],TableTECalcPts[Custom])+COUNTIF($AA$3:AA65,AA65)-1,"")</f>
        <v>57</v>
      </c>
      <c r="W65" s="60">
        <v>63</v>
      </c>
      <c r="X65" s="60" t="str">
        <f>IFERROR(INDEX(TableTEMaster[Player],MATCH(TableTECalcPts[[#This Row],[TERef]],TableTEMaster[TERef],0)),"")</f>
        <v>Daniel Bellinger</v>
      </c>
      <c r="Y65" s="60" t="str">
        <f>IFERROR(INDEX(TableTEMaster[TM],MATCH(TableTECalcPts[[#This Row],[TERef]],TableTEMaster[TERef],0)),"")</f>
        <v>NYG</v>
      </c>
      <c r="Z65" s="60">
        <f>IFERROR(INDEX(TableTEMaster[BYE],MATCH(TableTECalcPts[[#This Row],[TERef]],TableTEMaster[TERef],0)),"")</f>
        <v>13</v>
      </c>
      <c r="AA65" s="61">
        <f>IFERROR(INDEX(TableTEMaster[Custom],MATCH(TableTECalcPts[[#This Row],[TERef]],TableTEMaster[TERef],0)),"")</f>
        <v>23.798835293150606</v>
      </c>
      <c r="AI65" s="60" t="s">
        <v>10</v>
      </c>
      <c r="AJ65" s="60">
        <f>IFERROR(RANK(TableWRTECalcPts[[#This Row],[Custom]],TableWRTECalcPts[Custom])+COUNTIF($AP$3:AP65,AP65)-1,"")</f>
        <v>192</v>
      </c>
      <c r="AK65" s="60">
        <v>63</v>
      </c>
      <c r="AL65" s="60" t="str">
        <f>IFERROR(INDEX(TableTEMaster[Player],MATCH(TableWRTECalcPts[[#This Row],[POSRef]],TableTEMaster[TERef],0)),"")</f>
        <v>Daniel Bellinger</v>
      </c>
      <c r="AM65" s="60" t="str">
        <f>IFERROR(_xlfn.CONCAT(TableWRTECalcPts[[#This Row],[POS]],INDEX(TableTERanks[RK],MATCH(TableWRTECalcPts[[#This Row],[PLAYER]],TableTERanks[Player],0))),"")</f>
        <v>TE57</v>
      </c>
      <c r="AN65" s="60" t="str">
        <f>IFERROR(INDEX(TableTEMaster[TM],MATCH(TableWRTECalcPts[[#This Row],[POSRef]],TableTEMaster[TERef],0)),"")</f>
        <v>NYG</v>
      </c>
      <c r="AO65" s="60">
        <f>IFERROR(INDEX(TableTEMaster[BYE],MATCH(TableWRTECalcPts[[#This Row],[POSRef]],TableTEMaster[TERef],0)),"")</f>
        <v>13</v>
      </c>
      <c r="AP65" s="61">
        <f>IFERROR(INDEX(TableTEMaster[Custom],MATCH(TableWRTECalcPts[[#This Row],[POSRef]],TableTEMaster[TERef],0)),"")</f>
        <v>23.798835293150606</v>
      </c>
    </row>
    <row r="66" spans="1:42" x14ac:dyDescent="0.2">
      <c r="A66" s="62">
        <f>IFERROR(RANK(TableQBCalcPts[[#This Row],[Custom]],TableQBCalcPts[Custom])+COUNTIF($F$3:F66,F66)-1,"")</f>
        <v>22</v>
      </c>
      <c r="B66" s="60">
        <v>64</v>
      </c>
      <c r="C66" s="60" t="str">
        <f>IFERROR(INDEX(TableQBMaster[Player],MATCH(TableQBCalcPts[[#This Row],[QBRef]],TableQBMaster[QBRef],0)),"")</f>
        <v>Sam Howell</v>
      </c>
      <c r="D66" s="60" t="str">
        <f>IFERROR(INDEX(TableQBMaster[TM],MATCH(TableQBCalcPts[[#This Row],[QBRef]],TableQBMaster[QBRef],0)),"")</f>
        <v>WSH</v>
      </c>
      <c r="E66" s="60">
        <f>IFERROR(INDEX(TableQBMaster[BYE],MATCH(TableQBCalcPts[[#This Row],[QBRef]],TableQBMaster[QBRef],0)),"")</f>
        <v>14</v>
      </c>
      <c r="F66" s="61">
        <f>IFERROR(INDEX(TableQBMaster[Custom],MATCH(TableQBCalcPts[[#This Row],[QBRef]],TableQBMaster[QBRef],0)),"")</f>
        <v>274.21294636457452</v>
      </c>
      <c r="H66" s="60">
        <f>IFERROR(RANK(TableRBCalcPts[[#This Row],[Custom]],TableRBCalcPts[Custom])+COUNTIF($M$3:M66,M66)-1,"")</f>
        <v>37</v>
      </c>
      <c r="I66" s="60">
        <v>64</v>
      </c>
      <c r="J66" s="60" t="str">
        <f>IFERROR(INDEX(TableRBMaster[Player],MATCH(TableRBCalcPts[[#This Row],[RBRef]],TableRBMaster[RBRef],0)),"")</f>
        <v>Raheem Mostert</v>
      </c>
      <c r="K66" s="60" t="str">
        <f>IFERROR(INDEX(TableRBMaster[TM],MATCH(TableRBCalcPts[[#This Row],[RBRef]],TableRBMaster[RBRef],0)),"")</f>
        <v>MIA</v>
      </c>
      <c r="L66" s="60">
        <f>IFERROR(INDEX(TableRBMaster[BYE],MATCH(TableRBCalcPts[[#This Row],[RBRef]],TableRBMaster[RBRef],0)),"")</f>
        <v>10</v>
      </c>
      <c r="M66" s="61">
        <f>IFERROR(INDEX(TableRBMaster[Custom],MATCH(TableRBCalcPts[[#This Row],[RBRef]],TableRBMaster[RBRef],0)),"")</f>
        <v>148.20650311068127</v>
      </c>
      <c r="O66" s="60">
        <f>IFERROR(RANK(TableWRCalcPts[[#This Row],[Custom]],TableWRCalcPts[Custom])+COUNTIF($T$3:T66,T66)-1,"")</f>
        <v>101</v>
      </c>
      <c r="P66" s="60">
        <v>64</v>
      </c>
      <c r="Q66" s="60" t="str">
        <f>IFERROR(INDEX(TableWRMaster[Player],MATCH(TableWRCalcPts[[#This Row],[WRRef]],TableWRMaster[WRRef],0)),"")</f>
        <v>Tank Dell</v>
      </c>
      <c r="R66" s="60" t="str">
        <f>IFERROR(INDEX(TableWRMaster[TM],MATCH(TableWRCalcPts[[#This Row],[WRRef]],TableWRMaster[WRRef],0)),"")</f>
        <v>HOU</v>
      </c>
      <c r="S66" s="60">
        <f>IFERROR(INDEX(TableWRMaster[BYE],MATCH(TableWRCalcPts[[#This Row],[WRRef]],TableWRMaster[WRRef],0)),"")</f>
        <v>7</v>
      </c>
      <c r="T66" s="61">
        <f>IFERROR(INDEX(TableWRMaster[Custom],MATCH(TableWRCalcPts[[#This Row],[WRRef]],TableWRMaster[WRRef],0)),"")</f>
        <v>59.210008222847328</v>
      </c>
      <c r="V66" s="60">
        <f>IFERROR(RANK(TableTECalcPts[[#This Row],[Custom]],TableTECalcPts[Custom])+COUNTIF($AA$3:AA66,AA66)-1,"")</f>
        <v>44</v>
      </c>
      <c r="W66" s="60">
        <v>64</v>
      </c>
      <c r="X66" s="60" t="str">
        <f>IFERROR(INDEX(TableTEMaster[Player],MATCH(TableTECalcPts[[#This Row],[TERef]],TableTEMaster[TERef],0)),"")</f>
        <v>C.J. Uzomah</v>
      </c>
      <c r="Y66" s="60" t="str">
        <f>IFERROR(INDEX(TableTEMaster[TM],MATCH(TableTECalcPts[[#This Row],[TERef]],TableTEMaster[TERef],0)),"")</f>
        <v>NYJ</v>
      </c>
      <c r="Z66" s="60">
        <f>IFERROR(INDEX(TableTEMaster[BYE],MATCH(TableTECalcPts[[#This Row],[TERef]],TableTEMaster[TERef],0)),"")</f>
        <v>7</v>
      </c>
      <c r="AA66" s="61">
        <f>IFERROR(INDEX(TableTEMaster[Custom],MATCH(TableTECalcPts[[#This Row],[TERef]],TableTEMaster[TERef],0)),"")</f>
        <v>39.827848874302617</v>
      </c>
      <c r="AI66" s="60" t="s">
        <v>10</v>
      </c>
      <c r="AJ66" s="60">
        <f>IFERROR(RANK(TableWRTECalcPts[[#This Row],[Custom]],TableWRTECalcPts[Custom])+COUNTIF($AP$3:AP66,AP66)-1,"")</f>
        <v>156</v>
      </c>
      <c r="AK66" s="60">
        <v>64</v>
      </c>
      <c r="AL66" s="60" t="str">
        <f>IFERROR(INDEX(TableTEMaster[Player],MATCH(TableWRTECalcPts[[#This Row],[POSRef]],TableTEMaster[TERef],0)),"")</f>
        <v>C.J. Uzomah</v>
      </c>
      <c r="AM66" s="60" t="str">
        <f>IFERROR(_xlfn.CONCAT(TableWRTECalcPts[[#This Row],[POS]],INDEX(TableTERanks[RK],MATCH(TableWRTECalcPts[[#This Row],[PLAYER]],TableTERanks[Player],0))),"")</f>
        <v>TE44</v>
      </c>
      <c r="AN66" s="60" t="str">
        <f>IFERROR(INDEX(TableTEMaster[TM],MATCH(TableWRTECalcPts[[#This Row],[POSRef]],TableTEMaster[TERef],0)),"")</f>
        <v>NYJ</v>
      </c>
      <c r="AO66" s="60">
        <f>IFERROR(INDEX(TableTEMaster[BYE],MATCH(TableWRTECalcPts[[#This Row],[POSRef]],TableTEMaster[TERef],0)),"")</f>
        <v>7</v>
      </c>
      <c r="AP66" s="61">
        <f>IFERROR(INDEX(TableTEMaster[Custom],MATCH(TableWRTECalcPts[[#This Row],[POSRef]],TableTEMaster[TERef],0)),"")</f>
        <v>39.827848874302617</v>
      </c>
    </row>
    <row r="67" spans="1:42" x14ac:dyDescent="0.2">
      <c r="A67" s="62">
        <f>IFERROR(RANK(TableQBCalcPts[[#This Row],[Custom]],TableQBCalcPts[Custom])+COUNTIF($F$3:F67,F67)-1,"")</f>
        <v>40</v>
      </c>
      <c r="B67" s="60">
        <v>65</v>
      </c>
      <c r="C67" s="60" t="str">
        <f>IFERROR(INDEX(TableQBMaster[Player],MATCH(TableQBCalcPts[[#This Row],[QBRef]],TableQBMaster[QBRef],0)),"")</f>
        <v>Jacoby Brissett</v>
      </c>
      <c r="D67" s="60" t="str">
        <f>IFERROR(INDEX(TableQBMaster[TM],MATCH(TableQBCalcPts[[#This Row],[QBRef]],TableQBMaster[QBRef],0)),"")</f>
        <v>WSH</v>
      </c>
      <c r="E67" s="60">
        <f>IFERROR(INDEX(TableQBMaster[BYE],MATCH(TableQBCalcPts[[#This Row],[QBRef]],TableQBMaster[QBRef],0)),"")</f>
        <v>14</v>
      </c>
      <c r="F67" s="61">
        <f>IFERROR(INDEX(TableQBMaster[Custom],MATCH(TableQBCalcPts[[#This Row],[QBRef]],TableQBMaster[QBRef],0)),"")</f>
        <v>14.244298191012943</v>
      </c>
      <c r="H67" s="60">
        <f>IFERROR(RANK(TableRBCalcPts[[#This Row],[Custom]],TableRBCalcPts[Custom])+COUNTIF($M$3:M67,M67)-1,"")</f>
        <v>54</v>
      </c>
      <c r="I67" s="60">
        <v>65</v>
      </c>
      <c r="J67" s="60" t="str">
        <f>IFERROR(INDEX(TableRBMaster[Player],MATCH(TableRBCalcPts[[#This Row],[RBRef]],TableRBMaster[RBRef],0)),"")</f>
        <v>Jeff Wilson</v>
      </c>
      <c r="K67" s="60" t="str">
        <f>IFERROR(INDEX(TableRBMaster[TM],MATCH(TableRBCalcPts[[#This Row],[RBRef]],TableRBMaster[RBRef],0)),"")</f>
        <v>MIA</v>
      </c>
      <c r="L67" s="60">
        <f>IFERROR(INDEX(TableRBMaster[BYE],MATCH(TableRBCalcPts[[#This Row],[RBRef]],TableRBMaster[RBRef],0)),"")</f>
        <v>10</v>
      </c>
      <c r="M67" s="61">
        <f>IFERROR(INDEX(TableRBMaster[Custom],MATCH(TableRBCalcPts[[#This Row],[RBRef]],TableRBMaster[RBRef],0)),"")</f>
        <v>99.044586269217561</v>
      </c>
      <c r="O67" s="60">
        <f>IFERROR(RANK(TableWRCalcPts[[#This Row],[Custom]],TableWRCalcPts[Custom])+COUNTIF($T$3:T67,T67)-1,"")</f>
        <v>81</v>
      </c>
      <c r="P67" s="60">
        <v>65</v>
      </c>
      <c r="Q67" s="60" t="str">
        <f>IFERROR(INDEX(TableWRMaster[Player],MATCH(TableWRCalcPts[[#This Row],[WRRef]],TableWRMaster[WRRef],0)),"")</f>
        <v>Noah Brown</v>
      </c>
      <c r="R67" s="60" t="str">
        <f>IFERROR(INDEX(TableWRMaster[TM],MATCH(TableWRCalcPts[[#This Row],[WRRef]],TableWRMaster[WRRef],0)),"")</f>
        <v>HOU</v>
      </c>
      <c r="S67" s="60">
        <f>IFERROR(INDEX(TableWRMaster[BYE],MATCH(TableWRCalcPts[[#This Row],[WRRef]],TableWRMaster[WRRef],0)),"")</f>
        <v>7</v>
      </c>
      <c r="T67" s="61">
        <f>IFERROR(INDEX(TableWRMaster[Custom],MATCH(TableWRCalcPts[[#This Row],[WRRef]],TableWRMaster[WRRef],0)),"")</f>
        <v>90.783936841197601</v>
      </c>
      <c r="V67" s="60">
        <f>IFERROR(RANK(TableTECalcPts[[#This Row],[Custom]],TableTECalcPts[Custom])+COUNTIF($AA$3:AA67,AA67)-1,"")</f>
        <v>32</v>
      </c>
      <c r="W67" s="60">
        <v>65</v>
      </c>
      <c r="X67" s="60" t="str">
        <f>IFERROR(INDEX(TableTEMaster[Player],MATCH(TableTECalcPts[[#This Row],[TERef]],TableTEMaster[TERef],0)),"")</f>
        <v>Tyler Conklin</v>
      </c>
      <c r="Y67" s="60" t="str">
        <f>IFERROR(INDEX(TableTEMaster[TM],MATCH(TableTECalcPts[[#This Row],[TERef]],TableTEMaster[TERef],0)),"")</f>
        <v>NYJ</v>
      </c>
      <c r="Z67" s="60">
        <f>IFERROR(INDEX(TableTEMaster[BYE],MATCH(TableTECalcPts[[#This Row],[TERef]],TableTEMaster[TERef],0)),"")</f>
        <v>7</v>
      </c>
      <c r="AA67" s="61">
        <f>IFERROR(INDEX(TableTEMaster[Custom],MATCH(TableTECalcPts[[#This Row],[TERef]],TableTEMaster[TERef],0)),"")</f>
        <v>80.821451672672566</v>
      </c>
      <c r="AI67" s="60" t="s">
        <v>10</v>
      </c>
      <c r="AJ67" s="60">
        <f>IFERROR(RANK(TableWRTECalcPts[[#This Row],[Custom]],TableWRTECalcPts[Custom])+COUNTIF($AP$3:AP67,AP67)-1,"")</f>
        <v>121</v>
      </c>
      <c r="AK67" s="60">
        <v>65</v>
      </c>
      <c r="AL67" s="60" t="str">
        <f>IFERROR(INDEX(TableTEMaster[Player],MATCH(TableWRTECalcPts[[#This Row],[POSRef]],TableTEMaster[TERef],0)),"")</f>
        <v>Tyler Conklin</v>
      </c>
      <c r="AM67" s="60" t="str">
        <f>IFERROR(_xlfn.CONCAT(TableWRTECalcPts[[#This Row],[POS]],INDEX(TableTERanks[RK],MATCH(TableWRTECalcPts[[#This Row],[PLAYER]],TableTERanks[Player],0))),"")</f>
        <v>TE32</v>
      </c>
      <c r="AN67" s="60" t="str">
        <f>IFERROR(INDEX(TableTEMaster[TM],MATCH(TableWRTECalcPts[[#This Row],[POSRef]],TableTEMaster[TERef],0)),"")</f>
        <v>NYJ</v>
      </c>
      <c r="AO67" s="60">
        <f>IFERROR(INDEX(TableTEMaster[BYE],MATCH(TableWRTECalcPts[[#This Row],[POSRef]],TableTEMaster[TERef],0)),"")</f>
        <v>7</v>
      </c>
      <c r="AP67" s="61">
        <f>IFERROR(INDEX(TableTEMaster[Custom],MATCH(TableWRTECalcPts[[#This Row],[POSRef]],TableTEMaster[TERef],0)),"")</f>
        <v>80.821451672672566</v>
      </c>
    </row>
    <row r="68" spans="1:42" x14ac:dyDescent="0.2">
      <c r="A68" s="62" t="str">
        <f>IFERROR(RANK(TableQBCalcPts[[#This Row],[Custom]],TableQBCalcPts[Custom])+COUNTIF($F$3:F68,F68)-1,"")</f>
        <v/>
      </c>
      <c r="B68" s="60">
        <v>66</v>
      </c>
      <c r="C68" s="60" t="str">
        <f>IFERROR(INDEX(TableQBMaster[Player],MATCH(TableQBCalcPts[[#This Row],[QBRef]],TableQBMaster[QBRef],0)),"")</f>
        <v/>
      </c>
      <c r="D68" s="60" t="str">
        <f>IFERROR(INDEX(TableQBMaster[TM],MATCH(TableQBCalcPts[[#This Row],[QBRef]],TableQBMaster[QBRef],0)),"")</f>
        <v/>
      </c>
      <c r="E68" s="60" t="str">
        <f>IFERROR(INDEX(TableQBMaster[BYE],MATCH(TableQBCalcPts[[#This Row],[QBRef]],TableQBMaster[QBRef],0)),"")</f>
        <v/>
      </c>
      <c r="F68" s="61" t="str">
        <f>IFERROR(INDEX(TableQBMaster[Custom],MATCH(TableQBCalcPts[[#This Row],[QBRef]],TableQBMaster[QBRef],0)),"")</f>
        <v/>
      </c>
      <c r="H68" s="60">
        <f>IFERROR(RANK(TableRBCalcPts[[#This Row],[Custom]],TableRBCalcPts[Custom])+COUNTIF($M$3:M68,M68)-1,"")</f>
        <v>96</v>
      </c>
      <c r="I68" s="60">
        <v>66</v>
      </c>
      <c r="J68" s="60" t="str">
        <f>IFERROR(INDEX(TableRBMaster[Player],MATCH(TableRBCalcPts[[#This Row],[RBRef]],TableRBMaster[RBRef],0)),"")</f>
        <v>Salvon Ahmed</v>
      </c>
      <c r="K68" s="60" t="str">
        <f>IFERROR(INDEX(TableRBMaster[TM],MATCH(TableRBCalcPts[[#This Row],[RBRef]],TableRBMaster[RBRef],0)),"")</f>
        <v>MIA</v>
      </c>
      <c r="L68" s="60">
        <f>IFERROR(INDEX(TableRBMaster[BYE],MATCH(TableRBCalcPts[[#This Row],[RBRef]],TableRBMaster[RBRef],0)),"")</f>
        <v>10</v>
      </c>
      <c r="M68" s="61">
        <f>IFERROR(INDEX(TableRBMaster[Custom],MATCH(TableRBCalcPts[[#This Row],[RBRef]],TableRBMaster[RBRef],0)),"")</f>
        <v>22.424756662526406</v>
      </c>
      <c r="O68" s="60">
        <f>IFERROR(RANK(TableWRCalcPts[[#This Row],[Custom]],TableWRCalcPts[Custom])+COUNTIF($T$3:T68,T68)-1,"")</f>
        <v>160</v>
      </c>
      <c r="P68" s="60">
        <v>66</v>
      </c>
      <c r="Q68" s="60" t="str">
        <f>IFERROR(INDEX(TableWRMaster[Player],MATCH(TableWRCalcPts[[#This Row],[WRRef]],TableWRMaster[WRRef],0)),"")</f>
        <v>Xavier Hutchinson</v>
      </c>
      <c r="R68" s="60" t="str">
        <f>IFERROR(INDEX(TableWRMaster[TM],MATCH(TableWRCalcPts[[#This Row],[WRRef]],TableWRMaster[WRRef],0)),"")</f>
        <v>HOU</v>
      </c>
      <c r="S68" s="60">
        <f>IFERROR(INDEX(TableWRMaster[BYE],MATCH(TableWRCalcPts[[#This Row],[WRRef]],TableWRMaster[WRRef],0)),"")</f>
        <v>7</v>
      </c>
      <c r="T68" s="61">
        <f>IFERROR(INDEX(TableWRMaster[Custom],MATCH(TableWRCalcPts[[#This Row],[WRRef]],TableWRMaster[WRRef],0)),"")</f>
        <v>9.68795222327239</v>
      </c>
      <c r="V68" s="60">
        <f>IFERROR(RANK(TableTECalcPts[[#This Row],[Custom]],TableTECalcPts[Custom])+COUNTIF($AA$3:AA68,AA68)-1,"")</f>
        <v>72</v>
      </c>
      <c r="W68" s="60">
        <v>66</v>
      </c>
      <c r="X68" s="60" t="str">
        <f>IFERROR(INDEX(TableTEMaster[Player],MATCH(TableTECalcPts[[#This Row],[TERef]],TableTEMaster[TERef],0)),"")</f>
        <v>Jeremy Ruckert</v>
      </c>
      <c r="Y68" s="60" t="str">
        <f>IFERROR(INDEX(TableTEMaster[TM],MATCH(TableTECalcPts[[#This Row],[TERef]],TableTEMaster[TERef],0)),"")</f>
        <v>NYJ</v>
      </c>
      <c r="Z68" s="60">
        <f>IFERROR(INDEX(TableTEMaster[BYE],MATCH(TableTECalcPts[[#This Row],[TERef]],TableTEMaster[TERef],0)),"")</f>
        <v>7</v>
      </c>
      <c r="AA68" s="61">
        <f>IFERROR(INDEX(TableTEMaster[Custom],MATCH(TableTECalcPts[[#This Row],[TERef]],TableTEMaster[TERef],0)),"")</f>
        <v>16.080363280799997</v>
      </c>
      <c r="AI68" s="60" t="s">
        <v>10</v>
      </c>
      <c r="AJ68" s="60">
        <f>IFERROR(RANK(TableWRTECalcPts[[#This Row],[Custom]],TableWRTECalcPts[Custom])+COUNTIF($AP$3:AP68,AP68)-1,"")</f>
        <v>221</v>
      </c>
      <c r="AK68" s="60">
        <v>66</v>
      </c>
      <c r="AL68" s="60" t="str">
        <f>IFERROR(INDEX(TableTEMaster[Player],MATCH(TableWRTECalcPts[[#This Row],[POSRef]],TableTEMaster[TERef],0)),"")</f>
        <v>Jeremy Ruckert</v>
      </c>
      <c r="AM68" s="60" t="str">
        <f>IFERROR(_xlfn.CONCAT(TableWRTECalcPts[[#This Row],[POS]],INDEX(TableTERanks[RK],MATCH(TableWRTECalcPts[[#This Row],[PLAYER]],TableTERanks[Player],0))),"")</f>
        <v>TE72</v>
      </c>
      <c r="AN68" s="60" t="str">
        <f>IFERROR(INDEX(TableTEMaster[TM],MATCH(TableWRTECalcPts[[#This Row],[POSRef]],TableTEMaster[TERef],0)),"")</f>
        <v>NYJ</v>
      </c>
      <c r="AO68" s="60">
        <f>IFERROR(INDEX(TableTEMaster[BYE],MATCH(TableWRTECalcPts[[#This Row],[POSRef]],TableTEMaster[TERef],0)),"")</f>
        <v>7</v>
      </c>
      <c r="AP68" s="61">
        <f>IFERROR(INDEX(TableTEMaster[Custom],MATCH(TableWRTECalcPts[[#This Row],[POSRef]],TableTEMaster[TERef],0)),"")</f>
        <v>16.080363280799997</v>
      </c>
    </row>
    <row r="69" spans="1:42" x14ac:dyDescent="0.2">
      <c r="A69" s="62" t="str">
        <f>IFERROR(RANK(TableQBCalcPts[[#This Row],[Custom]],TableQBCalcPts[Custom])+COUNTIF($F$3:F69,F69)-1,"")</f>
        <v/>
      </c>
      <c r="B69" s="60">
        <v>67</v>
      </c>
      <c r="C69" s="60" t="str">
        <f>IFERROR(INDEX(TableQBMaster[Player],MATCH(TableQBCalcPts[[#This Row],[QBRef]],TableQBMaster[QBRef],0)),"")</f>
        <v/>
      </c>
      <c r="D69" s="60" t="str">
        <f>IFERROR(INDEX(TableQBMaster[TM],MATCH(TableQBCalcPts[[#This Row],[QBRef]],TableQBMaster[QBRef],0)),"")</f>
        <v/>
      </c>
      <c r="E69" s="60" t="str">
        <f>IFERROR(INDEX(TableQBMaster[BYE],MATCH(TableQBCalcPts[[#This Row],[QBRef]],TableQBMaster[QBRef],0)),"")</f>
        <v/>
      </c>
      <c r="F69" s="61" t="str">
        <f>IFERROR(INDEX(TableQBMaster[Custom],MATCH(TableQBCalcPts[[#This Row],[QBRef]],TableQBMaster[QBRef],0)),"")</f>
        <v/>
      </c>
      <c r="H69" s="60">
        <f>IFERROR(RANK(TableRBCalcPts[[#This Row],[Custom]],TableRBCalcPts[Custom])+COUNTIF($M$3:M69,M69)-1,"")</f>
        <v>43</v>
      </c>
      <c r="I69" s="60">
        <v>67</v>
      </c>
      <c r="J69" s="60" t="str">
        <f>IFERROR(INDEX(TableRBMaster[Player],MATCH(TableRBCalcPts[[#This Row],[RBRef]],TableRBMaster[RBRef],0)),"")</f>
        <v>De'Von Achane</v>
      </c>
      <c r="K69" s="60" t="str">
        <f>IFERROR(INDEX(TableRBMaster[TM],MATCH(TableRBCalcPts[[#This Row],[RBRef]],TableRBMaster[RBRef],0)),"")</f>
        <v>MIA</v>
      </c>
      <c r="L69" s="60">
        <f>IFERROR(INDEX(TableRBMaster[BYE],MATCH(TableRBCalcPts[[#This Row],[RBRef]],TableRBMaster[RBRef],0)),"")</f>
        <v>10</v>
      </c>
      <c r="M69" s="61">
        <f>IFERROR(INDEX(TableRBMaster[Custom],MATCH(TableRBCalcPts[[#This Row],[RBRef]],TableRBMaster[RBRef],0)),"")</f>
        <v>125.17657453477499</v>
      </c>
      <c r="O69" s="60">
        <f>IFERROR(RANK(TableWRCalcPts[[#This Row],[Custom]],TableWRCalcPts[Custom])+COUNTIF($T$3:T69,T69)-1,"")</f>
        <v>45</v>
      </c>
      <c r="P69" s="60">
        <v>67</v>
      </c>
      <c r="Q69" s="60" t="str">
        <f>IFERROR(INDEX(TableWRMaster[Player],MATCH(TableWRCalcPts[[#This Row],[WRRef]],TableWRMaster[WRRef],0)),"")</f>
        <v>Michael Pittman</v>
      </c>
      <c r="R69" s="60" t="str">
        <f>IFERROR(INDEX(TableWRMaster[TM],MATCH(TableWRCalcPts[[#This Row],[WRRef]],TableWRMaster[WRRef],0)),"")</f>
        <v>IND</v>
      </c>
      <c r="S69" s="60">
        <f>IFERROR(INDEX(TableWRMaster[BYE],MATCH(TableWRCalcPts[[#This Row],[WRRef]],TableWRMaster[WRRef],0)),"")</f>
        <v>11</v>
      </c>
      <c r="T69" s="61">
        <f>IFERROR(INDEX(TableWRMaster[Custom],MATCH(TableWRCalcPts[[#This Row],[WRRef]],TableWRMaster[WRRef],0)),"")</f>
        <v>147.32864579569036</v>
      </c>
      <c r="V69" s="60">
        <f>IFERROR(RANK(TableTECalcPts[[#This Row],[Custom]],TableTECalcPts[Custom])+COUNTIF($AA$3:AA69,AA69)-1,"")</f>
        <v>26</v>
      </c>
      <c r="W69" s="60">
        <v>67</v>
      </c>
      <c r="X69" s="60" t="str">
        <f>IFERROR(INDEX(TableTEMaster[Player],MATCH(TableTECalcPts[[#This Row],[TERef]],TableTEMaster[TERef],0)),"")</f>
        <v>Michael Mayer</v>
      </c>
      <c r="Y69" s="60" t="str">
        <f>IFERROR(INDEX(TableTEMaster[TM],MATCH(TableTECalcPts[[#This Row],[TERef]],TableTEMaster[TERef],0)),"")</f>
        <v>LV</v>
      </c>
      <c r="Z69" s="60">
        <f>IFERROR(INDEX(TableTEMaster[BYE],MATCH(TableTECalcPts[[#This Row],[TERef]],TableTEMaster[TERef],0)),"")</f>
        <v>13</v>
      </c>
      <c r="AA69" s="61">
        <f>IFERROR(INDEX(TableTEMaster[Custom],MATCH(TableTECalcPts[[#This Row],[TERef]],TableTEMaster[TERef],0)),"")</f>
        <v>92.765919307287874</v>
      </c>
      <c r="AI69" s="60" t="s">
        <v>10</v>
      </c>
      <c r="AJ69" s="60">
        <f>IFERROR(RANK(TableWRTECalcPts[[#This Row],[Custom]],TableWRTECalcPts[Custom])+COUNTIF($AP$3:AP69,AP69)-1,"")</f>
        <v>103</v>
      </c>
      <c r="AK69" s="60">
        <v>67</v>
      </c>
      <c r="AL69" s="60" t="str">
        <f>IFERROR(INDEX(TableTEMaster[Player],MATCH(TableWRTECalcPts[[#This Row],[POSRef]],TableTEMaster[TERef],0)),"")</f>
        <v>Michael Mayer</v>
      </c>
      <c r="AM69" s="60" t="str">
        <f>IFERROR(_xlfn.CONCAT(TableWRTECalcPts[[#This Row],[POS]],INDEX(TableTERanks[RK],MATCH(TableWRTECalcPts[[#This Row],[PLAYER]],TableTERanks[Player],0))),"")</f>
        <v>TE26</v>
      </c>
      <c r="AN69" s="60" t="str">
        <f>IFERROR(INDEX(TableTEMaster[TM],MATCH(TableWRTECalcPts[[#This Row],[POSRef]],TableTEMaster[TERef],0)),"")</f>
        <v>LV</v>
      </c>
      <c r="AO69" s="60">
        <f>IFERROR(INDEX(TableTEMaster[BYE],MATCH(TableWRTECalcPts[[#This Row],[POSRef]],TableTEMaster[TERef],0)),"")</f>
        <v>13</v>
      </c>
      <c r="AP69" s="61">
        <f>IFERROR(INDEX(TableTEMaster[Custom],MATCH(TableWRTECalcPts[[#This Row],[POSRef]],TableTEMaster[TERef],0)),"")</f>
        <v>92.765919307287874</v>
      </c>
    </row>
    <row r="70" spans="1:42" x14ac:dyDescent="0.2">
      <c r="A70" s="62" t="str">
        <f>IFERROR(RANK(TableQBCalcPts[[#This Row],[Custom]],TableQBCalcPts[Custom])+COUNTIF($F$3:F70,F70)-1,"")</f>
        <v/>
      </c>
      <c r="B70" s="60">
        <v>68</v>
      </c>
      <c r="C70" s="60" t="str">
        <f>IFERROR(INDEX(TableQBMaster[Player],MATCH(TableQBCalcPts[[#This Row],[QBRef]],TableQBMaster[QBRef],0)),"")</f>
        <v/>
      </c>
      <c r="D70" s="60" t="str">
        <f>IFERROR(INDEX(TableQBMaster[TM],MATCH(TableQBCalcPts[[#This Row],[QBRef]],TableQBMaster[QBRef],0)),"")</f>
        <v/>
      </c>
      <c r="E70" s="60" t="str">
        <f>IFERROR(INDEX(TableQBMaster[BYE],MATCH(TableQBCalcPts[[#This Row],[QBRef]],TableQBMaster[QBRef],0)),"")</f>
        <v/>
      </c>
      <c r="F70" s="61" t="str">
        <f>IFERROR(INDEX(TableQBMaster[Custom],MATCH(TableQBCalcPts[[#This Row],[QBRef]],TableQBMaster[QBRef],0)),"")</f>
        <v/>
      </c>
      <c r="H70" s="60">
        <f>IFERROR(RANK(TableRBCalcPts[[#This Row],[Custom]],TableRBCalcPts[Custom])+COUNTIF($M$3:M70,M70)-1,"")</f>
        <v>21</v>
      </c>
      <c r="I70" s="60">
        <v>68</v>
      </c>
      <c r="J70" s="60" t="str">
        <f>IFERROR(INDEX(TableRBMaster[Player],MATCH(TableRBCalcPts[[#This Row],[RBRef]],TableRBMaster[RBRef],0)),"")</f>
        <v>Alexander Mattison</v>
      </c>
      <c r="K70" s="60" t="str">
        <f>IFERROR(INDEX(TableRBMaster[TM],MATCH(TableRBCalcPts[[#This Row],[RBRef]],TableRBMaster[RBRef],0)),"")</f>
        <v>MIN</v>
      </c>
      <c r="L70" s="60">
        <f>IFERROR(INDEX(TableRBMaster[BYE],MATCH(TableRBCalcPts[[#This Row],[RBRef]],TableRBMaster[RBRef],0)),"")</f>
        <v>13</v>
      </c>
      <c r="M70" s="61">
        <f>IFERROR(INDEX(TableRBMaster[Custom],MATCH(TableRBCalcPts[[#This Row],[RBRef]],TableRBMaster[RBRef],0)),"")</f>
        <v>191.99821730314738</v>
      </c>
      <c r="O70" s="60">
        <f>IFERROR(RANK(TableWRCalcPts[[#This Row],[Custom]],TableWRCalcPts[Custom])+COUNTIF($T$3:T70,T70)-1,"")</f>
        <v>76</v>
      </c>
      <c r="P70" s="60">
        <v>68</v>
      </c>
      <c r="Q70" s="60" t="str">
        <f>IFERROR(INDEX(TableWRMaster[Player],MATCH(TableWRCalcPts[[#This Row],[WRRef]],TableWRMaster[WRRef],0)),"")</f>
        <v>Alec Pierce</v>
      </c>
      <c r="R70" s="60" t="str">
        <f>IFERROR(INDEX(TableWRMaster[TM],MATCH(TableWRCalcPts[[#This Row],[WRRef]],TableWRMaster[WRRef],0)),"")</f>
        <v>IND</v>
      </c>
      <c r="S70" s="60">
        <f>IFERROR(INDEX(TableWRMaster[BYE],MATCH(TableWRCalcPts[[#This Row],[WRRef]],TableWRMaster[WRRef],0)),"")</f>
        <v>11</v>
      </c>
      <c r="T70" s="61">
        <f>IFERROR(INDEX(TableWRMaster[Custom],MATCH(TableWRCalcPts[[#This Row],[WRRef]],TableWRMaster[WRRef],0)),"")</f>
        <v>94.292158056808148</v>
      </c>
      <c r="V70" s="60">
        <f>IFERROR(RANK(TableTECalcPts[[#This Row],[Custom]],TableTECalcPts[Custom])+COUNTIF($AA$3:AA70,AA70)-1,"")</f>
        <v>84</v>
      </c>
      <c r="W70" s="60">
        <v>68</v>
      </c>
      <c r="X70" s="60" t="str">
        <f>IFERROR(INDEX(TableTEMaster[Player],MATCH(TableTECalcPts[[#This Row],[TERef]],TableTEMaster[TERef],0)),"")</f>
        <v>O.J. Howard</v>
      </c>
      <c r="Y70" s="60" t="str">
        <f>IFERROR(INDEX(TableTEMaster[TM],MATCH(TableTECalcPts[[#This Row],[TERef]],TableTEMaster[TERef],0)),"")</f>
        <v>LV</v>
      </c>
      <c r="Z70" s="60">
        <f>IFERROR(INDEX(TableTEMaster[BYE],MATCH(TableTECalcPts[[#This Row],[TERef]],TableTEMaster[TERef],0)),"")</f>
        <v>13</v>
      </c>
      <c r="AA70" s="61">
        <f>IFERROR(INDEX(TableTEMaster[Custom],MATCH(TableTECalcPts[[#This Row],[TERef]],TableTEMaster[TERef],0)),"")</f>
        <v>8.9999943163385883</v>
      </c>
      <c r="AI70" s="60" t="s">
        <v>10</v>
      </c>
      <c r="AJ70" s="60">
        <f>IFERROR(RANK(TableWRTECalcPts[[#This Row],[Custom]],TableWRTECalcPts[Custom])+COUNTIF($AP$3:AP70,AP70)-1,"")</f>
        <v>244</v>
      </c>
      <c r="AK70" s="60">
        <v>68</v>
      </c>
      <c r="AL70" s="60" t="str">
        <f>IFERROR(INDEX(TableTEMaster[Player],MATCH(TableWRTECalcPts[[#This Row],[POSRef]],TableTEMaster[TERef],0)),"")</f>
        <v>O.J. Howard</v>
      </c>
      <c r="AM70" s="60" t="str">
        <f>IFERROR(_xlfn.CONCAT(TableWRTECalcPts[[#This Row],[POS]],INDEX(TableTERanks[RK],MATCH(TableWRTECalcPts[[#This Row],[PLAYER]],TableTERanks[Player],0))),"")</f>
        <v>TE84</v>
      </c>
      <c r="AN70" s="60" t="str">
        <f>IFERROR(INDEX(TableTEMaster[TM],MATCH(TableWRTECalcPts[[#This Row],[POSRef]],TableTEMaster[TERef],0)),"")</f>
        <v>LV</v>
      </c>
      <c r="AO70" s="60">
        <f>IFERROR(INDEX(TableTEMaster[BYE],MATCH(TableWRTECalcPts[[#This Row],[POSRef]],TableTEMaster[TERef],0)),"")</f>
        <v>13</v>
      </c>
      <c r="AP70" s="61">
        <f>IFERROR(INDEX(TableTEMaster[Custom],MATCH(TableWRTECalcPts[[#This Row],[POSRef]],TableTEMaster[TERef],0)),"")</f>
        <v>8.9999943163385883</v>
      </c>
    </row>
    <row r="71" spans="1:42" x14ac:dyDescent="0.2">
      <c r="A71" s="62" t="str">
        <f>IFERROR(RANK(TableQBCalcPts[[#This Row],[Custom]],TableQBCalcPts[Custom])+COUNTIF($F$3:F71,F71)-1,"")</f>
        <v/>
      </c>
      <c r="B71" s="60">
        <v>69</v>
      </c>
      <c r="C71" s="60" t="str">
        <f>IFERROR(INDEX(TableQBMaster[Player],MATCH(TableQBCalcPts[[#This Row],[QBRef]],TableQBMaster[QBRef],0)),"")</f>
        <v/>
      </c>
      <c r="D71" s="60" t="str">
        <f>IFERROR(INDEX(TableQBMaster[TM],MATCH(TableQBCalcPts[[#This Row],[QBRef]],TableQBMaster[QBRef],0)),"")</f>
        <v/>
      </c>
      <c r="E71" s="60" t="str">
        <f>IFERROR(INDEX(TableQBMaster[BYE],MATCH(TableQBCalcPts[[#This Row],[QBRef]],TableQBMaster[QBRef],0)),"")</f>
        <v/>
      </c>
      <c r="F71" s="61" t="str">
        <f>IFERROR(INDEX(TableQBMaster[Custom],MATCH(TableQBCalcPts[[#This Row],[QBRef]],TableQBMaster[QBRef],0)),"")</f>
        <v/>
      </c>
      <c r="H71" s="60">
        <f>IFERROR(RANK(TableRBCalcPts[[#This Row],[Custom]],TableRBCalcPts[Custom])+COUNTIF($M$3:M71,M71)-1,"")</f>
        <v>49</v>
      </c>
      <c r="I71" s="60">
        <v>69</v>
      </c>
      <c r="J71" s="60" t="str">
        <f>IFERROR(INDEX(TableRBMaster[Player],MATCH(TableRBCalcPts[[#This Row],[RBRef]],TableRBMaster[RBRef],0)),"")</f>
        <v>Ty Chandler</v>
      </c>
      <c r="K71" s="60" t="str">
        <f>IFERROR(INDEX(TableRBMaster[TM],MATCH(TableRBCalcPts[[#This Row],[RBRef]],TableRBMaster[RBRef],0)),"")</f>
        <v>MIN</v>
      </c>
      <c r="L71" s="60">
        <f>IFERROR(INDEX(TableRBMaster[BYE],MATCH(TableRBCalcPts[[#This Row],[RBRef]],TableRBMaster[RBRef],0)),"")</f>
        <v>13</v>
      </c>
      <c r="M71" s="61">
        <f>IFERROR(INDEX(TableRBMaster[Custom],MATCH(TableRBCalcPts[[#This Row],[RBRef]],TableRBMaster[RBRef],0)),"")</f>
        <v>107.11994911405516</v>
      </c>
      <c r="O71" s="60">
        <f>IFERROR(RANK(TableWRCalcPts[[#This Row],[Custom]],TableWRCalcPts[Custom])+COUNTIF($T$3:T71,T71)-1,"")</f>
        <v>113</v>
      </c>
      <c r="P71" s="60">
        <v>69</v>
      </c>
      <c r="Q71" s="60" t="str">
        <f>IFERROR(INDEX(TableWRMaster[Player],MATCH(TableWRCalcPts[[#This Row],[WRRef]],TableWRMaster[WRRef],0)),"")</f>
        <v>Isaiah McKenzie</v>
      </c>
      <c r="R71" s="60" t="str">
        <f>IFERROR(INDEX(TableWRMaster[TM],MATCH(TableWRCalcPts[[#This Row],[WRRef]],TableWRMaster[WRRef],0)),"")</f>
        <v>IND</v>
      </c>
      <c r="S71" s="60">
        <f>IFERROR(INDEX(TableWRMaster[BYE],MATCH(TableWRCalcPts[[#This Row],[WRRef]],TableWRMaster[WRRef],0)),"")</f>
        <v>11</v>
      </c>
      <c r="T71" s="61">
        <f>IFERROR(INDEX(TableWRMaster[Custom],MATCH(TableWRCalcPts[[#This Row],[WRRef]],TableWRMaster[WRRef],0)),"")</f>
        <v>39.328571361895207</v>
      </c>
      <c r="V71" s="60">
        <f>IFERROR(RANK(TableTECalcPts[[#This Row],[Custom]],TableTECalcPts[Custom])+COUNTIF($AA$3:AA71,AA71)-1,"")</f>
        <v>33</v>
      </c>
      <c r="W71" s="60">
        <v>69</v>
      </c>
      <c r="X71" s="60" t="str">
        <f>IFERROR(INDEX(TableTEMaster[Player],MATCH(TableTECalcPts[[#This Row],[TERef]],TableTEMaster[TERef],0)),"")</f>
        <v>Austin Hooper</v>
      </c>
      <c r="Y71" s="60" t="str">
        <f>IFERROR(INDEX(TableTEMaster[TM],MATCH(TableTECalcPts[[#This Row],[TERef]],TableTEMaster[TERef],0)),"")</f>
        <v>LV</v>
      </c>
      <c r="Z71" s="60">
        <f>IFERROR(INDEX(TableTEMaster[BYE],MATCH(TableTECalcPts[[#This Row],[TERef]],TableTEMaster[TERef],0)),"")</f>
        <v>13</v>
      </c>
      <c r="AA71" s="61">
        <f>IFERROR(INDEX(TableTEMaster[Custom],MATCH(TableTECalcPts[[#This Row],[TERef]],TableTEMaster[TERef],0)),"")</f>
        <v>74.709928956497578</v>
      </c>
      <c r="AI71" s="60" t="s">
        <v>10</v>
      </c>
      <c r="AJ71" s="60">
        <f>IFERROR(RANK(TableWRTECalcPts[[#This Row],[Custom]],TableWRTECalcPts[Custom])+COUNTIF($AP$3:AP71,AP71)-1,"")</f>
        <v>126</v>
      </c>
      <c r="AK71" s="60">
        <v>69</v>
      </c>
      <c r="AL71" s="60" t="str">
        <f>IFERROR(INDEX(TableTEMaster[Player],MATCH(TableWRTECalcPts[[#This Row],[POSRef]],TableTEMaster[TERef],0)),"")</f>
        <v>Austin Hooper</v>
      </c>
      <c r="AM71" s="60" t="str">
        <f>IFERROR(_xlfn.CONCAT(TableWRTECalcPts[[#This Row],[POS]],INDEX(TableTERanks[RK],MATCH(TableWRTECalcPts[[#This Row],[PLAYER]],TableTERanks[Player],0))),"")</f>
        <v>TE33</v>
      </c>
      <c r="AN71" s="60" t="str">
        <f>IFERROR(INDEX(TableTEMaster[TM],MATCH(TableWRTECalcPts[[#This Row],[POSRef]],TableTEMaster[TERef],0)),"")</f>
        <v>LV</v>
      </c>
      <c r="AO71" s="60">
        <f>IFERROR(INDEX(TableTEMaster[BYE],MATCH(TableWRTECalcPts[[#This Row],[POSRef]],TableTEMaster[TERef],0)),"")</f>
        <v>13</v>
      </c>
      <c r="AP71" s="61">
        <f>IFERROR(INDEX(TableTEMaster[Custom],MATCH(TableWRTECalcPts[[#This Row],[POSRef]],TableTEMaster[TERef],0)),"")</f>
        <v>74.709928956497578</v>
      </c>
    </row>
    <row r="72" spans="1:42" x14ac:dyDescent="0.2">
      <c r="A72" s="62" t="str">
        <f>IFERROR(RANK(TableQBCalcPts[[#This Row],[Custom]],TableQBCalcPts[Custom])+COUNTIF($F$3:F72,F72)-1,"")</f>
        <v/>
      </c>
      <c r="B72" s="60">
        <v>70</v>
      </c>
      <c r="C72" s="60" t="str">
        <f>IFERROR(INDEX(TableQBMaster[Player],MATCH(TableQBCalcPts[[#This Row],[QBRef]],TableQBMaster[QBRef],0)),"")</f>
        <v/>
      </c>
      <c r="D72" s="60" t="str">
        <f>IFERROR(INDEX(TableQBMaster[TM],MATCH(TableQBCalcPts[[#This Row],[QBRef]],TableQBMaster[QBRef],0)),"")</f>
        <v/>
      </c>
      <c r="E72" s="60" t="str">
        <f>IFERROR(INDEX(TableQBMaster[BYE],MATCH(TableQBCalcPts[[#This Row],[QBRef]],TableQBMaster[QBRef],0)),"")</f>
        <v/>
      </c>
      <c r="F72" s="61" t="str">
        <f>IFERROR(INDEX(TableQBMaster[Custom],MATCH(TableQBCalcPts[[#This Row],[QBRef]],TableQBMaster[QBRef],0)),"")</f>
        <v/>
      </c>
      <c r="H72" s="60">
        <f>IFERROR(RANK(TableRBCalcPts[[#This Row],[Custom]],TableRBCalcPts[Custom])+COUNTIF($M$3:M72,M72)-1,"")</f>
        <v>87</v>
      </c>
      <c r="I72" s="60">
        <v>70</v>
      </c>
      <c r="J72" s="60" t="str">
        <f>IFERROR(INDEX(TableRBMaster[Player],MATCH(TableRBCalcPts[[#This Row],[RBRef]],TableRBMaster[RBRef],0)),"")</f>
        <v>Kene Nwangwu</v>
      </c>
      <c r="K72" s="60" t="str">
        <f>IFERROR(INDEX(TableRBMaster[TM],MATCH(TableRBCalcPts[[#This Row],[RBRef]],TableRBMaster[RBRef],0)),"")</f>
        <v>MIN</v>
      </c>
      <c r="L72" s="60">
        <f>IFERROR(INDEX(TableRBMaster[BYE],MATCH(TableRBCalcPts[[#This Row],[RBRef]],TableRBMaster[RBRef],0)),"")</f>
        <v>13</v>
      </c>
      <c r="M72" s="61">
        <f>IFERROR(INDEX(TableRBMaster[Custom],MATCH(TableRBCalcPts[[#This Row],[RBRef]],TableRBMaster[RBRef],0)),"")</f>
        <v>32.950744019818238</v>
      </c>
      <c r="O72" s="60">
        <f>IFERROR(RANK(TableWRCalcPts[[#This Row],[Custom]],TableWRCalcPts[Custom])+COUNTIF($T$3:T72,T72)-1,"")</f>
        <v>68</v>
      </c>
      <c r="P72" s="60">
        <v>70</v>
      </c>
      <c r="Q72" s="60" t="str">
        <f>IFERROR(INDEX(TableWRMaster[Player],MATCH(TableWRCalcPts[[#This Row],[WRRef]],TableWRMaster[WRRef],0)),"")</f>
        <v>Josh Downs</v>
      </c>
      <c r="R72" s="60" t="str">
        <f>IFERROR(INDEX(TableWRMaster[TM],MATCH(TableWRCalcPts[[#This Row],[WRRef]],TableWRMaster[WRRef],0)),"")</f>
        <v>IND</v>
      </c>
      <c r="S72" s="60">
        <f>IFERROR(INDEX(TableWRMaster[BYE],MATCH(TableWRCalcPts[[#This Row],[WRRef]],TableWRMaster[WRRef],0)),"")</f>
        <v>11</v>
      </c>
      <c r="T72" s="61">
        <f>IFERROR(INDEX(TableWRMaster[Custom],MATCH(TableWRCalcPts[[#This Row],[WRRef]],TableWRMaster[WRRef],0)),"")</f>
        <v>113.73967041881546</v>
      </c>
      <c r="V72" s="60">
        <f>IFERROR(RANK(TableTECalcPts[[#This Row],[Custom]],TableTECalcPts[Custom])+COUNTIF($AA$3:AA72,AA72)-1,"")</f>
        <v>6</v>
      </c>
      <c r="W72" s="60">
        <v>70</v>
      </c>
      <c r="X72" s="60" t="str">
        <f>IFERROR(INDEX(TableTEMaster[Player],MATCH(TableTECalcPts[[#This Row],[TERef]],TableTEMaster[TERef],0)),"")</f>
        <v>Dallas Goedert</v>
      </c>
      <c r="Y72" s="60" t="str">
        <f>IFERROR(INDEX(TableTEMaster[TM],MATCH(TableTECalcPts[[#This Row],[TERef]],TableTEMaster[TERef],0)),"")</f>
        <v>PHI</v>
      </c>
      <c r="Z72" s="60">
        <f>IFERROR(INDEX(TableTEMaster[BYE],MATCH(TableTECalcPts[[#This Row],[TERef]],TableTEMaster[TERef],0)),"")</f>
        <v>10</v>
      </c>
      <c r="AA72" s="61">
        <f>IFERROR(INDEX(TableTEMaster[Custom],MATCH(TableTECalcPts[[#This Row],[TERef]],TableTEMaster[TERef],0)),"")</f>
        <v>140.56778839078723</v>
      </c>
      <c r="AI72" s="60" t="s">
        <v>10</v>
      </c>
      <c r="AJ72" s="60">
        <f>IFERROR(RANK(TableWRTECalcPts[[#This Row],[Custom]],TableWRTECalcPts[Custom])+COUNTIF($AP$3:AP72,AP72)-1,"")</f>
        <v>57</v>
      </c>
      <c r="AK72" s="60">
        <v>70</v>
      </c>
      <c r="AL72" s="60" t="str">
        <f>IFERROR(INDEX(TableTEMaster[Player],MATCH(TableWRTECalcPts[[#This Row],[POSRef]],TableTEMaster[TERef],0)),"")</f>
        <v>Dallas Goedert</v>
      </c>
      <c r="AM72" s="60" t="str">
        <f>IFERROR(_xlfn.CONCAT(TableWRTECalcPts[[#This Row],[POS]],INDEX(TableTERanks[RK],MATCH(TableWRTECalcPts[[#This Row],[PLAYER]],TableTERanks[Player],0))),"")</f>
        <v>TE6</v>
      </c>
      <c r="AN72" s="60" t="str">
        <f>IFERROR(INDEX(TableTEMaster[TM],MATCH(TableWRTECalcPts[[#This Row],[POSRef]],TableTEMaster[TERef],0)),"")</f>
        <v>PHI</v>
      </c>
      <c r="AO72" s="60">
        <f>IFERROR(INDEX(TableTEMaster[BYE],MATCH(TableWRTECalcPts[[#This Row],[POSRef]],TableTEMaster[TERef],0)),"")</f>
        <v>10</v>
      </c>
      <c r="AP72" s="61">
        <f>IFERROR(INDEX(TableTEMaster[Custom],MATCH(TableWRTECalcPts[[#This Row],[POSRef]],TableTEMaster[TERef],0)),"")</f>
        <v>140.56778839078723</v>
      </c>
    </row>
    <row r="73" spans="1:42" x14ac:dyDescent="0.2">
      <c r="A73" s="62" t="str">
        <f>IFERROR(RANK(TableQBCalcPts[[#This Row],[Custom]],TableQBCalcPts[Custom])+COUNTIF($F$3:F73,F73)-1,"")</f>
        <v/>
      </c>
      <c r="B73" s="60">
        <v>71</v>
      </c>
      <c r="C73" s="60" t="str">
        <f>IFERROR(INDEX(TableQBMaster[Player],MATCH(TableQBCalcPts[[#This Row],[QBRef]],TableQBMaster[QBRef],0)),"")</f>
        <v/>
      </c>
      <c r="D73" s="60" t="str">
        <f>IFERROR(INDEX(TableQBMaster[TM],MATCH(TableQBCalcPts[[#This Row],[QBRef]],TableQBMaster[QBRef],0)),"")</f>
        <v/>
      </c>
      <c r="E73" s="60" t="str">
        <f>IFERROR(INDEX(TableQBMaster[BYE],MATCH(TableQBCalcPts[[#This Row],[QBRef]],TableQBMaster[QBRef],0)),"")</f>
        <v/>
      </c>
      <c r="F73" s="61" t="str">
        <f>IFERROR(INDEX(TableQBMaster[Custom],MATCH(TableQBCalcPts[[#This Row],[QBRef]],TableQBMaster[QBRef],0)),"")</f>
        <v/>
      </c>
      <c r="H73" s="60">
        <f>IFERROR(RANK(TableRBCalcPts[[#This Row],[Custom]],TableRBCalcPts[Custom])+COUNTIF($M$3:M73,M73)-1,"")</f>
        <v>110</v>
      </c>
      <c r="I73" s="60">
        <v>71</v>
      </c>
      <c r="J73" s="60" t="str">
        <f>IFERROR(INDEX(TableRBMaster[Player],MATCH(TableRBCalcPts[[#This Row],[RBRef]],TableRBMaster[RBRef],0)),"")</f>
        <v>Myles Gaskin</v>
      </c>
      <c r="K73" s="60" t="str">
        <f>IFERROR(INDEX(TableRBMaster[TM],MATCH(TableRBCalcPts[[#This Row],[RBRef]],TableRBMaster[RBRef],0)),"")</f>
        <v>MIN</v>
      </c>
      <c r="L73" s="60">
        <f>IFERROR(INDEX(TableRBMaster[BYE],MATCH(TableRBCalcPts[[#This Row],[RBRef]],TableRBMaster[RBRef],0)),"")</f>
        <v>13</v>
      </c>
      <c r="M73" s="61">
        <f>IFERROR(INDEX(TableRBMaster[Custom],MATCH(TableRBCalcPts[[#This Row],[RBRef]],TableRBMaster[RBRef],0)),"")</f>
        <v>0</v>
      </c>
      <c r="O73" s="60">
        <f>IFERROR(RANK(TableWRCalcPts[[#This Row],[Custom]],TableWRCalcPts[Custom])+COUNTIF($T$3:T73,T73)-1,"")</f>
        <v>29</v>
      </c>
      <c r="P73" s="60">
        <v>71</v>
      </c>
      <c r="Q73" s="60" t="str">
        <f>IFERROR(INDEX(TableWRMaster[Player],MATCH(TableWRCalcPts[[#This Row],[WRRef]],TableWRMaster[WRRef],0)),"")</f>
        <v>Christian Kirk</v>
      </c>
      <c r="R73" s="60" t="str">
        <f>IFERROR(INDEX(TableWRMaster[TM],MATCH(TableWRCalcPts[[#This Row],[WRRef]],TableWRMaster[WRRef],0)),"")</f>
        <v>JAX</v>
      </c>
      <c r="S73" s="60">
        <f>IFERROR(INDEX(TableWRMaster[BYE],MATCH(TableWRCalcPts[[#This Row],[WRRef]],TableWRMaster[WRRef],0)),"")</f>
        <v>9</v>
      </c>
      <c r="T73" s="61">
        <f>IFERROR(INDEX(TableWRMaster[Custom],MATCH(TableWRCalcPts[[#This Row],[WRRef]],TableWRMaster[WRRef],0)),"")</f>
        <v>171.53592071198523</v>
      </c>
      <c r="V73" s="60">
        <f>IFERROR(RANK(TableTECalcPts[[#This Row],[Custom]],TableTECalcPts[Custom])+COUNTIF($AA$3:AA73,AA73)-1,"")</f>
        <v>68</v>
      </c>
      <c r="W73" s="60">
        <v>71</v>
      </c>
      <c r="X73" s="60" t="str">
        <f>IFERROR(INDEX(TableTEMaster[Player],MATCH(TableTECalcPts[[#This Row],[TERef]],TableTEMaster[TERef],0)),"")</f>
        <v>Grant Calcaterra</v>
      </c>
      <c r="Y73" s="60" t="str">
        <f>IFERROR(INDEX(TableTEMaster[TM],MATCH(TableTECalcPts[[#This Row],[TERef]],TableTEMaster[TERef],0)),"")</f>
        <v>PHI</v>
      </c>
      <c r="Z73" s="60">
        <f>IFERROR(INDEX(TableTEMaster[BYE],MATCH(TableTECalcPts[[#This Row],[TERef]],TableTEMaster[TERef],0)),"")</f>
        <v>10</v>
      </c>
      <c r="AA73" s="61">
        <f>IFERROR(INDEX(TableTEMaster[Custom],MATCH(TableTECalcPts[[#This Row],[TERef]],TableTEMaster[TERef],0)),"")</f>
        <v>17.356951041360002</v>
      </c>
      <c r="AI73" s="60" t="s">
        <v>10</v>
      </c>
      <c r="AJ73" s="60">
        <f>IFERROR(RANK(TableWRTECalcPts[[#This Row],[Custom]],TableWRTECalcPts[Custom])+COUNTIF($AP$3:AP73,AP73)-1,"")</f>
        <v>212</v>
      </c>
      <c r="AK73" s="60">
        <v>71</v>
      </c>
      <c r="AL73" s="60" t="str">
        <f>IFERROR(INDEX(TableTEMaster[Player],MATCH(TableWRTECalcPts[[#This Row],[POSRef]],TableTEMaster[TERef],0)),"")</f>
        <v>Grant Calcaterra</v>
      </c>
      <c r="AM73" s="60" t="str">
        <f>IFERROR(_xlfn.CONCAT(TableWRTECalcPts[[#This Row],[POS]],INDEX(TableTERanks[RK],MATCH(TableWRTECalcPts[[#This Row],[PLAYER]],TableTERanks[Player],0))),"")</f>
        <v>TE68</v>
      </c>
      <c r="AN73" s="60" t="str">
        <f>IFERROR(INDEX(TableTEMaster[TM],MATCH(TableWRTECalcPts[[#This Row],[POSRef]],TableTEMaster[TERef],0)),"")</f>
        <v>PHI</v>
      </c>
      <c r="AO73" s="60">
        <f>IFERROR(INDEX(TableTEMaster[BYE],MATCH(TableWRTECalcPts[[#This Row],[POSRef]],TableTEMaster[TERef],0)),"")</f>
        <v>10</v>
      </c>
      <c r="AP73" s="61">
        <f>IFERROR(INDEX(TableTEMaster[Custom],MATCH(TableWRTECalcPts[[#This Row],[POSRef]],TableTEMaster[TERef],0)),"")</f>
        <v>17.356951041360002</v>
      </c>
    </row>
    <row r="74" spans="1:42" x14ac:dyDescent="0.2">
      <c r="A74" s="62" t="str">
        <f>IFERROR(RANK(TableQBCalcPts[[#This Row],[Custom]],TableQBCalcPts[Custom])+COUNTIF($F$3:F74,F74)-1,"")</f>
        <v/>
      </c>
      <c r="B74" s="60">
        <v>72</v>
      </c>
      <c r="C74" s="60" t="str">
        <f>IFERROR(INDEX(TableQBMaster[Player],MATCH(TableQBCalcPts[[#This Row],[QBRef]],TableQBMaster[QBRef],0)),"")</f>
        <v/>
      </c>
      <c r="D74" s="60" t="str">
        <f>IFERROR(INDEX(TableQBMaster[TM],MATCH(TableQBCalcPts[[#This Row],[QBRef]],TableQBMaster[QBRef],0)),"")</f>
        <v/>
      </c>
      <c r="E74" s="60" t="str">
        <f>IFERROR(INDEX(TableQBMaster[BYE],MATCH(TableQBCalcPts[[#This Row],[QBRef]],TableQBMaster[QBRef],0)),"")</f>
        <v/>
      </c>
      <c r="F74" s="61" t="str">
        <f>IFERROR(INDEX(TableQBMaster[Custom],MATCH(TableQBCalcPts[[#This Row],[QBRef]],TableQBMaster[QBRef],0)),"")</f>
        <v/>
      </c>
      <c r="H74" s="60">
        <f>IFERROR(RANK(TableRBCalcPts[[#This Row],[Custom]],TableRBCalcPts[Custom])+COUNTIF($M$3:M74,M74)-1,"")</f>
        <v>9</v>
      </c>
      <c r="I74" s="60">
        <v>72</v>
      </c>
      <c r="J74" s="60" t="str">
        <f>IFERROR(INDEX(TableRBMaster[Player],MATCH(TableRBCalcPts[[#This Row],[RBRef]],TableRBMaster[RBRef],0)),"")</f>
        <v>Rhamondre Stevenson</v>
      </c>
      <c r="K74" s="60" t="str">
        <f>IFERROR(INDEX(TableRBMaster[TM],MATCH(TableRBCalcPts[[#This Row],[RBRef]],TableRBMaster[RBRef],0)),"")</f>
        <v>NE</v>
      </c>
      <c r="L74" s="60">
        <f>IFERROR(INDEX(TableRBMaster[BYE],MATCH(TableRBCalcPts[[#This Row],[RBRef]],TableRBMaster[RBRef],0)),"")</f>
        <v>11</v>
      </c>
      <c r="M74" s="61">
        <f>IFERROR(INDEX(TableRBMaster[Custom],MATCH(TableRBCalcPts[[#This Row],[RBRef]],TableRBMaster[RBRef],0)),"")</f>
        <v>219.66601335836557</v>
      </c>
      <c r="O74" s="60">
        <f>IFERROR(RANK(TableWRCalcPts[[#This Row],[Custom]],TableWRCalcPts[Custom])+COUNTIF($T$3:T74,T74)-1,"")</f>
        <v>13</v>
      </c>
      <c r="P74" s="60">
        <v>72</v>
      </c>
      <c r="Q74" s="60" t="str">
        <f>IFERROR(INDEX(TableWRMaster[Player],MATCH(TableWRCalcPts[[#This Row],[WRRef]],TableWRMaster[WRRef],0)),"")</f>
        <v>Calvin Ridley</v>
      </c>
      <c r="R74" s="60" t="str">
        <f>IFERROR(INDEX(TableWRMaster[TM],MATCH(TableWRCalcPts[[#This Row],[WRRef]],TableWRMaster[WRRef],0)),"")</f>
        <v>JAX</v>
      </c>
      <c r="S74" s="60">
        <f>IFERROR(INDEX(TableWRMaster[BYE],MATCH(TableWRCalcPts[[#This Row],[WRRef]],TableWRMaster[WRRef],0)),"")</f>
        <v>9</v>
      </c>
      <c r="T74" s="61">
        <f>IFERROR(INDEX(TableWRMaster[Custom],MATCH(TableWRCalcPts[[#This Row],[WRRef]],TableWRMaster[WRRef],0)),"")</f>
        <v>205.85347666981542</v>
      </c>
      <c r="V74" s="60">
        <f>IFERROR(RANK(TableTECalcPts[[#This Row],[Custom]],TableTECalcPts[Custom])+COUNTIF($AA$3:AA74,AA74)-1,"")</f>
        <v>73</v>
      </c>
      <c r="W74" s="60">
        <v>72</v>
      </c>
      <c r="X74" s="60" t="str">
        <f>IFERROR(INDEX(TableTEMaster[Player],MATCH(TableTECalcPts[[#This Row],[TERef]],TableTEMaster[TERef],0)),"")</f>
        <v>Jack Stoll</v>
      </c>
      <c r="Y74" s="60" t="str">
        <f>IFERROR(INDEX(TableTEMaster[TM],MATCH(TableTECalcPts[[#This Row],[TERef]],TableTEMaster[TERef],0)),"")</f>
        <v>PHI</v>
      </c>
      <c r="Z74" s="60">
        <f>IFERROR(INDEX(TableTEMaster[BYE],MATCH(TableTECalcPts[[#This Row],[TERef]],TableTEMaster[TERef],0)),"")</f>
        <v>10</v>
      </c>
      <c r="AA74" s="61">
        <f>IFERROR(INDEX(TableTEMaster[Custom],MATCH(TableTECalcPts[[#This Row],[TERef]],TableTEMaster[TERef],0)),"")</f>
        <v>15.309824690277596</v>
      </c>
      <c r="AI74" s="60" t="s">
        <v>10</v>
      </c>
      <c r="AJ74" s="60">
        <f>IFERROR(RANK(TableWRTECalcPts[[#This Row],[Custom]],TableWRTECalcPts[Custom])+COUNTIF($AP$3:AP74,AP74)-1,"")</f>
        <v>223</v>
      </c>
      <c r="AK74" s="60">
        <v>72</v>
      </c>
      <c r="AL74" s="60" t="str">
        <f>IFERROR(INDEX(TableTEMaster[Player],MATCH(TableWRTECalcPts[[#This Row],[POSRef]],TableTEMaster[TERef],0)),"")</f>
        <v>Jack Stoll</v>
      </c>
      <c r="AM74" s="60" t="str">
        <f>IFERROR(_xlfn.CONCAT(TableWRTECalcPts[[#This Row],[POS]],INDEX(TableTERanks[RK],MATCH(TableWRTECalcPts[[#This Row],[PLAYER]],TableTERanks[Player],0))),"")</f>
        <v>TE73</v>
      </c>
      <c r="AN74" s="60" t="str">
        <f>IFERROR(INDEX(TableTEMaster[TM],MATCH(TableWRTECalcPts[[#This Row],[POSRef]],TableTEMaster[TERef],0)),"")</f>
        <v>PHI</v>
      </c>
      <c r="AO74" s="60">
        <f>IFERROR(INDEX(TableTEMaster[BYE],MATCH(TableWRTECalcPts[[#This Row],[POSRef]],TableTEMaster[TERef],0)),"")</f>
        <v>10</v>
      </c>
      <c r="AP74" s="61">
        <f>IFERROR(INDEX(TableTEMaster[Custom],MATCH(TableWRTECalcPts[[#This Row],[POSRef]],TableTEMaster[TERef],0)),"")</f>
        <v>15.309824690277596</v>
      </c>
    </row>
    <row r="75" spans="1:42" x14ac:dyDescent="0.2">
      <c r="A75" s="62" t="str">
        <f>IFERROR(RANK(TableQBCalcPts[[#This Row],[Custom]],TableQBCalcPts[Custom])+COUNTIF($F$3:F75,F75)-1,"")</f>
        <v/>
      </c>
      <c r="B75" s="60">
        <v>73</v>
      </c>
      <c r="C75" s="60" t="str">
        <f>IFERROR(INDEX(TableQBMaster[Player],MATCH(TableQBCalcPts[[#This Row],[QBRef]],TableQBMaster[QBRef],0)),"")</f>
        <v/>
      </c>
      <c r="D75" s="60" t="str">
        <f>IFERROR(INDEX(TableQBMaster[TM],MATCH(TableQBCalcPts[[#This Row],[QBRef]],TableQBMaster[QBRef],0)),"")</f>
        <v/>
      </c>
      <c r="E75" s="60" t="str">
        <f>IFERROR(INDEX(TableQBMaster[BYE],MATCH(TableQBCalcPts[[#This Row],[QBRef]],TableQBMaster[QBRef],0)),"")</f>
        <v/>
      </c>
      <c r="F75" s="61" t="str">
        <f>IFERROR(INDEX(TableQBMaster[Custom],MATCH(TableQBCalcPts[[#This Row],[QBRef]],TableQBMaster[QBRef],0)),"")</f>
        <v/>
      </c>
      <c r="H75" s="60">
        <f>IFERROR(RANK(TableRBCalcPts[[#This Row],[Custom]],TableRBCalcPts[Custom])+COUNTIF($M$3:M75,M75)-1,"")</f>
        <v>40</v>
      </c>
      <c r="I75" s="60">
        <v>73</v>
      </c>
      <c r="J75" s="60" t="str">
        <f>IFERROR(INDEX(TableRBMaster[Player],MATCH(TableRBCalcPts[[#This Row],[RBRef]],TableRBMaster[RBRef],0)),"")</f>
        <v>Ezekiel Elliott</v>
      </c>
      <c r="K75" s="60" t="str">
        <f>IFERROR(INDEX(TableRBMaster[TM],MATCH(TableRBCalcPts[[#This Row],[RBRef]],TableRBMaster[RBRef],0)),"")</f>
        <v>NE</v>
      </c>
      <c r="L75" s="60">
        <f>IFERROR(INDEX(TableRBMaster[BYE],MATCH(TableRBCalcPts[[#This Row],[RBRef]],TableRBMaster[RBRef],0)),"")</f>
        <v>11</v>
      </c>
      <c r="M75" s="61">
        <f>IFERROR(INDEX(TableRBMaster[Custom],MATCH(TableRBCalcPts[[#This Row],[RBRef]],TableRBMaster[RBRef],0)),"")</f>
        <v>129.219760046272</v>
      </c>
      <c r="O75" s="60">
        <f>IFERROR(RANK(TableWRCalcPts[[#This Row],[Custom]],TableWRCalcPts[Custom])+COUNTIF($T$3:T75,T75)-1,"")</f>
        <v>43</v>
      </c>
      <c r="P75" s="60">
        <v>73</v>
      </c>
      <c r="Q75" s="60" t="str">
        <f>IFERROR(INDEX(TableWRMaster[Player],MATCH(TableWRCalcPts[[#This Row],[WRRef]],TableWRMaster[WRRef],0)),"")</f>
        <v>Zay Jones</v>
      </c>
      <c r="R75" s="60" t="str">
        <f>IFERROR(INDEX(TableWRMaster[TM],MATCH(TableWRCalcPts[[#This Row],[WRRef]],TableWRMaster[WRRef],0)),"")</f>
        <v>JAX</v>
      </c>
      <c r="S75" s="60">
        <f>IFERROR(INDEX(TableWRMaster[BYE],MATCH(TableWRCalcPts[[#This Row],[WRRef]],TableWRMaster[WRRef],0)),"")</f>
        <v>9</v>
      </c>
      <c r="T75" s="61">
        <f>IFERROR(INDEX(TableWRMaster[Custom],MATCH(TableWRCalcPts[[#This Row],[WRRef]],TableWRMaster[WRRef],0)),"")</f>
        <v>150.18755470457839</v>
      </c>
      <c r="V75" s="60">
        <f>IFERROR(RANK(TableTECalcPts[[#This Row],[Custom]],TableTECalcPts[Custom])+COUNTIF($AA$3:AA75,AA75)-1,"")</f>
        <v>11</v>
      </c>
      <c r="W75" s="60">
        <v>73</v>
      </c>
      <c r="X75" s="60" t="str">
        <f>IFERROR(INDEX(TableTEMaster[Player],MATCH(TableTECalcPts[[#This Row],[TERef]],TableTEMaster[TERef],0)),"")</f>
        <v>Pat Freiermuth</v>
      </c>
      <c r="Y75" s="60" t="str">
        <f>IFERROR(INDEX(TableTEMaster[TM],MATCH(TableTECalcPts[[#This Row],[TERef]],TableTEMaster[TERef],0)),"")</f>
        <v>PIT</v>
      </c>
      <c r="Z75" s="60">
        <f>IFERROR(INDEX(TableTEMaster[BYE],MATCH(TableTECalcPts[[#This Row],[TERef]],TableTEMaster[TERef],0)),"")</f>
        <v>6</v>
      </c>
      <c r="AA75" s="61">
        <f>IFERROR(INDEX(TableTEMaster[Custom],MATCH(TableTECalcPts[[#This Row],[TERef]],TableTEMaster[TERef],0)),"")</f>
        <v>121.31963431833421</v>
      </c>
      <c r="AI75" s="60" t="s">
        <v>10</v>
      </c>
      <c r="AJ75" s="60">
        <f>IFERROR(RANK(TableWRTECalcPts[[#This Row],[Custom]],TableWRTECalcPts[Custom])+COUNTIF($AP$3:AP75,AP75)-1,"")</f>
        <v>71</v>
      </c>
      <c r="AK75" s="60">
        <v>73</v>
      </c>
      <c r="AL75" s="60" t="str">
        <f>IFERROR(INDEX(TableTEMaster[Player],MATCH(TableWRTECalcPts[[#This Row],[POSRef]],TableTEMaster[TERef],0)),"")</f>
        <v>Pat Freiermuth</v>
      </c>
      <c r="AM75" s="60" t="str">
        <f>IFERROR(_xlfn.CONCAT(TableWRTECalcPts[[#This Row],[POS]],INDEX(TableTERanks[RK],MATCH(TableWRTECalcPts[[#This Row],[PLAYER]],TableTERanks[Player],0))),"")</f>
        <v>TE11</v>
      </c>
      <c r="AN75" s="60" t="str">
        <f>IFERROR(INDEX(TableTEMaster[TM],MATCH(TableWRTECalcPts[[#This Row],[POSRef]],TableTEMaster[TERef],0)),"")</f>
        <v>PIT</v>
      </c>
      <c r="AO75" s="60">
        <f>IFERROR(INDEX(TableTEMaster[BYE],MATCH(TableWRTECalcPts[[#This Row],[POSRef]],TableTEMaster[TERef],0)),"")</f>
        <v>6</v>
      </c>
      <c r="AP75" s="61">
        <f>IFERROR(INDEX(TableTEMaster[Custom],MATCH(TableWRTECalcPts[[#This Row],[POSRef]],TableTEMaster[TERef],0)),"")</f>
        <v>121.31963431833421</v>
      </c>
    </row>
    <row r="76" spans="1:42" x14ac:dyDescent="0.2">
      <c r="A76" s="62" t="str">
        <f>IFERROR(RANK(TableQBCalcPts[[#This Row],[Custom]],TableQBCalcPts[Custom])+COUNTIF($F$3:F76,F76)-1,"")</f>
        <v/>
      </c>
      <c r="B76" s="60">
        <v>74</v>
      </c>
      <c r="C76" s="60" t="str">
        <f>IFERROR(INDEX(TableQBMaster[Player],MATCH(TableQBCalcPts[[#This Row],[QBRef]],TableQBMaster[QBRef],0)),"")</f>
        <v/>
      </c>
      <c r="D76" s="60" t="str">
        <f>IFERROR(INDEX(TableQBMaster[TM],MATCH(TableQBCalcPts[[#This Row],[QBRef]],TableQBMaster[QBRef],0)),"")</f>
        <v/>
      </c>
      <c r="E76" s="60" t="str">
        <f>IFERROR(INDEX(TableQBMaster[BYE],MATCH(TableQBCalcPts[[#This Row],[QBRef]],TableQBMaster[QBRef],0)),"")</f>
        <v/>
      </c>
      <c r="F76" s="61" t="str">
        <f>IFERROR(INDEX(TableQBMaster[Custom],MATCH(TableQBCalcPts[[#This Row],[QBRef]],TableQBMaster[QBRef],0)),"")</f>
        <v/>
      </c>
      <c r="H76" s="60">
        <f>IFERROR(RANK(TableRBCalcPts[[#This Row],[Custom]],TableRBCalcPts[Custom])+COUNTIF($M$3:M76,M76)-1,"")</f>
        <v>93</v>
      </c>
      <c r="I76" s="60">
        <v>74</v>
      </c>
      <c r="J76" s="60" t="str">
        <f>IFERROR(INDEX(TableRBMaster[Player],MATCH(TableRBCalcPts[[#This Row],[RBRef]],TableRBMaster[RBRef],0)),"")</f>
        <v>J.J. Taylor</v>
      </c>
      <c r="K76" s="60" t="str">
        <f>IFERROR(INDEX(TableRBMaster[TM],MATCH(TableRBCalcPts[[#This Row],[RBRef]],TableRBMaster[RBRef],0)),"")</f>
        <v>NE</v>
      </c>
      <c r="L76" s="60">
        <f>IFERROR(INDEX(TableRBMaster[BYE],MATCH(TableRBCalcPts[[#This Row],[RBRef]],TableRBMaster[RBRef],0)),"")</f>
        <v>11</v>
      </c>
      <c r="M76" s="61">
        <f>IFERROR(INDEX(TableRBMaster[Custom],MATCH(TableRBCalcPts[[#This Row],[RBRef]],TableRBMaster[RBRef],0)),"")</f>
        <v>23.120132108572804</v>
      </c>
      <c r="O76" s="60">
        <f>IFERROR(RANK(TableWRCalcPts[[#This Row],[Custom]],TableWRCalcPts[Custom])+COUNTIF($T$3:T76,T76)-1,"")</f>
        <v>125</v>
      </c>
      <c r="P76" s="60">
        <v>74</v>
      </c>
      <c r="Q76" s="60" t="str">
        <f>IFERROR(INDEX(TableWRMaster[Player],MATCH(TableWRCalcPts[[#This Row],[WRRef]],TableWRMaster[WRRef],0)),"")</f>
        <v>Jamal Agnew</v>
      </c>
      <c r="R76" s="60" t="str">
        <f>IFERROR(INDEX(TableWRMaster[TM],MATCH(TableWRCalcPts[[#This Row],[WRRef]],TableWRMaster[WRRef],0)),"")</f>
        <v>JAX</v>
      </c>
      <c r="S76" s="60">
        <f>IFERROR(INDEX(TableWRMaster[BYE],MATCH(TableWRCalcPts[[#This Row],[WRRef]],TableWRMaster[WRRef],0)),"")</f>
        <v>9</v>
      </c>
      <c r="T76" s="61">
        <f>IFERROR(INDEX(TableWRMaster[Custom],MATCH(TableWRCalcPts[[#This Row],[WRRef]],TableWRMaster[WRRef],0)),"")</f>
        <v>33.638613788015689</v>
      </c>
      <c r="V76" s="60">
        <f>IFERROR(RANK(TableTECalcPts[[#This Row],[Custom]],TableTECalcPts[Custom])+COUNTIF($AA$3:AA76,AA76)-1,"")</f>
        <v>56</v>
      </c>
      <c r="W76" s="60">
        <v>74</v>
      </c>
      <c r="X76" s="60" t="str">
        <f>IFERROR(INDEX(TableTEMaster[Player],MATCH(TableTECalcPts[[#This Row],[TERef]],TableTEMaster[TERef],0)),"")</f>
        <v>Connor Heyward</v>
      </c>
      <c r="Y76" s="60" t="str">
        <f>IFERROR(INDEX(TableTEMaster[TM],MATCH(TableTECalcPts[[#This Row],[TERef]],TableTEMaster[TERef],0)),"")</f>
        <v>PIT</v>
      </c>
      <c r="Z76" s="60">
        <f>IFERROR(INDEX(TableTEMaster[BYE],MATCH(TableTECalcPts[[#This Row],[TERef]],TableTEMaster[TERef],0)),"")</f>
        <v>6</v>
      </c>
      <c r="AA76" s="61">
        <f>IFERROR(INDEX(TableTEMaster[Custom],MATCH(TableTECalcPts[[#This Row],[TERef]],TableTEMaster[TERef],0)),"")</f>
        <v>24.628471667553608</v>
      </c>
      <c r="AI76" s="60" t="s">
        <v>10</v>
      </c>
      <c r="AJ76" s="60">
        <f>IFERROR(RANK(TableWRTECalcPts[[#This Row],[Custom]],TableWRTECalcPts[Custom])+COUNTIF($AP$3:AP76,AP76)-1,"")</f>
        <v>189</v>
      </c>
      <c r="AK76" s="60">
        <v>74</v>
      </c>
      <c r="AL76" s="60" t="str">
        <f>IFERROR(INDEX(TableTEMaster[Player],MATCH(TableWRTECalcPts[[#This Row],[POSRef]],TableTEMaster[TERef],0)),"")</f>
        <v>Connor Heyward</v>
      </c>
      <c r="AM76" s="60" t="str">
        <f>IFERROR(_xlfn.CONCAT(TableWRTECalcPts[[#This Row],[POS]],INDEX(TableTERanks[RK],MATCH(TableWRTECalcPts[[#This Row],[PLAYER]],TableTERanks[Player],0))),"")</f>
        <v>TE56</v>
      </c>
      <c r="AN76" s="60" t="str">
        <f>IFERROR(INDEX(TableTEMaster[TM],MATCH(TableWRTECalcPts[[#This Row],[POSRef]],TableTEMaster[TERef],0)),"")</f>
        <v>PIT</v>
      </c>
      <c r="AO76" s="60">
        <f>IFERROR(INDEX(TableTEMaster[BYE],MATCH(TableWRTECalcPts[[#This Row],[POSRef]],TableTEMaster[TERef],0)),"")</f>
        <v>6</v>
      </c>
      <c r="AP76" s="61">
        <f>IFERROR(INDEX(TableTEMaster[Custom],MATCH(TableWRTECalcPts[[#This Row],[POSRef]],TableTEMaster[TERef],0)),"")</f>
        <v>24.628471667553608</v>
      </c>
    </row>
    <row r="77" spans="1:42" x14ac:dyDescent="0.2">
      <c r="A77" s="62" t="str">
        <f>IFERROR(RANK(TableQBCalcPts[[#This Row],[Custom]],TableQBCalcPts[Custom])+COUNTIF($F$3:F77,F77)-1,"")</f>
        <v/>
      </c>
      <c r="B77" s="60">
        <v>75</v>
      </c>
      <c r="C77" s="60" t="str">
        <f>IFERROR(INDEX(TableQBMaster[Player],MATCH(TableQBCalcPts[[#This Row],[QBRef]],TableQBMaster[QBRef],0)),"")</f>
        <v/>
      </c>
      <c r="D77" s="60" t="str">
        <f>IFERROR(INDEX(TableQBMaster[TM],MATCH(TableQBCalcPts[[#This Row],[QBRef]],TableQBMaster[QBRef],0)),"")</f>
        <v/>
      </c>
      <c r="E77" s="60" t="str">
        <f>IFERROR(INDEX(TableQBMaster[BYE],MATCH(TableQBCalcPts[[#This Row],[QBRef]],TableQBMaster[QBRef],0)),"")</f>
        <v/>
      </c>
      <c r="F77" s="61" t="str">
        <f>IFERROR(INDEX(TableQBMaster[Custom],MATCH(TableQBCalcPts[[#This Row],[QBRef]],TableQBMaster[QBRef],0)),"")</f>
        <v/>
      </c>
      <c r="H77" s="60">
        <f>IFERROR(RANK(TableRBCalcPts[[#This Row],[Custom]],TableRBCalcPts[Custom])+COUNTIF($M$3:M77,M77)-1,"")</f>
        <v>91</v>
      </c>
      <c r="I77" s="60">
        <v>75</v>
      </c>
      <c r="J77" s="60" t="str">
        <f>IFERROR(INDEX(TableRBMaster[Player],MATCH(TableRBCalcPts[[#This Row],[RBRef]],TableRBMaster[RBRef],0)),"")</f>
        <v>Ty Montgomery</v>
      </c>
      <c r="K77" s="60" t="str">
        <f>IFERROR(INDEX(TableRBMaster[TM],MATCH(TableRBCalcPts[[#This Row],[RBRef]],TableRBMaster[RBRef],0)),"")</f>
        <v>NE</v>
      </c>
      <c r="L77" s="60">
        <f>IFERROR(INDEX(TableRBMaster[BYE],MATCH(TableRBCalcPts[[#This Row],[RBRef]],TableRBMaster[RBRef],0)),"")</f>
        <v>11</v>
      </c>
      <c r="M77" s="61">
        <f>IFERROR(INDEX(TableRBMaster[Custom],MATCH(TableRBCalcPts[[#This Row],[RBRef]],TableRBMaster[RBRef],0)),"")</f>
        <v>25.966866593346559</v>
      </c>
      <c r="O77" s="60">
        <f>IFERROR(RANK(TableWRCalcPts[[#This Row],[Custom]],TableWRCalcPts[Custom])+COUNTIF($T$3:T77,T77)-1,"")</f>
        <v>161</v>
      </c>
      <c r="P77" s="60">
        <v>75</v>
      </c>
      <c r="Q77" s="60" t="str">
        <f>IFERROR(INDEX(TableWRMaster[Player],MATCH(TableWRCalcPts[[#This Row],[WRRef]],TableWRMaster[WRRef],0)),"")</f>
        <v>Tim Jones</v>
      </c>
      <c r="R77" s="60" t="str">
        <f>IFERROR(INDEX(TableWRMaster[TM],MATCH(TableWRCalcPts[[#This Row],[WRRef]],TableWRMaster[WRRef],0)),"")</f>
        <v>JAX</v>
      </c>
      <c r="S77" s="60">
        <f>IFERROR(INDEX(TableWRMaster[BYE],MATCH(TableWRCalcPts[[#This Row],[WRRef]],TableWRMaster[WRRef],0)),"")</f>
        <v>9</v>
      </c>
      <c r="T77" s="61">
        <f>IFERROR(INDEX(TableWRMaster[Custom],MATCH(TableWRCalcPts[[#This Row],[WRRef]],TableWRMaster[WRRef],0)),"")</f>
        <v>7.3040380685999988</v>
      </c>
      <c r="V77" s="60">
        <f>IFERROR(RANK(TableTECalcPts[[#This Row],[Custom]],TableTECalcPts[Custom])+COUNTIF($AA$3:AA77,AA77)-1,"")</f>
        <v>74</v>
      </c>
      <c r="W77" s="60">
        <v>75</v>
      </c>
      <c r="X77" s="60" t="str">
        <f>IFERROR(INDEX(TableTEMaster[Player],MATCH(TableTECalcPts[[#This Row],[TERef]],TableTEMaster[TERef],0)),"")</f>
        <v>Darnell Washington</v>
      </c>
      <c r="Y77" s="60" t="str">
        <f>IFERROR(INDEX(TableTEMaster[TM],MATCH(TableTECalcPts[[#This Row],[TERef]],TableTEMaster[TERef],0)),"")</f>
        <v>PIT</v>
      </c>
      <c r="Z77" s="60">
        <f>IFERROR(INDEX(TableTEMaster[BYE],MATCH(TableTECalcPts[[#This Row],[TERef]],TableTEMaster[TERef],0)),"")</f>
        <v>6</v>
      </c>
      <c r="AA77" s="61">
        <f>IFERROR(INDEX(TableTEMaster[Custom],MATCH(TableTECalcPts[[#This Row],[TERef]],TableTEMaster[TERef],0)),"")</f>
        <v>14.404509715954163</v>
      </c>
      <c r="AI77" s="60" t="s">
        <v>10</v>
      </c>
      <c r="AJ77" s="60">
        <f>IFERROR(RANK(TableWRTECalcPts[[#This Row],[Custom]],TableWRTECalcPts[Custom])+COUNTIF($AP$3:AP77,AP77)-1,"")</f>
        <v>225</v>
      </c>
      <c r="AK77" s="60">
        <v>75</v>
      </c>
      <c r="AL77" s="60" t="str">
        <f>IFERROR(INDEX(TableTEMaster[Player],MATCH(TableWRTECalcPts[[#This Row],[POSRef]],TableTEMaster[TERef],0)),"")</f>
        <v>Darnell Washington</v>
      </c>
      <c r="AM77" s="60" t="str">
        <f>IFERROR(_xlfn.CONCAT(TableWRTECalcPts[[#This Row],[POS]],INDEX(TableTERanks[RK],MATCH(TableWRTECalcPts[[#This Row],[PLAYER]],TableTERanks[Player],0))),"")</f>
        <v>TE74</v>
      </c>
      <c r="AN77" s="60" t="str">
        <f>IFERROR(INDEX(TableTEMaster[TM],MATCH(TableWRTECalcPts[[#This Row],[POSRef]],TableTEMaster[TERef],0)),"")</f>
        <v>PIT</v>
      </c>
      <c r="AO77" s="60">
        <f>IFERROR(INDEX(TableTEMaster[BYE],MATCH(TableWRTECalcPts[[#This Row],[POSRef]],TableTEMaster[TERef],0)),"")</f>
        <v>6</v>
      </c>
      <c r="AP77" s="61">
        <f>IFERROR(INDEX(TableTEMaster[Custom],MATCH(TableWRTECalcPts[[#This Row],[POSRef]],TableTEMaster[TERef],0)),"")</f>
        <v>14.404509715954163</v>
      </c>
    </row>
    <row r="78" spans="1:42" x14ac:dyDescent="0.2">
      <c r="A78" s="62" t="str">
        <f>IFERROR(RANK(TableQBCalcPts[[#This Row],[Custom]],TableQBCalcPts[Custom])+COUNTIF($F$3:F78,F78)-1,"")</f>
        <v/>
      </c>
      <c r="B78" s="60">
        <v>76</v>
      </c>
      <c r="C78" s="60" t="str">
        <f>IFERROR(INDEX(TableQBMaster[Player],MATCH(TableQBCalcPts[[#This Row],[QBRef]],TableQBMaster[QBRef],0)),"")</f>
        <v/>
      </c>
      <c r="D78" s="60" t="str">
        <f>IFERROR(INDEX(TableQBMaster[TM],MATCH(TableQBCalcPts[[#This Row],[QBRef]],TableQBMaster[QBRef],0)),"")</f>
        <v/>
      </c>
      <c r="E78" s="60" t="str">
        <f>IFERROR(INDEX(TableQBMaster[BYE],MATCH(TableQBCalcPts[[#This Row],[QBRef]],TableQBMaster[QBRef],0)),"")</f>
        <v/>
      </c>
      <c r="F78" s="61" t="str">
        <f>IFERROR(INDEX(TableQBMaster[Custom],MATCH(TableQBCalcPts[[#This Row],[QBRef]],TableQBMaster[QBRef],0)),"")</f>
        <v/>
      </c>
      <c r="H78" s="60">
        <f>IFERROR(RANK(TableRBCalcPts[[#This Row],[Custom]],TableRBCalcPts[Custom])+COUNTIF($M$3:M78,M78)-1,"")</f>
        <v>28</v>
      </c>
      <c r="I78" s="60">
        <v>76</v>
      </c>
      <c r="J78" s="60" t="str">
        <f>IFERROR(INDEX(TableRBMaster[Player],MATCH(TableRBCalcPts[[#This Row],[RBRef]],TableRBMaster[RBRef],0)),"")</f>
        <v>Alvin Kamara</v>
      </c>
      <c r="K78" s="60" t="str">
        <f>IFERROR(INDEX(TableRBMaster[TM],MATCH(TableRBCalcPts[[#This Row],[RBRef]],TableRBMaster[RBRef],0)),"")</f>
        <v>NO</v>
      </c>
      <c r="L78" s="60">
        <f>IFERROR(INDEX(TableRBMaster[BYE],MATCH(TableRBCalcPts[[#This Row],[RBRef]],TableRBMaster[RBRef],0)),"")</f>
        <v>11</v>
      </c>
      <c r="M78" s="61">
        <f>IFERROR(INDEX(TableRBMaster[Custom],MATCH(TableRBCalcPts[[#This Row],[RBRef]],TableRBMaster[RBRef],0)),"")</f>
        <v>181.29594105419741</v>
      </c>
      <c r="O78" s="60">
        <f>IFERROR(RANK(TableWRCalcPts[[#This Row],[Custom]],TableWRCalcPts[Custom])+COUNTIF($T$3:T78,T78)-1,"")</f>
        <v>139</v>
      </c>
      <c r="P78" s="60">
        <v>76</v>
      </c>
      <c r="Q78" s="60" t="str">
        <f>IFERROR(INDEX(TableWRMaster[Player],MATCH(TableWRCalcPts[[#This Row],[WRRef]],TableWRMaster[WRRef],0)),"")</f>
        <v>Parker Washington</v>
      </c>
      <c r="R78" s="60" t="str">
        <f>IFERROR(INDEX(TableWRMaster[TM],MATCH(TableWRCalcPts[[#This Row],[WRRef]],TableWRMaster[WRRef],0)),"")</f>
        <v>JAX</v>
      </c>
      <c r="S78" s="60">
        <f>IFERROR(INDEX(TableWRMaster[BYE],MATCH(TableWRCalcPts[[#This Row],[WRRef]],TableWRMaster[WRRef],0)),"")</f>
        <v>9</v>
      </c>
      <c r="T78" s="61">
        <f>IFERROR(INDEX(TableWRMaster[Custom],MATCH(TableWRCalcPts[[#This Row],[WRRef]],TableWRMaster[WRRef],0)),"")</f>
        <v>21.3997226771328</v>
      </c>
      <c r="V78" s="60">
        <f>IFERROR(RANK(TableTECalcPts[[#This Row],[Custom]],TableTECalcPts[Custom])+COUNTIF($AA$3:AA78,AA78)-1,"")</f>
        <v>24</v>
      </c>
      <c r="W78" s="60">
        <v>76</v>
      </c>
      <c r="X78" s="60" t="str">
        <f>IFERROR(INDEX(TableTEMaster[Player],MATCH(TableTECalcPts[[#This Row],[TERef]],TableTEMaster[TERef],0)),"")</f>
        <v>Noah Fant</v>
      </c>
      <c r="Y78" s="60" t="str">
        <f>IFERROR(INDEX(TableTEMaster[TM],MATCH(TableTECalcPts[[#This Row],[TERef]],TableTEMaster[TERef],0)),"")</f>
        <v>SEA</v>
      </c>
      <c r="Z78" s="60">
        <f>IFERROR(INDEX(TableTEMaster[BYE],MATCH(TableTECalcPts[[#This Row],[TERef]],TableTEMaster[TERef],0)),"")</f>
        <v>5</v>
      </c>
      <c r="AA78" s="61">
        <f>IFERROR(INDEX(TableTEMaster[Custom],MATCH(TableTECalcPts[[#This Row],[TERef]],TableTEMaster[TERef],0)),"")</f>
        <v>96.734479211257991</v>
      </c>
      <c r="AI78" s="60" t="s">
        <v>10</v>
      </c>
      <c r="AJ78" s="60">
        <f>IFERROR(RANK(TableWRTECalcPts[[#This Row],[Custom]],TableWRTECalcPts[Custom])+COUNTIF($AP$3:AP78,AP78)-1,"")</f>
        <v>97</v>
      </c>
      <c r="AK78" s="60">
        <v>76</v>
      </c>
      <c r="AL78" s="60" t="str">
        <f>IFERROR(INDEX(TableTEMaster[Player],MATCH(TableWRTECalcPts[[#This Row],[POSRef]],TableTEMaster[TERef],0)),"")</f>
        <v>Noah Fant</v>
      </c>
      <c r="AM78" s="60" t="str">
        <f>IFERROR(_xlfn.CONCAT(TableWRTECalcPts[[#This Row],[POS]],INDEX(TableTERanks[RK],MATCH(TableWRTECalcPts[[#This Row],[PLAYER]],TableTERanks[Player],0))),"")</f>
        <v>TE24</v>
      </c>
      <c r="AN78" s="60" t="str">
        <f>IFERROR(INDEX(TableTEMaster[TM],MATCH(TableWRTECalcPts[[#This Row],[POSRef]],TableTEMaster[TERef],0)),"")</f>
        <v>SEA</v>
      </c>
      <c r="AO78" s="60">
        <f>IFERROR(INDEX(TableTEMaster[BYE],MATCH(TableWRTECalcPts[[#This Row],[POSRef]],TableTEMaster[TERef],0)),"")</f>
        <v>5</v>
      </c>
      <c r="AP78" s="61">
        <f>IFERROR(INDEX(TableTEMaster[Custom],MATCH(TableWRTECalcPts[[#This Row],[POSRef]],TableTEMaster[TERef],0)),"")</f>
        <v>96.734479211257991</v>
      </c>
    </row>
    <row r="79" spans="1:42" x14ac:dyDescent="0.2">
      <c r="A79" s="62" t="str">
        <f>IFERROR(RANK(TableQBCalcPts[[#This Row],[Custom]],TableQBCalcPts[Custom])+COUNTIF($F$3:F79,F79)-1,"")</f>
        <v/>
      </c>
      <c r="B79" s="60">
        <v>77</v>
      </c>
      <c r="C79" s="60" t="str">
        <f>IFERROR(INDEX(TableQBMaster[Player],MATCH(TableQBCalcPts[[#This Row],[QBRef]],TableQBMaster[QBRef],0)),"")</f>
        <v/>
      </c>
      <c r="D79" s="60" t="str">
        <f>IFERROR(INDEX(TableQBMaster[TM],MATCH(TableQBCalcPts[[#This Row],[QBRef]],TableQBMaster[QBRef],0)),"")</f>
        <v/>
      </c>
      <c r="E79" s="60" t="str">
        <f>IFERROR(INDEX(TableQBMaster[BYE],MATCH(TableQBCalcPts[[#This Row],[QBRef]],TableQBMaster[QBRef],0)),"")</f>
        <v/>
      </c>
      <c r="F79" s="61" t="str">
        <f>IFERROR(INDEX(TableQBMaster[Custom],MATCH(TableQBCalcPts[[#This Row],[QBRef]],TableQBMaster[QBRef],0)),"")</f>
        <v/>
      </c>
      <c r="H79" s="60">
        <f>IFERROR(RANK(TableRBCalcPts[[#This Row],[Custom]],TableRBCalcPts[Custom])+COUNTIF($M$3:M79,M79)-1,"")</f>
        <v>39</v>
      </c>
      <c r="I79" s="60">
        <v>77</v>
      </c>
      <c r="J79" s="60" t="str">
        <f>IFERROR(INDEX(TableRBMaster[Player],MATCH(TableRBCalcPts[[#This Row],[RBRef]],TableRBMaster[RBRef],0)),"")</f>
        <v>Jamaal Williams</v>
      </c>
      <c r="K79" s="60" t="str">
        <f>IFERROR(INDEX(TableRBMaster[TM],MATCH(TableRBCalcPts[[#This Row],[RBRef]],TableRBMaster[RBRef],0)),"")</f>
        <v>NO</v>
      </c>
      <c r="L79" s="60">
        <f>IFERROR(INDEX(TableRBMaster[BYE],MATCH(TableRBCalcPts[[#This Row],[RBRef]],TableRBMaster[RBRef],0)),"")</f>
        <v>11</v>
      </c>
      <c r="M79" s="61">
        <f>IFERROR(INDEX(TableRBMaster[Custom],MATCH(TableRBCalcPts[[#This Row],[RBRef]],TableRBMaster[RBRef],0)),"")</f>
        <v>131.74018152559984</v>
      </c>
      <c r="O79" s="60">
        <f>IFERROR(RANK(TableWRCalcPts[[#This Row],[Custom]],TableWRCalcPts[Custom])+COUNTIF($T$3:T79,T79)-1,"")</f>
        <v>65</v>
      </c>
      <c r="P79" s="60">
        <v>77</v>
      </c>
      <c r="Q79" s="60" t="str">
        <f>IFERROR(INDEX(TableWRMaster[Player],MATCH(TableWRCalcPts[[#This Row],[WRRef]],TableWRMaster[WRRef],0)),"")</f>
        <v>Kadarius Toney</v>
      </c>
      <c r="R79" s="60" t="str">
        <f>IFERROR(INDEX(TableWRMaster[TM],MATCH(TableWRCalcPts[[#This Row],[WRRef]],TableWRMaster[WRRef],0)),"")</f>
        <v>KC</v>
      </c>
      <c r="S79" s="60">
        <f>IFERROR(INDEX(TableWRMaster[BYE],MATCH(TableWRCalcPts[[#This Row],[WRRef]],TableWRMaster[WRRef],0)),"")</f>
        <v>10</v>
      </c>
      <c r="T79" s="61">
        <f>IFERROR(INDEX(TableWRMaster[Custom],MATCH(TableWRCalcPts[[#This Row],[WRRef]],TableWRMaster[WRRef],0)),"")</f>
        <v>115.6532121174868</v>
      </c>
      <c r="V79" s="60">
        <f>IFERROR(RANK(TableTECalcPts[[#This Row],[Custom]],TableTECalcPts[Custom])+COUNTIF($AA$3:AA79,AA79)-1,"")</f>
        <v>43</v>
      </c>
      <c r="W79" s="60">
        <v>77</v>
      </c>
      <c r="X79" s="60" t="str">
        <f>IFERROR(INDEX(TableTEMaster[Player],MATCH(TableTECalcPts[[#This Row],[TERef]],TableTEMaster[TERef],0)),"")</f>
        <v>Will Dissly</v>
      </c>
      <c r="Y79" s="60" t="str">
        <f>IFERROR(INDEX(TableTEMaster[TM],MATCH(TableTECalcPts[[#This Row],[TERef]],TableTEMaster[TERef],0)),"")</f>
        <v>SEA</v>
      </c>
      <c r="Z79" s="60">
        <f>IFERROR(INDEX(TableTEMaster[BYE],MATCH(TableTECalcPts[[#This Row],[TERef]],TableTEMaster[TERef],0)),"")</f>
        <v>5</v>
      </c>
      <c r="AA79" s="61">
        <f>IFERROR(INDEX(TableTEMaster[Custom],MATCH(TableTECalcPts[[#This Row],[TERef]],TableTEMaster[TERef],0)),"")</f>
        <v>42.965516367240703</v>
      </c>
      <c r="AI79" s="60" t="s">
        <v>10</v>
      </c>
      <c r="AJ79" s="60">
        <f>IFERROR(RANK(TableWRTECalcPts[[#This Row],[Custom]],TableWRTECalcPts[Custom])+COUNTIF($AP$3:AP79,AP79)-1,"")</f>
        <v>154</v>
      </c>
      <c r="AK79" s="60">
        <v>77</v>
      </c>
      <c r="AL79" s="60" t="str">
        <f>IFERROR(INDEX(TableTEMaster[Player],MATCH(TableWRTECalcPts[[#This Row],[POSRef]],TableTEMaster[TERef],0)),"")</f>
        <v>Will Dissly</v>
      </c>
      <c r="AM79" s="60" t="str">
        <f>IFERROR(_xlfn.CONCAT(TableWRTECalcPts[[#This Row],[POS]],INDEX(TableTERanks[RK],MATCH(TableWRTECalcPts[[#This Row],[PLAYER]],TableTERanks[Player],0))),"")</f>
        <v>TE43</v>
      </c>
      <c r="AN79" s="60" t="str">
        <f>IFERROR(INDEX(TableTEMaster[TM],MATCH(TableWRTECalcPts[[#This Row],[POSRef]],TableTEMaster[TERef],0)),"")</f>
        <v>SEA</v>
      </c>
      <c r="AO79" s="60">
        <f>IFERROR(INDEX(TableTEMaster[BYE],MATCH(TableWRTECalcPts[[#This Row],[POSRef]],TableTEMaster[TERef],0)),"")</f>
        <v>5</v>
      </c>
      <c r="AP79" s="61">
        <f>IFERROR(INDEX(TableTEMaster[Custom],MATCH(TableWRTECalcPts[[#This Row],[POSRef]],TableTEMaster[TERef],0)),"")</f>
        <v>42.965516367240703</v>
      </c>
    </row>
    <row r="80" spans="1:42" x14ac:dyDescent="0.2">
      <c r="A80" s="62" t="str">
        <f>IFERROR(RANK(TableQBCalcPts[[#This Row],[Custom]],TableQBCalcPts[Custom])+COUNTIF($F$3:F80,F80)-1,"")</f>
        <v/>
      </c>
      <c r="B80" s="60">
        <v>78</v>
      </c>
      <c r="C80" s="60" t="str">
        <f>IFERROR(INDEX(TableQBMaster[Player],MATCH(TableQBCalcPts[[#This Row],[QBRef]],TableQBMaster[QBRef],0)),"")</f>
        <v/>
      </c>
      <c r="D80" s="60" t="str">
        <f>IFERROR(INDEX(TableQBMaster[TM],MATCH(TableQBCalcPts[[#This Row],[QBRef]],TableQBMaster[QBRef],0)),"")</f>
        <v/>
      </c>
      <c r="E80" s="60" t="str">
        <f>IFERROR(INDEX(TableQBMaster[BYE],MATCH(TableQBCalcPts[[#This Row],[QBRef]],TableQBMaster[QBRef],0)),"")</f>
        <v/>
      </c>
      <c r="F80" s="61" t="str">
        <f>IFERROR(INDEX(TableQBMaster[Custom],MATCH(TableQBCalcPts[[#This Row],[QBRef]],TableQBMaster[QBRef],0)),"")</f>
        <v/>
      </c>
      <c r="H80" s="60">
        <f>IFERROR(RANK(TableRBCalcPts[[#This Row],[Custom]],TableRBCalcPts[Custom])+COUNTIF($M$3:M80,M80)-1,"")</f>
        <v>74</v>
      </c>
      <c r="I80" s="60">
        <v>78</v>
      </c>
      <c r="J80" s="60" t="str">
        <f>IFERROR(INDEX(TableRBMaster[Player],MATCH(TableRBCalcPts[[#This Row],[RBRef]],TableRBMaster[RBRef],0)),"")</f>
        <v>Kendre Miller</v>
      </c>
      <c r="K80" s="60" t="str">
        <f>IFERROR(INDEX(TableRBMaster[TM],MATCH(TableRBCalcPts[[#This Row],[RBRef]],TableRBMaster[RBRef],0)),"")</f>
        <v>NO</v>
      </c>
      <c r="L80" s="60">
        <f>IFERROR(INDEX(TableRBMaster[BYE],MATCH(TableRBCalcPts[[#This Row],[RBRef]],TableRBMaster[RBRef],0)),"")</f>
        <v>11</v>
      </c>
      <c r="M80" s="61">
        <f>IFERROR(INDEX(TableRBMaster[Custom],MATCH(TableRBCalcPts[[#This Row],[RBRef]],TableRBMaster[RBRef],0)),"")</f>
        <v>48.784507484923481</v>
      </c>
      <c r="O80" s="60">
        <f>IFERROR(RANK(TableWRCalcPts[[#This Row],[Custom]],TableWRCalcPts[Custom])+COUNTIF($T$3:T80,T80)-1,"")</f>
        <v>33</v>
      </c>
      <c r="P80" s="60">
        <v>78</v>
      </c>
      <c r="Q80" s="60" t="str">
        <f>IFERROR(INDEX(TableWRMaster[Player],MATCH(TableWRCalcPts[[#This Row],[WRRef]],TableWRMaster[WRRef],0)),"")</f>
        <v>Skyy Moore</v>
      </c>
      <c r="R80" s="60" t="str">
        <f>IFERROR(INDEX(TableWRMaster[TM],MATCH(TableWRCalcPts[[#This Row],[WRRef]],TableWRMaster[WRRef],0)),"")</f>
        <v>KC</v>
      </c>
      <c r="S80" s="60">
        <f>IFERROR(INDEX(TableWRMaster[BYE],MATCH(TableWRCalcPts[[#This Row],[WRRef]],TableWRMaster[WRRef],0)),"")</f>
        <v>10</v>
      </c>
      <c r="T80" s="61">
        <f>IFERROR(INDEX(TableWRMaster[Custom],MATCH(TableWRCalcPts[[#This Row],[WRRef]],TableWRMaster[WRRef],0)),"")</f>
        <v>168.88950711828755</v>
      </c>
      <c r="V80" s="60">
        <f>IFERROR(RANK(TableTECalcPts[[#This Row],[Custom]],TableTECalcPts[Custom])+COUNTIF($AA$3:AA80,AA80)-1,"")</f>
        <v>86</v>
      </c>
      <c r="W80" s="60">
        <v>78</v>
      </c>
      <c r="X80" s="60" t="str">
        <f>IFERROR(INDEX(TableTEMaster[Player],MATCH(TableTECalcPts[[#This Row],[TERef]],TableTEMaster[TERef],0)),"")</f>
        <v>Colby Parkinson</v>
      </c>
      <c r="Y80" s="60" t="str">
        <f>IFERROR(INDEX(TableTEMaster[TM],MATCH(TableTECalcPts[[#This Row],[TERef]],TableTEMaster[TERef],0)),"")</f>
        <v>SEA</v>
      </c>
      <c r="Z80" s="60">
        <f>IFERROR(INDEX(TableTEMaster[BYE],MATCH(TableTECalcPts[[#This Row],[TERef]],TableTEMaster[TERef],0)),"")</f>
        <v>5</v>
      </c>
      <c r="AA80" s="61">
        <f>IFERROR(INDEX(TableTEMaster[Custom],MATCH(TableTECalcPts[[#This Row],[TERef]],TableTEMaster[TERef],0)),"")</f>
        <v>8.1406506414917494</v>
      </c>
      <c r="AI80" s="60" t="s">
        <v>10</v>
      </c>
      <c r="AJ80" s="60">
        <f>IFERROR(RANK(TableWRTECalcPts[[#This Row],[Custom]],TableWRTECalcPts[Custom])+COUNTIF($AP$3:AP80,AP80)-1,"")</f>
        <v>246</v>
      </c>
      <c r="AK80" s="60">
        <v>78</v>
      </c>
      <c r="AL80" s="60" t="str">
        <f>IFERROR(INDEX(TableTEMaster[Player],MATCH(TableWRTECalcPts[[#This Row],[POSRef]],TableTEMaster[TERef],0)),"")</f>
        <v>Colby Parkinson</v>
      </c>
      <c r="AM80" s="60" t="str">
        <f>IFERROR(_xlfn.CONCAT(TableWRTECalcPts[[#This Row],[POS]],INDEX(TableTERanks[RK],MATCH(TableWRTECalcPts[[#This Row],[PLAYER]],TableTERanks[Player],0))),"")</f>
        <v>TE86</v>
      </c>
      <c r="AN80" s="60" t="str">
        <f>IFERROR(INDEX(TableTEMaster[TM],MATCH(TableWRTECalcPts[[#This Row],[POSRef]],TableTEMaster[TERef],0)),"")</f>
        <v>SEA</v>
      </c>
      <c r="AO80" s="60">
        <f>IFERROR(INDEX(TableTEMaster[BYE],MATCH(TableWRTECalcPts[[#This Row],[POSRef]],TableTEMaster[TERef],0)),"")</f>
        <v>5</v>
      </c>
      <c r="AP80" s="61">
        <f>IFERROR(INDEX(TableTEMaster[Custom],MATCH(TableWRTECalcPts[[#This Row],[POSRef]],TableTEMaster[TERef],0)),"")</f>
        <v>8.1406506414917494</v>
      </c>
    </row>
    <row r="81" spans="1:42" x14ac:dyDescent="0.2">
      <c r="A81" s="62" t="str">
        <f>IFERROR(RANK(TableQBCalcPts[[#This Row],[Custom]],TableQBCalcPts[Custom])+COUNTIF($F$3:F81,F81)-1,"")</f>
        <v/>
      </c>
      <c r="B81" s="60">
        <v>79</v>
      </c>
      <c r="C81" s="60" t="str">
        <f>IFERROR(INDEX(TableQBMaster[Player],MATCH(TableQBCalcPts[[#This Row],[QBRef]],TableQBMaster[QBRef],0)),"")</f>
        <v/>
      </c>
      <c r="D81" s="60" t="str">
        <f>IFERROR(INDEX(TableQBMaster[TM],MATCH(TableQBCalcPts[[#This Row],[QBRef]],TableQBMaster[QBRef],0)),"")</f>
        <v/>
      </c>
      <c r="E81" s="60" t="str">
        <f>IFERROR(INDEX(TableQBMaster[BYE],MATCH(TableQBCalcPts[[#This Row],[QBRef]],TableQBMaster[QBRef],0)),"")</f>
        <v/>
      </c>
      <c r="F81" s="61" t="str">
        <f>IFERROR(INDEX(TableQBMaster[Custom],MATCH(TableQBCalcPts[[#This Row],[QBRef]],TableQBMaster[QBRef],0)),"")</f>
        <v/>
      </c>
      <c r="H81" s="60">
        <f>IFERROR(RANK(TableRBCalcPts[[#This Row],[Custom]],TableRBCalcPts[Custom])+COUNTIF($M$3:M81,M81)-1,"")</f>
        <v>5</v>
      </c>
      <c r="I81" s="60">
        <v>79</v>
      </c>
      <c r="J81" s="60" t="str">
        <f>IFERROR(INDEX(TableRBMaster[Player],MATCH(TableRBCalcPts[[#This Row],[RBRef]],TableRBMaster[RBRef],0)),"")</f>
        <v>Saquon Barkley</v>
      </c>
      <c r="K81" s="60" t="str">
        <f>IFERROR(INDEX(TableRBMaster[TM],MATCH(TableRBCalcPts[[#This Row],[RBRef]],TableRBMaster[RBRef],0)),"")</f>
        <v>NYG</v>
      </c>
      <c r="L81" s="60">
        <f>IFERROR(INDEX(TableRBMaster[BYE],MATCH(TableRBCalcPts[[#This Row],[RBRef]],TableRBMaster[RBRef],0)),"")</f>
        <v>13</v>
      </c>
      <c r="M81" s="61">
        <f>IFERROR(INDEX(TableRBMaster[Custom],MATCH(TableRBCalcPts[[#This Row],[RBRef]],TableRBMaster[RBRef],0)),"")</f>
        <v>257.43786489805166</v>
      </c>
      <c r="O81" s="60">
        <f>IFERROR(RANK(TableWRCalcPts[[#This Row],[Custom]],TableWRCalcPts[Custom])+COUNTIF($T$3:T81,T81)-1,"")</f>
        <v>44</v>
      </c>
      <c r="P81" s="60">
        <v>79</v>
      </c>
      <c r="Q81" s="60" t="str">
        <f>IFERROR(INDEX(TableWRMaster[Player],MATCH(TableWRCalcPts[[#This Row],[WRRef]],TableWRMaster[WRRef],0)),"")</f>
        <v>Marquez Valdes-Scantling</v>
      </c>
      <c r="R81" s="60" t="str">
        <f>IFERROR(INDEX(TableWRMaster[TM],MATCH(TableWRCalcPts[[#This Row],[WRRef]],TableWRMaster[WRRef],0)),"")</f>
        <v>KC</v>
      </c>
      <c r="S81" s="60">
        <f>IFERROR(INDEX(TableWRMaster[BYE],MATCH(TableWRCalcPts[[#This Row],[WRRef]],TableWRMaster[WRRef],0)),"")</f>
        <v>10</v>
      </c>
      <c r="T81" s="61">
        <f>IFERROR(INDEX(TableWRMaster[Custom],MATCH(TableWRCalcPts[[#This Row],[WRRef]],TableWRMaster[WRRef],0)),"")</f>
        <v>149.61004613929302</v>
      </c>
      <c r="V81" s="60">
        <f>IFERROR(RANK(TableTECalcPts[[#This Row],[Custom]],TableTECalcPts[Custom])+COUNTIF($AA$3:AA81,AA81)-1,"")</f>
        <v>5</v>
      </c>
      <c r="W81" s="60">
        <v>79</v>
      </c>
      <c r="X81" s="60" t="str">
        <f>IFERROR(INDEX(TableTEMaster[Player],MATCH(TableTECalcPts[[#This Row],[TERef]],TableTEMaster[TERef],0)),"")</f>
        <v>George Kittle</v>
      </c>
      <c r="Y81" s="60" t="str">
        <f>IFERROR(INDEX(TableTEMaster[TM],MATCH(TableTECalcPts[[#This Row],[TERef]],TableTEMaster[TERef],0)),"")</f>
        <v>SF</v>
      </c>
      <c r="Z81" s="60">
        <f>IFERROR(INDEX(TableTEMaster[BYE],MATCH(TableTECalcPts[[#This Row],[TERef]],TableTEMaster[TERef],0)),"")</f>
        <v>9</v>
      </c>
      <c r="AA81" s="61">
        <f>IFERROR(INDEX(TableTEMaster[Custom],MATCH(TableTECalcPts[[#This Row],[TERef]],TableTEMaster[TERef],0)),"")</f>
        <v>160.72749918287673</v>
      </c>
      <c r="AI81" s="60" t="s">
        <v>10</v>
      </c>
      <c r="AJ81" s="60">
        <f>IFERROR(RANK(TableWRTECalcPts[[#This Row],[Custom]],TableWRTECalcPts[Custom])+COUNTIF($AP$3:AP81,AP81)-1,"")</f>
        <v>44</v>
      </c>
      <c r="AK81" s="60">
        <v>79</v>
      </c>
      <c r="AL81" s="60" t="str">
        <f>IFERROR(INDEX(TableTEMaster[Player],MATCH(TableWRTECalcPts[[#This Row],[POSRef]],TableTEMaster[TERef],0)),"")</f>
        <v>George Kittle</v>
      </c>
      <c r="AM81" s="60" t="str">
        <f>IFERROR(_xlfn.CONCAT(TableWRTECalcPts[[#This Row],[POS]],INDEX(TableTERanks[RK],MATCH(TableWRTECalcPts[[#This Row],[PLAYER]],TableTERanks[Player],0))),"")</f>
        <v>TE5</v>
      </c>
      <c r="AN81" s="60" t="str">
        <f>IFERROR(INDEX(TableTEMaster[TM],MATCH(TableWRTECalcPts[[#This Row],[POSRef]],TableTEMaster[TERef],0)),"")</f>
        <v>SF</v>
      </c>
      <c r="AO81" s="60">
        <f>IFERROR(INDEX(TableTEMaster[BYE],MATCH(TableWRTECalcPts[[#This Row],[POSRef]],TableTEMaster[TERef],0)),"")</f>
        <v>9</v>
      </c>
      <c r="AP81" s="61">
        <f>IFERROR(INDEX(TableTEMaster[Custom],MATCH(TableWRTECalcPts[[#This Row],[POSRef]],TableTEMaster[TERef],0)),"")</f>
        <v>160.72749918287673</v>
      </c>
    </row>
    <row r="82" spans="1:42" x14ac:dyDescent="0.2">
      <c r="A82" s="62" t="str">
        <f>IFERROR(RANK(TableQBCalcPts[[#This Row],[Custom]],TableQBCalcPts[Custom])+COUNTIF($F$3:F82,F82)-1,"")</f>
        <v/>
      </c>
      <c r="B82" s="60">
        <v>80</v>
      </c>
      <c r="C82" s="60" t="str">
        <f>IFERROR(INDEX(TableQBMaster[Player],MATCH(TableQBCalcPts[[#This Row],[QBRef]],TableQBMaster[QBRef],0)),"")</f>
        <v/>
      </c>
      <c r="D82" s="60" t="str">
        <f>IFERROR(INDEX(TableQBMaster[TM],MATCH(TableQBCalcPts[[#This Row],[QBRef]],TableQBMaster[QBRef],0)),"")</f>
        <v/>
      </c>
      <c r="E82" s="60" t="str">
        <f>IFERROR(INDEX(TableQBMaster[BYE],MATCH(TableQBCalcPts[[#This Row],[QBRef]],TableQBMaster[QBRef],0)),"")</f>
        <v/>
      </c>
      <c r="F82" s="61" t="str">
        <f>IFERROR(INDEX(TableQBMaster[Custom],MATCH(TableQBCalcPts[[#This Row],[QBRef]],TableQBMaster[QBRef],0)),"")</f>
        <v/>
      </c>
      <c r="H82" s="60">
        <f>IFERROR(RANK(TableRBCalcPts[[#This Row],[Custom]],TableRBCalcPts[Custom])+COUNTIF($M$3:M82,M82)-1,"")</f>
        <v>71</v>
      </c>
      <c r="I82" s="60">
        <v>80</v>
      </c>
      <c r="J82" s="60" t="str">
        <f>IFERROR(INDEX(TableRBMaster[Player],MATCH(TableRBCalcPts[[#This Row],[RBRef]],TableRBMaster[RBRef],0)),"")</f>
        <v>Matt Breida</v>
      </c>
      <c r="K82" s="60" t="str">
        <f>IFERROR(INDEX(TableRBMaster[TM],MATCH(TableRBCalcPts[[#This Row],[RBRef]],TableRBMaster[RBRef],0)),"")</f>
        <v>NYG</v>
      </c>
      <c r="L82" s="60">
        <f>IFERROR(INDEX(TableRBMaster[BYE],MATCH(TableRBCalcPts[[#This Row],[RBRef]],TableRBMaster[RBRef],0)),"")</f>
        <v>13</v>
      </c>
      <c r="M82" s="61">
        <f>IFERROR(INDEX(TableRBMaster[Custom],MATCH(TableRBCalcPts[[#This Row],[RBRef]],TableRBMaster[RBRef],0)),"")</f>
        <v>56.452478120573126</v>
      </c>
      <c r="O82" s="60">
        <f>IFERROR(RANK(TableWRCalcPts[[#This Row],[Custom]],TableWRCalcPts[Custom])+COUNTIF($T$3:T82,T82)-1,"")</f>
        <v>108</v>
      </c>
      <c r="P82" s="60">
        <v>80</v>
      </c>
      <c r="Q82" s="60" t="str">
        <f>IFERROR(INDEX(TableWRMaster[Player],MATCH(TableWRCalcPts[[#This Row],[WRRef]],TableWRMaster[WRRef],0)),"")</f>
        <v>Richie James</v>
      </c>
      <c r="R82" s="60" t="str">
        <f>IFERROR(INDEX(TableWRMaster[TM],MATCH(TableWRCalcPts[[#This Row],[WRRef]],TableWRMaster[WRRef],0)),"")</f>
        <v>KC</v>
      </c>
      <c r="S82" s="60">
        <f>IFERROR(INDEX(TableWRMaster[BYE],MATCH(TableWRCalcPts[[#This Row],[WRRef]],TableWRMaster[WRRef],0)),"")</f>
        <v>10</v>
      </c>
      <c r="T82" s="61">
        <f>IFERROR(INDEX(TableWRMaster[Custom],MATCH(TableWRCalcPts[[#This Row],[WRRef]],TableWRMaster[WRRef],0)),"")</f>
        <v>54.595342488959986</v>
      </c>
      <c r="V82" s="60">
        <f>IFERROR(RANK(TableTECalcPts[[#This Row],[Custom]],TableTECalcPts[Custom])+COUNTIF($AA$3:AA82,AA82)-1,"")</f>
        <v>80</v>
      </c>
      <c r="W82" s="60">
        <v>80</v>
      </c>
      <c r="X82" s="60" t="str">
        <f>IFERROR(INDEX(TableTEMaster[Player],MATCH(TableTECalcPts[[#This Row],[TERef]],TableTEMaster[TERef],0)),"")</f>
        <v>Charlie Woerner</v>
      </c>
      <c r="Y82" s="60" t="str">
        <f>IFERROR(INDEX(TableTEMaster[TM],MATCH(TableTECalcPts[[#This Row],[TERef]],TableTEMaster[TERef],0)),"")</f>
        <v>SF</v>
      </c>
      <c r="Z82" s="60">
        <f>IFERROR(INDEX(TableTEMaster[BYE],MATCH(TableTECalcPts[[#This Row],[TERef]],TableTEMaster[TERef],0)),"")</f>
        <v>9</v>
      </c>
      <c r="AA82" s="61">
        <f>IFERROR(INDEX(TableTEMaster[Custom],MATCH(TableTECalcPts[[#This Row],[TERef]],TableTEMaster[TERef],0)),"")</f>
        <v>11.655864573509518</v>
      </c>
      <c r="AI82" s="60" t="s">
        <v>10</v>
      </c>
      <c r="AJ82" s="60">
        <f>IFERROR(RANK(TableWRTECalcPts[[#This Row],[Custom]],TableWRTECalcPts[Custom])+COUNTIF($AP$3:AP82,AP82)-1,"")</f>
        <v>237</v>
      </c>
      <c r="AK82" s="60">
        <v>80</v>
      </c>
      <c r="AL82" s="60" t="str">
        <f>IFERROR(INDEX(TableTEMaster[Player],MATCH(TableWRTECalcPts[[#This Row],[POSRef]],TableTEMaster[TERef],0)),"")</f>
        <v>Charlie Woerner</v>
      </c>
      <c r="AM82" s="60" t="str">
        <f>IFERROR(_xlfn.CONCAT(TableWRTECalcPts[[#This Row],[POS]],INDEX(TableTERanks[RK],MATCH(TableWRTECalcPts[[#This Row],[PLAYER]],TableTERanks[Player],0))),"")</f>
        <v>TE80</v>
      </c>
      <c r="AN82" s="60" t="str">
        <f>IFERROR(INDEX(TableTEMaster[TM],MATCH(TableWRTECalcPts[[#This Row],[POSRef]],TableTEMaster[TERef],0)),"")</f>
        <v>SF</v>
      </c>
      <c r="AO82" s="60">
        <f>IFERROR(INDEX(TableTEMaster[BYE],MATCH(TableWRTECalcPts[[#This Row],[POSRef]],TableTEMaster[TERef],0)),"")</f>
        <v>9</v>
      </c>
      <c r="AP82" s="61">
        <f>IFERROR(INDEX(TableTEMaster[Custom],MATCH(TableWRTECalcPts[[#This Row],[POSRef]],TableTEMaster[TERef],0)),"")</f>
        <v>11.655864573509518</v>
      </c>
    </row>
    <row r="83" spans="1:42" x14ac:dyDescent="0.2">
      <c r="A83" s="62" t="str">
        <f>IFERROR(RANK(TableQBCalcPts[[#This Row],[Custom]],TableQBCalcPts[Custom])+COUNTIF($F$3:F83,F83)-1,"")</f>
        <v/>
      </c>
      <c r="B83" s="60">
        <v>81</v>
      </c>
      <c r="C83" s="60" t="str">
        <f>IFERROR(INDEX(TableQBMaster[Player],MATCH(TableQBCalcPts[[#This Row],[QBRef]],TableQBMaster[QBRef],0)),"")</f>
        <v/>
      </c>
      <c r="D83" s="60" t="str">
        <f>IFERROR(INDEX(TableQBMaster[TM],MATCH(TableQBCalcPts[[#This Row],[QBRef]],TableQBMaster[QBRef],0)),"")</f>
        <v/>
      </c>
      <c r="E83" s="60" t="str">
        <f>IFERROR(INDEX(TableQBMaster[BYE],MATCH(TableQBCalcPts[[#This Row],[QBRef]],TableQBMaster[QBRef],0)),"")</f>
        <v/>
      </c>
      <c r="F83" s="61" t="str">
        <f>IFERROR(INDEX(TableQBMaster[Custom],MATCH(TableQBCalcPts[[#This Row],[QBRef]],TableQBMaster[QBRef],0)),"")</f>
        <v/>
      </c>
      <c r="H83" s="60">
        <f>IFERROR(RANK(TableRBCalcPts[[#This Row],[Custom]],TableRBCalcPts[Custom])+COUNTIF($M$3:M83,M83)-1,"")</f>
        <v>82</v>
      </c>
      <c r="I83" s="60">
        <v>81</v>
      </c>
      <c r="J83" s="60" t="str">
        <f>IFERROR(INDEX(TableRBMaster[Player],MATCH(TableRBCalcPts[[#This Row],[RBRef]],TableRBMaster[RBRef],0)),"")</f>
        <v>Eric Gray</v>
      </c>
      <c r="K83" s="60" t="str">
        <f>IFERROR(INDEX(TableRBMaster[TM],MATCH(TableRBCalcPts[[#This Row],[RBRef]],TableRBMaster[RBRef],0)),"")</f>
        <v>NYG</v>
      </c>
      <c r="L83" s="60">
        <f>IFERROR(INDEX(TableRBMaster[BYE],MATCH(TableRBCalcPts[[#This Row],[RBRef]],TableRBMaster[RBRef],0)),"")</f>
        <v>13</v>
      </c>
      <c r="M83" s="61">
        <f>IFERROR(INDEX(TableRBMaster[Custom],MATCH(TableRBCalcPts[[#This Row],[RBRef]],TableRBMaster[RBRef],0)),"")</f>
        <v>35.268464973798864</v>
      </c>
      <c r="O83" s="60">
        <f>IFERROR(RANK(TableWRCalcPts[[#This Row],[Custom]],TableWRCalcPts[Custom])+COUNTIF($T$3:T83,T83)-1,"")</f>
        <v>104</v>
      </c>
      <c r="P83" s="60">
        <v>81</v>
      </c>
      <c r="Q83" s="60" t="str">
        <f>IFERROR(INDEX(TableWRMaster[Player],MATCH(TableWRCalcPts[[#This Row],[WRRef]],TableWRMaster[WRRef],0)),"")</f>
        <v>Rashee Rice</v>
      </c>
      <c r="R83" s="60" t="str">
        <f>IFERROR(INDEX(TableWRMaster[TM],MATCH(TableWRCalcPts[[#This Row],[WRRef]],TableWRMaster[WRRef],0)),"")</f>
        <v>KC</v>
      </c>
      <c r="S83" s="60">
        <f>IFERROR(INDEX(TableWRMaster[BYE],MATCH(TableWRCalcPts[[#This Row],[WRRef]],TableWRMaster[WRRef],0)),"")</f>
        <v>10</v>
      </c>
      <c r="T83" s="61">
        <f>IFERROR(INDEX(TableWRMaster[Custom],MATCH(TableWRCalcPts[[#This Row],[WRRef]],TableWRMaster[WRRef],0)),"")</f>
        <v>56.831704490872688</v>
      </c>
      <c r="V83" s="60">
        <f>IFERROR(RANK(TableTECalcPts[[#This Row],[Custom]],TableTECalcPts[Custom])+COUNTIF($AA$3:AA83,AA83)-1,"")</f>
        <v>63</v>
      </c>
      <c r="W83" s="60">
        <v>81</v>
      </c>
      <c r="X83" s="60" t="str">
        <f>IFERROR(INDEX(TableTEMaster[Player],MATCH(TableTECalcPts[[#This Row],[TERef]],TableTEMaster[TERef],0)),"")</f>
        <v>Ross Dwelley</v>
      </c>
      <c r="Y83" s="60" t="str">
        <f>IFERROR(INDEX(TableTEMaster[TM],MATCH(TableTECalcPts[[#This Row],[TERef]],TableTEMaster[TERef],0)),"")</f>
        <v>SF</v>
      </c>
      <c r="Z83" s="60">
        <f>IFERROR(INDEX(TableTEMaster[BYE],MATCH(TableTECalcPts[[#This Row],[TERef]],TableTEMaster[TERef],0)),"")</f>
        <v>9</v>
      </c>
      <c r="AA83" s="61">
        <f>IFERROR(INDEX(TableTEMaster[Custom],MATCH(TableTECalcPts[[#This Row],[TERef]],TableTEMaster[TERef],0)),"")</f>
        <v>21.379160225181359</v>
      </c>
      <c r="AI83" s="60" t="s">
        <v>10</v>
      </c>
      <c r="AJ83" s="60">
        <f>IFERROR(RANK(TableWRTECalcPts[[#This Row],[Custom]],TableWRTECalcPts[Custom])+COUNTIF($AP$3:AP83,AP83)-1,"")</f>
        <v>202</v>
      </c>
      <c r="AK83" s="60">
        <v>81</v>
      </c>
      <c r="AL83" s="60" t="str">
        <f>IFERROR(INDEX(TableTEMaster[Player],MATCH(TableWRTECalcPts[[#This Row],[POSRef]],TableTEMaster[TERef],0)),"")</f>
        <v>Ross Dwelley</v>
      </c>
      <c r="AM83" s="60" t="str">
        <f>IFERROR(_xlfn.CONCAT(TableWRTECalcPts[[#This Row],[POS]],INDEX(TableTERanks[RK],MATCH(TableWRTECalcPts[[#This Row],[PLAYER]],TableTERanks[Player],0))),"")</f>
        <v>TE63</v>
      </c>
      <c r="AN83" s="60" t="str">
        <f>IFERROR(INDEX(TableTEMaster[TM],MATCH(TableWRTECalcPts[[#This Row],[POSRef]],TableTEMaster[TERef],0)),"")</f>
        <v>SF</v>
      </c>
      <c r="AO83" s="60">
        <f>IFERROR(INDEX(TableTEMaster[BYE],MATCH(TableWRTECalcPts[[#This Row],[POSRef]],TableTEMaster[TERef],0)),"")</f>
        <v>9</v>
      </c>
      <c r="AP83" s="61">
        <f>IFERROR(INDEX(TableTEMaster[Custom],MATCH(TableWRTECalcPts[[#This Row],[POSRef]],TableTEMaster[TERef],0)),"")</f>
        <v>21.379160225181359</v>
      </c>
    </row>
    <row r="84" spans="1:42" x14ac:dyDescent="0.2">
      <c r="A84" s="62" t="str">
        <f>IFERROR(RANK(TableQBCalcPts[[#This Row],[Custom]],TableQBCalcPts[Custom])+COUNTIF($F$3:F84,F84)-1,"")</f>
        <v/>
      </c>
      <c r="B84" s="60">
        <v>82</v>
      </c>
      <c r="C84" s="60" t="str">
        <f>IFERROR(INDEX(TableQBMaster[Player],MATCH(TableQBCalcPts[[#This Row],[QBRef]],TableQBMaster[QBRef],0)),"")</f>
        <v/>
      </c>
      <c r="D84" s="60" t="str">
        <f>IFERROR(INDEX(TableQBMaster[TM],MATCH(TableQBCalcPts[[#This Row],[QBRef]],TableQBMaster[QBRef],0)),"")</f>
        <v/>
      </c>
      <c r="E84" s="60" t="str">
        <f>IFERROR(INDEX(TableQBMaster[BYE],MATCH(TableQBCalcPts[[#This Row],[QBRef]],TableQBMaster[QBRef],0)),"")</f>
        <v/>
      </c>
      <c r="F84" s="61" t="str">
        <f>IFERROR(INDEX(TableQBMaster[Custom],MATCH(TableQBCalcPts[[#This Row],[QBRef]],TableQBMaster[QBRef],0)),"")</f>
        <v/>
      </c>
      <c r="H84" s="60">
        <f>IFERROR(RANK(TableRBCalcPts[[#This Row],[Custom]],TableRBCalcPts[Custom])+COUNTIF($M$3:M84,M84)-1,"")</f>
        <v>26</v>
      </c>
      <c r="I84" s="60">
        <v>82</v>
      </c>
      <c r="J84" s="60" t="str">
        <f>IFERROR(INDEX(TableRBMaster[Player],MATCH(TableRBCalcPts[[#This Row],[RBRef]],TableRBMaster[RBRef],0)),"")</f>
        <v>Breece Hall</v>
      </c>
      <c r="K84" s="60" t="str">
        <f>IFERROR(INDEX(TableRBMaster[TM],MATCH(TableRBCalcPts[[#This Row],[RBRef]],TableRBMaster[RBRef],0)),"")</f>
        <v>NYJ</v>
      </c>
      <c r="L84" s="60">
        <f>IFERROR(INDEX(TableRBMaster[BYE],MATCH(TableRBCalcPts[[#This Row],[RBRef]],TableRBMaster[RBRef],0)),"")</f>
        <v>7</v>
      </c>
      <c r="M84" s="61">
        <f>IFERROR(INDEX(TableRBMaster[Custom],MATCH(TableRBCalcPts[[#This Row],[RBRef]],TableRBMaster[RBRef],0)),"")</f>
        <v>184.31202324745902</v>
      </c>
      <c r="O84" s="60">
        <f>IFERROR(RANK(TableWRCalcPts[[#This Row],[Custom]],TableWRCalcPts[Custom])+COUNTIF($T$3:T84,T84)-1,"")</f>
        <v>78</v>
      </c>
      <c r="P84" s="60">
        <v>82</v>
      </c>
      <c r="Q84" s="60" t="str">
        <f>IFERROR(INDEX(TableWRMaster[Player],MATCH(TableWRCalcPts[[#This Row],[WRRef]],TableWRMaster[WRRef],0)),"")</f>
        <v>Justyn Ross</v>
      </c>
      <c r="R84" s="60" t="str">
        <f>IFERROR(INDEX(TableWRMaster[TM],MATCH(TableWRCalcPts[[#This Row],[WRRef]],TableWRMaster[WRRef],0)),"")</f>
        <v>KC</v>
      </c>
      <c r="S84" s="60">
        <f>IFERROR(INDEX(TableWRMaster[BYE],MATCH(TableWRCalcPts[[#This Row],[WRRef]],TableWRMaster[WRRef],0)),"")</f>
        <v>10</v>
      </c>
      <c r="T84" s="61">
        <f>IFERROR(INDEX(TableWRMaster[Custom],MATCH(TableWRCalcPts[[#This Row],[WRRef]],TableWRMaster[WRRef],0)),"")</f>
        <v>92.112339109190401</v>
      </c>
      <c r="V84" s="60">
        <f>IFERROR(RANK(TableTECalcPts[[#This Row],[Custom]],TableTECalcPts[Custom])+COUNTIF($AA$3:AA84,AA84)-1,"")</f>
        <v>31</v>
      </c>
      <c r="W84" s="60">
        <v>82</v>
      </c>
      <c r="X84" s="60" t="str">
        <f>IFERROR(INDEX(TableTEMaster[Player],MATCH(TableTECalcPts[[#This Row],[TERef]],TableTEMaster[TERef],0)),"")</f>
        <v>Cade Otton</v>
      </c>
      <c r="Y84" s="60" t="str">
        <f>IFERROR(INDEX(TableTEMaster[TM],MATCH(TableTECalcPts[[#This Row],[TERef]],TableTEMaster[TERef],0)),"")</f>
        <v>TB</v>
      </c>
      <c r="Z84" s="60">
        <f>IFERROR(INDEX(TableTEMaster[BYE],MATCH(TableTECalcPts[[#This Row],[TERef]],TableTEMaster[TERef],0)),"")</f>
        <v>5</v>
      </c>
      <c r="AA84" s="61">
        <f>IFERROR(INDEX(TableTEMaster[Custom],MATCH(TableTECalcPts[[#This Row],[TERef]],TableTEMaster[TERef],0)),"")</f>
        <v>82.115765388526086</v>
      </c>
      <c r="AI84" s="60" t="s">
        <v>10</v>
      </c>
      <c r="AJ84" s="60">
        <f>IFERROR(RANK(TableWRTECalcPts[[#This Row],[Custom]],TableWRTECalcPts[Custom])+COUNTIF($AP$3:AP84,AP84)-1,"")</f>
        <v>120</v>
      </c>
      <c r="AK84" s="60">
        <v>82</v>
      </c>
      <c r="AL84" s="60" t="str">
        <f>IFERROR(INDEX(TableTEMaster[Player],MATCH(TableWRTECalcPts[[#This Row],[POSRef]],TableTEMaster[TERef],0)),"")</f>
        <v>Cade Otton</v>
      </c>
      <c r="AM84" s="60" t="str">
        <f>IFERROR(_xlfn.CONCAT(TableWRTECalcPts[[#This Row],[POS]],INDEX(TableTERanks[RK],MATCH(TableWRTECalcPts[[#This Row],[PLAYER]],TableTERanks[Player],0))),"")</f>
        <v>TE31</v>
      </c>
      <c r="AN84" s="60" t="str">
        <f>IFERROR(INDEX(TableTEMaster[TM],MATCH(TableWRTECalcPts[[#This Row],[POSRef]],TableTEMaster[TERef],0)),"")</f>
        <v>TB</v>
      </c>
      <c r="AO84" s="60">
        <f>IFERROR(INDEX(TableTEMaster[BYE],MATCH(TableWRTECalcPts[[#This Row],[POSRef]],TableTEMaster[TERef],0)),"")</f>
        <v>5</v>
      </c>
      <c r="AP84" s="61">
        <f>IFERROR(INDEX(TableTEMaster[Custom],MATCH(TableWRTECalcPts[[#This Row],[POSRef]],TableTEMaster[TERef],0)),"")</f>
        <v>82.115765388526086</v>
      </c>
    </row>
    <row r="85" spans="1:42" x14ac:dyDescent="0.2">
      <c r="A85" s="62" t="str">
        <f>IFERROR(RANK(TableQBCalcPts[[#This Row],[Custom]],TableQBCalcPts[Custom])+COUNTIF($F$3:F85,F85)-1,"")</f>
        <v/>
      </c>
      <c r="B85" s="60">
        <v>83</v>
      </c>
      <c r="C85" s="60" t="str">
        <f>IFERROR(INDEX(TableQBMaster[Player],MATCH(TableQBCalcPts[[#This Row],[QBRef]],TableQBMaster[QBRef],0)),"")</f>
        <v/>
      </c>
      <c r="D85" s="60" t="str">
        <f>IFERROR(INDEX(TableQBMaster[TM],MATCH(TableQBCalcPts[[#This Row],[QBRef]],TableQBMaster[QBRef],0)),"")</f>
        <v/>
      </c>
      <c r="E85" s="60" t="str">
        <f>IFERROR(INDEX(TableQBMaster[BYE],MATCH(TableQBCalcPts[[#This Row],[QBRef]],TableQBMaster[QBRef],0)),"")</f>
        <v/>
      </c>
      <c r="F85" s="61" t="str">
        <f>IFERROR(INDEX(TableQBMaster[Custom],MATCH(TableQBCalcPts[[#This Row],[QBRef]],TableQBMaster[QBRef],0)),"")</f>
        <v/>
      </c>
      <c r="H85" s="60">
        <f>IFERROR(RANK(TableRBCalcPts[[#This Row],[Custom]],TableRBCalcPts[Custom])+COUNTIF($M$3:M85,M85)-1,"")</f>
        <v>33</v>
      </c>
      <c r="I85" s="60">
        <v>83</v>
      </c>
      <c r="J85" s="60" t="str">
        <f>IFERROR(INDEX(TableRBMaster[Player],MATCH(TableRBCalcPts[[#This Row],[RBRef]],TableRBMaster[RBRef],0)),"")</f>
        <v>Dalvin Cook</v>
      </c>
      <c r="K85" s="60" t="str">
        <f>IFERROR(INDEX(TableRBMaster[TM],MATCH(TableRBCalcPts[[#This Row],[RBRef]],TableRBMaster[RBRef],0)),"")</f>
        <v>NYJ</v>
      </c>
      <c r="L85" s="60">
        <f>IFERROR(INDEX(TableRBMaster[BYE],MATCH(TableRBCalcPts[[#This Row],[RBRef]],TableRBMaster[RBRef],0)),"")</f>
        <v>7</v>
      </c>
      <c r="M85" s="61">
        <f>IFERROR(INDEX(TableRBMaster[Custom],MATCH(TableRBCalcPts[[#This Row],[RBRef]],TableRBMaster[RBRef],0)),"")</f>
        <v>160.13808023888697</v>
      </c>
      <c r="O85" s="60">
        <f>IFERROR(RANK(TableWRCalcPts[[#This Row],[Custom]],TableWRCalcPts[Custom])+COUNTIF($T$3:T85,T85)-1,"")</f>
        <v>19</v>
      </c>
      <c r="P85" s="60">
        <v>83</v>
      </c>
      <c r="Q85" s="60" t="str">
        <f>IFERROR(INDEX(TableWRMaster[Player],MATCH(TableWRCalcPts[[#This Row],[WRRef]],TableWRMaster[WRRef],0)),"")</f>
        <v>Keenan Allen</v>
      </c>
      <c r="R85" s="60" t="str">
        <f>IFERROR(INDEX(TableWRMaster[TM],MATCH(TableWRCalcPts[[#This Row],[WRRef]],TableWRMaster[WRRef],0)),"")</f>
        <v>LAC</v>
      </c>
      <c r="S85" s="60">
        <f>IFERROR(INDEX(TableWRMaster[BYE],MATCH(TableWRCalcPts[[#This Row],[WRRef]],TableWRMaster[WRRef],0)),"")</f>
        <v>5</v>
      </c>
      <c r="T85" s="61">
        <f>IFERROR(INDEX(TableWRMaster[Custom],MATCH(TableWRCalcPts[[#This Row],[WRRef]],TableWRMaster[WRRef],0)),"")</f>
        <v>188.37080588355121</v>
      </c>
      <c r="V85" s="60">
        <f>IFERROR(RANK(TableTECalcPts[[#This Row],[Custom]],TableTECalcPts[Custom])+COUNTIF($AA$3:AA85,AA85)-1,"")</f>
        <v>65</v>
      </c>
      <c r="W85" s="60">
        <v>83</v>
      </c>
      <c r="X85" s="60" t="str">
        <f>IFERROR(INDEX(TableTEMaster[Player],MATCH(TableTECalcPts[[#This Row],[TERef]],TableTEMaster[TERef],0)),"")</f>
        <v>Ko Kieft</v>
      </c>
      <c r="Y85" s="60" t="str">
        <f>IFERROR(INDEX(TableTEMaster[TM],MATCH(TableTECalcPts[[#This Row],[TERef]],TableTEMaster[TERef],0)),"")</f>
        <v>TB</v>
      </c>
      <c r="Z85" s="60">
        <f>IFERROR(INDEX(TableTEMaster[BYE],MATCH(TableTECalcPts[[#This Row],[TERef]],TableTEMaster[TERef],0)),"")</f>
        <v>5</v>
      </c>
      <c r="AA85" s="61">
        <f>IFERROR(INDEX(TableTEMaster[Custom],MATCH(TableTECalcPts[[#This Row],[TERef]],TableTEMaster[TERef],0)),"")</f>
        <v>20.890689470209896</v>
      </c>
      <c r="AI85" s="60" t="s">
        <v>10</v>
      </c>
      <c r="AJ85" s="60">
        <f>IFERROR(RANK(TableWRTECalcPts[[#This Row],[Custom]],TableWRTECalcPts[Custom])+COUNTIF($AP$3:AP85,AP85)-1,"")</f>
        <v>206</v>
      </c>
      <c r="AK85" s="60">
        <v>83</v>
      </c>
      <c r="AL85" s="60" t="str">
        <f>IFERROR(INDEX(TableTEMaster[Player],MATCH(TableWRTECalcPts[[#This Row],[POSRef]],TableTEMaster[TERef],0)),"")</f>
        <v>Ko Kieft</v>
      </c>
      <c r="AM85" s="60" t="str">
        <f>IFERROR(_xlfn.CONCAT(TableWRTECalcPts[[#This Row],[POS]],INDEX(TableTERanks[RK],MATCH(TableWRTECalcPts[[#This Row],[PLAYER]],TableTERanks[Player],0))),"")</f>
        <v>TE65</v>
      </c>
      <c r="AN85" s="60" t="str">
        <f>IFERROR(INDEX(TableTEMaster[TM],MATCH(TableWRTECalcPts[[#This Row],[POSRef]],TableTEMaster[TERef],0)),"")</f>
        <v>TB</v>
      </c>
      <c r="AO85" s="60">
        <f>IFERROR(INDEX(TableTEMaster[BYE],MATCH(TableWRTECalcPts[[#This Row],[POSRef]],TableTEMaster[TERef],0)),"")</f>
        <v>5</v>
      </c>
      <c r="AP85" s="61">
        <f>IFERROR(INDEX(TableTEMaster[Custom],MATCH(TableWRTECalcPts[[#This Row],[POSRef]],TableTEMaster[TERef],0)),"")</f>
        <v>20.890689470209896</v>
      </c>
    </row>
    <row r="86" spans="1:42" x14ac:dyDescent="0.2">
      <c r="A86" s="62" t="str">
        <f>IFERROR(RANK(TableQBCalcPts[[#This Row],[Custom]],TableQBCalcPts[Custom])+COUNTIF($F$3:F86,F86)-1,"")</f>
        <v/>
      </c>
      <c r="B86" s="60">
        <v>84</v>
      </c>
      <c r="C86" s="60" t="str">
        <f>IFERROR(INDEX(TableQBMaster[Player],MATCH(TableQBCalcPts[[#This Row],[QBRef]],TableQBMaster[QBRef],0)),"")</f>
        <v/>
      </c>
      <c r="D86" s="60" t="str">
        <f>IFERROR(INDEX(TableQBMaster[TM],MATCH(TableQBCalcPts[[#This Row],[QBRef]],TableQBMaster[QBRef],0)),"")</f>
        <v/>
      </c>
      <c r="E86" s="60" t="str">
        <f>IFERROR(INDEX(TableQBMaster[BYE],MATCH(TableQBCalcPts[[#This Row],[QBRef]],TableQBMaster[QBRef],0)),"")</f>
        <v/>
      </c>
      <c r="F86" s="61" t="str">
        <f>IFERROR(INDEX(TableQBMaster[Custom],MATCH(TableQBCalcPts[[#This Row],[QBRef]],TableQBMaster[QBRef],0)),"")</f>
        <v/>
      </c>
      <c r="H86" s="60">
        <f>IFERROR(RANK(TableRBCalcPts[[#This Row],[Custom]],TableRBCalcPts[Custom])+COUNTIF($M$3:M86,M86)-1,"")</f>
        <v>81</v>
      </c>
      <c r="I86" s="60">
        <v>84</v>
      </c>
      <c r="J86" s="60" t="str">
        <f>IFERROR(INDEX(TableRBMaster[Player],MATCH(TableRBCalcPts[[#This Row],[RBRef]],TableRBMaster[RBRef],0)),"")</f>
        <v>Michael Carter</v>
      </c>
      <c r="K86" s="60" t="str">
        <f>IFERROR(INDEX(TableRBMaster[TM],MATCH(TableRBCalcPts[[#This Row],[RBRef]],TableRBMaster[RBRef],0)),"")</f>
        <v>NYJ</v>
      </c>
      <c r="L86" s="60">
        <f>IFERROR(INDEX(TableRBMaster[BYE],MATCH(TableRBCalcPts[[#This Row],[RBRef]],TableRBMaster[RBRef],0)),"")</f>
        <v>7</v>
      </c>
      <c r="M86" s="61">
        <f>IFERROR(INDEX(TableRBMaster[Custom],MATCH(TableRBCalcPts[[#This Row],[RBRef]],TableRBMaster[RBRef],0)),"")</f>
        <v>36.499274480778766</v>
      </c>
      <c r="O86" s="60">
        <f>IFERROR(RANK(TableWRCalcPts[[#This Row],[Custom]],TableWRCalcPts[Custom])+COUNTIF($T$3:T86,T86)-1,"")</f>
        <v>23</v>
      </c>
      <c r="P86" s="60">
        <v>84</v>
      </c>
      <c r="Q86" s="60" t="str">
        <f>IFERROR(INDEX(TableWRMaster[Player],MATCH(TableWRCalcPts[[#This Row],[WRRef]],TableWRMaster[WRRef],0)),"")</f>
        <v>Mike Williams</v>
      </c>
      <c r="R86" s="60" t="str">
        <f>IFERROR(INDEX(TableWRMaster[TM],MATCH(TableWRCalcPts[[#This Row],[WRRef]],TableWRMaster[WRRef],0)),"")</f>
        <v>LAC</v>
      </c>
      <c r="S86" s="60">
        <f>IFERROR(INDEX(TableWRMaster[BYE],MATCH(TableWRCalcPts[[#This Row],[WRRef]],TableWRMaster[WRRef],0)),"")</f>
        <v>5</v>
      </c>
      <c r="T86" s="61">
        <f>IFERROR(INDEX(TableWRMaster[Custom],MATCH(TableWRCalcPts[[#This Row],[WRRef]],TableWRMaster[WRRef],0)),"")</f>
        <v>184.79340105256802</v>
      </c>
      <c r="V86" s="60">
        <f>IFERROR(RANK(TableTECalcPts[[#This Row],[Custom]],TableTECalcPts[Custom])+COUNTIF($AA$3:AA86,AA86)-1,"")</f>
        <v>89</v>
      </c>
      <c r="W86" s="60">
        <v>84</v>
      </c>
      <c r="X86" s="60" t="str">
        <f>IFERROR(INDEX(TableTEMaster[Player],MATCH(TableTECalcPts[[#This Row],[TERef]],TableTEMaster[TERef],0)),"")</f>
        <v>Payne Durham</v>
      </c>
      <c r="Y86" s="60" t="str">
        <f>IFERROR(INDEX(TableTEMaster[TM],MATCH(TableTECalcPts[[#This Row],[TERef]],TableTEMaster[TERef],0)),"")</f>
        <v>TB</v>
      </c>
      <c r="Z86" s="60">
        <f>IFERROR(INDEX(TableTEMaster[BYE],MATCH(TableTECalcPts[[#This Row],[TERef]],TableTEMaster[TERef],0)),"")</f>
        <v>5</v>
      </c>
      <c r="AA86" s="61">
        <f>IFERROR(INDEX(TableTEMaster[Custom],MATCH(TableTECalcPts[[#This Row],[TERef]],TableTEMaster[TERef],0)),"")</f>
        <v>7.5061367673600001</v>
      </c>
      <c r="AI86" s="60" t="s">
        <v>10</v>
      </c>
      <c r="AJ86" s="60">
        <f>IFERROR(RANK(TableWRTECalcPts[[#This Row],[Custom]],TableWRTECalcPts[Custom])+COUNTIF($AP$3:AP86,AP86)-1,"")</f>
        <v>249</v>
      </c>
      <c r="AK86" s="60">
        <v>84</v>
      </c>
      <c r="AL86" s="60" t="str">
        <f>IFERROR(INDEX(TableTEMaster[Player],MATCH(TableWRTECalcPts[[#This Row],[POSRef]],TableTEMaster[TERef],0)),"")</f>
        <v>Payne Durham</v>
      </c>
      <c r="AM86" s="60" t="str">
        <f>IFERROR(_xlfn.CONCAT(TableWRTECalcPts[[#This Row],[POS]],INDEX(TableTERanks[RK],MATCH(TableWRTECalcPts[[#This Row],[PLAYER]],TableTERanks[Player],0))),"")</f>
        <v>TE89</v>
      </c>
      <c r="AN86" s="60" t="str">
        <f>IFERROR(INDEX(TableTEMaster[TM],MATCH(TableWRTECalcPts[[#This Row],[POSRef]],TableTEMaster[TERef],0)),"")</f>
        <v>TB</v>
      </c>
      <c r="AO86" s="60">
        <f>IFERROR(INDEX(TableTEMaster[BYE],MATCH(TableWRTECalcPts[[#This Row],[POSRef]],TableTEMaster[TERef],0)),"")</f>
        <v>5</v>
      </c>
      <c r="AP86" s="61">
        <f>IFERROR(INDEX(TableTEMaster[Custom],MATCH(TableWRTECalcPts[[#This Row],[POSRef]],TableTEMaster[TERef],0)),"")</f>
        <v>7.5061367673600001</v>
      </c>
    </row>
    <row r="87" spans="1:42" x14ac:dyDescent="0.2">
      <c r="A87" s="62" t="str">
        <f>IFERROR(RANK(TableQBCalcPts[[#This Row],[Custom]],TableQBCalcPts[Custom])+COUNTIF($F$3:F87,F87)-1,"")</f>
        <v/>
      </c>
      <c r="B87" s="60">
        <v>85</v>
      </c>
      <c r="C87" s="60" t="str">
        <f>IFERROR(INDEX(TableQBMaster[Player],MATCH(TableQBCalcPts[[#This Row],[QBRef]],TableQBMaster[QBRef],0)),"")</f>
        <v/>
      </c>
      <c r="D87" s="60" t="str">
        <f>IFERROR(INDEX(TableQBMaster[TM],MATCH(TableQBCalcPts[[#This Row],[QBRef]],TableQBMaster[QBRef],0)),"")</f>
        <v/>
      </c>
      <c r="E87" s="60" t="str">
        <f>IFERROR(INDEX(TableQBMaster[BYE],MATCH(TableQBCalcPts[[#This Row],[QBRef]],TableQBMaster[QBRef],0)),"")</f>
        <v/>
      </c>
      <c r="F87" s="61" t="str">
        <f>IFERROR(INDEX(TableQBMaster[Custom],MATCH(TableQBCalcPts[[#This Row],[QBRef]],TableQBMaster[QBRef],0)),"")</f>
        <v/>
      </c>
      <c r="H87" s="60">
        <f>IFERROR(RANK(TableRBCalcPts[[#This Row],[Custom]],TableRBCalcPts[Custom])+COUNTIF($M$3:M87,M87)-1,"")</f>
        <v>108</v>
      </c>
      <c r="I87" s="60">
        <v>85</v>
      </c>
      <c r="J87" s="60" t="str">
        <f>IFERROR(INDEX(TableRBMaster[Player],MATCH(TableRBCalcPts[[#This Row],[RBRef]],TableRBMaster[RBRef],0)),"")</f>
        <v>Israel Abanikanda</v>
      </c>
      <c r="K87" s="60" t="str">
        <f>IFERROR(INDEX(TableRBMaster[TM],MATCH(TableRBCalcPts[[#This Row],[RBRef]],TableRBMaster[RBRef],0)),"")</f>
        <v>NYJ</v>
      </c>
      <c r="L87" s="60">
        <f>IFERROR(INDEX(TableRBMaster[BYE],MATCH(TableRBCalcPts[[#This Row],[RBRef]],TableRBMaster[RBRef],0)),"")</f>
        <v>7</v>
      </c>
      <c r="M87" s="61">
        <f>IFERROR(INDEX(TableRBMaster[Custom],MATCH(TableRBCalcPts[[#This Row],[RBRef]],TableRBMaster[RBRef],0)),"")</f>
        <v>11.350663613972769</v>
      </c>
      <c r="O87" s="60">
        <f>IFERROR(RANK(TableWRCalcPts[[#This Row],[Custom]],TableWRCalcPts[Custom])+COUNTIF($T$3:T87,T87)-1,"")</f>
        <v>49</v>
      </c>
      <c r="P87" s="60">
        <v>85</v>
      </c>
      <c r="Q87" s="60" t="str">
        <f>IFERROR(INDEX(TableWRMaster[Player],MATCH(TableWRCalcPts[[#This Row],[WRRef]],TableWRMaster[WRRef],0)),"")</f>
        <v>Quentin Johnston</v>
      </c>
      <c r="R87" s="60" t="str">
        <f>IFERROR(INDEX(TableWRMaster[TM],MATCH(TableWRCalcPts[[#This Row],[WRRef]],TableWRMaster[WRRef],0)),"")</f>
        <v>LAC</v>
      </c>
      <c r="S87" s="60">
        <f>IFERROR(INDEX(TableWRMaster[BYE],MATCH(TableWRCalcPts[[#This Row],[WRRef]],TableWRMaster[WRRef],0)),"")</f>
        <v>5</v>
      </c>
      <c r="T87" s="61">
        <f>IFERROR(INDEX(TableWRMaster[Custom],MATCH(TableWRCalcPts[[#This Row],[WRRef]],TableWRMaster[WRRef],0)),"")</f>
        <v>146.30157488677921</v>
      </c>
      <c r="V87" s="60">
        <f>IFERROR(RANK(TableTECalcPts[[#This Row],[Custom]],TableTECalcPts[Custom])+COUNTIF($AA$3:AA87,AA87)-1,"")</f>
        <v>12</v>
      </c>
      <c r="W87" s="60">
        <v>85</v>
      </c>
      <c r="X87" s="60" t="str">
        <f>IFERROR(INDEX(TableTEMaster[Player],MATCH(TableTECalcPts[[#This Row],[TERef]],TableTEMaster[TERef],0)),"")</f>
        <v>Chigoziem Okonkwo</v>
      </c>
      <c r="Y87" s="60" t="str">
        <f>IFERROR(INDEX(TableTEMaster[TM],MATCH(TableTECalcPts[[#This Row],[TERef]],TableTEMaster[TERef],0)),"")</f>
        <v>TEN</v>
      </c>
      <c r="Z87" s="60">
        <f>IFERROR(INDEX(TableTEMaster[BYE],MATCH(TableTECalcPts[[#This Row],[TERef]],TableTEMaster[TERef],0)),"")</f>
        <v>7</v>
      </c>
      <c r="AA87" s="61">
        <f>IFERROR(INDEX(TableTEMaster[Custom],MATCH(TableTECalcPts[[#This Row],[TERef]],TableTEMaster[TERef],0)),"")</f>
        <v>118.83018715312387</v>
      </c>
      <c r="AI87" s="60" t="s">
        <v>10</v>
      </c>
      <c r="AJ87" s="60">
        <f>IFERROR(RANK(TableWRTECalcPts[[#This Row],[Custom]],TableWRTECalcPts[Custom])+COUNTIF($AP$3:AP87,AP87)-1,"")</f>
        <v>75</v>
      </c>
      <c r="AK87" s="60">
        <v>85</v>
      </c>
      <c r="AL87" s="60" t="str">
        <f>IFERROR(INDEX(TableTEMaster[Player],MATCH(TableWRTECalcPts[[#This Row],[POSRef]],TableTEMaster[TERef],0)),"")</f>
        <v>Chigoziem Okonkwo</v>
      </c>
      <c r="AM87" s="60" t="str">
        <f>IFERROR(_xlfn.CONCAT(TableWRTECalcPts[[#This Row],[POS]],INDEX(TableTERanks[RK],MATCH(TableWRTECalcPts[[#This Row],[PLAYER]],TableTERanks[Player],0))),"")</f>
        <v>TE12</v>
      </c>
      <c r="AN87" s="60" t="str">
        <f>IFERROR(INDEX(TableTEMaster[TM],MATCH(TableWRTECalcPts[[#This Row],[POSRef]],TableTEMaster[TERef],0)),"")</f>
        <v>TEN</v>
      </c>
      <c r="AO87" s="60">
        <f>IFERROR(INDEX(TableTEMaster[BYE],MATCH(TableWRTECalcPts[[#This Row],[POSRef]],TableTEMaster[TERef],0)),"")</f>
        <v>7</v>
      </c>
      <c r="AP87" s="61">
        <f>IFERROR(INDEX(TableTEMaster[Custom],MATCH(TableWRTECalcPts[[#This Row],[POSRef]],TableTEMaster[TERef],0)),"")</f>
        <v>118.83018715312387</v>
      </c>
    </row>
    <row r="88" spans="1:42" x14ac:dyDescent="0.2">
      <c r="A88" s="62" t="str">
        <f>IFERROR(RANK(TableQBCalcPts[[#This Row],[Custom]],TableQBCalcPts[Custom])+COUNTIF($F$3:F88,F88)-1,"")</f>
        <v/>
      </c>
      <c r="B88" s="60">
        <v>86</v>
      </c>
      <c r="C88" s="60" t="str">
        <f>IFERROR(INDEX(TableQBMaster[Player],MATCH(TableQBCalcPts[[#This Row],[QBRef]],TableQBMaster[QBRef],0)),"")</f>
        <v/>
      </c>
      <c r="D88" s="60" t="str">
        <f>IFERROR(INDEX(TableQBMaster[TM],MATCH(TableQBCalcPts[[#This Row],[QBRef]],TableQBMaster[QBRef],0)),"")</f>
        <v/>
      </c>
      <c r="E88" s="60" t="str">
        <f>IFERROR(INDEX(TableQBMaster[BYE],MATCH(TableQBCalcPts[[#This Row],[QBRef]],TableQBMaster[QBRef],0)),"")</f>
        <v/>
      </c>
      <c r="F88" s="61" t="str">
        <f>IFERROR(INDEX(TableQBMaster[Custom],MATCH(TableQBCalcPts[[#This Row],[QBRef]],TableQBMaster[QBRef],0)),"")</f>
        <v/>
      </c>
      <c r="H88" s="60">
        <f>IFERROR(RANK(TableRBCalcPts[[#This Row],[Custom]],TableRBCalcPts[Custom])+COUNTIF($M$3:M88,M88)-1,"")</f>
        <v>34</v>
      </c>
      <c r="I88" s="60">
        <v>86</v>
      </c>
      <c r="J88" s="60" t="str">
        <f>IFERROR(INDEX(TableRBMaster[Player],MATCH(TableRBCalcPts[[#This Row],[RBRef]],TableRBMaster[RBRef],0)),"")</f>
        <v>D'Andre Swift</v>
      </c>
      <c r="K88" s="60" t="str">
        <f>IFERROR(INDEX(TableRBMaster[TM],MATCH(TableRBCalcPts[[#This Row],[RBRef]],TableRBMaster[RBRef],0)),"")</f>
        <v>PHI</v>
      </c>
      <c r="L88" s="60">
        <f>IFERROR(INDEX(TableRBMaster[BYE],MATCH(TableRBCalcPts[[#This Row],[RBRef]],TableRBMaster[RBRef],0)),"")</f>
        <v>10</v>
      </c>
      <c r="M88" s="61">
        <f>IFERROR(INDEX(TableRBMaster[Custom],MATCH(TableRBCalcPts[[#This Row],[RBRef]],TableRBMaster[RBRef],0)),"")</f>
        <v>158.55879954993404</v>
      </c>
      <c r="O88" s="60">
        <f>IFERROR(RANK(TableWRCalcPts[[#This Row],[Custom]],TableWRCalcPts[Custom])+COUNTIF($T$3:T88,T88)-1,"")</f>
        <v>98</v>
      </c>
      <c r="P88" s="60">
        <v>86</v>
      </c>
      <c r="Q88" s="60" t="str">
        <f>IFERROR(INDEX(TableWRMaster[Player],MATCH(TableWRCalcPts[[#This Row],[WRRef]],TableWRMaster[WRRef],0)),"")</f>
        <v>Joshua Palmer</v>
      </c>
      <c r="R88" s="60" t="str">
        <f>IFERROR(INDEX(TableWRMaster[TM],MATCH(TableWRCalcPts[[#This Row],[WRRef]],TableWRMaster[WRRef],0)),"")</f>
        <v>LAC</v>
      </c>
      <c r="S88" s="60">
        <f>IFERROR(INDEX(TableWRMaster[BYE],MATCH(TableWRCalcPts[[#This Row],[WRRef]],TableWRMaster[WRRef],0)),"")</f>
        <v>5</v>
      </c>
      <c r="T88" s="61">
        <f>IFERROR(INDEX(TableWRMaster[Custom],MATCH(TableWRCalcPts[[#This Row],[WRRef]],TableWRMaster[WRRef],0)),"")</f>
        <v>65.559330244799995</v>
      </c>
      <c r="V88" s="60">
        <f>IFERROR(RANK(TableTECalcPts[[#This Row],[Custom]],TableTECalcPts[Custom])+COUNTIF($AA$3:AA88,AA88)-1,"")</f>
        <v>51</v>
      </c>
      <c r="W88" s="60">
        <v>86</v>
      </c>
      <c r="X88" s="60" t="str">
        <f>IFERROR(INDEX(TableTEMaster[Player],MATCH(TableTECalcPts[[#This Row],[TERef]],TableTEMaster[TERef],0)),"")</f>
        <v>Trevon Wesco</v>
      </c>
      <c r="Y88" s="60" t="str">
        <f>IFERROR(INDEX(TableTEMaster[TM],MATCH(TableTECalcPts[[#This Row],[TERef]],TableTEMaster[TERef],0)),"")</f>
        <v>TEN</v>
      </c>
      <c r="Z88" s="60">
        <f>IFERROR(INDEX(TableTEMaster[BYE],MATCH(TableTECalcPts[[#This Row],[TERef]],TableTEMaster[TERef],0)),"")</f>
        <v>7</v>
      </c>
      <c r="AA88" s="61">
        <f>IFERROR(INDEX(TableTEMaster[Custom],MATCH(TableTECalcPts[[#This Row],[TERef]],TableTEMaster[TERef],0)),"")</f>
        <v>30.596001222191997</v>
      </c>
      <c r="AI88" s="60" t="s">
        <v>10</v>
      </c>
      <c r="AJ88" s="60">
        <f>IFERROR(RANK(TableWRTECalcPts[[#This Row],[Custom]],TableWRTECalcPts[Custom])+COUNTIF($AP$3:AP88,AP88)-1,"")</f>
        <v>176</v>
      </c>
      <c r="AK88" s="60">
        <v>86</v>
      </c>
      <c r="AL88" s="60" t="str">
        <f>IFERROR(INDEX(TableTEMaster[Player],MATCH(TableWRTECalcPts[[#This Row],[POSRef]],TableTEMaster[TERef],0)),"")</f>
        <v>Trevon Wesco</v>
      </c>
      <c r="AM88" s="60" t="str">
        <f>IFERROR(_xlfn.CONCAT(TableWRTECalcPts[[#This Row],[POS]],INDEX(TableTERanks[RK],MATCH(TableWRTECalcPts[[#This Row],[PLAYER]],TableTERanks[Player],0))),"")</f>
        <v>TE51</v>
      </c>
      <c r="AN88" s="60" t="str">
        <f>IFERROR(INDEX(TableTEMaster[TM],MATCH(TableWRTECalcPts[[#This Row],[POSRef]],TableTEMaster[TERef],0)),"")</f>
        <v>TEN</v>
      </c>
      <c r="AO88" s="60">
        <f>IFERROR(INDEX(TableTEMaster[BYE],MATCH(TableWRTECalcPts[[#This Row],[POSRef]],TableTEMaster[TERef],0)),"")</f>
        <v>7</v>
      </c>
      <c r="AP88" s="61">
        <f>IFERROR(INDEX(TableTEMaster[Custom],MATCH(TableWRTECalcPts[[#This Row],[POSRef]],TableTEMaster[TERef],0)),"")</f>
        <v>30.596001222191997</v>
      </c>
    </row>
    <row r="89" spans="1:42" x14ac:dyDescent="0.2">
      <c r="A89" s="62" t="str">
        <f>IFERROR(RANK(TableQBCalcPts[[#This Row],[Custom]],TableQBCalcPts[Custom])+COUNTIF($F$3:F89,F89)-1,"")</f>
        <v/>
      </c>
      <c r="B89" s="60">
        <v>87</v>
      </c>
      <c r="C89" s="60" t="str">
        <f>IFERROR(INDEX(TableQBMaster[Player],MATCH(TableQBCalcPts[[#This Row],[QBRef]],TableQBMaster[QBRef],0)),"")</f>
        <v/>
      </c>
      <c r="D89" s="60" t="str">
        <f>IFERROR(INDEX(TableQBMaster[TM],MATCH(TableQBCalcPts[[#This Row],[QBRef]],TableQBMaster[QBRef],0)),"")</f>
        <v/>
      </c>
      <c r="E89" s="60" t="str">
        <f>IFERROR(INDEX(TableQBMaster[BYE],MATCH(TableQBCalcPts[[#This Row],[QBRef]],TableQBMaster[QBRef],0)),"")</f>
        <v/>
      </c>
      <c r="F89" s="61" t="str">
        <f>IFERROR(INDEX(TableQBMaster[Custom],MATCH(TableQBCalcPts[[#This Row],[QBRef]],TableQBMaster[QBRef],0)),"")</f>
        <v/>
      </c>
      <c r="H89" s="60">
        <f>IFERROR(RANK(TableRBCalcPts[[#This Row],[Custom]],TableRBCalcPts[Custom])+COUNTIF($M$3:M89,M89)-1,"")</f>
        <v>45</v>
      </c>
      <c r="I89" s="60">
        <v>87</v>
      </c>
      <c r="J89" s="60" t="str">
        <f>IFERROR(INDEX(TableRBMaster[Player],MATCH(TableRBCalcPts[[#This Row],[RBRef]],TableRBMaster[RBRef],0)),"")</f>
        <v>Rashaad Penny</v>
      </c>
      <c r="K89" s="60" t="str">
        <f>IFERROR(INDEX(TableRBMaster[TM],MATCH(TableRBCalcPts[[#This Row],[RBRef]],TableRBMaster[RBRef],0)),"")</f>
        <v>PHI</v>
      </c>
      <c r="L89" s="60">
        <f>IFERROR(INDEX(TableRBMaster[BYE],MATCH(TableRBCalcPts[[#This Row],[RBRef]],TableRBMaster[RBRef],0)),"")</f>
        <v>10</v>
      </c>
      <c r="M89" s="61">
        <f>IFERROR(INDEX(TableRBMaster[Custom],MATCH(TableRBCalcPts[[#This Row],[RBRef]],TableRBMaster[RBRef],0)),"")</f>
        <v>116.11919779473679</v>
      </c>
      <c r="O89" s="60">
        <f>IFERROR(RANK(TableWRCalcPts[[#This Row],[Custom]],TableWRCalcPts[Custom])+COUNTIF($T$3:T89,T89)-1,"")</f>
        <v>153</v>
      </c>
      <c r="P89" s="60">
        <v>87</v>
      </c>
      <c r="Q89" s="60" t="str">
        <f>IFERROR(INDEX(TableWRMaster[Player],MATCH(TableWRCalcPts[[#This Row],[WRRef]],TableWRMaster[WRRef],0)),"")</f>
        <v>Derius Davis</v>
      </c>
      <c r="R89" s="60" t="str">
        <f>IFERROR(INDEX(TableWRMaster[TM],MATCH(TableWRCalcPts[[#This Row],[WRRef]],TableWRMaster[WRRef],0)),"")</f>
        <v>LAC</v>
      </c>
      <c r="S89" s="60">
        <f>IFERROR(INDEX(TableWRMaster[BYE],MATCH(TableWRCalcPts[[#This Row],[WRRef]],TableWRMaster[WRRef],0)),"")</f>
        <v>5</v>
      </c>
      <c r="T89" s="61">
        <f>IFERROR(INDEX(TableWRMaster[Custom],MATCH(TableWRCalcPts[[#This Row],[WRRef]],TableWRMaster[WRRef],0)),"")</f>
        <v>13.746683842113603</v>
      </c>
      <c r="V89" s="60">
        <f>IFERROR(RANK(TableTECalcPts[[#This Row],[Custom]],TableTECalcPts[Custom])+COUNTIF($AA$3:AA89,AA89)-1,"")</f>
        <v>70</v>
      </c>
      <c r="W89" s="60">
        <v>87</v>
      </c>
      <c r="X89" s="60" t="str">
        <f>IFERROR(INDEX(TableTEMaster[Player],MATCH(TableTECalcPts[[#This Row],[TERef]],TableTEMaster[TERef],0)),"")</f>
        <v>Josh Whyle</v>
      </c>
      <c r="Y89" s="60" t="str">
        <f>IFERROR(INDEX(TableTEMaster[TM],MATCH(TableTECalcPts[[#This Row],[TERef]],TableTEMaster[TERef],0)),"")</f>
        <v>TEN</v>
      </c>
      <c r="Z89" s="60">
        <f>IFERROR(INDEX(TableTEMaster[BYE],MATCH(TableTECalcPts[[#This Row],[TERef]],TableTEMaster[TERef],0)),"")</f>
        <v>7</v>
      </c>
      <c r="AA89" s="61">
        <f>IFERROR(INDEX(TableTEMaster[Custom],MATCH(TableTECalcPts[[#This Row],[TERef]],TableTEMaster[TERef],0)),"")</f>
        <v>16.71059312879585</v>
      </c>
      <c r="AI89" s="60" t="s">
        <v>10</v>
      </c>
      <c r="AJ89" s="60">
        <f>IFERROR(RANK(TableWRTECalcPts[[#This Row],[Custom]],TableWRTECalcPts[Custom])+COUNTIF($AP$3:AP89,AP89)-1,"")</f>
        <v>216</v>
      </c>
      <c r="AK89" s="60">
        <v>87</v>
      </c>
      <c r="AL89" s="60" t="str">
        <f>IFERROR(INDEX(TableTEMaster[Player],MATCH(TableWRTECalcPts[[#This Row],[POSRef]],TableTEMaster[TERef],0)),"")</f>
        <v>Josh Whyle</v>
      </c>
      <c r="AM89" s="60" t="str">
        <f>IFERROR(_xlfn.CONCAT(TableWRTECalcPts[[#This Row],[POS]],INDEX(TableTERanks[RK],MATCH(TableWRTECalcPts[[#This Row],[PLAYER]],TableTERanks[Player],0))),"")</f>
        <v>TE70</v>
      </c>
      <c r="AN89" s="60" t="str">
        <f>IFERROR(INDEX(TableTEMaster[TM],MATCH(TableWRTECalcPts[[#This Row],[POSRef]],TableTEMaster[TERef],0)),"")</f>
        <v>TEN</v>
      </c>
      <c r="AO89" s="60">
        <f>IFERROR(INDEX(TableTEMaster[BYE],MATCH(TableWRTECalcPts[[#This Row],[POSRef]],TableTEMaster[TERef],0)),"")</f>
        <v>7</v>
      </c>
      <c r="AP89" s="61">
        <f>IFERROR(INDEX(TableTEMaster[Custom],MATCH(TableWRTECalcPts[[#This Row],[POSRef]],TableTEMaster[TERef],0)),"")</f>
        <v>16.71059312879585</v>
      </c>
    </row>
    <row r="90" spans="1:42" x14ac:dyDescent="0.2">
      <c r="A90" s="62" t="str">
        <f>IFERROR(RANK(TableQBCalcPts[[#This Row],[Custom]],TableQBCalcPts[Custom])+COUNTIF($F$3:F90,F90)-1,"")</f>
        <v/>
      </c>
      <c r="B90" s="60">
        <v>88</v>
      </c>
      <c r="C90" s="60" t="str">
        <f>IFERROR(INDEX(TableQBMaster[Player],MATCH(TableQBCalcPts[[#This Row],[QBRef]],TableQBMaster[QBRef],0)),"")</f>
        <v/>
      </c>
      <c r="D90" s="60" t="str">
        <f>IFERROR(INDEX(TableQBMaster[TM],MATCH(TableQBCalcPts[[#This Row],[QBRef]],TableQBMaster[QBRef],0)),"")</f>
        <v/>
      </c>
      <c r="E90" s="60" t="str">
        <f>IFERROR(INDEX(TableQBMaster[BYE],MATCH(TableQBCalcPts[[#This Row],[QBRef]],TableQBMaster[QBRef],0)),"")</f>
        <v/>
      </c>
      <c r="F90" s="61" t="str">
        <f>IFERROR(INDEX(TableQBMaster[Custom],MATCH(TableQBCalcPts[[#This Row],[QBRef]],TableQBMaster[QBRef],0)),"")</f>
        <v/>
      </c>
      <c r="H90" s="60">
        <f>IFERROR(RANK(TableRBCalcPts[[#This Row],[Custom]],TableRBCalcPts[Custom])+COUNTIF($M$3:M90,M90)-1,"")</f>
        <v>53</v>
      </c>
      <c r="I90" s="60">
        <v>88</v>
      </c>
      <c r="J90" s="60" t="str">
        <f>IFERROR(INDEX(TableRBMaster[Player],MATCH(TableRBCalcPts[[#This Row],[RBRef]],TableRBMaster[RBRef],0)),"")</f>
        <v>Kenneth Gainwell</v>
      </c>
      <c r="K90" s="60" t="str">
        <f>IFERROR(INDEX(TableRBMaster[TM],MATCH(TableRBCalcPts[[#This Row],[RBRef]],TableRBMaster[RBRef],0)),"")</f>
        <v>PHI</v>
      </c>
      <c r="L90" s="60">
        <f>IFERROR(INDEX(TableRBMaster[BYE],MATCH(TableRBCalcPts[[#This Row],[RBRef]],TableRBMaster[RBRef],0)),"")</f>
        <v>10</v>
      </c>
      <c r="M90" s="61">
        <f>IFERROR(INDEX(TableRBMaster[Custom],MATCH(TableRBCalcPts[[#This Row],[RBRef]],TableRBMaster[RBRef],0)),"")</f>
        <v>101.2645883177376</v>
      </c>
      <c r="O90" s="60">
        <f>IFERROR(RANK(TableWRCalcPts[[#This Row],[Custom]],TableWRCalcPts[Custom])+COUNTIF($T$3:T90,T90)-1,"")</f>
        <v>58</v>
      </c>
      <c r="P90" s="60">
        <v>88</v>
      </c>
      <c r="Q90" s="60" t="str">
        <f>IFERROR(INDEX(TableWRMaster[Player],MATCH(TableWRCalcPts[[#This Row],[WRRef]],TableWRMaster[WRRef],0)),"")</f>
        <v>Van Jefferson</v>
      </c>
      <c r="R90" s="60" t="str">
        <f>IFERROR(INDEX(TableWRMaster[TM],MATCH(TableWRCalcPts[[#This Row],[WRRef]],TableWRMaster[WRRef],0)),"")</f>
        <v>LAR</v>
      </c>
      <c r="S90" s="60">
        <f>IFERROR(INDEX(TableWRMaster[BYE],MATCH(TableWRCalcPts[[#This Row],[WRRef]],TableWRMaster[WRRef],0)),"")</f>
        <v>10</v>
      </c>
      <c r="T90" s="61">
        <f>IFERROR(INDEX(TableWRMaster[Custom],MATCH(TableWRCalcPts[[#This Row],[WRRef]],TableWRMaster[WRRef],0)),"")</f>
        <v>130.16505343713359</v>
      </c>
      <c r="V90" s="60">
        <f>IFERROR(RANK(TableTECalcPts[[#This Row],[Custom]],TableTECalcPts[Custom])+COUNTIF($AA$3:AA90,AA90)-1,"")</f>
        <v>35</v>
      </c>
      <c r="W90" s="60">
        <v>88</v>
      </c>
      <c r="X90" s="60" t="str">
        <f>IFERROR(INDEX(TableTEMaster[Player],MATCH(TableTECalcPts[[#This Row],[TERef]],TableTEMaster[TERef],0)),"")</f>
        <v>Logan Thomas</v>
      </c>
      <c r="Y90" s="60" t="str">
        <f>IFERROR(INDEX(TableTEMaster[TM],MATCH(TableTECalcPts[[#This Row],[TERef]],TableTEMaster[TERef],0)),"")</f>
        <v>WSH</v>
      </c>
      <c r="Z90" s="60">
        <f>IFERROR(INDEX(TableTEMaster[BYE],MATCH(TableTECalcPts[[#This Row],[TERef]],TableTEMaster[TERef],0)),"")</f>
        <v>14</v>
      </c>
      <c r="AA90" s="61">
        <f>IFERROR(INDEX(TableTEMaster[Custom],MATCH(TableTECalcPts[[#This Row],[TERef]],TableTEMaster[TERef],0)),"")</f>
        <v>66.78321520699437</v>
      </c>
      <c r="AI90" s="60" t="s">
        <v>10</v>
      </c>
      <c r="AJ90" s="60">
        <f>IFERROR(RANK(TableWRTECalcPts[[#This Row],[Custom]],TableWRTECalcPts[Custom])+COUNTIF($AP$3:AP90,AP90)-1,"")</f>
        <v>132</v>
      </c>
      <c r="AK90" s="60">
        <v>88</v>
      </c>
      <c r="AL90" s="60" t="str">
        <f>IFERROR(INDEX(TableTEMaster[Player],MATCH(TableWRTECalcPts[[#This Row],[POSRef]],TableTEMaster[TERef],0)),"")</f>
        <v>Logan Thomas</v>
      </c>
      <c r="AM90" s="60" t="str">
        <f>IFERROR(_xlfn.CONCAT(TableWRTECalcPts[[#This Row],[POS]],INDEX(TableTERanks[RK],MATCH(TableWRTECalcPts[[#This Row],[PLAYER]],TableTERanks[Player],0))),"")</f>
        <v>TE35</v>
      </c>
      <c r="AN90" s="60" t="str">
        <f>IFERROR(INDEX(TableTEMaster[TM],MATCH(TableWRTECalcPts[[#This Row],[POSRef]],TableTEMaster[TERef],0)),"")</f>
        <v>WSH</v>
      </c>
      <c r="AO90" s="60">
        <f>IFERROR(INDEX(TableTEMaster[BYE],MATCH(TableWRTECalcPts[[#This Row],[POSRef]],TableTEMaster[TERef],0)),"")</f>
        <v>14</v>
      </c>
      <c r="AP90" s="61">
        <f>IFERROR(INDEX(TableTEMaster[Custom],MATCH(TableWRTECalcPts[[#This Row],[POSRef]],TableTEMaster[TERef],0)),"")</f>
        <v>66.78321520699437</v>
      </c>
    </row>
    <row r="91" spans="1:42" x14ac:dyDescent="0.2">
      <c r="A91" s="62" t="str">
        <f>IFERROR(RANK(TableQBCalcPts[[#This Row],[Custom]],TableQBCalcPts[Custom])+COUNTIF($F$3:F91,F91)-1,"")</f>
        <v/>
      </c>
      <c r="B91" s="60">
        <v>89</v>
      </c>
      <c r="C91" s="60" t="str">
        <f>IFERROR(INDEX(TableQBMaster[Player],MATCH(TableQBCalcPts[[#This Row],[QBRef]],TableQBMaster[QBRef],0)),"")</f>
        <v/>
      </c>
      <c r="D91" s="60" t="str">
        <f>IFERROR(INDEX(TableQBMaster[TM],MATCH(TableQBCalcPts[[#This Row],[QBRef]],TableQBMaster[QBRef],0)),"")</f>
        <v/>
      </c>
      <c r="E91" s="60" t="str">
        <f>IFERROR(INDEX(TableQBMaster[BYE],MATCH(TableQBCalcPts[[#This Row],[QBRef]],TableQBMaster[QBRef],0)),"")</f>
        <v/>
      </c>
      <c r="F91" s="61" t="str">
        <f>IFERROR(INDEX(TableQBMaster[Custom],MATCH(TableQBCalcPts[[#This Row],[QBRef]],TableQBMaster[QBRef],0)),"")</f>
        <v/>
      </c>
      <c r="H91" s="60">
        <f>IFERROR(RANK(TableRBCalcPts[[#This Row],[Custom]],TableRBCalcPts[Custom])+COUNTIF($M$3:M91,M91)-1,"")</f>
        <v>102</v>
      </c>
      <c r="I91" s="60">
        <v>89</v>
      </c>
      <c r="J91" s="60" t="str">
        <f>IFERROR(INDEX(TableRBMaster[Player],MATCH(TableRBCalcPts[[#This Row],[RBRef]],TableRBMaster[RBRef],0)),"")</f>
        <v>Boston Scott</v>
      </c>
      <c r="K91" s="60" t="str">
        <f>IFERROR(INDEX(TableRBMaster[TM],MATCH(TableRBCalcPts[[#This Row],[RBRef]],TableRBMaster[RBRef],0)),"")</f>
        <v>PHI</v>
      </c>
      <c r="L91" s="60">
        <f>IFERROR(INDEX(TableRBMaster[BYE],MATCH(TableRBCalcPts[[#This Row],[RBRef]],TableRBMaster[RBRef],0)),"")</f>
        <v>10</v>
      </c>
      <c r="M91" s="61">
        <f>IFERROR(INDEX(TableRBMaster[Custom],MATCH(TableRBCalcPts[[#This Row],[RBRef]],TableRBMaster[RBRef],0)),"")</f>
        <v>17.987356251254003</v>
      </c>
      <c r="O91" s="60">
        <f>IFERROR(RANK(TableWRCalcPts[[#This Row],[Custom]],TableWRCalcPts[Custom])+COUNTIF($T$3:T91,T91)-1,"")</f>
        <v>3</v>
      </c>
      <c r="P91" s="60">
        <v>89</v>
      </c>
      <c r="Q91" s="60" t="str">
        <f>IFERROR(INDEX(TableWRMaster[Player],MATCH(TableWRCalcPts[[#This Row],[WRRef]],TableWRMaster[WRRef],0)),"")</f>
        <v>Cooper Kupp</v>
      </c>
      <c r="R91" s="60" t="str">
        <f>IFERROR(INDEX(TableWRMaster[TM],MATCH(TableWRCalcPts[[#This Row],[WRRef]],TableWRMaster[WRRef],0)),"")</f>
        <v>LAR</v>
      </c>
      <c r="S91" s="60">
        <f>IFERROR(INDEX(TableWRMaster[BYE],MATCH(TableWRCalcPts[[#This Row],[WRRef]],TableWRMaster[WRRef],0)),"")</f>
        <v>10</v>
      </c>
      <c r="T91" s="61">
        <f>IFERROR(INDEX(TableWRMaster[Custom],MATCH(TableWRCalcPts[[#This Row],[WRRef]],TableWRMaster[WRRef],0)),"")</f>
        <v>258.64512105109765</v>
      </c>
      <c r="V91" s="60">
        <f>IFERROR(RANK(TableTECalcPts[[#This Row],[Custom]],TableTECalcPts[Custom])+COUNTIF($AA$3:AA91,AA91)-1,"")</f>
        <v>45</v>
      </c>
      <c r="W91" s="60">
        <v>89</v>
      </c>
      <c r="X91" s="60" t="str">
        <f>IFERROR(INDEX(TableTEMaster[Player],MATCH(TableTECalcPts[[#This Row],[TERef]],TableTEMaster[TERef],0)),"")</f>
        <v>Cole Turner</v>
      </c>
      <c r="Y91" s="60" t="str">
        <f>IFERROR(INDEX(TableTEMaster[TM],MATCH(TableTECalcPts[[#This Row],[TERef]],TableTEMaster[TERef],0)),"")</f>
        <v>WSH</v>
      </c>
      <c r="Z91" s="60">
        <f>IFERROR(INDEX(TableTEMaster[BYE],MATCH(TableTECalcPts[[#This Row],[TERef]],TableTEMaster[TERef],0)),"")</f>
        <v>14</v>
      </c>
      <c r="AA91" s="61">
        <f>IFERROR(INDEX(TableTEMaster[Custom],MATCH(TableTECalcPts[[#This Row],[TERef]],TableTEMaster[TERef],0)),"")</f>
        <v>38.146037279319202</v>
      </c>
      <c r="AI91" s="60" t="s">
        <v>10</v>
      </c>
      <c r="AJ91" s="60">
        <f>IFERROR(RANK(TableWRTECalcPts[[#This Row],[Custom]],TableWRTECalcPts[Custom])+COUNTIF($AP$3:AP91,AP91)-1,"")</f>
        <v>160</v>
      </c>
      <c r="AK91" s="60">
        <v>89</v>
      </c>
      <c r="AL91" s="60" t="str">
        <f>IFERROR(INDEX(TableTEMaster[Player],MATCH(TableWRTECalcPts[[#This Row],[POSRef]],TableTEMaster[TERef],0)),"")</f>
        <v>Cole Turner</v>
      </c>
      <c r="AM91" s="60" t="str">
        <f>IFERROR(_xlfn.CONCAT(TableWRTECalcPts[[#This Row],[POS]],INDEX(TableTERanks[RK],MATCH(TableWRTECalcPts[[#This Row],[PLAYER]],TableTERanks[Player],0))),"")</f>
        <v>TE45</v>
      </c>
      <c r="AN91" s="60" t="str">
        <f>IFERROR(INDEX(TableTEMaster[TM],MATCH(TableWRTECalcPts[[#This Row],[POSRef]],TableTEMaster[TERef],0)),"")</f>
        <v>WSH</v>
      </c>
      <c r="AO91" s="60">
        <f>IFERROR(INDEX(TableTEMaster[BYE],MATCH(TableWRTECalcPts[[#This Row],[POSRef]],TableTEMaster[TERef],0)),"")</f>
        <v>14</v>
      </c>
      <c r="AP91" s="61">
        <f>IFERROR(INDEX(TableTEMaster[Custom],MATCH(TableWRTECalcPts[[#This Row],[POSRef]],TableTEMaster[TERef],0)),"")</f>
        <v>38.146037279319202</v>
      </c>
    </row>
    <row r="92" spans="1:42" x14ac:dyDescent="0.2">
      <c r="A92" s="62" t="str">
        <f>IFERROR(RANK(TableQBCalcPts[[#This Row],[Custom]],TableQBCalcPts[Custom])+COUNTIF($F$3:F92,F92)-1,"")</f>
        <v/>
      </c>
      <c r="B92" s="60">
        <v>90</v>
      </c>
      <c r="C92" s="60" t="str">
        <f>IFERROR(INDEX(TableQBMaster[Player],MATCH(TableQBCalcPts[[#This Row],[QBRef]],TableQBMaster[QBRef],0)),"")</f>
        <v/>
      </c>
      <c r="D92" s="60" t="str">
        <f>IFERROR(INDEX(TableQBMaster[TM],MATCH(TableQBCalcPts[[#This Row],[QBRef]],TableQBMaster[QBRef],0)),"")</f>
        <v/>
      </c>
      <c r="E92" s="60" t="str">
        <f>IFERROR(INDEX(TableQBMaster[BYE],MATCH(TableQBCalcPts[[#This Row],[QBRef]],TableQBMaster[QBRef],0)),"")</f>
        <v/>
      </c>
      <c r="F92" s="61" t="str">
        <f>IFERROR(INDEX(TableQBMaster[Custom],MATCH(TableQBCalcPts[[#This Row],[QBRef]],TableQBMaster[QBRef],0)),"")</f>
        <v/>
      </c>
      <c r="H92" s="60">
        <f>IFERROR(RANK(TableRBCalcPts[[#This Row],[Custom]],TableRBCalcPts[Custom])+COUNTIF($M$3:M92,M92)-1,"")</f>
        <v>13</v>
      </c>
      <c r="I92" s="60">
        <v>90</v>
      </c>
      <c r="J92" s="60" t="str">
        <f>IFERROR(INDEX(TableRBMaster[Player],MATCH(TableRBCalcPts[[#This Row],[RBRef]],TableRBMaster[RBRef],0)),"")</f>
        <v>Najee Harris</v>
      </c>
      <c r="K92" s="60" t="str">
        <f>IFERROR(INDEX(TableRBMaster[TM],MATCH(TableRBCalcPts[[#This Row],[RBRef]],TableRBMaster[RBRef],0)),"")</f>
        <v>PIT</v>
      </c>
      <c r="L92" s="60">
        <f>IFERROR(INDEX(TableRBMaster[BYE],MATCH(TableRBCalcPts[[#This Row],[RBRef]],TableRBMaster[RBRef],0)),"")</f>
        <v>6</v>
      </c>
      <c r="M92" s="61">
        <f>IFERROR(INDEX(TableRBMaster[Custom],MATCH(TableRBCalcPts[[#This Row],[RBRef]],TableRBMaster[RBRef],0)),"")</f>
        <v>216.23753147350604</v>
      </c>
      <c r="O92" s="60">
        <f>IFERROR(RANK(TableWRCalcPts[[#This Row],[Custom]],TableWRCalcPts[Custom])+COUNTIF($T$3:T92,T92)-1,"")</f>
        <v>107</v>
      </c>
      <c r="P92" s="60">
        <v>90</v>
      </c>
      <c r="Q92" s="60" t="str">
        <f>IFERROR(INDEX(TableWRMaster[Player],MATCH(TableWRCalcPts[[#This Row],[WRRef]],TableWRMaster[WRRef],0)),"")</f>
        <v>Ben Skowronek</v>
      </c>
      <c r="R92" s="60" t="str">
        <f>IFERROR(INDEX(TableWRMaster[TM],MATCH(TableWRCalcPts[[#This Row],[WRRef]],TableWRMaster[WRRef],0)),"")</f>
        <v>LAR</v>
      </c>
      <c r="S92" s="60">
        <f>IFERROR(INDEX(TableWRMaster[BYE],MATCH(TableWRCalcPts[[#This Row],[WRRef]],TableWRMaster[WRRef],0)),"")</f>
        <v>10</v>
      </c>
      <c r="T92" s="61">
        <f>IFERROR(INDEX(TableWRMaster[Custom],MATCH(TableWRCalcPts[[#This Row],[WRRef]],TableWRMaster[WRRef],0)),"")</f>
        <v>55.2630857895698</v>
      </c>
      <c r="V92" s="60">
        <f>IFERROR(RANK(TableTECalcPts[[#This Row],[Custom]],TableTECalcPts[Custom])+COUNTIF($AA$3:AA92,AA92)-1,"")</f>
        <v>85</v>
      </c>
      <c r="W92" s="60">
        <v>90</v>
      </c>
      <c r="X92" s="60" t="str">
        <f>IFERROR(INDEX(TableTEMaster[Player],MATCH(TableTECalcPts[[#This Row],[TERef]],TableTEMaster[TERef],0)),"")</f>
        <v>John Bates</v>
      </c>
      <c r="Y92" s="60" t="str">
        <f>IFERROR(INDEX(TableTEMaster[TM],MATCH(TableTECalcPts[[#This Row],[TERef]],TableTEMaster[TERef],0)),"")</f>
        <v>WSH</v>
      </c>
      <c r="Z92" s="60">
        <f>IFERROR(INDEX(TableTEMaster[BYE],MATCH(TableTECalcPts[[#This Row],[TERef]],TableTEMaster[TERef],0)),"")</f>
        <v>14</v>
      </c>
      <c r="AA92" s="61">
        <f>IFERROR(INDEX(TableTEMaster[Custom],MATCH(TableTECalcPts[[#This Row],[TERef]],TableTEMaster[TERef],0)),"")</f>
        <v>8.9019390849842956</v>
      </c>
      <c r="AI92" s="60" t="s">
        <v>10</v>
      </c>
      <c r="AJ92" s="60">
        <f>IFERROR(RANK(TableWRTECalcPts[[#This Row],[Custom]],TableWRTECalcPts[Custom])+COUNTIF($AP$3:AP92,AP92)-1,"")</f>
        <v>245</v>
      </c>
      <c r="AK92" s="60">
        <v>90</v>
      </c>
      <c r="AL92" s="60" t="str">
        <f>IFERROR(INDEX(TableTEMaster[Player],MATCH(TableWRTECalcPts[[#This Row],[POSRef]],TableTEMaster[TERef],0)),"")</f>
        <v>John Bates</v>
      </c>
      <c r="AM92" s="60" t="str">
        <f>IFERROR(_xlfn.CONCAT(TableWRTECalcPts[[#This Row],[POS]],INDEX(TableTERanks[RK],MATCH(TableWRTECalcPts[[#This Row],[PLAYER]],TableTERanks[Player],0))),"")</f>
        <v>TE85</v>
      </c>
      <c r="AN92" s="60" t="str">
        <f>IFERROR(INDEX(TableTEMaster[TM],MATCH(TableWRTECalcPts[[#This Row],[POSRef]],TableTEMaster[TERef],0)),"")</f>
        <v>WSH</v>
      </c>
      <c r="AO92" s="60">
        <f>IFERROR(INDEX(TableTEMaster[BYE],MATCH(TableWRTECalcPts[[#This Row],[POSRef]],TableTEMaster[TERef],0)),"")</f>
        <v>14</v>
      </c>
      <c r="AP92" s="61">
        <f>IFERROR(INDEX(TableTEMaster[Custom],MATCH(TableWRTECalcPts[[#This Row],[POSRef]],TableTEMaster[TERef],0)),"")</f>
        <v>8.9019390849842956</v>
      </c>
    </row>
    <row r="93" spans="1:42" x14ac:dyDescent="0.2">
      <c r="A93" s="62" t="str">
        <f>IFERROR(RANK(TableQBCalcPts[[#This Row],[Custom]],TableQBCalcPts[Custom])+COUNTIF($F$3:F93,F93)-1,"")</f>
        <v/>
      </c>
      <c r="B93" s="60">
        <v>91</v>
      </c>
      <c r="C93" s="60" t="str">
        <f>IFERROR(INDEX(TableQBMaster[Player],MATCH(TableQBCalcPts[[#This Row],[QBRef]],TableQBMaster[QBRef],0)),"")</f>
        <v/>
      </c>
      <c r="D93" s="60" t="str">
        <f>IFERROR(INDEX(TableQBMaster[TM],MATCH(TableQBCalcPts[[#This Row],[QBRef]],TableQBMaster[QBRef],0)),"")</f>
        <v/>
      </c>
      <c r="E93" s="60" t="str">
        <f>IFERROR(INDEX(TableQBMaster[BYE],MATCH(TableQBCalcPts[[#This Row],[QBRef]],TableQBMaster[QBRef],0)),"")</f>
        <v/>
      </c>
      <c r="F93" s="61" t="str">
        <f>IFERROR(INDEX(TableQBMaster[Custom],MATCH(TableQBCalcPts[[#This Row],[QBRef]],TableQBMaster[QBRef],0)),"")</f>
        <v/>
      </c>
      <c r="H93" s="60">
        <f>IFERROR(RANK(TableRBCalcPts[[#This Row],[Custom]],TableRBCalcPts[Custom])+COUNTIF($M$3:M93,M93)-1,"")</f>
        <v>42</v>
      </c>
      <c r="I93" s="60">
        <v>91</v>
      </c>
      <c r="J93" s="60" t="str">
        <f>IFERROR(INDEX(TableRBMaster[Player],MATCH(TableRBCalcPts[[#This Row],[RBRef]],TableRBMaster[RBRef],0)),"")</f>
        <v>Jaylen Warren</v>
      </c>
      <c r="K93" s="60" t="str">
        <f>IFERROR(INDEX(TableRBMaster[TM],MATCH(TableRBCalcPts[[#This Row],[RBRef]],TableRBMaster[RBRef],0)),"")</f>
        <v>PIT</v>
      </c>
      <c r="L93" s="60">
        <f>IFERROR(INDEX(TableRBMaster[BYE],MATCH(TableRBCalcPts[[#This Row],[RBRef]],TableRBMaster[RBRef],0)),"")</f>
        <v>6</v>
      </c>
      <c r="M93" s="61">
        <f>IFERROR(INDEX(TableRBMaster[Custom],MATCH(TableRBCalcPts[[#This Row],[RBRef]],TableRBMaster[RBRef],0)),"")</f>
        <v>125.49705526529478</v>
      </c>
      <c r="O93" s="60">
        <f>IFERROR(RANK(TableWRCalcPts[[#This Row],[Custom]],TableWRCalcPts[Custom])+COUNTIF($T$3:T93,T93)-1,"")</f>
        <v>88</v>
      </c>
      <c r="P93" s="60">
        <v>91</v>
      </c>
      <c r="Q93" s="60" t="str">
        <f>IFERROR(INDEX(TableWRMaster[Player],MATCH(TableWRCalcPts[[#This Row],[WRRef]],TableWRMaster[WRRef],0)),"")</f>
        <v>Puka Nacua</v>
      </c>
      <c r="R93" s="60" t="str">
        <f>IFERROR(INDEX(TableWRMaster[TM],MATCH(TableWRCalcPts[[#This Row],[WRRef]],TableWRMaster[WRRef],0)),"")</f>
        <v>LAR</v>
      </c>
      <c r="S93" s="60">
        <f>IFERROR(INDEX(TableWRMaster[BYE],MATCH(TableWRCalcPts[[#This Row],[WRRef]],TableWRMaster[WRRef],0)),"")</f>
        <v>10</v>
      </c>
      <c r="T93" s="61">
        <f>IFERROR(INDEX(TableWRMaster[Custom],MATCH(TableWRCalcPts[[#This Row],[WRRef]],TableWRMaster[WRRef],0)),"")</f>
        <v>85.054259195136012</v>
      </c>
      <c r="V93" s="60" t="str">
        <f>IFERROR(RANK(TableTECalcPts[[#This Row],[Custom]],TableTECalcPts[Custom])+COUNTIF($AA$3:AA93,AA93)-1,"")</f>
        <v/>
      </c>
      <c r="W93" s="60">
        <v>91</v>
      </c>
      <c r="X93" s="60" t="str">
        <f>IFERROR(INDEX(TableTEMaster[Player],MATCH(TableTECalcPts[[#This Row],[TERef]],TableTEMaster[TERef],0)),"")</f>
        <v/>
      </c>
      <c r="Y93" s="60" t="str">
        <f>IFERROR(INDEX(TableTEMaster[TM],MATCH(TableTECalcPts[[#This Row],[TERef]],TableTEMaster[TERef],0)),"")</f>
        <v/>
      </c>
      <c r="Z93" s="60" t="str">
        <f>IFERROR(INDEX(TableTEMaster[BYE],MATCH(TableTECalcPts[[#This Row],[TERef]],TableTEMaster[TERef],0)),"")</f>
        <v/>
      </c>
      <c r="AA93" s="61" t="str">
        <f>IFERROR(INDEX(TableTEMaster[Custom],MATCH(TableTECalcPts[[#This Row],[TERef]],TableTEMaster[TERef],0)),"")</f>
        <v/>
      </c>
      <c r="AI93" s="60" t="s">
        <v>10</v>
      </c>
      <c r="AJ93" s="60" t="str">
        <f>IFERROR(RANK(TableWRTECalcPts[[#This Row],[Custom]],TableWRTECalcPts[Custom])+COUNTIF($AP$3:AP93,AP93)-1,"")</f>
        <v/>
      </c>
      <c r="AK93" s="60">
        <v>91</v>
      </c>
      <c r="AL93" s="60" t="str">
        <f>IFERROR(INDEX(TableTEMaster[Player],MATCH(TableWRTECalcPts[[#This Row],[POSRef]],TableTEMaster[TERef],0)),"")</f>
        <v/>
      </c>
      <c r="AM93" s="60" t="str">
        <f>IFERROR(_xlfn.CONCAT(TableWRTECalcPts[[#This Row],[POS]],INDEX(TableTERanks[RK],MATCH(TableWRTECalcPts[[#This Row],[PLAYER]],TableTERanks[Player],0))),"")</f>
        <v>TE91</v>
      </c>
      <c r="AN93" s="60" t="str">
        <f>IFERROR(INDEX(TableTEMaster[TM],MATCH(TableWRTECalcPts[[#This Row],[POSRef]],TableTEMaster[TERef],0)),"")</f>
        <v/>
      </c>
      <c r="AO93" s="60" t="str">
        <f>IFERROR(INDEX(TableTEMaster[BYE],MATCH(TableWRTECalcPts[[#This Row],[POSRef]],TableTEMaster[TERef],0)),"")</f>
        <v/>
      </c>
      <c r="AP93" s="61" t="str">
        <f>IFERROR(INDEX(TableTEMaster[Custom],MATCH(TableWRTECalcPts[[#This Row],[POSRef]],TableTEMaster[TERef],0)),"")</f>
        <v/>
      </c>
    </row>
    <row r="94" spans="1:42" x14ac:dyDescent="0.2">
      <c r="A94" s="62" t="str">
        <f>IFERROR(RANK(TableQBCalcPts[[#This Row],[Custom]],TableQBCalcPts[Custom])+COUNTIF($F$3:F94,F94)-1,"")</f>
        <v/>
      </c>
      <c r="B94" s="60">
        <v>92</v>
      </c>
      <c r="C94" s="60" t="str">
        <f>IFERROR(INDEX(TableQBMaster[Player],MATCH(TableQBCalcPts[[#This Row],[QBRef]],TableQBMaster[QBRef],0)),"")</f>
        <v/>
      </c>
      <c r="D94" s="60" t="str">
        <f>IFERROR(INDEX(TableQBMaster[TM],MATCH(TableQBCalcPts[[#This Row],[QBRef]],TableQBMaster[QBRef],0)),"")</f>
        <v/>
      </c>
      <c r="E94" s="60" t="str">
        <f>IFERROR(INDEX(TableQBMaster[BYE],MATCH(TableQBCalcPts[[#This Row],[QBRef]],TableQBMaster[QBRef],0)),"")</f>
        <v/>
      </c>
      <c r="F94" s="61" t="str">
        <f>IFERROR(INDEX(TableQBMaster[Custom],MATCH(TableQBCalcPts[[#This Row],[QBRef]],TableQBMaster[QBRef],0)),"")</f>
        <v/>
      </c>
      <c r="H94" s="60">
        <f>IFERROR(RANK(TableRBCalcPts[[#This Row],[Custom]],TableRBCalcPts[Custom])+COUNTIF($M$3:M94,M94)-1,"")</f>
        <v>106</v>
      </c>
      <c r="I94" s="60">
        <v>92</v>
      </c>
      <c r="J94" s="60" t="str">
        <f>IFERROR(INDEX(TableRBMaster[Player],MATCH(TableRBCalcPts[[#This Row],[RBRef]],TableRBMaster[RBRef],0)),"")</f>
        <v>Anthony McFarland</v>
      </c>
      <c r="K94" s="60" t="str">
        <f>IFERROR(INDEX(TableRBMaster[TM],MATCH(TableRBCalcPts[[#This Row],[RBRef]],TableRBMaster[RBRef],0)),"")</f>
        <v>PIT</v>
      </c>
      <c r="L94" s="60">
        <f>IFERROR(INDEX(TableRBMaster[BYE],MATCH(TableRBCalcPts[[#This Row],[RBRef]],TableRBMaster[RBRef],0)),"")</f>
        <v>6</v>
      </c>
      <c r="M94" s="61">
        <f>IFERROR(INDEX(TableRBMaster[Custom],MATCH(TableRBCalcPts[[#This Row],[RBRef]],TableRBMaster[RBRef],0)),"")</f>
        <v>13.276669736399999</v>
      </c>
      <c r="O94" s="60">
        <f>IFERROR(RANK(TableWRCalcPts[[#This Row],[Custom]],TableWRCalcPts[Custom])+COUNTIF($T$3:T94,T94)-1,"")</f>
        <v>99</v>
      </c>
      <c r="P94" s="60">
        <v>92</v>
      </c>
      <c r="Q94" s="60" t="str">
        <f>IFERROR(INDEX(TableWRMaster[Player],MATCH(TableWRCalcPts[[#This Row],[WRRef]],TableWRMaster[WRRef],0)),"")</f>
        <v>Tutu Atwell</v>
      </c>
      <c r="R94" s="60" t="str">
        <f>IFERROR(INDEX(TableWRMaster[TM],MATCH(TableWRCalcPts[[#This Row],[WRRef]],TableWRMaster[WRRef],0)),"")</f>
        <v>LAR</v>
      </c>
      <c r="S94" s="60">
        <f>IFERROR(INDEX(TableWRMaster[BYE],MATCH(TableWRCalcPts[[#This Row],[WRRef]],TableWRMaster[WRRef],0)),"")</f>
        <v>10</v>
      </c>
      <c r="T94" s="61">
        <f>IFERROR(INDEX(TableWRMaster[Custom],MATCH(TableWRCalcPts[[#This Row],[WRRef]],TableWRMaster[WRRef],0)),"")</f>
        <v>64.322349932332799</v>
      </c>
      <c r="V94" s="60" t="str">
        <f>IFERROR(RANK(TableTECalcPts[[#This Row],[Custom]],TableTECalcPts[Custom])+COUNTIF($AA$3:AA94,AA94)-1,"")</f>
        <v/>
      </c>
      <c r="W94" s="60">
        <v>92</v>
      </c>
      <c r="X94" s="60" t="str">
        <f>IFERROR(INDEX(TableTEMaster[Player],MATCH(TableTECalcPts[[#This Row],[TERef]],TableTEMaster[TERef],0)),"")</f>
        <v/>
      </c>
      <c r="Y94" s="60" t="str">
        <f>IFERROR(INDEX(TableTEMaster[TM],MATCH(TableTECalcPts[[#This Row],[TERef]],TableTEMaster[TERef],0)),"")</f>
        <v/>
      </c>
      <c r="Z94" s="60" t="str">
        <f>IFERROR(INDEX(TableTEMaster[BYE],MATCH(TableTECalcPts[[#This Row],[TERef]],TableTEMaster[TERef],0)),"")</f>
        <v/>
      </c>
      <c r="AA94" s="61" t="str">
        <f>IFERROR(INDEX(TableTEMaster[Custom],MATCH(TableTECalcPts[[#This Row],[TERef]],TableTEMaster[TERef],0)),"")</f>
        <v/>
      </c>
      <c r="AI94" s="60" t="s">
        <v>10</v>
      </c>
      <c r="AJ94" s="60" t="str">
        <f>IFERROR(RANK(TableWRTECalcPts[[#This Row],[Custom]],TableWRTECalcPts[Custom])+COUNTIF($AP$3:AP94,AP94)-1,"")</f>
        <v/>
      </c>
      <c r="AK94" s="60">
        <v>92</v>
      </c>
      <c r="AL94" s="60" t="str">
        <f>IFERROR(INDEX(TableTEMaster[Player],MATCH(TableWRTECalcPts[[#This Row],[POSRef]],TableTEMaster[TERef],0)),"")</f>
        <v/>
      </c>
      <c r="AM94" s="60" t="str">
        <f>IFERROR(_xlfn.CONCAT(TableWRTECalcPts[[#This Row],[POS]],INDEX(TableTERanks[RK],MATCH(TableWRTECalcPts[[#This Row],[PLAYER]],TableTERanks[Player],0))),"")</f>
        <v>TE91</v>
      </c>
      <c r="AN94" s="60" t="str">
        <f>IFERROR(INDEX(TableTEMaster[TM],MATCH(TableWRTECalcPts[[#This Row],[POSRef]],TableTEMaster[TERef],0)),"")</f>
        <v/>
      </c>
      <c r="AO94" s="60" t="str">
        <f>IFERROR(INDEX(TableTEMaster[BYE],MATCH(TableWRTECalcPts[[#This Row],[POSRef]],TableTEMaster[TERef],0)),"")</f>
        <v/>
      </c>
      <c r="AP94" s="61" t="str">
        <f>IFERROR(INDEX(TableTEMaster[Custom],MATCH(TableWRTECalcPts[[#This Row],[POSRef]],TableTEMaster[TERef],0)),"")</f>
        <v/>
      </c>
    </row>
    <row r="95" spans="1:42" x14ac:dyDescent="0.2">
      <c r="A95" s="62" t="str">
        <f>IFERROR(RANK(TableQBCalcPts[[#This Row],[Custom]],TableQBCalcPts[Custom])+COUNTIF($F$3:F95,F95)-1,"")</f>
        <v/>
      </c>
      <c r="B95" s="60">
        <v>93</v>
      </c>
      <c r="C95" s="60" t="str">
        <f>IFERROR(INDEX(TableQBMaster[Player],MATCH(TableQBCalcPts[[#This Row],[QBRef]],TableQBMaster[QBRef],0)),"")</f>
        <v/>
      </c>
      <c r="D95" s="60" t="str">
        <f>IFERROR(INDEX(TableQBMaster[TM],MATCH(TableQBCalcPts[[#This Row],[QBRef]],TableQBMaster[QBRef],0)),"")</f>
        <v/>
      </c>
      <c r="E95" s="60" t="str">
        <f>IFERROR(INDEX(TableQBMaster[BYE],MATCH(TableQBCalcPts[[#This Row],[QBRef]],TableQBMaster[QBRef],0)),"")</f>
        <v/>
      </c>
      <c r="F95" s="61" t="str">
        <f>IFERROR(INDEX(TableQBMaster[Custom],MATCH(TableQBCalcPts[[#This Row],[QBRef]],TableQBMaster[QBRef],0)),"")</f>
        <v/>
      </c>
      <c r="H95" s="60">
        <f>IFERROR(RANK(TableRBCalcPts[[#This Row],[Custom]],TableRBCalcPts[Custom])+COUNTIF($M$3:M95,M95)-1,"")</f>
        <v>31</v>
      </c>
      <c r="I95" s="60">
        <v>93</v>
      </c>
      <c r="J95" s="60" t="str">
        <f>IFERROR(INDEX(TableRBMaster[Player],MATCH(TableRBCalcPts[[#This Row],[RBRef]],TableRBMaster[RBRef],0)),"")</f>
        <v>Kenneth Walker</v>
      </c>
      <c r="K95" s="60" t="str">
        <f>IFERROR(INDEX(TableRBMaster[TM],MATCH(TableRBCalcPts[[#This Row],[RBRef]],TableRBMaster[RBRef],0)),"")</f>
        <v>SEA</v>
      </c>
      <c r="L95" s="60">
        <f>IFERROR(INDEX(TableRBMaster[BYE],MATCH(TableRBCalcPts[[#This Row],[RBRef]],TableRBMaster[RBRef],0)),"")</f>
        <v>5</v>
      </c>
      <c r="M95" s="61">
        <f>IFERROR(INDEX(TableRBMaster[Custom],MATCH(TableRBCalcPts[[#This Row],[RBRef]],TableRBMaster[RBRef],0)),"")</f>
        <v>168.27099333838893</v>
      </c>
      <c r="O95" s="60">
        <f>IFERROR(RANK(TableWRCalcPts[[#This Row],[Custom]],TableWRCalcPts[Custom])+COUNTIF($T$3:T95,T95)-1,"")</f>
        <v>4</v>
      </c>
      <c r="P95" s="60">
        <v>93</v>
      </c>
      <c r="Q95" s="60" t="str">
        <f>IFERROR(INDEX(TableWRMaster[Player],MATCH(TableWRCalcPts[[#This Row],[WRRef]],TableWRMaster[WRRef],0)),"")</f>
        <v>Davante Adams</v>
      </c>
      <c r="R95" s="60" t="str">
        <f>IFERROR(INDEX(TableWRMaster[TM],MATCH(TableWRCalcPts[[#This Row],[WRRef]],TableWRMaster[WRRef],0)),"")</f>
        <v>LV</v>
      </c>
      <c r="S95" s="60">
        <f>IFERROR(INDEX(TableWRMaster[BYE],MATCH(TableWRCalcPts[[#This Row],[WRRef]],TableWRMaster[WRRef],0)),"")</f>
        <v>13</v>
      </c>
      <c r="T95" s="61">
        <f>IFERROR(INDEX(TableWRMaster[Custom],MATCH(TableWRCalcPts[[#This Row],[WRRef]],TableWRMaster[WRRef],0)),"")</f>
        <v>254.78207097985711</v>
      </c>
      <c r="V95" s="60" t="str">
        <f>IFERROR(RANK(TableTECalcPts[[#This Row],[Custom]],TableTECalcPts[Custom])+COUNTIF($AA$3:AA95,AA95)-1,"")</f>
        <v/>
      </c>
      <c r="W95" s="60">
        <v>93</v>
      </c>
      <c r="X95" s="60" t="str">
        <f>IFERROR(INDEX(TableTEMaster[Player],MATCH(TableTECalcPts[[#This Row],[TERef]],TableTEMaster[TERef],0)),"")</f>
        <v/>
      </c>
      <c r="Y95" s="60" t="str">
        <f>IFERROR(INDEX(TableTEMaster[TM],MATCH(TableTECalcPts[[#This Row],[TERef]],TableTEMaster[TERef],0)),"")</f>
        <v/>
      </c>
      <c r="Z95" s="60" t="str">
        <f>IFERROR(INDEX(TableTEMaster[BYE],MATCH(TableTECalcPts[[#This Row],[TERef]],TableTEMaster[TERef],0)),"")</f>
        <v/>
      </c>
      <c r="AA95" s="61" t="str">
        <f>IFERROR(INDEX(TableTEMaster[Custom],MATCH(TableTECalcPts[[#This Row],[TERef]],TableTEMaster[TERef],0)),"")</f>
        <v/>
      </c>
      <c r="AI95" s="60" t="s">
        <v>10</v>
      </c>
      <c r="AJ95" s="60" t="str">
        <f>IFERROR(RANK(TableWRTECalcPts[[#This Row],[Custom]],TableWRTECalcPts[Custom])+COUNTIF($AP$3:AP95,AP95)-1,"")</f>
        <v/>
      </c>
      <c r="AK95" s="60">
        <v>93</v>
      </c>
      <c r="AL95" s="60" t="str">
        <f>IFERROR(INDEX(TableTEMaster[Player],MATCH(TableWRTECalcPts[[#This Row],[POSRef]],TableTEMaster[TERef],0)),"")</f>
        <v/>
      </c>
      <c r="AM95" s="60" t="str">
        <f>IFERROR(_xlfn.CONCAT(TableWRTECalcPts[[#This Row],[POS]],INDEX(TableTERanks[RK],MATCH(TableWRTECalcPts[[#This Row],[PLAYER]],TableTERanks[Player],0))),"")</f>
        <v>TE91</v>
      </c>
      <c r="AN95" s="60" t="str">
        <f>IFERROR(INDEX(TableTEMaster[TM],MATCH(TableWRTECalcPts[[#This Row],[POSRef]],TableTEMaster[TERef],0)),"")</f>
        <v/>
      </c>
      <c r="AO95" s="60" t="str">
        <f>IFERROR(INDEX(TableTEMaster[BYE],MATCH(TableWRTECalcPts[[#This Row],[POSRef]],TableTEMaster[TERef],0)),"")</f>
        <v/>
      </c>
      <c r="AP95" s="61" t="str">
        <f>IFERROR(INDEX(TableTEMaster[Custom],MATCH(TableWRTECalcPts[[#This Row],[POSRef]],TableTEMaster[TERef],0)),"")</f>
        <v/>
      </c>
    </row>
    <row r="96" spans="1:42" x14ac:dyDescent="0.2">
      <c r="A96" s="62" t="str">
        <f>IFERROR(RANK(TableQBCalcPts[[#This Row],[Custom]],TableQBCalcPts[Custom])+COUNTIF($F$3:F96,F96)-1,"")</f>
        <v/>
      </c>
      <c r="B96" s="60">
        <v>94</v>
      </c>
      <c r="C96" s="60" t="str">
        <f>IFERROR(INDEX(TableQBMaster[Player],MATCH(TableQBCalcPts[[#This Row],[QBRef]],TableQBMaster[QBRef],0)),"")</f>
        <v/>
      </c>
      <c r="D96" s="60" t="str">
        <f>IFERROR(INDEX(TableQBMaster[TM],MATCH(TableQBCalcPts[[#This Row],[QBRef]],TableQBMaster[QBRef],0)),"")</f>
        <v/>
      </c>
      <c r="E96" s="60" t="str">
        <f>IFERROR(INDEX(TableQBMaster[BYE],MATCH(TableQBCalcPts[[#This Row],[QBRef]],TableQBMaster[QBRef],0)),"")</f>
        <v/>
      </c>
      <c r="F96" s="61" t="str">
        <f>IFERROR(INDEX(TableQBMaster[Custom],MATCH(TableQBCalcPts[[#This Row],[QBRef]],TableQBMaster[QBRef],0)),"")</f>
        <v/>
      </c>
      <c r="H96" s="60">
        <f>IFERROR(RANK(TableRBCalcPts[[#This Row],[Custom]],TableRBCalcPts[Custom])+COUNTIF($M$3:M96,M96)-1,"")</f>
        <v>104</v>
      </c>
      <c r="I96" s="60">
        <v>94</v>
      </c>
      <c r="J96" s="60" t="str">
        <f>IFERROR(INDEX(TableRBMaster[Player],MATCH(TableRBCalcPts[[#This Row],[RBRef]],TableRBMaster[RBRef],0)),"")</f>
        <v>DeeJay Dallas</v>
      </c>
      <c r="K96" s="60" t="str">
        <f>IFERROR(INDEX(TableRBMaster[TM],MATCH(TableRBCalcPts[[#This Row],[RBRef]],TableRBMaster[RBRef],0)),"")</f>
        <v>SEA</v>
      </c>
      <c r="L96" s="60">
        <f>IFERROR(INDEX(TableRBMaster[BYE],MATCH(TableRBCalcPts[[#This Row],[RBRef]],TableRBMaster[RBRef],0)),"")</f>
        <v>5</v>
      </c>
      <c r="M96" s="61">
        <f>IFERROR(INDEX(TableRBMaster[Custom],MATCH(TableRBCalcPts[[#This Row],[RBRef]],TableRBMaster[RBRef],0)),"")</f>
        <v>16.264619323451843</v>
      </c>
      <c r="O96" s="60">
        <f>IFERROR(RANK(TableWRCalcPts[[#This Row],[Custom]],TableWRCalcPts[Custom])+COUNTIF($T$3:T96,T96)-1,"")</f>
        <v>51</v>
      </c>
      <c r="P96" s="60">
        <v>94</v>
      </c>
      <c r="Q96" s="60" t="str">
        <f>IFERROR(INDEX(TableWRMaster[Player],MATCH(TableWRCalcPts[[#This Row],[WRRef]],TableWRMaster[WRRef],0)),"")</f>
        <v>Jakobi Meyers</v>
      </c>
      <c r="R96" s="60" t="str">
        <f>IFERROR(INDEX(TableWRMaster[TM],MATCH(TableWRCalcPts[[#This Row],[WRRef]],TableWRMaster[WRRef],0)),"")</f>
        <v>LV</v>
      </c>
      <c r="S96" s="60">
        <f>IFERROR(INDEX(TableWRMaster[BYE],MATCH(TableWRCalcPts[[#This Row],[WRRef]],TableWRMaster[WRRef],0)),"")</f>
        <v>13</v>
      </c>
      <c r="T96" s="61">
        <f>IFERROR(INDEX(TableWRMaster[Custom],MATCH(TableWRCalcPts[[#This Row],[WRRef]],TableWRMaster[WRRef],0)),"")</f>
        <v>144.71799711264924</v>
      </c>
      <c r="V96" s="60" t="str">
        <f>IFERROR(RANK(TableTECalcPts[[#This Row],[Custom]],TableTECalcPts[Custom])+COUNTIF($AA$3:AA96,AA96)-1,"")</f>
        <v/>
      </c>
      <c r="W96" s="60">
        <v>94</v>
      </c>
      <c r="X96" s="60" t="str">
        <f>IFERROR(INDEX(TableTEMaster[Player],MATCH(TableTECalcPts[[#This Row],[TERef]],TableTEMaster[TERef],0)),"")</f>
        <v/>
      </c>
      <c r="Y96" s="60" t="str">
        <f>IFERROR(INDEX(TableTEMaster[TM],MATCH(TableTECalcPts[[#This Row],[TERef]],TableTEMaster[TERef],0)),"")</f>
        <v/>
      </c>
      <c r="Z96" s="60" t="str">
        <f>IFERROR(INDEX(TableTEMaster[BYE],MATCH(TableTECalcPts[[#This Row],[TERef]],TableTEMaster[TERef],0)),"")</f>
        <v/>
      </c>
      <c r="AA96" s="61" t="str">
        <f>IFERROR(INDEX(TableTEMaster[Custom],MATCH(TableTECalcPts[[#This Row],[TERef]],TableTEMaster[TERef],0)),"")</f>
        <v/>
      </c>
      <c r="AI96" s="60" t="s">
        <v>10</v>
      </c>
      <c r="AJ96" s="60" t="str">
        <f>IFERROR(RANK(TableWRTECalcPts[[#This Row],[Custom]],TableWRTECalcPts[Custom])+COUNTIF($AP$3:AP96,AP96)-1,"")</f>
        <v/>
      </c>
      <c r="AK96" s="60">
        <v>94</v>
      </c>
      <c r="AL96" s="60" t="str">
        <f>IFERROR(INDEX(TableTEMaster[Player],MATCH(TableWRTECalcPts[[#This Row],[POSRef]],TableTEMaster[TERef],0)),"")</f>
        <v/>
      </c>
      <c r="AM96" s="60" t="str">
        <f>IFERROR(_xlfn.CONCAT(TableWRTECalcPts[[#This Row],[POS]],INDEX(TableTERanks[RK],MATCH(TableWRTECalcPts[[#This Row],[PLAYER]],TableTERanks[Player],0))),"")</f>
        <v>TE91</v>
      </c>
      <c r="AN96" s="60" t="str">
        <f>IFERROR(INDEX(TableTEMaster[TM],MATCH(TableWRTECalcPts[[#This Row],[POSRef]],TableTEMaster[TERef],0)),"")</f>
        <v/>
      </c>
      <c r="AO96" s="60" t="str">
        <f>IFERROR(INDEX(TableTEMaster[BYE],MATCH(TableWRTECalcPts[[#This Row],[POSRef]],TableTEMaster[TERef],0)),"")</f>
        <v/>
      </c>
      <c r="AP96" s="61" t="str">
        <f>IFERROR(INDEX(TableTEMaster[Custom],MATCH(TableWRTECalcPts[[#This Row],[POSRef]],TableTEMaster[TERef],0)),"")</f>
        <v/>
      </c>
    </row>
    <row r="97" spans="1:42" x14ac:dyDescent="0.2">
      <c r="A97" s="62" t="str">
        <f>IFERROR(RANK(TableQBCalcPts[[#This Row],[Custom]],TableQBCalcPts[Custom])+COUNTIF($F$3:F97,F97)-1,"")</f>
        <v/>
      </c>
      <c r="B97" s="60">
        <v>95</v>
      </c>
      <c r="C97" s="60" t="str">
        <f>IFERROR(INDEX(TableQBMaster[Player],MATCH(TableQBCalcPts[[#This Row],[QBRef]],TableQBMaster[QBRef],0)),"")</f>
        <v/>
      </c>
      <c r="D97" s="60" t="str">
        <f>IFERROR(INDEX(TableQBMaster[TM],MATCH(TableQBCalcPts[[#This Row],[QBRef]],TableQBMaster[QBRef],0)),"")</f>
        <v/>
      </c>
      <c r="E97" s="60" t="str">
        <f>IFERROR(INDEX(TableQBMaster[BYE],MATCH(TableQBCalcPts[[#This Row],[QBRef]],TableQBMaster[QBRef],0)),"")</f>
        <v/>
      </c>
      <c r="F97" s="61" t="str">
        <f>IFERROR(INDEX(TableQBMaster[Custom],MATCH(TableQBCalcPts[[#This Row],[QBRef]],TableQBMaster[QBRef],0)),"")</f>
        <v/>
      </c>
      <c r="H97" s="60">
        <f>IFERROR(RANK(TableRBCalcPts[[#This Row],[Custom]],TableRBCalcPts[Custom])+COUNTIF($M$3:M97,M97)-1,"")</f>
        <v>36</v>
      </c>
      <c r="I97" s="60">
        <v>95</v>
      </c>
      <c r="J97" s="60" t="str">
        <f>IFERROR(INDEX(TableRBMaster[Player],MATCH(TableRBCalcPts[[#This Row],[RBRef]],TableRBMaster[RBRef],0)),"")</f>
        <v>Zach Charbonnet</v>
      </c>
      <c r="K97" s="60" t="str">
        <f>IFERROR(INDEX(TableRBMaster[TM],MATCH(TableRBCalcPts[[#This Row],[RBRef]],TableRBMaster[RBRef],0)),"")</f>
        <v>SEA</v>
      </c>
      <c r="L97" s="60">
        <f>IFERROR(INDEX(TableRBMaster[BYE],MATCH(TableRBCalcPts[[#This Row],[RBRef]],TableRBMaster[RBRef],0)),"")</f>
        <v>5</v>
      </c>
      <c r="M97" s="61">
        <f>IFERROR(INDEX(TableRBMaster[Custom],MATCH(TableRBCalcPts[[#This Row],[RBRef]],TableRBMaster[RBRef],0)),"")</f>
        <v>154.45059742536267</v>
      </c>
      <c r="O97" s="60">
        <f>IFERROR(RANK(TableWRCalcPts[[#This Row],[Custom]],TableWRCalcPts[Custom])+COUNTIF($T$3:T97,T97)-1,"")</f>
        <v>89</v>
      </c>
      <c r="P97" s="60">
        <v>95</v>
      </c>
      <c r="Q97" s="60" t="str">
        <f>IFERROR(INDEX(TableWRMaster[Player],MATCH(TableWRCalcPts[[#This Row],[WRRef]],TableWRMaster[WRRef],0)),"")</f>
        <v>Hunter Renfrow</v>
      </c>
      <c r="R97" s="60" t="str">
        <f>IFERROR(INDEX(TableWRMaster[TM],MATCH(TableWRCalcPts[[#This Row],[WRRef]],TableWRMaster[WRRef],0)),"")</f>
        <v>LV</v>
      </c>
      <c r="S97" s="60">
        <f>IFERROR(INDEX(TableWRMaster[BYE],MATCH(TableWRCalcPts[[#This Row],[WRRef]],TableWRMaster[WRRef],0)),"")</f>
        <v>13</v>
      </c>
      <c r="T97" s="61">
        <f>IFERROR(INDEX(TableWRMaster[Custom],MATCH(TableWRCalcPts[[#This Row],[WRRef]],TableWRMaster[WRRef],0)),"")</f>
        <v>84.554260335667863</v>
      </c>
      <c r="V97" s="60" t="str">
        <f>IFERROR(RANK(TableTECalcPts[[#This Row],[Custom]],TableTECalcPts[Custom])+COUNTIF($AA$3:AA97,AA97)-1,"")</f>
        <v/>
      </c>
      <c r="W97" s="60">
        <v>95</v>
      </c>
      <c r="X97" s="60" t="str">
        <f>IFERROR(INDEX(TableTEMaster[Player],MATCH(TableTECalcPts[[#This Row],[TERef]],TableTEMaster[TERef],0)),"")</f>
        <v/>
      </c>
      <c r="Y97" s="60" t="str">
        <f>IFERROR(INDEX(TableTEMaster[TM],MATCH(TableTECalcPts[[#This Row],[TERef]],TableTEMaster[TERef],0)),"")</f>
        <v/>
      </c>
      <c r="Z97" s="60" t="str">
        <f>IFERROR(INDEX(TableTEMaster[BYE],MATCH(TableTECalcPts[[#This Row],[TERef]],TableTEMaster[TERef],0)),"")</f>
        <v/>
      </c>
      <c r="AA97" s="61" t="str">
        <f>IFERROR(INDEX(TableTEMaster[Custom],MATCH(TableTECalcPts[[#This Row],[TERef]],TableTEMaster[TERef],0)),"")</f>
        <v/>
      </c>
      <c r="AI97" s="60" t="s">
        <v>10</v>
      </c>
      <c r="AJ97" s="60" t="str">
        <f>IFERROR(RANK(TableWRTECalcPts[[#This Row],[Custom]],TableWRTECalcPts[Custom])+COUNTIF($AP$3:AP97,AP97)-1,"")</f>
        <v/>
      </c>
      <c r="AK97" s="60">
        <v>95</v>
      </c>
      <c r="AL97" s="60" t="str">
        <f>IFERROR(INDEX(TableTEMaster[Player],MATCH(TableWRTECalcPts[[#This Row],[POSRef]],TableTEMaster[TERef],0)),"")</f>
        <v/>
      </c>
      <c r="AM97" s="60" t="str">
        <f>IFERROR(_xlfn.CONCAT(TableWRTECalcPts[[#This Row],[POS]],INDEX(TableTERanks[RK],MATCH(TableWRTECalcPts[[#This Row],[PLAYER]],TableTERanks[Player],0))),"")</f>
        <v>TE91</v>
      </c>
      <c r="AN97" s="60" t="str">
        <f>IFERROR(INDEX(TableTEMaster[TM],MATCH(TableWRTECalcPts[[#This Row],[POSRef]],TableTEMaster[TERef],0)),"")</f>
        <v/>
      </c>
      <c r="AO97" s="60" t="str">
        <f>IFERROR(INDEX(TableTEMaster[BYE],MATCH(TableWRTECalcPts[[#This Row],[POSRef]],TableTEMaster[TERef],0)),"")</f>
        <v/>
      </c>
      <c r="AP97" s="61" t="str">
        <f>IFERROR(INDEX(TableTEMaster[Custom],MATCH(TableWRTECalcPts[[#This Row],[POSRef]],TableTEMaster[TERef],0)),"")</f>
        <v/>
      </c>
    </row>
    <row r="98" spans="1:42" x14ac:dyDescent="0.2">
      <c r="A98" s="62" t="str">
        <f>IFERROR(RANK(TableQBCalcPts[[#This Row],[Custom]],TableQBCalcPts[Custom])+COUNTIF($F$3:F98,F98)-1,"")</f>
        <v/>
      </c>
      <c r="B98" s="60">
        <v>96</v>
      </c>
      <c r="C98" s="60" t="str">
        <f>IFERROR(INDEX(TableQBMaster[Player],MATCH(TableQBCalcPts[[#This Row],[QBRef]],TableQBMaster[QBRef],0)),"")</f>
        <v/>
      </c>
      <c r="D98" s="60" t="str">
        <f>IFERROR(INDEX(TableQBMaster[TM],MATCH(TableQBCalcPts[[#This Row],[QBRef]],TableQBMaster[QBRef],0)),"")</f>
        <v/>
      </c>
      <c r="E98" s="60" t="str">
        <f>IFERROR(INDEX(TableQBMaster[BYE],MATCH(TableQBCalcPts[[#This Row],[QBRef]],TableQBMaster[QBRef],0)),"")</f>
        <v/>
      </c>
      <c r="F98" s="61" t="str">
        <f>IFERROR(INDEX(TableQBMaster[Custom],MATCH(TableQBCalcPts[[#This Row],[QBRef]],TableQBMaster[QBRef],0)),"")</f>
        <v/>
      </c>
      <c r="H98" s="60">
        <f>IFERROR(RANK(TableRBCalcPts[[#This Row],[Custom]],TableRBCalcPts[Custom])+COUNTIF($M$3:M98,M98)-1,"")</f>
        <v>83</v>
      </c>
      <c r="I98" s="60">
        <v>96</v>
      </c>
      <c r="J98" s="60" t="str">
        <f>IFERROR(INDEX(TableRBMaster[Player],MATCH(TableRBCalcPts[[#This Row],[RBRef]],TableRBMaster[RBRef],0)),"")</f>
        <v>Kenny McIntosh</v>
      </c>
      <c r="K98" s="60" t="str">
        <f>IFERROR(INDEX(TableRBMaster[TM],MATCH(TableRBCalcPts[[#This Row],[RBRef]],TableRBMaster[RBRef],0)),"")</f>
        <v>SEA</v>
      </c>
      <c r="L98" s="60">
        <f>IFERROR(INDEX(TableRBMaster[BYE],MATCH(TableRBCalcPts[[#This Row],[RBRef]],TableRBMaster[RBRef],0)),"")</f>
        <v>5</v>
      </c>
      <c r="M98" s="61">
        <f>IFERROR(INDEX(TableRBMaster[Custom],MATCH(TableRBCalcPts[[#This Row],[RBRef]],TableRBMaster[RBRef],0)),"")</f>
        <v>34.972280277096957</v>
      </c>
      <c r="O98" s="60">
        <f>IFERROR(RANK(TableWRCalcPts[[#This Row],[Custom]],TableWRCalcPts[Custom])+COUNTIF($T$3:T98,T98)-1,"")</f>
        <v>147</v>
      </c>
      <c r="P98" s="60">
        <v>96</v>
      </c>
      <c r="Q98" s="60" t="str">
        <f>IFERROR(INDEX(TableWRMaster[Player],MATCH(TableWRCalcPts[[#This Row],[WRRef]],TableWRMaster[WRRef],0)),"")</f>
        <v>DeAndre Carter</v>
      </c>
      <c r="R98" s="60" t="str">
        <f>IFERROR(INDEX(TableWRMaster[TM],MATCH(TableWRCalcPts[[#This Row],[WRRef]],TableWRMaster[WRRef],0)),"")</f>
        <v>LV</v>
      </c>
      <c r="S98" s="60">
        <f>IFERROR(INDEX(TableWRMaster[BYE],MATCH(TableWRCalcPts[[#This Row],[WRRef]],TableWRMaster[WRRef],0)),"")</f>
        <v>13</v>
      </c>
      <c r="T98" s="61">
        <f>IFERROR(INDEX(TableWRMaster[Custom],MATCH(TableWRCalcPts[[#This Row],[WRRef]],TableWRMaster[WRRef],0)),"")</f>
        <v>16.591250282286047</v>
      </c>
      <c r="V98" s="60" t="str">
        <f>IFERROR(RANK(TableTECalcPts[[#This Row],[Custom]],TableTECalcPts[Custom])+COUNTIF($AA$3:AA98,AA98)-1,"")</f>
        <v/>
      </c>
      <c r="W98" s="60">
        <v>96</v>
      </c>
      <c r="X98" s="60" t="str">
        <f>IFERROR(INDEX(TableTEMaster[Player],MATCH(TableTECalcPts[[#This Row],[TERef]],TableTEMaster[TERef],0)),"")</f>
        <v/>
      </c>
      <c r="Y98" s="60" t="str">
        <f>IFERROR(INDEX(TableTEMaster[TM],MATCH(TableTECalcPts[[#This Row],[TERef]],TableTEMaster[TERef],0)),"")</f>
        <v/>
      </c>
      <c r="Z98" s="60" t="str">
        <f>IFERROR(INDEX(TableTEMaster[BYE],MATCH(TableTECalcPts[[#This Row],[TERef]],TableTEMaster[TERef],0)),"")</f>
        <v/>
      </c>
      <c r="AA98" s="61" t="str">
        <f>IFERROR(INDEX(TableTEMaster[Custom],MATCH(TableTECalcPts[[#This Row],[TERef]],TableTEMaster[TERef],0)),"")</f>
        <v/>
      </c>
      <c r="AI98" s="60" t="s">
        <v>10</v>
      </c>
      <c r="AJ98" s="60" t="str">
        <f>IFERROR(RANK(TableWRTECalcPts[[#This Row],[Custom]],TableWRTECalcPts[Custom])+COUNTIF($AP$3:AP98,AP98)-1,"")</f>
        <v/>
      </c>
      <c r="AK98" s="60">
        <v>96</v>
      </c>
      <c r="AL98" s="60" t="str">
        <f>IFERROR(INDEX(TableTEMaster[Player],MATCH(TableWRTECalcPts[[#This Row],[POSRef]],TableTEMaster[TERef],0)),"")</f>
        <v/>
      </c>
      <c r="AM98" s="60" t="str">
        <f>IFERROR(_xlfn.CONCAT(TableWRTECalcPts[[#This Row],[POS]],INDEX(TableTERanks[RK],MATCH(TableWRTECalcPts[[#This Row],[PLAYER]],TableTERanks[Player],0))),"")</f>
        <v>TE91</v>
      </c>
      <c r="AN98" s="60" t="str">
        <f>IFERROR(INDEX(TableTEMaster[TM],MATCH(TableWRTECalcPts[[#This Row],[POSRef]],TableTEMaster[TERef],0)),"")</f>
        <v/>
      </c>
      <c r="AO98" s="60" t="str">
        <f>IFERROR(INDEX(TableTEMaster[BYE],MATCH(TableWRTECalcPts[[#This Row],[POSRef]],TableTEMaster[TERef],0)),"")</f>
        <v/>
      </c>
      <c r="AP98" s="61" t="str">
        <f>IFERROR(INDEX(TableTEMaster[Custom],MATCH(TableWRTECalcPts[[#This Row],[POSRef]],TableTEMaster[TERef],0)),"")</f>
        <v/>
      </c>
    </row>
    <row r="99" spans="1:42" x14ac:dyDescent="0.2">
      <c r="A99" s="62" t="str">
        <f>IFERROR(RANK(TableQBCalcPts[[#This Row],[Custom]],TableQBCalcPts[Custom])+COUNTIF($F$3:F99,F99)-1,"")</f>
        <v/>
      </c>
      <c r="B99" s="60">
        <v>97</v>
      </c>
      <c r="C99" s="60" t="str">
        <f>IFERROR(INDEX(TableQBMaster[Player],MATCH(TableQBCalcPts[[#This Row],[QBRef]],TableQBMaster[QBRef],0)),"")</f>
        <v/>
      </c>
      <c r="D99" s="60" t="str">
        <f>IFERROR(INDEX(TableQBMaster[TM],MATCH(TableQBCalcPts[[#This Row],[QBRef]],TableQBMaster[QBRef],0)),"")</f>
        <v/>
      </c>
      <c r="E99" s="60" t="str">
        <f>IFERROR(INDEX(TableQBMaster[BYE],MATCH(TableQBCalcPts[[#This Row],[QBRef]],TableQBMaster[QBRef],0)),"")</f>
        <v/>
      </c>
      <c r="F99" s="61" t="str">
        <f>IFERROR(INDEX(TableQBMaster[Custom],MATCH(TableQBCalcPts[[#This Row],[QBRef]],TableQBMaster[QBRef],0)),"")</f>
        <v/>
      </c>
      <c r="H99" s="60">
        <f>IFERROR(RANK(TableRBCalcPts[[#This Row],[Custom]],TableRBCalcPts[Custom])+COUNTIF($M$3:M99,M99)-1,"")</f>
        <v>1</v>
      </c>
      <c r="I99" s="60">
        <v>97</v>
      </c>
      <c r="J99" s="60" t="str">
        <f>IFERROR(INDEX(TableRBMaster[Player],MATCH(TableRBCalcPts[[#This Row],[RBRef]],TableRBMaster[RBRef],0)),"")</f>
        <v>Christian McCaffrey</v>
      </c>
      <c r="K99" s="60" t="str">
        <f>IFERROR(INDEX(TableRBMaster[TM],MATCH(TableRBCalcPts[[#This Row],[RBRef]],TableRBMaster[RBRef],0)),"")</f>
        <v>SF</v>
      </c>
      <c r="L99" s="60">
        <f>IFERROR(INDEX(TableRBMaster[BYE],MATCH(TableRBCalcPts[[#This Row],[RBRef]],TableRBMaster[RBRef],0)),"")</f>
        <v>9</v>
      </c>
      <c r="M99" s="61">
        <f>IFERROR(INDEX(TableRBMaster[Custom],MATCH(TableRBCalcPts[[#This Row],[RBRef]],TableRBMaster[RBRef],0)),"")</f>
        <v>300.48334873167357</v>
      </c>
      <c r="O99" s="60">
        <f>IFERROR(RANK(TableWRCalcPts[[#This Row],[Custom]],TableWRCalcPts[Custom])+COUNTIF($T$3:T99,T99)-1,"")</f>
        <v>148</v>
      </c>
      <c r="P99" s="60">
        <v>97</v>
      </c>
      <c r="Q99" s="60" t="str">
        <f>IFERROR(INDEX(TableWRMaster[Player],MATCH(TableWRCalcPts[[#This Row],[WRRef]],TableWRMaster[WRRef],0)),"")</f>
        <v>Tre Tucker</v>
      </c>
      <c r="R99" s="60" t="str">
        <f>IFERROR(INDEX(TableWRMaster[TM],MATCH(TableWRCalcPts[[#This Row],[WRRef]],TableWRMaster[WRRef],0)),"")</f>
        <v>LV</v>
      </c>
      <c r="S99" s="60">
        <f>IFERROR(INDEX(TableWRMaster[BYE],MATCH(TableWRCalcPts[[#This Row],[WRRef]],TableWRMaster[WRRef],0)),"")</f>
        <v>13</v>
      </c>
      <c r="T99" s="61">
        <f>IFERROR(INDEX(TableWRMaster[Custom],MATCH(TableWRCalcPts[[#This Row],[WRRef]],TableWRMaster[WRRef],0)),"")</f>
        <v>16.305184102292177</v>
      </c>
      <c r="V99" s="60" t="str">
        <f>IFERROR(RANK(TableTECalcPts[[#This Row],[Custom]],TableTECalcPts[Custom])+COUNTIF($AA$3:AA99,AA99)-1,"")</f>
        <v/>
      </c>
      <c r="W99" s="60">
        <v>97</v>
      </c>
      <c r="X99" s="60" t="str">
        <f>IFERROR(INDEX(TableTEMaster[Player],MATCH(TableTECalcPts[[#This Row],[TERef]],TableTEMaster[TERef],0)),"")</f>
        <v/>
      </c>
      <c r="Y99" s="60" t="str">
        <f>IFERROR(INDEX(TableTEMaster[TM],MATCH(TableTECalcPts[[#This Row],[TERef]],TableTEMaster[TERef],0)),"")</f>
        <v/>
      </c>
      <c r="Z99" s="60" t="str">
        <f>IFERROR(INDEX(TableTEMaster[BYE],MATCH(TableTECalcPts[[#This Row],[TERef]],TableTEMaster[TERef],0)),"")</f>
        <v/>
      </c>
      <c r="AA99" s="61" t="str">
        <f>IFERROR(INDEX(TableTEMaster[Custom],MATCH(TableTECalcPts[[#This Row],[TERef]],TableTEMaster[TERef],0)),"")</f>
        <v/>
      </c>
      <c r="AI99" s="60" t="s">
        <v>10</v>
      </c>
      <c r="AJ99" s="60" t="str">
        <f>IFERROR(RANK(TableWRTECalcPts[[#This Row],[Custom]],TableWRTECalcPts[Custom])+COUNTIF($AP$3:AP99,AP99)-1,"")</f>
        <v/>
      </c>
      <c r="AK99" s="60">
        <v>97</v>
      </c>
      <c r="AL99" s="60" t="str">
        <f>IFERROR(INDEX(TableTEMaster[Player],MATCH(TableWRTECalcPts[[#This Row],[POSRef]],TableTEMaster[TERef],0)),"")</f>
        <v/>
      </c>
      <c r="AM99" s="60" t="str">
        <f>IFERROR(_xlfn.CONCAT(TableWRTECalcPts[[#This Row],[POS]],INDEX(TableTERanks[RK],MATCH(TableWRTECalcPts[[#This Row],[PLAYER]],TableTERanks[Player],0))),"")</f>
        <v>TE91</v>
      </c>
      <c r="AN99" s="60" t="str">
        <f>IFERROR(INDEX(TableTEMaster[TM],MATCH(TableWRTECalcPts[[#This Row],[POSRef]],TableTEMaster[TERef],0)),"")</f>
        <v/>
      </c>
      <c r="AO99" s="60" t="str">
        <f>IFERROR(INDEX(TableTEMaster[BYE],MATCH(TableWRTECalcPts[[#This Row],[POSRef]],TableTEMaster[TERef],0)),"")</f>
        <v/>
      </c>
      <c r="AP99" s="61" t="str">
        <f>IFERROR(INDEX(TableTEMaster[Custom],MATCH(TableWRTECalcPts[[#This Row],[POSRef]],TableTEMaster[TERef],0)),"")</f>
        <v/>
      </c>
    </row>
    <row r="100" spans="1:42" x14ac:dyDescent="0.2">
      <c r="A100" s="62" t="str">
        <f>IFERROR(RANK(TableQBCalcPts[[#This Row],[Custom]],TableQBCalcPts[Custom])+COUNTIF($F$3:F100,F100)-1,"")</f>
        <v/>
      </c>
      <c r="B100" s="60">
        <v>98</v>
      </c>
      <c r="C100" s="60" t="str">
        <f>IFERROR(INDEX(TableQBMaster[Player],MATCH(TableQBCalcPts[[#This Row],[QBRef]],TableQBMaster[QBRef],0)),"")</f>
        <v/>
      </c>
      <c r="D100" s="60" t="str">
        <f>IFERROR(INDEX(TableQBMaster[TM],MATCH(TableQBCalcPts[[#This Row],[QBRef]],TableQBMaster[QBRef],0)),"")</f>
        <v/>
      </c>
      <c r="E100" s="60" t="str">
        <f>IFERROR(INDEX(TableQBMaster[BYE],MATCH(TableQBCalcPts[[#This Row],[QBRef]],TableQBMaster[QBRef],0)),"")</f>
        <v/>
      </c>
      <c r="F100" s="61" t="str">
        <f>IFERROR(INDEX(TableQBMaster[Custom],MATCH(TableQBCalcPts[[#This Row],[QBRef]],TableQBMaster[QBRef],0)),"")</f>
        <v/>
      </c>
      <c r="H100" s="60">
        <f>IFERROR(RANK(TableRBCalcPts[[#This Row],[Custom]],TableRBCalcPts[Custom])+COUNTIF($M$3:M100,M100)-1,"")</f>
        <v>51</v>
      </c>
      <c r="I100" s="60">
        <v>98</v>
      </c>
      <c r="J100" s="60" t="str">
        <f>IFERROR(INDEX(TableRBMaster[Player],MATCH(TableRBCalcPts[[#This Row],[RBRef]],TableRBMaster[RBRef],0)),"")</f>
        <v>Elijah Mitchell</v>
      </c>
      <c r="K100" s="60" t="str">
        <f>IFERROR(INDEX(TableRBMaster[TM],MATCH(TableRBCalcPts[[#This Row],[RBRef]],TableRBMaster[RBRef],0)),"")</f>
        <v>SF</v>
      </c>
      <c r="L100" s="60">
        <f>IFERROR(INDEX(TableRBMaster[BYE],MATCH(TableRBCalcPts[[#This Row],[RBRef]],TableRBMaster[RBRef],0)),"")</f>
        <v>9</v>
      </c>
      <c r="M100" s="61">
        <f>IFERROR(INDEX(TableRBMaster[Custom],MATCH(TableRBCalcPts[[#This Row],[RBRef]],TableRBMaster[RBRef],0)),"")</f>
        <v>104.6005533109488</v>
      </c>
      <c r="O100" s="60">
        <f>IFERROR(RANK(TableWRCalcPts[[#This Row],[Custom]],TableWRCalcPts[Custom])+COUNTIF($T$3:T100,T100)-1,"")</f>
        <v>2</v>
      </c>
      <c r="P100" s="60">
        <v>98</v>
      </c>
      <c r="Q100" s="60" t="str">
        <f>IFERROR(INDEX(TableWRMaster[Player],MATCH(TableWRCalcPts[[#This Row],[WRRef]],TableWRMaster[WRRef],0)),"")</f>
        <v>Tyreek Hill</v>
      </c>
      <c r="R100" s="60" t="str">
        <f>IFERROR(INDEX(TableWRMaster[TM],MATCH(TableWRCalcPts[[#This Row],[WRRef]],TableWRMaster[WRRef],0)),"")</f>
        <v>MIA</v>
      </c>
      <c r="S100" s="60">
        <f>IFERROR(INDEX(TableWRMaster[BYE],MATCH(TableWRCalcPts[[#This Row],[WRRef]],TableWRMaster[WRRef],0)),"")</f>
        <v>10</v>
      </c>
      <c r="T100" s="61">
        <f>IFERROR(INDEX(TableWRMaster[Custom],MATCH(TableWRCalcPts[[#This Row],[WRRef]],TableWRMaster[WRRef],0)),"")</f>
        <v>265.79784894083116</v>
      </c>
      <c r="V100" s="60" t="str">
        <f>IFERROR(RANK(TableTECalcPts[[#This Row],[Custom]],TableTECalcPts[Custom])+COUNTIF($AA$3:AA100,AA100)-1,"")</f>
        <v/>
      </c>
      <c r="W100" s="60">
        <v>98</v>
      </c>
      <c r="X100" s="60" t="str">
        <f>IFERROR(INDEX(TableTEMaster[Player],MATCH(TableTECalcPts[[#This Row],[TERef]],TableTEMaster[TERef],0)),"")</f>
        <v/>
      </c>
      <c r="Y100" s="60" t="str">
        <f>IFERROR(INDEX(TableTEMaster[TM],MATCH(TableTECalcPts[[#This Row],[TERef]],TableTEMaster[TERef],0)),"")</f>
        <v/>
      </c>
      <c r="Z100" s="60" t="str">
        <f>IFERROR(INDEX(TableTEMaster[BYE],MATCH(TableTECalcPts[[#This Row],[TERef]],TableTEMaster[TERef],0)),"")</f>
        <v/>
      </c>
      <c r="AA100" s="61" t="str">
        <f>IFERROR(INDEX(TableTEMaster[Custom],MATCH(TableTECalcPts[[#This Row],[TERef]],TableTEMaster[TERef],0)),"")</f>
        <v/>
      </c>
      <c r="AI100" s="60" t="s">
        <v>10</v>
      </c>
      <c r="AJ100" s="60" t="str">
        <f>IFERROR(RANK(TableWRTECalcPts[[#This Row],[Custom]],TableWRTECalcPts[Custom])+COUNTIF($AP$3:AP100,AP100)-1,"")</f>
        <v/>
      </c>
      <c r="AK100" s="60">
        <v>98</v>
      </c>
      <c r="AL100" s="60" t="str">
        <f>IFERROR(INDEX(TableTEMaster[Player],MATCH(TableWRTECalcPts[[#This Row],[POSRef]],TableTEMaster[TERef],0)),"")</f>
        <v/>
      </c>
      <c r="AM100" s="60" t="str">
        <f>IFERROR(_xlfn.CONCAT(TableWRTECalcPts[[#This Row],[POS]],INDEX(TableTERanks[RK],MATCH(TableWRTECalcPts[[#This Row],[PLAYER]],TableTERanks[Player],0))),"")</f>
        <v>TE91</v>
      </c>
      <c r="AN100" s="60" t="str">
        <f>IFERROR(INDEX(TableTEMaster[TM],MATCH(TableWRTECalcPts[[#This Row],[POSRef]],TableTEMaster[TERef],0)),"")</f>
        <v/>
      </c>
      <c r="AO100" s="60" t="str">
        <f>IFERROR(INDEX(TableTEMaster[BYE],MATCH(TableWRTECalcPts[[#This Row],[POSRef]],TableTEMaster[TERef],0)),"")</f>
        <v/>
      </c>
      <c r="AP100" s="61" t="str">
        <f>IFERROR(INDEX(TableTEMaster[Custom],MATCH(TableWRTECalcPts[[#This Row],[POSRef]],TableTEMaster[TERef],0)),"")</f>
        <v/>
      </c>
    </row>
    <row r="101" spans="1:42" x14ac:dyDescent="0.2">
      <c r="A101" s="62" t="str">
        <f>IFERROR(RANK(TableQBCalcPts[[#This Row],[Custom]],TableQBCalcPts[Custom])+COUNTIF($F$3:F101,F101)-1,"")</f>
        <v/>
      </c>
      <c r="B101" s="60">
        <v>99</v>
      </c>
      <c r="C101" s="60" t="str">
        <f>IFERROR(INDEX(TableQBMaster[Player],MATCH(TableQBCalcPts[[#This Row],[QBRef]],TableQBMaster[QBRef],0)),"")</f>
        <v/>
      </c>
      <c r="D101" s="60" t="str">
        <f>IFERROR(INDEX(TableQBMaster[TM],MATCH(TableQBCalcPts[[#This Row],[QBRef]],TableQBMaster[QBRef],0)),"")</f>
        <v/>
      </c>
      <c r="E101" s="60" t="str">
        <f>IFERROR(INDEX(TableQBMaster[BYE],MATCH(TableQBCalcPts[[#This Row],[QBRef]],TableQBMaster[QBRef],0)),"")</f>
        <v/>
      </c>
      <c r="F101" s="61" t="str">
        <f>IFERROR(INDEX(TableQBMaster[Custom],MATCH(TableQBCalcPts[[#This Row],[QBRef]],TableQBMaster[QBRef],0)),"")</f>
        <v/>
      </c>
      <c r="H101" s="60">
        <f>IFERROR(RANK(TableRBCalcPts[[#This Row],[Custom]],TableRBCalcPts[Custom])+COUNTIF($M$3:M101,M101)-1,"")</f>
        <v>100</v>
      </c>
      <c r="I101" s="60">
        <v>99</v>
      </c>
      <c r="J101" s="60" t="str">
        <f>IFERROR(INDEX(TableRBMaster[Player],MATCH(TableRBCalcPts[[#This Row],[RBRef]],TableRBMaster[RBRef],0)),"")</f>
        <v>Tyrion Davis-Price</v>
      </c>
      <c r="K101" s="60" t="str">
        <f>IFERROR(INDEX(TableRBMaster[TM],MATCH(TableRBCalcPts[[#This Row],[RBRef]],TableRBMaster[RBRef],0)),"")</f>
        <v>SF</v>
      </c>
      <c r="L101" s="60">
        <f>IFERROR(INDEX(TableRBMaster[BYE],MATCH(TableRBCalcPts[[#This Row],[RBRef]],TableRBMaster[RBRef],0)),"")</f>
        <v>9</v>
      </c>
      <c r="M101" s="61">
        <f>IFERROR(INDEX(TableRBMaster[Custom],MATCH(TableRBCalcPts[[#This Row],[RBRef]],TableRBMaster[RBRef],0)),"")</f>
        <v>18.938193866605488</v>
      </c>
      <c r="O101" s="60">
        <f>IFERROR(RANK(TableWRCalcPts[[#This Row],[Custom]],TableWRCalcPts[Custom])+COUNTIF($T$3:T101,T101)-1,"")</f>
        <v>9</v>
      </c>
      <c r="P101" s="60">
        <v>99</v>
      </c>
      <c r="Q101" s="60" t="str">
        <f>IFERROR(INDEX(TableWRMaster[Player],MATCH(TableWRCalcPts[[#This Row],[WRRef]],TableWRMaster[WRRef],0)),"")</f>
        <v>Jaylen Waddle</v>
      </c>
      <c r="R101" s="60" t="str">
        <f>IFERROR(INDEX(TableWRMaster[TM],MATCH(TableWRCalcPts[[#This Row],[WRRef]],TableWRMaster[WRRef],0)),"")</f>
        <v>MIA</v>
      </c>
      <c r="S101" s="60">
        <f>IFERROR(INDEX(TableWRMaster[BYE],MATCH(TableWRCalcPts[[#This Row],[WRRef]],TableWRMaster[WRRef],0)),"")</f>
        <v>10</v>
      </c>
      <c r="T101" s="61">
        <f>IFERROR(INDEX(TableWRMaster[Custom],MATCH(TableWRCalcPts[[#This Row],[WRRef]],TableWRMaster[WRRef],0)),"")</f>
        <v>213.97580424242801</v>
      </c>
      <c r="V101" s="60" t="str">
        <f>IFERROR(RANK(TableTECalcPts[[#This Row],[Custom]],TableTECalcPts[Custom])+COUNTIF($AA$3:AA101,AA101)-1,"")</f>
        <v/>
      </c>
      <c r="W101" s="60">
        <v>99</v>
      </c>
      <c r="X101" s="60" t="str">
        <f>IFERROR(INDEX(TableTEMaster[Player],MATCH(TableTECalcPts[[#This Row],[TERef]],TableTEMaster[TERef],0)),"")</f>
        <v/>
      </c>
      <c r="Y101" s="60" t="str">
        <f>IFERROR(INDEX(TableTEMaster[TM],MATCH(TableTECalcPts[[#This Row],[TERef]],TableTEMaster[TERef],0)),"")</f>
        <v/>
      </c>
      <c r="Z101" s="60" t="str">
        <f>IFERROR(INDEX(TableTEMaster[BYE],MATCH(TableTECalcPts[[#This Row],[TERef]],TableTEMaster[TERef],0)),"")</f>
        <v/>
      </c>
      <c r="AA101" s="61" t="str">
        <f>IFERROR(INDEX(TableTEMaster[Custom],MATCH(TableTECalcPts[[#This Row],[TERef]],TableTEMaster[TERef],0)),"")</f>
        <v/>
      </c>
      <c r="AI101" s="60" t="s">
        <v>10</v>
      </c>
      <c r="AJ101" s="60" t="str">
        <f>IFERROR(RANK(TableWRTECalcPts[[#This Row],[Custom]],TableWRTECalcPts[Custom])+COUNTIF($AP$3:AP101,AP101)-1,"")</f>
        <v/>
      </c>
      <c r="AK101" s="60">
        <v>99</v>
      </c>
      <c r="AL101" s="60" t="str">
        <f>IFERROR(INDEX(TableTEMaster[Player],MATCH(TableWRTECalcPts[[#This Row],[POSRef]],TableTEMaster[TERef],0)),"")</f>
        <v/>
      </c>
      <c r="AM101" s="60" t="str">
        <f>IFERROR(_xlfn.CONCAT(TableWRTECalcPts[[#This Row],[POS]],INDEX(TableTERanks[RK],MATCH(TableWRTECalcPts[[#This Row],[PLAYER]],TableTERanks[Player],0))),"")</f>
        <v>TE91</v>
      </c>
      <c r="AN101" s="60" t="str">
        <f>IFERROR(INDEX(TableTEMaster[TM],MATCH(TableWRTECalcPts[[#This Row],[POSRef]],TableTEMaster[TERef],0)),"")</f>
        <v/>
      </c>
      <c r="AO101" s="60" t="str">
        <f>IFERROR(INDEX(TableTEMaster[BYE],MATCH(TableWRTECalcPts[[#This Row],[POSRef]],TableTEMaster[TERef],0)),"")</f>
        <v/>
      </c>
      <c r="AP101" s="61" t="str">
        <f>IFERROR(INDEX(TableTEMaster[Custom],MATCH(TableWRTECalcPts[[#This Row],[POSRef]],TableTEMaster[TERef],0)),"")</f>
        <v/>
      </c>
    </row>
    <row r="102" spans="1:42" x14ac:dyDescent="0.2">
      <c r="A102" s="62" t="str">
        <f>IFERROR(RANK(TableQBCalcPts[[#This Row],[Custom]],TableQBCalcPts[Custom])+COUNTIF($F$3:F102,F102)-1,"")</f>
        <v/>
      </c>
      <c r="B102" s="60">
        <v>100</v>
      </c>
      <c r="C102" s="60" t="str">
        <f>IFERROR(INDEX(TableQBMaster[Player],MATCH(TableQBCalcPts[[#This Row],[QBRef]],TableQBMaster[QBRef],0)),"")</f>
        <v/>
      </c>
      <c r="D102" s="60" t="str">
        <f>IFERROR(INDEX(TableQBMaster[TM],MATCH(TableQBCalcPts[[#This Row],[QBRef]],TableQBMaster[QBRef],0)),"")</f>
        <v/>
      </c>
      <c r="E102" s="60" t="str">
        <f>IFERROR(INDEX(TableQBMaster[BYE],MATCH(TableQBCalcPts[[#This Row],[QBRef]],TableQBMaster[QBRef],0)),"")</f>
        <v/>
      </c>
      <c r="F102" s="61" t="str">
        <f>IFERROR(INDEX(TableQBMaster[Custom],MATCH(TableQBCalcPts[[#This Row],[QBRef]],TableQBMaster[QBRef],0)),"")</f>
        <v/>
      </c>
      <c r="H102" s="60">
        <f>IFERROR(RANK(TableRBCalcPts[[#This Row],[Custom]],TableRBCalcPts[Custom])+COUNTIF($M$3:M102,M102)-1,"")</f>
        <v>70</v>
      </c>
      <c r="I102" s="60">
        <v>100</v>
      </c>
      <c r="J102" s="60" t="str">
        <f>IFERROR(INDEX(TableRBMaster[Player],MATCH(TableRBCalcPts[[#This Row],[RBRef]],TableRBMaster[RBRef],0)),"")</f>
        <v>Jordan Mason</v>
      </c>
      <c r="K102" s="60" t="str">
        <f>IFERROR(INDEX(TableRBMaster[TM],MATCH(TableRBCalcPts[[#This Row],[RBRef]],TableRBMaster[RBRef],0)),"")</f>
        <v>SF</v>
      </c>
      <c r="L102" s="60">
        <f>IFERROR(INDEX(TableRBMaster[BYE],MATCH(TableRBCalcPts[[#This Row],[RBRef]],TableRBMaster[RBRef],0)),"")</f>
        <v>9</v>
      </c>
      <c r="M102" s="61">
        <f>IFERROR(INDEX(TableRBMaster[Custom],MATCH(TableRBCalcPts[[#This Row],[RBRef]],TableRBMaster[RBRef],0)),"")</f>
        <v>60.282796608378746</v>
      </c>
      <c r="O102" s="60">
        <f>IFERROR(RANK(TableWRCalcPts[[#This Row],[Custom]],TableWRCalcPts[Custom])+COUNTIF($T$3:T102,T102)-1,"")</f>
        <v>102</v>
      </c>
      <c r="P102" s="60">
        <v>100</v>
      </c>
      <c r="Q102" s="60" t="str">
        <f>IFERROR(INDEX(TableWRMaster[Player],MATCH(TableWRCalcPts[[#This Row],[WRRef]],TableWRMaster[WRRef],0)),"")</f>
        <v>Cedrick Wilson</v>
      </c>
      <c r="R102" s="60" t="str">
        <f>IFERROR(INDEX(TableWRMaster[TM],MATCH(TableWRCalcPts[[#This Row],[WRRef]],TableWRMaster[WRRef],0)),"")</f>
        <v>MIA</v>
      </c>
      <c r="S102" s="60">
        <f>IFERROR(INDEX(TableWRMaster[BYE],MATCH(TableWRCalcPts[[#This Row],[WRRef]],TableWRMaster[WRRef],0)),"")</f>
        <v>10</v>
      </c>
      <c r="T102" s="61">
        <f>IFERROR(INDEX(TableWRMaster[Custom],MATCH(TableWRCalcPts[[#This Row],[WRRef]],TableWRMaster[WRRef],0)),"")</f>
        <v>59.155899982718687</v>
      </c>
      <c r="V102" s="60" t="str">
        <f>IFERROR(RANK(TableTECalcPts[[#This Row],[Custom]],TableTECalcPts[Custom])+COUNTIF($AA$3:AA102,AA102)-1,"")</f>
        <v/>
      </c>
      <c r="W102" s="60">
        <v>100</v>
      </c>
      <c r="X102" s="60" t="str">
        <f>IFERROR(INDEX(TableTEMaster[Player],MATCH(TableTECalcPts[[#This Row],[TERef]],TableTEMaster[TERef],0)),"")</f>
        <v/>
      </c>
      <c r="Y102" s="60" t="str">
        <f>IFERROR(INDEX(TableTEMaster[TM],MATCH(TableTECalcPts[[#This Row],[TERef]],TableTEMaster[TERef],0)),"")</f>
        <v/>
      </c>
      <c r="Z102" s="60" t="str">
        <f>IFERROR(INDEX(TableTEMaster[BYE],MATCH(TableTECalcPts[[#This Row],[TERef]],TableTEMaster[TERef],0)),"")</f>
        <v/>
      </c>
      <c r="AA102" s="61" t="str">
        <f>IFERROR(INDEX(TableTEMaster[Custom],MATCH(TableTECalcPts[[#This Row],[TERef]],TableTEMaster[TERef],0)),"")</f>
        <v/>
      </c>
      <c r="AI102" s="60" t="s">
        <v>10</v>
      </c>
      <c r="AJ102" s="60" t="str">
        <f>IFERROR(RANK(TableWRTECalcPts[[#This Row],[Custom]],TableWRTECalcPts[Custom])+COUNTIF($AP$3:AP102,AP102)-1,"")</f>
        <v/>
      </c>
      <c r="AK102" s="60">
        <v>100</v>
      </c>
      <c r="AL102" s="60" t="str">
        <f>IFERROR(INDEX(TableTEMaster[Player],MATCH(TableWRTECalcPts[[#This Row],[POSRef]],TableTEMaster[TERef],0)),"")</f>
        <v/>
      </c>
      <c r="AM102" s="60" t="str">
        <f>IFERROR(_xlfn.CONCAT(TableWRTECalcPts[[#This Row],[POS]],INDEX(TableTERanks[RK],MATCH(TableWRTECalcPts[[#This Row],[PLAYER]],TableTERanks[Player],0))),"")</f>
        <v>TE91</v>
      </c>
      <c r="AN102" s="60" t="str">
        <f>IFERROR(INDEX(TableTEMaster[TM],MATCH(TableWRTECalcPts[[#This Row],[POSRef]],TableTEMaster[TERef],0)),"")</f>
        <v/>
      </c>
      <c r="AO102" s="60" t="str">
        <f>IFERROR(INDEX(TableTEMaster[BYE],MATCH(TableWRTECalcPts[[#This Row],[POSRef]],TableTEMaster[TERef],0)),"")</f>
        <v/>
      </c>
      <c r="AP102" s="61" t="str">
        <f>IFERROR(INDEX(TableTEMaster[Custom],MATCH(TableWRTECalcPts[[#This Row],[POSRef]],TableTEMaster[TERef],0)),"")</f>
        <v/>
      </c>
    </row>
    <row r="103" spans="1:42" x14ac:dyDescent="0.2">
      <c r="H103" s="60">
        <f>IFERROR(RANK(TableRBCalcPts[[#This Row],[Custom]],TableRBCalcPts[Custom])+COUNTIF($M$3:M103,M103)-1,"")</f>
        <v>14</v>
      </c>
      <c r="I103" s="60">
        <v>101</v>
      </c>
      <c r="J103" s="60" t="str">
        <f>IFERROR(INDEX(TableRBMaster[Player],MATCH(TableRBCalcPts[[#This Row],[RBRef]],TableRBMaster[RBRef],0)),"")</f>
        <v>Rachaad White</v>
      </c>
      <c r="K103" s="60" t="str">
        <f>IFERROR(INDEX(TableRBMaster[TM],MATCH(TableRBCalcPts[[#This Row],[RBRef]],TableRBMaster[RBRef],0)),"")</f>
        <v>TB</v>
      </c>
      <c r="L103" s="60">
        <f>IFERROR(INDEX(TableRBMaster[BYE],MATCH(TableRBCalcPts[[#This Row],[RBRef]],TableRBMaster[RBRef],0)),"")</f>
        <v>5</v>
      </c>
      <c r="M103" s="61">
        <f>IFERROR(INDEX(TableRBMaster[Custom],MATCH(TableRBCalcPts[[#This Row],[RBRef]],TableRBMaster[RBRef],0)),"")</f>
        <v>206.53143530729474</v>
      </c>
      <c r="O103" s="60">
        <f>IFERROR(RANK(TableWRCalcPts[[#This Row],[Custom]],TableWRCalcPts[Custom])+COUNTIF($T$3:T103,T103)-1,"")</f>
        <v>129</v>
      </c>
      <c r="P103" s="60">
        <v>101</v>
      </c>
      <c r="Q103" s="60" t="str">
        <f>IFERROR(INDEX(TableWRMaster[Player],MATCH(TableWRCalcPts[[#This Row],[WRRef]],TableWRMaster[WRRef],0)),"")</f>
        <v>River Cracraft</v>
      </c>
      <c r="R103" s="60" t="str">
        <f>IFERROR(INDEX(TableWRMaster[TM],MATCH(TableWRCalcPts[[#This Row],[WRRef]],TableWRMaster[WRRef],0)),"")</f>
        <v>MIA</v>
      </c>
      <c r="S103" s="60">
        <f>IFERROR(INDEX(TableWRMaster[BYE],MATCH(TableWRCalcPts[[#This Row],[WRRef]],TableWRMaster[WRRef],0)),"")</f>
        <v>10</v>
      </c>
      <c r="T103" s="61">
        <f>IFERROR(INDEX(TableWRMaster[Custom],MATCH(TableWRCalcPts[[#This Row],[WRRef]],TableWRMaster[WRRef],0)),"")</f>
        <v>26.416578674304006</v>
      </c>
      <c r="AI103" s="60" t="s">
        <v>257</v>
      </c>
      <c r="AJ103" s="60">
        <f>IFERROR(RANK(TableWRTECalcPts[[#This Row],[Custom]],TableWRTECalcPts[Custom])+COUNTIF($AP$3:AP103,AP103)-1,"")</f>
        <v>35</v>
      </c>
      <c r="AK103" s="113">
        <v>1</v>
      </c>
      <c r="AL103" s="113" t="str">
        <f>IFERROR(INDEX(TableWRMaster[Player],MATCH(TableWRTECalcPts[[#This Row],[POSRef]],TableWRMaster[WRRef],0)),"")</f>
        <v>Marquise Brown</v>
      </c>
      <c r="AM103" s="113" t="str">
        <f>IFERROR(_xlfn.CONCAT(TableWRTECalcPts[[#This Row],[POS]],INDEX(TableWRRanks[RK],MATCH(TableWRTECalcPts[[#This Row],[PLAYER]],TableWRRanks[Player],0))),"")</f>
        <v>WR31</v>
      </c>
      <c r="AN103" s="113" t="str">
        <f>IFERROR(INDEX(TableWRMaster[TM],MATCH(TableWRTECalcPts[[#This Row],[POSRef]],TableWRMaster[WRRef],0)),"")</f>
        <v>ARI</v>
      </c>
      <c r="AO103" s="113">
        <f>IFERROR(INDEX(TableWRMaster[BYE],MATCH(TableWRTECalcPts[[#This Row],[POSRef]],TableWRMaster[WRRef],0)),"")</f>
        <v>14</v>
      </c>
      <c r="AP103" s="111">
        <f>IFERROR(INDEX(TableWRMaster[Custom],MATCH(TableWRTECalcPts[[#This Row],[POSRef]],TableWRMaster[WRRef],0)),"")</f>
        <v>169.79884257105002</v>
      </c>
    </row>
    <row r="104" spans="1:42" x14ac:dyDescent="0.2">
      <c r="H104" s="60">
        <f>IFERROR(RANK(TableRBCalcPts[[#This Row],[Custom]],TableRBCalcPts[Custom])+COUNTIF($M$3:M104,M104)-1,"")</f>
        <v>73</v>
      </c>
      <c r="I104" s="60">
        <v>102</v>
      </c>
      <c r="J104" s="60" t="str">
        <f>IFERROR(INDEX(TableRBMaster[Player],MATCH(TableRBCalcPts[[#This Row],[RBRef]],TableRBMaster[RBRef],0)),"")</f>
        <v>Chase Edmonds</v>
      </c>
      <c r="K104" s="60" t="str">
        <f>IFERROR(INDEX(TableRBMaster[TM],MATCH(TableRBCalcPts[[#This Row],[RBRef]],TableRBMaster[RBRef],0)),"")</f>
        <v>TB</v>
      </c>
      <c r="L104" s="60">
        <f>IFERROR(INDEX(TableRBMaster[BYE],MATCH(TableRBCalcPts[[#This Row],[RBRef]],TableRBMaster[RBRef],0)),"")</f>
        <v>5</v>
      </c>
      <c r="M104" s="61">
        <f>IFERROR(INDEX(TableRBMaster[Custom],MATCH(TableRBCalcPts[[#This Row],[RBRef]],TableRBMaster[RBRef],0)),"")</f>
        <v>52.093323083656742</v>
      </c>
      <c r="O104" s="60">
        <f>IFERROR(RANK(TableWRCalcPts[[#This Row],[Custom]],TableWRCalcPts[Custom])+COUNTIF($T$3:T104,T104)-1,"")</f>
        <v>106</v>
      </c>
      <c r="P104" s="60">
        <v>102</v>
      </c>
      <c r="Q104" s="60" t="str">
        <f>IFERROR(INDEX(TableWRMaster[Player],MATCH(TableWRCalcPts[[#This Row],[WRRef]],TableWRMaster[WRRef],0)),"")</f>
        <v>Braxton Berrios</v>
      </c>
      <c r="R104" s="60" t="str">
        <f>IFERROR(INDEX(TableWRMaster[TM],MATCH(TableWRCalcPts[[#This Row],[WRRef]],TableWRMaster[WRRef],0)),"")</f>
        <v>MIA</v>
      </c>
      <c r="S104" s="60">
        <f>IFERROR(INDEX(TableWRMaster[BYE],MATCH(TableWRCalcPts[[#This Row],[WRRef]],TableWRMaster[WRRef],0)),"")</f>
        <v>10</v>
      </c>
      <c r="T104" s="61">
        <f>IFERROR(INDEX(TableWRMaster[Custom],MATCH(TableWRCalcPts[[#This Row],[WRRef]],TableWRMaster[WRRef],0)),"")</f>
        <v>56.686699079863281</v>
      </c>
      <c r="AI104" s="60" t="s">
        <v>257</v>
      </c>
      <c r="AJ104" s="60">
        <f>IFERROR(RANK(TableWRTECalcPts[[#This Row],[Custom]],TableWRTECalcPts[Custom])+COUNTIF($AP$3:AP104,AP104)-1,"")</f>
        <v>92</v>
      </c>
      <c r="AK104" s="113">
        <v>2</v>
      </c>
      <c r="AL104" s="113" t="str">
        <f>IFERROR(INDEX(TableWRMaster[Player],MATCH(TableWRTECalcPts[[#This Row],[POSRef]],TableWRMaster[WRRef],0)),"")</f>
        <v>Rondale Moore</v>
      </c>
      <c r="AM104" s="113" t="str">
        <f>IFERROR(_xlfn.CONCAT(TableWRTECalcPts[[#This Row],[POS]],INDEX(TableWRRanks[RK],MATCH(TableWRTECalcPts[[#This Row],[PLAYER]],TableWRRanks[Player],0))),"")</f>
        <v>WR72</v>
      </c>
      <c r="AN104" s="113" t="str">
        <f>IFERROR(INDEX(TableWRMaster[TM],MATCH(TableWRTECalcPts[[#This Row],[POSRef]],TableWRMaster[WRRef],0)),"")</f>
        <v>ARI</v>
      </c>
      <c r="AO104" s="113">
        <f>IFERROR(INDEX(TableWRMaster[BYE],MATCH(TableWRTECalcPts[[#This Row],[POSRef]],TableWRMaster[WRRef],0)),"")</f>
        <v>14</v>
      </c>
      <c r="AP104" s="111">
        <f>IFERROR(INDEX(TableWRMaster[Custom],MATCH(TableWRTECalcPts[[#This Row],[POSRef]],TableWRMaster[WRRef],0)),"")</f>
        <v>98.677687369437947</v>
      </c>
    </row>
    <row r="105" spans="1:42" x14ac:dyDescent="0.2">
      <c r="H105" s="60">
        <f>IFERROR(RANK(TableRBCalcPts[[#This Row],[Custom]],TableRBCalcPts[Custom])+COUNTIF($M$3:M105,M105)-1,"")</f>
        <v>99</v>
      </c>
      <c r="I105" s="60">
        <v>103</v>
      </c>
      <c r="J105" s="60" t="str">
        <f>IFERROR(INDEX(TableRBMaster[Player],MATCH(TableRBCalcPts[[#This Row],[RBRef]],TableRBMaster[RBRef],0)),"")</f>
        <v>Ke'Shawn Vaughn</v>
      </c>
      <c r="K105" s="60" t="str">
        <f>IFERROR(INDEX(TableRBMaster[TM],MATCH(TableRBCalcPts[[#This Row],[RBRef]],TableRBMaster[RBRef],0)),"")</f>
        <v>TB</v>
      </c>
      <c r="L105" s="60">
        <f>IFERROR(INDEX(TableRBMaster[BYE],MATCH(TableRBCalcPts[[#This Row],[RBRef]],TableRBMaster[RBRef],0)),"")</f>
        <v>5</v>
      </c>
      <c r="M105" s="61">
        <f>IFERROR(INDEX(TableRBMaster[Custom],MATCH(TableRBCalcPts[[#This Row],[RBRef]],TableRBMaster[RBRef],0)),"")</f>
        <v>20.166868055698529</v>
      </c>
      <c r="O105" s="60">
        <f>IFERROR(RANK(TableWRCalcPts[[#This Row],[Custom]],TableWRCalcPts[Custom])+COUNTIF($T$3:T105,T105)-1,"")</f>
        <v>1</v>
      </c>
      <c r="P105" s="60">
        <v>103</v>
      </c>
      <c r="Q105" s="60" t="str">
        <f>IFERROR(INDEX(TableWRMaster[Player],MATCH(TableWRCalcPts[[#This Row],[WRRef]],TableWRMaster[WRRef],0)),"")</f>
        <v>Justin Jefferson</v>
      </c>
      <c r="R105" s="60" t="str">
        <f>IFERROR(INDEX(TableWRMaster[TM],MATCH(TableWRCalcPts[[#This Row],[WRRef]],TableWRMaster[WRRef],0)),"")</f>
        <v>MIN</v>
      </c>
      <c r="S105" s="60">
        <f>IFERROR(INDEX(TableWRMaster[BYE],MATCH(TableWRCalcPts[[#This Row],[WRRef]],TableWRMaster[WRRef],0)),"")</f>
        <v>13</v>
      </c>
      <c r="T105" s="61">
        <f>IFERROR(INDEX(TableWRMaster[Custom],MATCH(TableWRCalcPts[[#This Row],[WRRef]],TableWRMaster[WRRef],0)),"")</f>
        <v>277.31918748577561</v>
      </c>
      <c r="AI105" s="60" t="s">
        <v>257</v>
      </c>
      <c r="AJ105" s="60">
        <f>IFERROR(RANK(TableWRTECalcPts[[#This Row],[Custom]],TableWRTECalcPts[Custom])+COUNTIF($AP$3:AP105,AP105)-1,"")</f>
        <v>171</v>
      </c>
      <c r="AK105" s="113">
        <v>3</v>
      </c>
      <c r="AL105" s="113" t="str">
        <f>IFERROR(INDEX(TableWRMaster[Player],MATCH(TableWRTECalcPts[[#This Row],[POSRef]],TableWRMaster[WRRef],0)),"")</f>
        <v>Greg Dortch</v>
      </c>
      <c r="AM105" s="113" t="str">
        <f>IFERROR(_xlfn.CONCAT(TableWRTECalcPts[[#This Row],[POS]],INDEX(TableWRRanks[RK],MATCH(TableWRTECalcPts[[#This Row],[PLAYER]],TableWRRanks[Player],0))),"")</f>
        <v>WR124</v>
      </c>
      <c r="AN105" s="113" t="str">
        <f>IFERROR(INDEX(TableWRMaster[TM],MATCH(TableWRTECalcPts[[#This Row],[POSRef]],TableWRMaster[WRRef],0)),"")</f>
        <v>ARI</v>
      </c>
      <c r="AO105" s="113">
        <f>IFERROR(INDEX(TableWRMaster[BYE],MATCH(TableWRTECalcPts[[#This Row],[POSRef]],TableWRMaster[WRRef],0)),"")</f>
        <v>14</v>
      </c>
      <c r="AP105" s="111">
        <f>IFERROR(INDEX(TableWRMaster[Custom],MATCH(TableWRTECalcPts[[#This Row],[POSRef]],TableWRMaster[WRRef],0)),"")</f>
        <v>33.890268423899997</v>
      </c>
    </row>
    <row r="106" spans="1:42" x14ac:dyDescent="0.2">
      <c r="H106" s="60">
        <f>IFERROR(RANK(TableRBCalcPts[[#This Row],[Custom]],TableRBCalcPts[Custom])+COUNTIF($M$3:M106,M106)-1,"")</f>
        <v>64</v>
      </c>
      <c r="I106" s="60">
        <v>104</v>
      </c>
      <c r="J106" s="60" t="str">
        <f>IFERROR(INDEX(TableRBMaster[Player],MATCH(TableRBCalcPts[[#This Row],[RBRef]],TableRBMaster[RBRef],0)),"")</f>
        <v>Sean Tucker</v>
      </c>
      <c r="K106" s="60" t="str">
        <f>IFERROR(INDEX(TableRBMaster[TM],MATCH(TableRBCalcPts[[#This Row],[RBRef]],TableRBMaster[RBRef],0)),"")</f>
        <v>TB</v>
      </c>
      <c r="L106" s="60">
        <f>IFERROR(INDEX(TableRBMaster[BYE],MATCH(TableRBCalcPts[[#This Row],[RBRef]],TableRBMaster[RBRef],0)),"")</f>
        <v>5</v>
      </c>
      <c r="M106" s="61">
        <f>IFERROR(INDEX(TableRBMaster[Custom],MATCH(TableRBCalcPts[[#This Row],[RBRef]],TableRBMaster[RBRef],0)),"")</f>
        <v>71.283273128167366</v>
      </c>
      <c r="O106" s="60">
        <f>IFERROR(RANK(TableWRCalcPts[[#This Row],[Custom]],TableWRCalcPts[Custom])+COUNTIF($T$3:T106,T106)-1,"")</f>
        <v>27</v>
      </c>
      <c r="P106" s="60">
        <v>104</v>
      </c>
      <c r="Q106" s="60" t="str">
        <f>IFERROR(INDEX(TableWRMaster[Player],MATCH(TableWRCalcPts[[#This Row],[WRRef]],TableWRMaster[WRRef],0)),"")</f>
        <v>Jordan Addison</v>
      </c>
      <c r="R106" s="60" t="str">
        <f>IFERROR(INDEX(TableWRMaster[TM],MATCH(TableWRCalcPts[[#This Row],[WRRef]],TableWRMaster[WRRef],0)),"")</f>
        <v>MIN</v>
      </c>
      <c r="S106" s="60">
        <f>IFERROR(INDEX(TableWRMaster[BYE],MATCH(TableWRCalcPts[[#This Row],[WRRef]],TableWRMaster[WRRef],0)),"")</f>
        <v>13</v>
      </c>
      <c r="T106" s="61">
        <f>IFERROR(INDEX(TableWRMaster[Custom],MATCH(TableWRCalcPts[[#This Row],[WRRef]],TableWRMaster[WRRef],0)),"")</f>
        <v>176.77315343207513</v>
      </c>
      <c r="AI106" s="60" t="s">
        <v>257</v>
      </c>
      <c r="AJ106" s="60">
        <f>IFERROR(RANK(TableWRTECalcPts[[#This Row],[Custom]],TableWRTECalcPts[Custom])+COUNTIF($AP$3:AP106,AP106)-1,"")</f>
        <v>73</v>
      </c>
      <c r="AK106" s="113">
        <v>4</v>
      </c>
      <c r="AL106" s="113" t="str">
        <f>IFERROR(INDEX(TableWRMaster[Player],MATCH(TableWRTECalcPts[[#This Row],[POSRef]],TableWRMaster[WRRef],0)),"")</f>
        <v>Michael Wilson</v>
      </c>
      <c r="AM106" s="113" t="str">
        <f>IFERROR(_xlfn.CONCAT(TableWRTECalcPts[[#This Row],[POS]],INDEX(TableWRRanks[RK],MATCH(TableWRTECalcPts[[#This Row],[PLAYER]],TableWRRanks[Player],0))),"")</f>
        <v>WR62</v>
      </c>
      <c r="AN106" s="113" t="str">
        <f>IFERROR(INDEX(TableWRMaster[TM],MATCH(TableWRTECalcPts[[#This Row],[POSRef]],TableWRMaster[WRRef],0)),"")</f>
        <v>ARI</v>
      </c>
      <c r="AO106" s="113">
        <f>IFERROR(INDEX(TableWRMaster[BYE],MATCH(TableWRTECalcPts[[#This Row],[POSRef]],TableWRMaster[WRRef],0)),"")</f>
        <v>14</v>
      </c>
      <c r="AP106" s="111">
        <f>IFERROR(INDEX(TableWRMaster[Custom],MATCH(TableWRTECalcPts[[#This Row],[POSRef]],TableWRMaster[WRRef],0)),"")</f>
        <v>119.77105166565002</v>
      </c>
    </row>
    <row r="107" spans="1:42" x14ac:dyDescent="0.2">
      <c r="H107" s="60">
        <f>IFERROR(RANK(TableRBCalcPts[[#This Row],[Custom]],TableRBCalcPts[Custom])+COUNTIF($M$3:M107,M107)-1,"")</f>
        <v>4</v>
      </c>
      <c r="I107" s="60">
        <v>105</v>
      </c>
      <c r="J107" s="60" t="str">
        <f>IFERROR(INDEX(TableRBMaster[Player],MATCH(TableRBCalcPts[[#This Row],[RBRef]],TableRBMaster[RBRef],0)),"")</f>
        <v>Derrick Henry</v>
      </c>
      <c r="K107" s="60" t="str">
        <f>IFERROR(INDEX(TableRBMaster[TM],MATCH(TableRBCalcPts[[#This Row],[RBRef]],TableRBMaster[RBRef],0)),"")</f>
        <v>TEN</v>
      </c>
      <c r="L107" s="60">
        <f>IFERROR(INDEX(TableRBMaster[BYE],MATCH(TableRBCalcPts[[#This Row],[RBRef]],TableRBMaster[RBRef],0)),"")</f>
        <v>7</v>
      </c>
      <c r="M107" s="61">
        <f>IFERROR(INDEX(TableRBMaster[Custom],MATCH(TableRBCalcPts[[#This Row],[RBRef]],TableRBMaster[RBRef],0)),"")</f>
        <v>257.94009790393397</v>
      </c>
      <c r="O107" s="60">
        <f>IFERROR(RANK(TableWRCalcPts[[#This Row],[Custom]],TableWRCalcPts[Custom])+COUNTIF($T$3:T107,T107)-1,"")</f>
        <v>67</v>
      </c>
      <c r="P107" s="60">
        <v>105</v>
      </c>
      <c r="Q107" s="60" t="str">
        <f>IFERROR(INDEX(TableWRMaster[Player],MATCH(TableWRCalcPts[[#This Row],[WRRef]],TableWRMaster[WRRef],0)),"")</f>
        <v>K.J. Osborn</v>
      </c>
      <c r="R107" s="60" t="str">
        <f>IFERROR(INDEX(TableWRMaster[TM],MATCH(TableWRCalcPts[[#This Row],[WRRef]],TableWRMaster[WRRef],0)),"")</f>
        <v>MIN</v>
      </c>
      <c r="S107" s="60">
        <f>IFERROR(INDEX(TableWRMaster[BYE],MATCH(TableWRCalcPts[[#This Row],[WRRef]],TableWRMaster[WRRef],0)),"")</f>
        <v>13</v>
      </c>
      <c r="T107" s="61">
        <f>IFERROR(INDEX(TableWRMaster[Custom],MATCH(TableWRCalcPts[[#This Row],[WRRef]],TableWRMaster[WRRef],0)),"")</f>
        <v>113.8911756591277</v>
      </c>
      <c r="AI107" s="60" t="s">
        <v>257</v>
      </c>
      <c r="AJ107" s="60">
        <f>IFERROR(RANK(TableWRTECalcPts[[#This Row],[Custom]],TableWRTECalcPts[Custom])+COUNTIF($AP$3:AP107,AP107)-1,"")</f>
        <v>182</v>
      </c>
      <c r="AK107" s="113">
        <v>5</v>
      </c>
      <c r="AL107" s="113" t="str">
        <f>IFERROR(INDEX(TableWRMaster[Player],MATCH(TableWRTECalcPts[[#This Row],[POSRef]],TableWRMaster[WRRef],0)),"")</f>
        <v>Zach Pascal</v>
      </c>
      <c r="AM107" s="113" t="str">
        <f>IFERROR(_xlfn.CONCAT(TableWRTECalcPts[[#This Row],[POS]],INDEX(TableWRRanks[RK],MATCH(TableWRTECalcPts[[#This Row],[PLAYER]],TableWRRanks[Player],0))),"")</f>
        <v>WR128</v>
      </c>
      <c r="AN107" s="113" t="str">
        <f>IFERROR(INDEX(TableWRMaster[TM],MATCH(TableWRTECalcPts[[#This Row],[POSRef]],TableWRMaster[WRRef],0)),"")</f>
        <v>ARI</v>
      </c>
      <c r="AO107" s="113">
        <f>IFERROR(INDEX(TableWRMaster[BYE],MATCH(TableWRTECalcPts[[#This Row],[POSRef]],TableWRMaster[WRRef],0)),"")</f>
        <v>14</v>
      </c>
      <c r="AP107" s="111">
        <f>IFERROR(INDEX(TableWRMaster[Custom],MATCH(TableWRTECalcPts[[#This Row],[POSRef]],TableWRMaster[WRRef],0)),"")</f>
        <v>27.765618152580004</v>
      </c>
    </row>
    <row r="108" spans="1:42" x14ac:dyDescent="0.2">
      <c r="H108" s="60">
        <f>IFERROR(RANK(TableRBCalcPts[[#This Row],[Custom]],TableRBCalcPts[Custom])+COUNTIF($M$3:M108,M108)-1,"")</f>
        <v>56</v>
      </c>
      <c r="I108" s="60">
        <v>106</v>
      </c>
      <c r="J108" s="60" t="str">
        <f>IFERROR(INDEX(TableRBMaster[Player],MATCH(TableRBCalcPts[[#This Row],[RBRef]],TableRBMaster[RBRef],0)),"")</f>
        <v>Tyjae Spears</v>
      </c>
      <c r="K108" s="60" t="str">
        <f>IFERROR(INDEX(TableRBMaster[TM],MATCH(TableRBCalcPts[[#This Row],[RBRef]],TableRBMaster[RBRef],0)),"")</f>
        <v>TEN</v>
      </c>
      <c r="L108" s="60">
        <f>IFERROR(INDEX(TableRBMaster[BYE],MATCH(TableRBCalcPts[[#This Row],[RBRef]],TableRBMaster[RBRef],0)),"")</f>
        <v>7</v>
      </c>
      <c r="M108" s="61">
        <f>IFERROR(INDEX(TableRBMaster[Custom],MATCH(TableRBCalcPts[[#This Row],[RBRef]],TableRBMaster[RBRef],0)),"")</f>
        <v>93.969165711551824</v>
      </c>
      <c r="O108" s="60">
        <f>IFERROR(RANK(TableWRCalcPts[[#This Row],[Custom]],TableWRCalcPts[Custom])+COUNTIF($T$3:T108,T108)-1,"")</f>
        <v>157</v>
      </c>
      <c r="P108" s="60">
        <v>106</v>
      </c>
      <c r="Q108" s="60" t="str">
        <f>IFERROR(INDEX(TableWRMaster[Player],MATCH(TableWRCalcPts[[#This Row],[WRRef]],TableWRMaster[WRRef],0)),"")</f>
        <v>Jalen Nailor</v>
      </c>
      <c r="R108" s="60" t="str">
        <f>IFERROR(INDEX(TableWRMaster[TM],MATCH(TableWRCalcPts[[#This Row],[WRRef]],TableWRMaster[WRRef],0)),"")</f>
        <v>MIN</v>
      </c>
      <c r="S108" s="60">
        <f>IFERROR(INDEX(TableWRMaster[BYE],MATCH(TableWRCalcPts[[#This Row],[WRRef]],TableWRMaster[WRRef],0)),"")</f>
        <v>13</v>
      </c>
      <c r="T108" s="61">
        <f>IFERROR(INDEX(TableWRMaster[Custom],MATCH(TableWRCalcPts[[#This Row],[WRRef]],TableWRMaster[WRRef],0)),"")</f>
        <v>12.440677591952079</v>
      </c>
      <c r="AI108" s="60" t="s">
        <v>257</v>
      </c>
      <c r="AJ108" s="60">
        <f>IFERROR(RANK(TableWRTECalcPts[[#This Row],[Custom]],TableWRTECalcPts[Custom])+COUNTIF($AP$3:AP108,AP108)-1,"")</f>
        <v>39</v>
      </c>
      <c r="AK108" s="113">
        <v>6</v>
      </c>
      <c r="AL108" s="113" t="str">
        <f>IFERROR(INDEX(TableWRMaster[Player],MATCH(TableWRTECalcPts[[#This Row],[POSRef]],TableWRMaster[WRRef],0)),"")</f>
        <v>Drake London</v>
      </c>
      <c r="AM108" s="113" t="str">
        <f>IFERROR(_xlfn.CONCAT(TableWRTECalcPts[[#This Row],[POS]],INDEX(TableWRRanks[RK],MATCH(TableWRTECalcPts[[#This Row],[PLAYER]],TableWRRanks[Player],0))),"")</f>
        <v>WR35</v>
      </c>
      <c r="AN108" s="113" t="str">
        <f>IFERROR(INDEX(TableWRMaster[TM],MATCH(TableWRTECalcPts[[#This Row],[POSRef]],TableWRMaster[WRRef],0)),"")</f>
        <v>ATL</v>
      </c>
      <c r="AO108" s="113">
        <f>IFERROR(INDEX(TableWRMaster[BYE],MATCH(TableWRTECalcPts[[#This Row],[POSRef]],TableWRMaster[WRRef],0)),"")</f>
        <v>11</v>
      </c>
      <c r="AP108" s="111">
        <f>IFERROR(INDEX(TableWRMaster[Custom],MATCH(TableWRTECalcPts[[#This Row],[POSRef]],TableWRMaster[WRRef],0)),"")</f>
        <v>164.56961695199593</v>
      </c>
    </row>
    <row r="109" spans="1:42" x14ac:dyDescent="0.2">
      <c r="H109" s="60">
        <f>IFERROR(RANK(TableRBCalcPts[[#This Row],[Custom]],TableRBCalcPts[Custom])+COUNTIF($M$3:M109,M109)-1,"")</f>
        <v>94</v>
      </c>
      <c r="I109" s="60">
        <v>107</v>
      </c>
      <c r="J109" s="60" t="str">
        <f>IFERROR(INDEX(TableRBMaster[Player],MATCH(TableRBCalcPts[[#This Row],[RBRef]],TableRBMaster[RBRef],0)),"")</f>
        <v>Julius Chestnut</v>
      </c>
      <c r="K109" s="60" t="str">
        <f>IFERROR(INDEX(TableRBMaster[TM],MATCH(TableRBCalcPts[[#This Row],[RBRef]],TableRBMaster[RBRef],0)),"")</f>
        <v>TEN</v>
      </c>
      <c r="L109" s="60">
        <f>IFERROR(INDEX(TableRBMaster[BYE],MATCH(TableRBCalcPts[[#This Row],[RBRef]],TableRBMaster[RBRef],0)),"")</f>
        <v>7</v>
      </c>
      <c r="M109" s="61">
        <f>IFERROR(INDEX(TableRBMaster[Custom],MATCH(TableRBCalcPts[[#This Row],[RBRef]],TableRBMaster[RBRef],0)),"")</f>
        <v>22.584872523415996</v>
      </c>
      <c r="O109" s="60">
        <f>IFERROR(RANK(TableWRCalcPts[[#This Row],[Custom]],TableWRCalcPts[Custom])+COUNTIF($T$3:T109,T109)-1,"")</f>
        <v>130</v>
      </c>
      <c r="P109" s="60">
        <v>107</v>
      </c>
      <c r="Q109" s="60" t="str">
        <f>IFERROR(INDEX(TableWRMaster[Player],MATCH(TableWRCalcPts[[#This Row],[WRRef]],TableWRMaster[WRRef],0)),"")</f>
        <v>Brandon Powell</v>
      </c>
      <c r="R109" s="60" t="str">
        <f>IFERROR(INDEX(TableWRMaster[TM],MATCH(TableWRCalcPts[[#This Row],[WRRef]],TableWRMaster[WRRef],0)),"")</f>
        <v>MIN</v>
      </c>
      <c r="S109" s="60">
        <f>IFERROR(INDEX(TableWRMaster[BYE],MATCH(TableWRCalcPts[[#This Row],[WRRef]],TableWRMaster[WRRef],0)),"")</f>
        <v>13</v>
      </c>
      <c r="T109" s="61">
        <f>IFERROR(INDEX(TableWRMaster[Custom],MATCH(TableWRCalcPts[[#This Row],[WRRef]],TableWRMaster[WRRef],0)),"")</f>
        <v>26.324510102351994</v>
      </c>
      <c r="AI109" s="60" t="s">
        <v>257</v>
      </c>
      <c r="AJ109" s="60">
        <f>IFERROR(RANK(TableWRTECalcPts[[#This Row],[Custom]],TableWRTECalcPts[Custom])+COUNTIF($AP$3:AP109,AP109)-1,"")</f>
        <v>125</v>
      </c>
      <c r="AK109" s="113">
        <v>7</v>
      </c>
      <c r="AL109" s="113" t="str">
        <f>IFERROR(INDEX(TableWRMaster[Player],MATCH(TableWRTECalcPts[[#This Row],[POSRef]],TableWRMaster[WRRef],0)),"")</f>
        <v>Mack Hollins</v>
      </c>
      <c r="AM109" s="113" t="str">
        <f>IFERROR(_xlfn.CONCAT(TableWRTECalcPts[[#This Row],[POS]],INDEX(TableWRRanks[RK],MATCH(TableWRTECalcPts[[#This Row],[PLAYER]],TableWRRanks[Player],0))),"")</f>
        <v>WR93</v>
      </c>
      <c r="AN109" s="113" t="str">
        <f>IFERROR(INDEX(TableWRMaster[TM],MATCH(TableWRTECalcPts[[#This Row],[POSRef]],TableWRMaster[WRRef],0)),"")</f>
        <v>ATL</v>
      </c>
      <c r="AO109" s="113">
        <f>IFERROR(INDEX(TableWRMaster[BYE],MATCH(TableWRTECalcPts[[#This Row],[POSRef]],TableWRMaster[WRRef],0)),"")</f>
        <v>11</v>
      </c>
      <c r="AP109" s="111">
        <f>IFERROR(INDEX(TableWRMaster[Custom],MATCH(TableWRTECalcPts[[#This Row],[POSRef]],TableWRMaster[WRRef],0)),"")</f>
        <v>77.189576272085475</v>
      </c>
    </row>
    <row r="110" spans="1:42" x14ac:dyDescent="0.2">
      <c r="H110" s="60">
        <f>IFERROR(RANK(TableRBCalcPts[[#This Row],[Custom]],TableRBCalcPts[Custom])+COUNTIF($M$3:M110,M110)-1,"")</f>
        <v>35</v>
      </c>
      <c r="I110" s="60">
        <v>108</v>
      </c>
      <c r="J110" s="60" t="str">
        <f>IFERROR(INDEX(TableRBMaster[Player],MATCH(TableRBCalcPts[[#This Row],[RBRef]],TableRBMaster[RBRef],0)),"")</f>
        <v>Antonio Gibson</v>
      </c>
      <c r="K110" s="60" t="str">
        <f>IFERROR(INDEX(TableRBMaster[TM],MATCH(TableRBCalcPts[[#This Row],[RBRef]],TableRBMaster[RBRef],0)),"")</f>
        <v>WSH</v>
      </c>
      <c r="L110" s="60">
        <f>IFERROR(INDEX(TableRBMaster[BYE],MATCH(TableRBCalcPts[[#This Row],[RBRef]],TableRBMaster[RBRef],0)),"")</f>
        <v>14</v>
      </c>
      <c r="M110" s="61">
        <f>IFERROR(INDEX(TableRBMaster[Custom],MATCH(TableRBCalcPts[[#This Row],[RBRef]],TableRBMaster[RBRef],0)),"")</f>
        <v>154.52928913426035</v>
      </c>
      <c r="O110" s="60">
        <f>IFERROR(RANK(TableWRCalcPts[[#This Row],[Custom]],TableWRCalcPts[Custom])+COUNTIF($T$3:T110,T110)-1,"")</f>
        <v>55</v>
      </c>
      <c r="P110" s="60">
        <v>108</v>
      </c>
      <c r="Q110" s="60" t="str">
        <f>IFERROR(INDEX(TableWRMaster[Player],MATCH(TableWRCalcPts[[#This Row],[WRRef]],TableWRMaster[WRRef],0)),"")</f>
        <v>JuJu Smith-Schuster</v>
      </c>
      <c r="R110" s="60" t="str">
        <f>IFERROR(INDEX(TableWRMaster[TM],MATCH(TableWRCalcPts[[#This Row],[WRRef]],TableWRMaster[WRRef],0)),"")</f>
        <v>NE</v>
      </c>
      <c r="S110" s="60">
        <f>IFERROR(INDEX(TableWRMaster[BYE],MATCH(TableWRCalcPts[[#This Row],[WRRef]],TableWRMaster[WRRef],0)),"")</f>
        <v>11</v>
      </c>
      <c r="T110" s="61">
        <f>IFERROR(INDEX(TableWRMaster[Custom],MATCH(TableWRCalcPts[[#This Row],[WRRef]],TableWRMaster[WRRef],0)),"")</f>
        <v>132.92429779365278</v>
      </c>
      <c r="AI110" s="60" t="s">
        <v>257</v>
      </c>
      <c r="AJ110" s="60">
        <f>IFERROR(RANK(TableWRTECalcPts[[#This Row],[Custom]],TableWRTECalcPts[Custom])+COUNTIF($AP$3:AP110,AP110)-1,"")</f>
        <v>177</v>
      </c>
      <c r="AK110" s="113">
        <v>8</v>
      </c>
      <c r="AL110" s="113" t="str">
        <f>IFERROR(INDEX(TableWRMaster[Player],MATCH(TableWRTECalcPts[[#This Row],[POSRef]],TableWRMaster[WRRef],0)),"")</f>
        <v>Scott Miller</v>
      </c>
      <c r="AM110" s="113" t="str">
        <f>IFERROR(_xlfn.CONCAT(TableWRTECalcPts[[#This Row],[POS]],INDEX(TableWRRanks[RK],MATCH(TableWRTECalcPts[[#This Row],[PLAYER]],TableWRRanks[Player],0))),"")</f>
        <v>WR126</v>
      </c>
      <c r="AN110" s="113" t="str">
        <f>IFERROR(INDEX(TableWRMaster[TM],MATCH(TableWRTECalcPts[[#This Row],[POSRef]],TableWRMaster[WRRef],0)),"")</f>
        <v>ATL</v>
      </c>
      <c r="AO110" s="113">
        <f>IFERROR(INDEX(TableWRMaster[BYE],MATCH(TableWRTECalcPts[[#This Row],[POSRef]],TableWRMaster[WRRef],0)),"")</f>
        <v>11</v>
      </c>
      <c r="AP110" s="111">
        <f>IFERROR(INDEX(TableWRMaster[Custom],MATCH(TableWRTECalcPts[[#This Row],[POSRef]],TableWRMaster[WRRef],0)),"")</f>
        <v>30.037570986869504</v>
      </c>
    </row>
    <row r="111" spans="1:42" x14ac:dyDescent="0.2">
      <c r="H111" s="60">
        <f>IFERROR(RANK(TableRBCalcPts[[#This Row],[Custom]],TableRBCalcPts[Custom])+COUNTIF($M$3:M111,M111)-1,"")</f>
        <v>29</v>
      </c>
      <c r="I111" s="60">
        <v>109</v>
      </c>
      <c r="J111" s="60" t="str">
        <f>IFERROR(INDEX(TableRBMaster[Player],MATCH(TableRBCalcPts[[#This Row],[RBRef]],TableRBMaster[RBRef],0)),"")</f>
        <v>Brian Robinson</v>
      </c>
      <c r="K111" s="60" t="str">
        <f>IFERROR(INDEX(TableRBMaster[TM],MATCH(TableRBCalcPts[[#This Row],[RBRef]],TableRBMaster[RBRef],0)),"")</f>
        <v>WSH</v>
      </c>
      <c r="L111" s="60">
        <f>IFERROR(INDEX(TableRBMaster[BYE],MATCH(TableRBCalcPts[[#This Row],[RBRef]],TableRBMaster[RBRef],0)),"")</f>
        <v>14</v>
      </c>
      <c r="M111" s="61">
        <f>IFERROR(INDEX(TableRBMaster[Custom],MATCH(TableRBCalcPts[[#This Row],[RBRef]],TableRBMaster[RBRef],0)),"")</f>
        <v>172.64825861373072</v>
      </c>
      <c r="O111" s="60">
        <f>IFERROR(RANK(TableWRCalcPts[[#This Row],[Custom]],TableWRCalcPts[Custom])+COUNTIF($T$3:T111,T111)-1,"")</f>
        <v>70</v>
      </c>
      <c r="P111" s="60">
        <v>109</v>
      </c>
      <c r="Q111" s="60" t="str">
        <f>IFERROR(INDEX(TableWRMaster[Player],MATCH(TableWRCalcPts[[#This Row],[WRRef]],TableWRMaster[WRRef],0)),"")</f>
        <v>DeVante Parker</v>
      </c>
      <c r="R111" s="60" t="str">
        <f>IFERROR(INDEX(TableWRMaster[TM],MATCH(TableWRCalcPts[[#This Row],[WRRef]],TableWRMaster[WRRef],0)),"")</f>
        <v>NE</v>
      </c>
      <c r="S111" s="60">
        <f>IFERROR(INDEX(TableWRMaster[BYE],MATCH(TableWRCalcPts[[#This Row],[WRRef]],TableWRMaster[WRRef],0)),"")</f>
        <v>11</v>
      </c>
      <c r="T111" s="61">
        <f>IFERROR(INDEX(TableWRMaster[Custom],MATCH(TableWRCalcPts[[#This Row],[WRRef]],TableWRMaster[WRRef],0)),"")</f>
        <v>111.97896938137993</v>
      </c>
      <c r="AI111" s="60" t="s">
        <v>257</v>
      </c>
      <c r="AJ111" s="60">
        <f>IFERROR(RANK(TableWRTECalcPts[[#This Row],[Custom]],TableWRTECalcPts[Custom])+COUNTIF($AP$3:AP111,AP111)-1,"")</f>
        <v>204</v>
      </c>
      <c r="AK111" s="113">
        <v>9</v>
      </c>
      <c r="AL111" s="113" t="str">
        <f>IFERROR(INDEX(TableWRMaster[Player],MATCH(TableWRTECalcPts[[#This Row],[POSRef]],TableWRMaster[WRRef],0)),"")</f>
        <v>Josh Ali</v>
      </c>
      <c r="AM111" s="113" t="str">
        <f>IFERROR(_xlfn.CONCAT(TableWRTECalcPts[[#This Row],[POS]],INDEX(TableWRRanks[RK],MATCH(TableWRTECalcPts[[#This Row],[PLAYER]],TableWRRanks[Player],0))),"")</f>
        <v>WR141</v>
      </c>
      <c r="AN111" s="113" t="str">
        <f>IFERROR(INDEX(TableWRMaster[TM],MATCH(TableWRTECalcPts[[#This Row],[POSRef]],TableWRMaster[WRRef],0)),"")</f>
        <v>ATL</v>
      </c>
      <c r="AO111" s="113">
        <f>IFERROR(INDEX(TableWRMaster[BYE],MATCH(TableWRTECalcPts[[#This Row],[POSRef]],TableWRMaster[WRRef],0)),"")</f>
        <v>11</v>
      </c>
      <c r="AP111" s="111">
        <f>IFERROR(INDEX(TableWRMaster[Custom],MATCH(TableWRTECalcPts[[#This Row],[POSRef]],TableWRMaster[WRRef],0)),"")</f>
        <v>21.123903027513649</v>
      </c>
    </row>
    <row r="112" spans="1:42" x14ac:dyDescent="0.2">
      <c r="H112" s="60">
        <f>IFERROR(RANK(TableRBCalcPts[[#This Row],[Custom]],TableRBCalcPts[Custom])+COUNTIF($M$3:M112,M112)-1,"")</f>
        <v>85</v>
      </c>
      <c r="I112" s="60">
        <v>110</v>
      </c>
      <c r="J112" s="60" t="str">
        <f>IFERROR(INDEX(TableRBMaster[Player],MATCH(TableRBCalcPts[[#This Row],[RBRef]],TableRBMaster[RBRef],0)),"")</f>
        <v>Chris Rodriguez</v>
      </c>
      <c r="K112" s="60" t="str">
        <f>IFERROR(INDEX(TableRBMaster[TM],MATCH(TableRBCalcPts[[#This Row],[RBRef]],TableRBMaster[RBRef],0)),"")</f>
        <v>WSH</v>
      </c>
      <c r="L112" s="60">
        <f>IFERROR(INDEX(TableRBMaster[BYE],MATCH(TableRBCalcPts[[#This Row],[RBRef]],TableRBMaster[RBRef],0)),"")</f>
        <v>14</v>
      </c>
      <c r="M112" s="61">
        <f>IFERROR(INDEX(TableRBMaster[Custom],MATCH(TableRBCalcPts[[#This Row],[RBRef]],TableRBMaster[RBRef],0)),"")</f>
        <v>34.323708694423821</v>
      </c>
      <c r="O112" s="60">
        <f>IFERROR(RANK(TableWRCalcPts[[#This Row],[Custom]],TableWRCalcPts[Custom])+COUNTIF($T$3:T112,T112)-1,"")</f>
        <v>86</v>
      </c>
      <c r="P112" s="60">
        <v>110</v>
      </c>
      <c r="Q112" s="60" t="str">
        <f>IFERROR(INDEX(TableWRMaster[Player],MATCH(TableWRCalcPts[[#This Row],[WRRef]],TableWRMaster[WRRef],0)),"")</f>
        <v>Kendrick Bourne</v>
      </c>
      <c r="R112" s="60" t="str">
        <f>IFERROR(INDEX(TableWRMaster[TM],MATCH(TableWRCalcPts[[#This Row],[WRRef]],TableWRMaster[WRRef],0)),"")</f>
        <v>NE</v>
      </c>
      <c r="S112" s="60">
        <f>IFERROR(INDEX(TableWRMaster[BYE],MATCH(TableWRCalcPts[[#This Row],[WRRef]],TableWRMaster[WRRef],0)),"")</f>
        <v>11</v>
      </c>
      <c r="T112" s="61">
        <f>IFERROR(INDEX(TableWRMaster[Custom],MATCH(TableWRCalcPts[[#This Row],[WRRef]],TableWRMaster[WRRef],0)),"")</f>
        <v>87.486076024099162</v>
      </c>
      <c r="AI112" s="60" t="s">
        <v>257</v>
      </c>
      <c r="AJ112" s="60">
        <f>IFERROR(RANK(TableWRTECalcPts[[#This Row],[Custom]],TableWRTECalcPts[Custom])+COUNTIF($AP$3:AP112,AP112)-1,"")</f>
        <v>151</v>
      </c>
      <c r="AK112" s="113">
        <v>10</v>
      </c>
      <c r="AL112" s="113" t="str">
        <f>IFERROR(INDEX(TableWRMaster[Player],MATCH(TableWRTECalcPts[[#This Row],[POSRef]],TableWRMaster[WRRef],0)),"")</f>
        <v>KhaDarel Hodge</v>
      </c>
      <c r="AM112" s="113" t="str">
        <f>IFERROR(_xlfn.CONCAT(TableWRTECalcPts[[#This Row],[POS]],INDEX(TableWRRanks[RK],MATCH(TableWRTECalcPts[[#This Row],[PLAYER]],TableWRRanks[Player],0))),"")</f>
        <v>WR110</v>
      </c>
      <c r="AN112" s="113" t="str">
        <f>IFERROR(INDEX(TableWRMaster[TM],MATCH(TableWRTECalcPts[[#This Row],[POSRef]],TableWRMaster[WRRef],0)),"")</f>
        <v>ATL</v>
      </c>
      <c r="AO112" s="113">
        <f>IFERROR(INDEX(TableWRMaster[BYE],MATCH(TableWRTECalcPts[[#This Row],[POSRef]],TableWRMaster[WRRef],0)),"")</f>
        <v>11</v>
      </c>
      <c r="AP112" s="111">
        <f>IFERROR(INDEX(TableWRMaster[Custom],MATCH(TableWRTECalcPts[[#This Row],[POSRef]],TableWRMaster[WRRef],0)),"")</f>
        <v>46.12868847008707</v>
      </c>
    </row>
    <row r="113" spans="8:42" x14ac:dyDescent="0.2">
      <c r="H113" s="60" t="str">
        <f>IFERROR(RANK(TableRBCalcPts[[#This Row],[Custom]],TableRBCalcPts[Custom])+COUNTIF($M$3:M113,M113)-1,"")</f>
        <v/>
      </c>
      <c r="I113" s="60">
        <v>111</v>
      </c>
      <c r="J113" s="60" t="str">
        <f>IFERROR(INDEX(TableRBMaster[Player],MATCH(TableRBCalcPts[[#This Row],[RBRef]],TableRBMaster[RBRef],0)),"")</f>
        <v/>
      </c>
      <c r="K113" s="60" t="str">
        <f>IFERROR(INDEX(TableRBMaster[TM],MATCH(TableRBCalcPts[[#This Row],[RBRef]],TableRBMaster[RBRef],0)),"")</f>
        <v/>
      </c>
      <c r="L113" s="60" t="str">
        <f>IFERROR(INDEX(TableRBMaster[BYE],MATCH(TableRBCalcPts[[#This Row],[RBRef]],TableRBMaster[RBRef],0)),"")</f>
        <v/>
      </c>
      <c r="M113" s="61" t="str">
        <f>IFERROR(INDEX(TableRBMaster[Custom],MATCH(TableRBCalcPts[[#This Row],[RBRef]],TableRBMaster[RBRef],0)),"")</f>
        <v/>
      </c>
      <c r="O113" s="60">
        <f>IFERROR(RANK(TableWRCalcPts[[#This Row],[Custom]],TableWRCalcPts[Custom])+COUNTIF($T$3:T113,T113)-1,"")</f>
        <v>109</v>
      </c>
      <c r="P113" s="60">
        <v>111</v>
      </c>
      <c r="Q113" s="60" t="str">
        <f>IFERROR(INDEX(TableWRMaster[Player],MATCH(TableWRCalcPts[[#This Row],[WRRef]],TableWRMaster[WRRef],0)),"")</f>
        <v>Kayshon Boutte</v>
      </c>
      <c r="R113" s="60" t="str">
        <f>IFERROR(INDEX(TableWRMaster[TM],MATCH(TableWRCalcPts[[#This Row],[WRRef]],TableWRMaster[WRRef],0)),"")</f>
        <v>NE</v>
      </c>
      <c r="S113" s="60">
        <f>IFERROR(INDEX(TableWRMaster[BYE],MATCH(TableWRCalcPts[[#This Row],[WRRef]],TableWRMaster[WRRef],0)),"")</f>
        <v>11</v>
      </c>
      <c r="T113" s="61">
        <f>IFERROR(INDEX(TableWRMaster[Custom],MATCH(TableWRCalcPts[[#This Row],[WRRef]],TableWRMaster[WRRef],0)),"")</f>
        <v>47.181509120148462</v>
      </c>
      <c r="AI113" s="60" t="s">
        <v>257</v>
      </c>
      <c r="AJ113" s="60">
        <f>IFERROR(RANK(TableWRTECalcPts[[#This Row],[Custom]],TableWRTECalcPts[Custom])+COUNTIF($AP$3:AP113,AP113)-1,"")</f>
        <v>67</v>
      </c>
      <c r="AK113" s="113">
        <v>11</v>
      </c>
      <c r="AL113" s="113" t="str">
        <f>IFERROR(INDEX(TableWRMaster[Player],MATCH(TableWRTECalcPts[[#This Row],[POSRef]],TableWRMaster[WRRef],0)),"")</f>
        <v>Zay Flowers</v>
      </c>
      <c r="AM113" s="113" t="str">
        <f>IFERROR(_xlfn.CONCAT(TableWRTECalcPts[[#This Row],[POS]],INDEX(TableWRRanks[RK],MATCH(TableWRTECalcPts[[#This Row],[PLAYER]],TableWRRanks[Player],0))),"")</f>
        <v>WR57</v>
      </c>
      <c r="AN113" s="113" t="str">
        <f>IFERROR(INDEX(TableWRMaster[TM],MATCH(TableWRTECalcPts[[#This Row],[POSRef]],TableWRMaster[WRRef],0)),"")</f>
        <v>BAL</v>
      </c>
      <c r="AO113" s="113">
        <f>IFERROR(INDEX(TableWRMaster[BYE],MATCH(TableWRTECalcPts[[#This Row],[POSRef]],TableWRMaster[WRRef],0)),"")</f>
        <v>13</v>
      </c>
      <c r="AP113" s="111">
        <f>IFERROR(INDEX(TableWRMaster[Custom],MATCH(TableWRTECalcPts[[#This Row],[POSRef]],TableWRMaster[WRRef],0)),"")</f>
        <v>130.29209093511014</v>
      </c>
    </row>
    <row r="114" spans="8:42" x14ac:dyDescent="0.2">
      <c r="H114" s="60" t="str">
        <f>IFERROR(RANK(TableRBCalcPts[[#This Row],[Custom]],TableRBCalcPts[Custom])+COUNTIF($M$3:M114,M114)-1,"")</f>
        <v/>
      </c>
      <c r="I114" s="60">
        <v>112</v>
      </c>
      <c r="J114" s="60" t="str">
        <f>IFERROR(INDEX(TableRBMaster[Player],MATCH(TableRBCalcPts[[#This Row],[RBRef]],TableRBMaster[RBRef],0)),"")</f>
        <v/>
      </c>
      <c r="K114" s="60" t="str">
        <f>IFERROR(INDEX(TableRBMaster[TM],MATCH(TableRBCalcPts[[#This Row],[RBRef]],TableRBMaster[RBRef],0)),"")</f>
        <v/>
      </c>
      <c r="L114" s="60" t="str">
        <f>IFERROR(INDEX(TableRBMaster[BYE],MATCH(TableRBCalcPts[[#This Row],[RBRef]],TableRBMaster[RBRef],0)),"")</f>
        <v/>
      </c>
      <c r="M114" s="61" t="str">
        <f>IFERROR(INDEX(TableRBMaster[Custom],MATCH(TableRBCalcPts[[#This Row],[RBRef]],TableRBMaster[RBRef],0)),"")</f>
        <v/>
      </c>
      <c r="O114" s="60">
        <f>IFERROR(RANK(TableWRCalcPts[[#This Row],[Custom]],TableWRCalcPts[Custom])+COUNTIF($T$3:T114,T114)-1,"")</f>
        <v>116</v>
      </c>
      <c r="P114" s="60">
        <v>112</v>
      </c>
      <c r="Q114" s="60" t="str">
        <f>IFERROR(INDEX(TableWRMaster[Player],MATCH(TableWRCalcPts[[#This Row],[WRRef]],TableWRMaster[WRRef],0)),"")</f>
        <v>Demario Douglas</v>
      </c>
      <c r="R114" s="60" t="str">
        <f>IFERROR(INDEX(TableWRMaster[TM],MATCH(TableWRCalcPts[[#This Row],[WRRef]],TableWRMaster[WRRef],0)),"")</f>
        <v>NE</v>
      </c>
      <c r="S114" s="60">
        <f>IFERROR(INDEX(TableWRMaster[BYE],MATCH(TableWRCalcPts[[#This Row],[WRRef]],TableWRMaster[WRRef],0)),"")</f>
        <v>11</v>
      </c>
      <c r="T114" s="61">
        <f>IFERROR(INDEX(TableWRMaster[Custom],MATCH(TableWRCalcPts[[#This Row],[WRRef]],TableWRMaster[WRRef],0)),"")</f>
        <v>37.195711972182387</v>
      </c>
      <c r="AI114" s="60" t="s">
        <v>257</v>
      </c>
      <c r="AJ114" s="60">
        <f>IFERROR(RANK(TableWRTECalcPts[[#This Row],[Custom]],TableWRTECalcPts[Custom])+COUNTIF($AP$3:AP114,AP114)-1,"")</f>
        <v>99</v>
      </c>
      <c r="AK114" s="113">
        <v>12</v>
      </c>
      <c r="AL114" s="113" t="str">
        <f>IFERROR(INDEX(TableWRMaster[Player],MATCH(TableWRTECalcPts[[#This Row],[POSRef]],TableWRMaster[WRRef],0)),"")</f>
        <v>Rashod Bateman</v>
      </c>
      <c r="AM114" s="113" t="str">
        <f>IFERROR(_xlfn.CONCAT(TableWRTECalcPts[[#This Row],[POS]],INDEX(TableWRRanks[RK],MATCH(TableWRTECalcPts[[#This Row],[PLAYER]],TableWRRanks[Player],0))),"")</f>
        <v>WR75</v>
      </c>
      <c r="AN114" s="113" t="str">
        <f>IFERROR(INDEX(TableWRMaster[TM],MATCH(TableWRTECalcPts[[#This Row],[POSRef]],TableWRMaster[WRRef],0)),"")</f>
        <v>BAL</v>
      </c>
      <c r="AO114" s="113">
        <f>IFERROR(INDEX(TableWRMaster[BYE],MATCH(TableWRTECalcPts[[#This Row],[POSRef]],TableWRMaster[WRRef],0)),"")</f>
        <v>13</v>
      </c>
      <c r="AP114" s="111">
        <f>IFERROR(INDEX(TableWRMaster[Custom],MATCH(TableWRTECalcPts[[#This Row],[POSRef]],TableWRMaster[WRRef],0)),"")</f>
        <v>95.75240316946082</v>
      </c>
    </row>
    <row r="115" spans="8:42" x14ac:dyDescent="0.2">
      <c r="H115" s="60" t="str">
        <f>IFERROR(RANK(TableRBCalcPts[[#This Row],[Custom]],TableRBCalcPts[Custom])+COUNTIF($M$3:M115,M115)-1,"")</f>
        <v/>
      </c>
      <c r="I115" s="60">
        <v>113</v>
      </c>
      <c r="J115" s="60" t="str">
        <f>IFERROR(INDEX(TableRBMaster[Player],MATCH(TableRBCalcPts[[#This Row],[RBRef]],TableRBMaster[RBRef],0)),"")</f>
        <v/>
      </c>
      <c r="K115" s="60" t="str">
        <f>IFERROR(INDEX(TableRBMaster[TM],MATCH(TableRBCalcPts[[#This Row],[RBRef]],TableRBMaster[RBRef],0)),"")</f>
        <v/>
      </c>
      <c r="L115" s="60" t="str">
        <f>IFERROR(INDEX(TableRBMaster[BYE],MATCH(TableRBCalcPts[[#This Row],[RBRef]],TableRBMaster[RBRef],0)),"")</f>
        <v/>
      </c>
      <c r="M115" s="61" t="str">
        <f>IFERROR(INDEX(TableRBMaster[Custom],MATCH(TableRBCalcPts[[#This Row],[RBRef]],TableRBMaster[RBRef],0)),"")</f>
        <v/>
      </c>
      <c r="O115" s="60">
        <f>IFERROR(RANK(TableWRCalcPts[[#This Row],[Custom]],TableWRCalcPts[Custom])+COUNTIF($T$3:T115,T115)-1,"")</f>
        <v>39</v>
      </c>
      <c r="P115" s="60">
        <v>113</v>
      </c>
      <c r="Q115" s="60" t="str">
        <f>IFERROR(INDEX(TableWRMaster[Player],MATCH(TableWRCalcPts[[#This Row],[WRRef]],TableWRMaster[WRRef],0)),"")</f>
        <v>Michael Thomas</v>
      </c>
      <c r="R115" s="60" t="str">
        <f>IFERROR(INDEX(TableWRMaster[TM],MATCH(TableWRCalcPts[[#This Row],[WRRef]],TableWRMaster[WRRef],0)),"")</f>
        <v>NO</v>
      </c>
      <c r="S115" s="60">
        <f>IFERROR(INDEX(TableWRMaster[BYE],MATCH(TableWRCalcPts[[#This Row],[WRRef]],TableWRMaster[WRRef],0)),"")</f>
        <v>11</v>
      </c>
      <c r="T115" s="61">
        <f>IFERROR(INDEX(TableWRMaster[Custom],MATCH(TableWRCalcPts[[#This Row],[WRRef]],TableWRMaster[WRRef],0)),"")</f>
        <v>161.64076617387752</v>
      </c>
      <c r="AI115" s="60" t="s">
        <v>257</v>
      </c>
      <c r="AJ115" s="60">
        <f>IFERROR(RANK(TableWRTECalcPts[[#This Row],[Custom]],TableWRTECalcPts[Custom])+COUNTIF($AP$3:AP115,AP115)-1,"")</f>
        <v>61</v>
      </c>
      <c r="AK115" s="113">
        <v>13</v>
      </c>
      <c r="AL115" s="113" t="str">
        <f>IFERROR(INDEX(TableWRMaster[Player],MATCH(TableWRTECalcPts[[#This Row],[POSRef]],TableWRMaster[WRRef],0)),"")</f>
        <v>Odell Beckham</v>
      </c>
      <c r="AM115" s="113" t="str">
        <f>IFERROR(_xlfn.CONCAT(TableWRTECalcPts[[#This Row],[POS]],INDEX(TableWRRanks[RK],MATCH(TableWRTECalcPts[[#This Row],[PLAYER]],TableWRRanks[Player],0))),"")</f>
        <v>WR53</v>
      </c>
      <c r="AN115" s="113" t="str">
        <f>IFERROR(INDEX(TableWRMaster[TM],MATCH(TableWRTECalcPts[[#This Row],[POSRef]],TableWRMaster[WRRef],0)),"")</f>
        <v>BAL</v>
      </c>
      <c r="AO115" s="113">
        <f>IFERROR(INDEX(TableWRMaster[BYE],MATCH(TableWRTECalcPts[[#This Row],[POSRef]],TableWRMaster[WRRef],0)),"")</f>
        <v>13</v>
      </c>
      <c r="AP115" s="111">
        <f>IFERROR(INDEX(TableWRMaster[Custom],MATCH(TableWRTECalcPts[[#This Row],[POSRef]],TableWRMaster[WRRef],0)),"")</f>
        <v>136.85398142950658</v>
      </c>
    </row>
    <row r="116" spans="8:42" x14ac:dyDescent="0.2">
      <c r="H116" s="60" t="str">
        <f>IFERROR(RANK(TableRBCalcPts[[#This Row],[Custom]],TableRBCalcPts[Custom])+COUNTIF($M$3:M116,M116)-1,"")</f>
        <v/>
      </c>
      <c r="I116" s="60">
        <v>114</v>
      </c>
      <c r="J116" s="60" t="str">
        <f>IFERROR(INDEX(TableRBMaster[Player],MATCH(TableRBCalcPts[[#This Row],[RBRef]],TableRBMaster[RBRef],0)),"")</f>
        <v/>
      </c>
      <c r="K116" s="60" t="str">
        <f>IFERROR(INDEX(TableRBMaster[TM],MATCH(TableRBCalcPts[[#This Row],[RBRef]],TableRBMaster[RBRef],0)),"")</f>
        <v/>
      </c>
      <c r="L116" s="60" t="str">
        <f>IFERROR(INDEX(TableRBMaster[BYE],MATCH(TableRBCalcPts[[#This Row],[RBRef]],TableRBMaster[RBRef],0)),"")</f>
        <v/>
      </c>
      <c r="M116" s="61" t="str">
        <f>IFERROR(INDEX(TableRBMaster[Custom],MATCH(TableRBCalcPts[[#This Row],[RBRef]],TableRBMaster[RBRef],0)),"")</f>
        <v/>
      </c>
      <c r="O116" s="60">
        <f>IFERROR(RANK(TableWRCalcPts[[#This Row],[Custom]],TableWRCalcPts[Custom])+COUNTIF($T$3:T116,T116)-1,"")</f>
        <v>16</v>
      </c>
      <c r="P116" s="60">
        <v>114</v>
      </c>
      <c r="Q116" s="60" t="str">
        <f>IFERROR(INDEX(TableWRMaster[Player],MATCH(TableWRCalcPts[[#This Row],[WRRef]],TableWRMaster[WRRef],0)),"")</f>
        <v>Chris Olave</v>
      </c>
      <c r="R116" s="60" t="str">
        <f>IFERROR(INDEX(TableWRMaster[TM],MATCH(TableWRCalcPts[[#This Row],[WRRef]],TableWRMaster[WRRef],0)),"")</f>
        <v>NO</v>
      </c>
      <c r="S116" s="60">
        <f>IFERROR(INDEX(TableWRMaster[BYE],MATCH(TableWRCalcPts[[#This Row],[WRRef]],TableWRMaster[WRRef],0)),"")</f>
        <v>11</v>
      </c>
      <c r="T116" s="61">
        <f>IFERROR(INDEX(TableWRMaster[Custom],MATCH(TableWRCalcPts[[#This Row],[WRRef]],TableWRMaster[WRRef],0)),"")</f>
        <v>191.7746675145101</v>
      </c>
      <c r="AI116" s="60" t="s">
        <v>257</v>
      </c>
      <c r="AJ116" s="60">
        <f>IFERROR(RANK(TableWRTECalcPts[[#This Row],[Custom]],TableWRTECalcPts[Custom])+COUNTIF($AP$3:AP116,AP116)-1,"")</f>
        <v>188</v>
      </c>
      <c r="AK116" s="113">
        <v>14</v>
      </c>
      <c r="AL116" s="113" t="str">
        <f>IFERROR(INDEX(TableWRMaster[Player],MATCH(TableWRTECalcPts[[#This Row],[POSRef]],TableWRMaster[WRRef],0)),"")</f>
        <v>Nelson Agholor</v>
      </c>
      <c r="AM116" s="113" t="str">
        <f>IFERROR(_xlfn.CONCAT(TableWRTECalcPts[[#This Row],[POS]],INDEX(TableWRRanks[RK],MATCH(TableWRTECalcPts[[#This Row],[PLAYER]],TableWRRanks[Player],0))),"")</f>
        <v>WR133</v>
      </c>
      <c r="AN116" s="113" t="str">
        <f>IFERROR(INDEX(TableWRMaster[TM],MATCH(TableWRTECalcPts[[#This Row],[POSRef]],TableWRMaster[WRRef],0)),"")</f>
        <v>BAL</v>
      </c>
      <c r="AO116" s="113">
        <f>IFERROR(INDEX(TableWRMaster[BYE],MATCH(TableWRTECalcPts[[#This Row],[POSRef]],TableWRMaster[WRRef],0)),"")</f>
        <v>13</v>
      </c>
      <c r="AP116" s="111">
        <f>IFERROR(INDEX(TableWRMaster[Custom],MATCH(TableWRTECalcPts[[#This Row],[POSRef]],TableWRMaster[WRRef],0)),"")</f>
        <v>24.648219082428216</v>
      </c>
    </row>
    <row r="117" spans="8:42" x14ac:dyDescent="0.2">
      <c r="H117" s="60" t="str">
        <f>IFERROR(RANK(TableRBCalcPts[[#This Row],[Custom]],TableRBCalcPts[Custom])+COUNTIF($M$3:M117,M117)-1,"")</f>
        <v/>
      </c>
      <c r="I117" s="60">
        <v>115</v>
      </c>
      <c r="J117" s="60" t="str">
        <f>IFERROR(INDEX(TableRBMaster[Player],MATCH(TableRBCalcPts[[#This Row],[RBRef]],TableRBMaster[RBRef],0)),"")</f>
        <v/>
      </c>
      <c r="K117" s="60" t="str">
        <f>IFERROR(INDEX(TableRBMaster[TM],MATCH(TableRBCalcPts[[#This Row],[RBRef]],TableRBMaster[RBRef],0)),"")</f>
        <v/>
      </c>
      <c r="L117" s="60" t="str">
        <f>IFERROR(INDEX(TableRBMaster[BYE],MATCH(TableRBCalcPts[[#This Row],[RBRef]],TableRBMaster[RBRef],0)),"")</f>
        <v/>
      </c>
      <c r="M117" s="61" t="str">
        <f>IFERROR(INDEX(TableRBMaster[Custom],MATCH(TableRBCalcPts[[#This Row],[RBRef]],TableRBMaster[RBRef],0)),"")</f>
        <v/>
      </c>
      <c r="O117" s="60">
        <f>IFERROR(RANK(TableWRCalcPts[[#This Row],[Custom]],TableWRCalcPts[Custom])+COUNTIF($T$3:T117,T117)-1,"")</f>
        <v>92</v>
      </c>
      <c r="P117" s="60">
        <v>115</v>
      </c>
      <c r="Q117" s="60" t="str">
        <f>IFERROR(INDEX(TableWRMaster[Player],MATCH(TableWRCalcPts[[#This Row],[WRRef]],TableWRMaster[WRRef],0)),"")</f>
        <v>Rashid Shaheed</v>
      </c>
      <c r="R117" s="60" t="str">
        <f>IFERROR(INDEX(TableWRMaster[TM],MATCH(TableWRCalcPts[[#This Row],[WRRef]],TableWRMaster[WRRef],0)),"")</f>
        <v>NO</v>
      </c>
      <c r="S117" s="60">
        <f>IFERROR(INDEX(TableWRMaster[BYE],MATCH(TableWRCalcPts[[#This Row],[WRRef]],TableWRMaster[WRRef],0)),"")</f>
        <v>11</v>
      </c>
      <c r="T117" s="61">
        <f>IFERROR(INDEX(TableWRMaster[Custom],MATCH(TableWRCalcPts[[#This Row],[WRRef]],TableWRMaster[WRRef],0)),"")</f>
        <v>77.226919676598641</v>
      </c>
      <c r="AI117" s="60" t="s">
        <v>257</v>
      </c>
      <c r="AJ117" s="60">
        <f>IFERROR(RANK(TableWRTECalcPts[[#This Row],[Custom]],TableWRTECalcPts[Custom])+COUNTIF($AP$3:AP117,AP117)-1,"")</f>
        <v>224</v>
      </c>
      <c r="AK117" s="113">
        <v>15</v>
      </c>
      <c r="AL117" s="113" t="str">
        <f>IFERROR(INDEX(TableWRMaster[Player],MATCH(TableWRTECalcPts[[#This Row],[POSRef]],TableWRMaster[WRRef],0)),"")</f>
        <v>Devin Duvernay</v>
      </c>
      <c r="AM117" s="113" t="str">
        <f>IFERROR(_xlfn.CONCAT(TableWRTECalcPts[[#This Row],[POS]],INDEX(TableWRRanks[RK],MATCH(TableWRTECalcPts[[#This Row],[PLAYER]],TableWRRanks[Player],0))),"")</f>
        <v>WR151</v>
      </c>
      <c r="AN117" s="113" t="str">
        <f>IFERROR(INDEX(TableWRMaster[TM],MATCH(TableWRTECalcPts[[#This Row],[POSRef]],TableWRMaster[WRRef],0)),"")</f>
        <v>BAL</v>
      </c>
      <c r="AO117" s="113">
        <f>IFERROR(INDEX(TableWRMaster[BYE],MATCH(TableWRTECalcPts[[#This Row],[POSRef]],TableWRMaster[WRRef],0)),"")</f>
        <v>13</v>
      </c>
      <c r="AP117" s="111">
        <f>IFERROR(INDEX(TableWRMaster[Custom],MATCH(TableWRTECalcPts[[#This Row],[POSRef]],TableWRMaster[WRRef],0)),"")</f>
        <v>14.822361132585366</v>
      </c>
    </row>
    <row r="118" spans="8:42" x14ac:dyDescent="0.2">
      <c r="H118" s="60" t="str">
        <f>IFERROR(RANK(TableRBCalcPts[[#This Row],[Custom]],TableRBCalcPts[Custom])+COUNTIF($M$3:M118,M118)-1,"")</f>
        <v/>
      </c>
      <c r="I118" s="60">
        <v>116</v>
      </c>
      <c r="J118" s="60" t="str">
        <f>IFERROR(INDEX(TableRBMaster[Player],MATCH(TableRBCalcPts[[#This Row],[RBRef]],TableRBMaster[RBRef],0)),"")</f>
        <v/>
      </c>
      <c r="K118" s="60" t="str">
        <f>IFERROR(INDEX(TableRBMaster[TM],MATCH(TableRBCalcPts[[#This Row],[RBRef]],TableRBMaster[RBRef],0)),"")</f>
        <v/>
      </c>
      <c r="L118" s="60" t="str">
        <f>IFERROR(INDEX(TableRBMaster[BYE],MATCH(TableRBCalcPts[[#This Row],[RBRef]],TableRBMaster[RBRef],0)),"")</f>
        <v/>
      </c>
      <c r="M118" s="61" t="str">
        <f>IFERROR(INDEX(TableRBMaster[Custom],MATCH(TableRBCalcPts[[#This Row],[RBRef]],TableRBMaster[RBRef],0)),"")</f>
        <v/>
      </c>
      <c r="O118" s="60">
        <f>IFERROR(RANK(TableWRCalcPts[[#This Row],[Custom]],TableWRCalcPts[Custom])+COUNTIF($T$3:T118,T118)-1,"")</f>
        <v>137</v>
      </c>
      <c r="P118" s="60">
        <v>116</v>
      </c>
      <c r="Q118" s="60" t="str">
        <f>IFERROR(INDEX(TableWRMaster[Player],MATCH(TableWRCalcPts[[#This Row],[WRRef]],TableWRMaster[WRRef],0)),"")</f>
        <v>Tre'Quan Smith</v>
      </c>
      <c r="R118" s="60" t="str">
        <f>IFERROR(INDEX(TableWRMaster[TM],MATCH(TableWRCalcPts[[#This Row],[WRRef]],TableWRMaster[WRRef],0)),"")</f>
        <v>NO</v>
      </c>
      <c r="S118" s="60">
        <f>IFERROR(INDEX(TableWRMaster[BYE],MATCH(TableWRCalcPts[[#This Row],[WRRef]],TableWRMaster[WRRef],0)),"")</f>
        <v>11</v>
      </c>
      <c r="T118" s="61">
        <f>IFERROR(INDEX(TableWRMaster[Custom],MATCH(TableWRCalcPts[[#This Row],[WRRef]],TableWRMaster[WRRef],0)),"")</f>
        <v>22.644639589571998</v>
      </c>
      <c r="AI118" s="60" t="s">
        <v>257</v>
      </c>
      <c r="AJ118" s="60">
        <f>IFERROR(RANK(TableWRTECalcPts[[#This Row],[Custom]],TableWRTECalcPts[Custom])+COUNTIF($AP$3:AP118,AP118)-1,"")</f>
        <v>7</v>
      </c>
      <c r="AK118" s="113">
        <v>16</v>
      </c>
      <c r="AL118" s="113" t="str">
        <f>IFERROR(INDEX(TableWRMaster[Player],MATCH(TableWRTECalcPts[[#This Row],[POSRef]],TableWRMaster[WRRef],0)),"")</f>
        <v>Stefon Diggs</v>
      </c>
      <c r="AM118" s="113" t="str">
        <f>IFERROR(_xlfn.CONCAT(TableWRTECalcPts[[#This Row],[POS]],INDEX(TableWRRanks[RK],MATCH(TableWRTECalcPts[[#This Row],[PLAYER]],TableWRRanks[Player],0))),"")</f>
        <v>WR7</v>
      </c>
      <c r="AN118" s="113" t="str">
        <f>IFERROR(INDEX(TableWRMaster[TM],MATCH(TableWRTECalcPts[[#This Row],[POSRef]],TableWRMaster[WRRef],0)),"")</f>
        <v>BUF</v>
      </c>
      <c r="AO118" s="113">
        <f>IFERROR(INDEX(TableWRMaster[BYE],MATCH(TableWRTECalcPts[[#This Row],[POSRef]],TableWRMaster[WRRef],0)),"")</f>
        <v>13</v>
      </c>
      <c r="AP118" s="111">
        <f>IFERROR(INDEX(TableWRMaster[Custom],MATCH(TableWRTECalcPts[[#This Row],[POSRef]],TableWRMaster[WRRef],0)),"")</f>
        <v>230.83501137252614</v>
      </c>
    </row>
    <row r="119" spans="8:42" x14ac:dyDescent="0.2">
      <c r="H119" s="60" t="str">
        <f>IFERROR(RANK(TableRBCalcPts[[#This Row],[Custom]],TableRBCalcPts[Custom])+COUNTIF($M$3:M119,M119)-1,"")</f>
        <v/>
      </c>
      <c r="I119" s="60">
        <v>117</v>
      </c>
      <c r="J119" s="60" t="str">
        <f>IFERROR(INDEX(TableRBMaster[Player],MATCH(TableRBCalcPts[[#This Row],[RBRef]],TableRBMaster[RBRef],0)),"")</f>
        <v/>
      </c>
      <c r="K119" s="60" t="str">
        <f>IFERROR(INDEX(TableRBMaster[TM],MATCH(TableRBCalcPts[[#This Row],[RBRef]],TableRBMaster[RBRef],0)),"")</f>
        <v/>
      </c>
      <c r="L119" s="60" t="str">
        <f>IFERROR(INDEX(TableRBMaster[BYE],MATCH(TableRBCalcPts[[#This Row],[RBRef]],TableRBMaster[RBRef],0)),"")</f>
        <v/>
      </c>
      <c r="M119" s="61" t="str">
        <f>IFERROR(INDEX(TableRBMaster[Custom],MATCH(TableRBCalcPts[[#This Row],[RBRef]],TableRBMaster[RBRef],0)),"")</f>
        <v/>
      </c>
      <c r="O119" s="60">
        <f>IFERROR(RANK(TableWRCalcPts[[#This Row],[Custom]],TableWRCalcPts[Custom])+COUNTIF($T$3:T119,T119)-1,"")</f>
        <v>134</v>
      </c>
      <c r="P119" s="60">
        <v>117</v>
      </c>
      <c r="Q119" s="60" t="str">
        <f>IFERROR(INDEX(TableWRMaster[Player],MATCH(TableWRCalcPts[[#This Row],[WRRef]],TableWRMaster[WRRef],0)),"")</f>
        <v>A.T. Perry</v>
      </c>
      <c r="R119" s="60" t="str">
        <f>IFERROR(INDEX(TableWRMaster[TM],MATCH(TableWRCalcPts[[#This Row],[WRRef]],TableWRMaster[WRRef],0)),"")</f>
        <v>NO</v>
      </c>
      <c r="S119" s="60">
        <f>IFERROR(INDEX(TableWRMaster[BYE],MATCH(TableWRCalcPts[[#This Row],[WRRef]],TableWRMaster[WRRef],0)),"")</f>
        <v>11</v>
      </c>
      <c r="T119" s="61">
        <f>IFERROR(INDEX(TableWRMaster[Custom],MATCH(TableWRCalcPts[[#This Row],[WRRef]],TableWRMaster[WRRef],0)),"")</f>
        <v>24.507357616987889</v>
      </c>
      <c r="AI119" s="60" t="s">
        <v>257</v>
      </c>
      <c r="AJ119" s="60">
        <f>IFERROR(RANK(TableWRTECalcPts[[#This Row],[Custom]],TableWRTECalcPts[Custom])+COUNTIF($AP$3:AP119,AP119)-1,"")</f>
        <v>31</v>
      </c>
      <c r="AK119" s="113">
        <v>17</v>
      </c>
      <c r="AL119" s="113" t="str">
        <f>IFERROR(INDEX(TableWRMaster[Player],MATCH(TableWRTECalcPts[[#This Row],[POSRef]],TableWRMaster[WRRef],0)),"")</f>
        <v>Gabe Davis</v>
      </c>
      <c r="AM119" s="113" t="str">
        <f>IFERROR(_xlfn.CONCAT(TableWRTECalcPts[[#This Row],[POS]],INDEX(TableWRRanks[RK],MATCH(TableWRTECalcPts[[#This Row],[PLAYER]],TableWRRanks[Player],0))),"")</f>
        <v>WR28</v>
      </c>
      <c r="AN119" s="113" t="str">
        <f>IFERROR(INDEX(TableWRMaster[TM],MATCH(TableWRTECalcPts[[#This Row],[POSRef]],TableWRMaster[WRRef],0)),"")</f>
        <v>BUF</v>
      </c>
      <c r="AO119" s="113">
        <f>IFERROR(INDEX(TableWRMaster[BYE],MATCH(TableWRTECalcPts[[#This Row],[POSRef]],TableWRMaster[WRRef],0)),"")</f>
        <v>13</v>
      </c>
      <c r="AP119" s="111">
        <f>IFERROR(INDEX(TableWRMaster[Custom],MATCH(TableWRTECalcPts[[#This Row],[POSRef]],TableWRMaster[WRRef],0)),"")</f>
        <v>176.46008169396845</v>
      </c>
    </row>
    <row r="120" spans="8:42" x14ac:dyDescent="0.2">
      <c r="H120" s="60" t="str">
        <f>IFERROR(RANK(TableRBCalcPts[[#This Row],[Custom]],TableRBCalcPts[Custom])+COUNTIF($M$3:M120,M120)-1,"")</f>
        <v/>
      </c>
      <c r="I120" s="60">
        <v>118</v>
      </c>
      <c r="J120" s="60" t="str">
        <f>IFERROR(INDEX(TableRBMaster[Player],MATCH(TableRBCalcPts[[#This Row],[RBRef]],TableRBMaster[RBRef],0)),"")</f>
        <v/>
      </c>
      <c r="K120" s="60" t="str">
        <f>IFERROR(INDEX(TableRBMaster[TM],MATCH(TableRBCalcPts[[#This Row],[RBRef]],TableRBMaster[RBRef],0)),"")</f>
        <v/>
      </c>
      <c r="L120" s="60" t="str">
        <f>IFERROR(INDEX(TableRBMaster[BYE],MATCH(TableRBCalcPts[[#This Row],[RBRef]],TableRBMaster[RBRef],0)),"")</f>
        <v/>
      </c>
      <c r="M120" s="61" t="str">
        <f>IFERROR(INDEX(TableRBMaster[Custom],MATCH(TableRBCalcPts[[#This Row],[RBRef]],TableRBMaster[RBRef],0)),"")</f>
        <v/>
      </c>
      <c r="O120" s="60">
        <f>IFERROR(RANK(TableWRCalcPts[[#This Row],[Custom]],TableWRCalcPts[Custom])+COUNTIF($T$3:T120,T120)-1,"")</f>
        <v>118</v>
      </c>
      <c r="P120" s="60">
        <v>118</v>
      </c>
      <c r="Q120" s="60" t="str">
        <f>IFERROR(INDEX(TableWRMaster[Player],MATCH(TableWRCalcPts[[#This Row],[WRRef]],TableWRMaster[WRRef],0)),"")</f>
        <v>Sterling Shepard</v>
      </c>
      <c r="R120" s="60" t="str">
        <f>IFERROR(INDEX(TableWRMaster[TM],MATCH(TableWRCalcPts[[#This Row],[WRRef]],TableWRMaster[WRRef],0)),"")</f>
        <v>NYG</v>
      </c>
      <c r="S120" s="60">
        <f>IFERROR(INDEX(TableWRMaster[BYE],MATCH(TableWRCalcPts[[#This Row],[WRRef]],TableWRMaster[WRRef],0)),"")</f>
        <v>13</v>
      </c>
      <c r="T120" s="61">
        <f>IFERROR(INDEX(TableWRMaster[Custom],MATCH(TableWRCalcPts[[#This Row],[WRRef]],TableWRMaster[WRRef],0)),"")</f>
        <v>35.665895599228826</v>
      </c>
      <c r="AI120" s="60" t="s">
        <v>257</v>
      </c>
      <c r="AJ120" s="60">
        <f>IFERROR(RANK(TableWRTECalcPts[[#This Row],[Custom]],TableWRTECalcPts[Custom])+COUNTIF($AP$3:AP120,AP120)-1,"")</f>
        <v>159</v>
      </c>
      <c r="AK120" s="113">
        <v>18</v>
      </c>
      <c r="AL120" s="113" t="str">
        <f>IFERROR(INDEX(TableWRMaster[Player],MATCH(TableWRTECalcPts[[#This Row],[POSRef]],TableWRMaster[WRRef],0)),"")</f>
        <v>Khalil Shakir</v>
      </c>
      <c r="AM120" s="113" t="str">
        <f>IFERROR(_xlfn.CONCAT(TableWRTECalcPts[[#This Row],[POS]],INDEX(TableWRRanks[RK],MATCH(TableWRTECalcPts[[#This Row],[PLAYER]],TableWRRanks[Player],0))),"")</f>
        <v>WR115</v>
      </c>
      <c r="AN120" s="113" t="str">
        <f>IFERROR(INDEX(TableWRMaster[TM],MATCH(TableWRTECalcPts[[#This Row],[POSRef]],TableWRMaster[WRRef],0)),"")</f>
        <v>BUF</v>
      </c>
      <c r="AO120" s="113">
        <f>IFERROR(INDEX(TableWRMaster[BYE],MATCH(TableWRTECalcPts[[#This Row],[POSRef]],TableWRMaster[WRRef],0)),"")</f>
        <v>13</v>
      </c>
      <c r="AP120" s="111">
        <f>IFERROR(INDEX(TableWRMaster[Custom],MATCH(TableWRTECalcPts[[#This Row],[POSRef]],TableWRMaster[WRRef],0)),"")</f>
        <v>38.389008385575202</v>
      </c>
    </row>
    <row r="121" spans="8:42" x14ac:dyDescent="0.2">
      <c r="H121" s="60" t="str">
        <f>IFERROR(RANK(TableRBCalcPts[[#This Row],[Custom]],TableRBCalcPts[Custom])+COUNTIF($M$3:M121,M121)-1,"")</f>
        <v/>
      </c>
      <c r="I121" s="60">
        <v>119</v>
      </c>
      <c r="J121" s="60" t="str">
        <f>IFERROR(INDEX(TableRBMaster[Player],MATCH(TableRBCalcPts[[#This Row],[RBRef]],TableRBMaster[RBRef],0)),"")</f>
        <v/>
      </c>
      <c r="K121" s="60" t="str">
        <f>IFERROR(INDEX(TableRBMaster[TM],MATCH(TableRBCalcPts[[#This Row],[RBRef]],TableRBMaster[RBRef],0)),"")</f>
        <v/>
      </c>
      <c r="L121" s="60" t="str">
        <f>IFERROR(INDEX(TableRBMaster[BYE],MATCH(TableRBCalcPts[[#This Row],[RBRef]],TableRBMaster[RBRef],0)),"")</f>
        <v/>
      </c>
      <c r="M121" s="61" t="str">
        <f>IFERROR(INDEX(TableRBMaster[Custom],MATCH(TableRBCalcPts[[#This Row],[RBRef]],TableRBMaster[RBRef],0)),"")</f>
        <v/>
      </c>
      <c r="O121" s="60">
        <f>IFERROR(RANK(TableWRCalcPts[[#This Row],[Custom]],TableWRCalcPts[Custom])+COUNTIF($T$3:T121,T121)-1,"")</f>
        <v>103</v>
      </c>
      <c r="P121" s="60">
        <v>119</v>
      </c>
      <c r="Q121" s="60" t="str">
        <f>IFERROR(INDEX(TableWRMaster[Player],MATCH(TableWRCalcPts[[#This Row],[WRRef]],TableWRMaster[WRRef],0)),"")</f>
        <v>Wan'Dale Robinson</v>
      </c>
      <c r="R121" s="60" t="str">
        <f>IFERROR(INDEX(TableWRMaster[TM],MATCH(TableWRCalcPts[[#This Row],[WRRef]],TableWRMaster[WRRef],0)),"")</f>
        <v>NYG</v>
      </c>
      <c r="S121" s="60">
        <f>IFERROR(INDEX(TableWRMaster[BYE],MATCH(TableWRCalcPts[[#This Row],[WRRef]],TableWRMaster[WRRef],0)),"")</f>
        <v>13</v>
      </c>
      <c r="T121" s="61">
        <f>IFERROR(INDEX(TableWRMaster[Custom],MATCH(TableWRCalcPts[[#This Row],[WRRef]],TableWRMaster[WRRef],0)),"")</f>
        <v>57.776482817212141</v>
      </c>
      <c r="AI121" s="60" t="s">
        <v>257</v>
      </c>
      <c r="AJ121" s="60">
        <f>IFERROR(RANK(TableWRTECalcPts[[#This Row],[Custom]],TableWRTECalcPts[Custom])+COUNTIF($AP$3:AP121,AP121)-1,"")</f>
        <v>137</v>
      </c>
      <c r="AK121" s="113">
        <v>19</v>
      </c>
      <c r="AL121" s="113" t="str">
        <f>IFERROR(INDEX(TableWRMaster[Player],MATCH(TableWRTECalcPts[[#This Row],[POSRef]],TableWRMaster[WRRef],0)),"")</f>
        <v>Trent Sherfield</v>
      </c>
      <c r="AM121" s="113" t="str">
        <f>IFERROR(_xlfn.CONCAT(TableWRTECalcPts[[#This Row],[POS]],INDEX(TableWRRanks[RK],MATCH(TableWRTECalcPts[[#This Row],[PLAYER]],TableWRRanks[Player],0))),"")</f>
        <v>WR100</v>
      </c>
      <c r="AN121" s="113" t="str">
        <f>IFERROR(INDEX(TableWRMaster[TM],MATCH(TableWRTECalcPts[[#This Row],[POSRef]],TableWRMaster[WRRef],0)),"")</f>
        <v>BUF</v>
      </c>
      <c r="AO121" s="113">
        <f>IFERROR(INDEX(TableWRMaster[BYE],MATCH(TableWRTECalcPts[[#This Row],[POSRef]],TableWRMaster[WRRef],0)),"")</f>
        <v>13</v>
      </c>
      <c r="AP121" s="111">
        <f>IFERROR(INDEX(TableWRMaster[Custom],MATCH(TableWRTECalcPts[[#This Row],[POSRef]],TableWRMaster[WRRef],0)),"")</f>
        <v>59.836018948557339</v>
      </c>
    </row>
    <row r="122" spans="8:42" x14ac:dyDescent="0.2">
      <c r="H122" s="60" t="str">
        <f>IFERROR(RANK(TableRBCalcPts[[#This Row],[Custom]],TableRBCalcPts[Custom])+COUNTIF($M$3:M122,M122)-1,"")</f>
        <v/>
      </c>
      <c r="I122" s="60">
        <v>120</v>
      </c>
      <c r="J122" s="60" t="str">
        <f>IFERROR(INDEX(TableRBMaster[Player],MATCH(TableRBCalcPts[[#This Row],[RBRef]],TableRBMaster[RBRef],0)),"")</f>
        <v/>
      </c>
      <c r="K122" s="60" t="str">
        <f>IFERROR(INDEX(TableRBMaster[TM],MATCH(TableRBCalcPts[[#This Row],[RBRef]],TableRBMaster[RBRef],0)),"")</f>
        <v/>
      </c>
      <c r="L122" s="60" t="str">
        <f>IFERROR(INDEX(TableRBMaster[BYE],MATCH(TableRBCalcPts[[#This Row],[RBRef]],TableRBMaster[RBRef],0)),"")</f>
        <v/>
      </c>
      <c r="M122" s="61" t="str">
        <f>IFERROR(INDEX(TableRBMaster[Custom],MATCH(TableRBCalcPts[[#This Row],[RBRef]],TableRBMaster[RBRef],0)),"")</f>
        <v/>
      </c>
      <c r="O122" s="60">
        <f>IFERROR(RANK(TableWRCalcPts[[#This Row],[Custom]],TableWRCalcPts[Custom])+COUNTIF($T$3:T122,T122)-1,"")</f>
        <v>85</v>
      </c>
      <c r="P122" s="60">
        <v>120</v>
      </c>
      <c r="Q122" s="60" t="str">
        <f>IFERROR(INDEX(TableWRMaster[Player],MATCH(TableWRCalcPts[[#This Row],[WRRef]],TableWRMaster[WRRef],0)),"")</f>
        <v>Parris Campbell</v>
      </c>
      <c r="R122" s="60" t="str">
        <f>IFERROR(INDEX(TableWRMaster[TM],MATCH(TableWRCalcPts[[#This Row],[WRRef]],TableWRMaster[WRRef],0)),"")</f>
        <v>NYG</v>
      </c>
      <c r="S122" s="60">
        <f>IFERROR(INDEX(TableWRMaster[BYE],MATCH(TableWRCalcPts[[#This Row],[WRRef]],TableWRMaster[WRRef],0)),"")</f>
        <v>13</v>
      </c>
      <c r="T122" s="61">
        <f>IFERROR(INDEX(TableWRMaster[Custom],MATCH(TableWRCalcPts[[#This Row],[WRRef]],TableWRMaster[WRRef],0)),"")</f>
        <v>87.537493843607933</v>
      </c>
      <c r="AI122" s="60" t="s">
        <v>257</v>
      </c>
      <c r="AJ122" s="60">
        <f>IFERROR(RANK(TableWRTECalcPts[[#This Row],[Custom]],TableWRTECalcPts[Custom])+COUNTIF($AP$3:AP122,AP122)-1,"")</f>
        <v>143</v>
      </c>
      <c r="AK122" s="113">
        <v>20</v>
      </c>
      <c r="AL122" s="113" t="str">
        <f>IFERROR(INDEX(TableWRMaster[Player],MATCH(TableWRTECalcPts[[#This Row],[POSRef]],TableWRMaster[WRRef],0)),"")</f>
        <v>Deonte Harty</v>
      </c>
      <c r="AM122" s="113" t="str">
        <f>IFERROR(_xlfn.CONCAT(TableWRTECalcPts[[#This Row],[POS]],INDEX(TableWRRanks[RK],MATCH(TableWRTECalcPts[[#This Row],[PLAYER]],TableWRRanks[Player],0))),"")</f>
        <v>WR105</v>
      </c>
      <c r="AN122" s="113" t="str">
        <f>IFERROR(INDEX(TableWRMaster[TM],MATCH(TableWRTECalcPts[[#This Row],[POSRef]],TableWRMaster[WRRef],0)),"")</f>
        <v>BUF</v>
      </c>
      <c r="AO122" s="113">
        <f>IFERROR(INDEX(TableWRMaster[BYE],MATCH(TableWRTECalcPts[[#This Row],[POSRef]],TableWRMaster[WRRef],0)),"")</f>
        <v>13</v>
      </c>
      <c r="AP122" s="111">
        <f>IFERROR(INDEX(TableWRMaster[Custom],MATCH(TableWRTECalcPts[[#This Row],[POSRef]],TableWRMaster[WRRef],0)),"")</f>
        <v>56.822667667156409</v>
      </c>
    </row>
    <row r="123" spans="8:42" x14ac:dyDescent="0.2">
      <c r="H123" s="60" t="str">
        <f>IFERROR(RANK(TableRBCalcPts[[#This Row],[Custom]],TableRBCalcPts[Custom])+COUNTIF($M$3:M123,M123)-1,"")</f>
        <v/>
      </c>
      <c r="I123" s="60">
        <v>121</v>
      </c>
      <c r="J123" s="60" t="str">
        <f>IFERROR(INDEX(TableRBMaster[Player],MATCH(TableRBCalcPts[[#This Row],[RBRef]],TableRBMaster[RBRef],0)),"")</f>
        <v/>
      </c>
      <c r="K123" s="60" t="str">
        <f>IFERROR(INDEX(TableRBMaster[TM],MATCH(TableRBCalcPts[[#This Row],[RBRef]],TableRBMaster[RBRef],0)),"")</f>
        <v/>
      </c>
      <c r="L123" s="60" t="str">
        <f>IFERROR(INDEX(TableRBMaster[BYE],MATCH(TableRBCalcPts[[#This Row],[RBRef]],TableRBMaster[RBRef],0)),"")</f>
        <v/>
      </c>
      <c r="M123" s="61" t="str">
        <f>IFERROR(INDEX(TableRBMaster[Custom],MATCH(TableRBCalcPts[[#This Row],[RBRef]],TableRBMaster[RBRef],0)),"")</f>
        <v/>
      </c>
      <c r="O123" s="60">
        <f>IFERROR(RANK(TableWRCalcPts[[#This Row],[Custom]],TableWRCalcPts[Custom])+COUNTIF($T$3:T123,T123)-1,"")</f>
        <v>84</v>
      </c>
      <c r="P123" s="60">
        <v>121</v>
      </c>
      <c r="Q123" s="60" t="str">
        <f>IFERROR(INDEX(TableWRMaster[Player],MATCH(TableWRCalcPts[[#This Row],[WRRef]],TableWRMaster[WRRef],0)),"")</f>
        <v>Isaiah Hodgins</v>
      </c>
      <c r="R123" s="60" t="str">
        <f>IFERROR(INDEX(TableWRMaster[TM],MATCH(TableWRCalcPts[[#This Row],[WRRef]],TableWRMaster[WRRef],0)),"")</f>
        <v>NYG</v>
      </c>
      <c r="S123" s="60">
        <f>IFERROR(INDEX(TableWRMaster[BYE],MATCH(TableWRCalcPts[[#This Row],[WRRef]],TableWRMaster[WRRef],0)),"")</f>
        <v>13</v>
      </c>
      <c r="T123" s="61">
        <f>IFERROR(INDEX(TableWRMaster[Custom],MATCH(TableWRCalcPts[[#This Row],[WRRef]],TableWRMaster[WRRef],0)),"")</f>
        <v>88.794501254683098</v>
      </c>
      <c r="AI123" s="60" t="s">
        <v>257</v>
      </c>
      <c r="AJ123" s="60">
        <f>IFERROR(RANK(TableWRTECalcPts[[#This Row],[Custom]],TableWRTECalcPts[Custom])+COUNTIF($AP$3:AP123,AP123)-1,"")</f>
        <v>214</v>
      </c>
      <c r="AK123" s="113">
        <v>21</v>
      </c>
      <c r="AL123" s="113" t="str">
        <f>IFERROR(INDEX(TableWRMaster[Player],MATCH(TableWRTECalcPts[[#This Row],[POSRef]],TableWRMaster[WRRef],0)),"")</f>
        <v>Justin Shorter</v>
      </c>
      <c r="AM123" s="113" t="str">
        <f>IFERROR(_xlfn.CONCAT(TableWRTECalcPts[[#This Row],[POS]],INDEX(TableWRRanks[RK],MATCH(TableWRTECalcPts[[#This Row],[PLAYER]],TableWRRanks[Player],0))),"")</f>
        <v>WR146</v>
      </c>
      <c r="AN123" s="113" t="str">
        <f>IFERROR(INDEX(TableWRMaster[TM],MATCH(TableWRTECalcPts[[#This Row],[POSRef]],TableWRMaster[WRRef],0)),"")</f>
        <v>BUF</v>
      </c>
      <c r="AO123" s="113">
        <f>IFERROR(INDEX(TableWRMaster[BYE],MATCH(TableWRTECalcPts[[#This Row],[POSRef]],TableWRMaster[WRRef],0)),"")</f>
        <v>13</v>
      </c>
      <c r="AP123" s="111">
        <f>IFERROR(INDEX(TableWRMaster[Custom],MATCH(TableWRTECalcPts[[#This Row],[POSRef]],TableWRMaster[WRRef],0)),"")</f>
        <v>17.103082196199999</v>
      </c>
    </row>
    <row r="124" spans="8:42" x14ac:dyDescent="0.2">
      <c r="H124" s="60" t="str">
        <f>IFERROR(RANK(TableRBCalcPts[[#This Row],[Custom]],TableRBCalcPts[Custom])+COUNTIF($M$3:M124,M124)-1,"")</f>
        <v/>
      </c>
      <c r="I124" s="60">
        <v>122</v>
      </c>
      <c r="J124" s="60" t="str">
        <f>IFERROR(INDEX(TableRBMaster[Player],MATCH(TableRBCalcPts[[#This Row],[RBRef]],TableRBMaster[RBRef],0)),"")</f>
        <v/>
      </c>
      <c r="K124" s="60" t="str">
        <f>IFERROR(INDEX(TableRBMaster[TM],MATCH(TableRBCalcPts[[#This Row],[RBRef]],TableRBMaster[RBRef],0)),"")</f>
        <v/>
      </c>
      <c r="L124" s="60" t="str">
        <f>IFERROR(INDEX(TableRBMaster[BYE],MATCH(TableRBCalcPts[[#This Row],[RBRef]],TableRBMaster[RBRef],0)),"")</f>
        <v/>
      </c>
      <c r="M124" s="61" t="str">
        <f>IFERROR(INDEX(TableRBMaster[Custom],MATCH(TableRBCalcPts[[#This Row],[RBRef]],TableRBMaster[RBRef],0)),"")</f>
        <v/>
      </c>
      <c r="O124" s="60">
        <f>IFERROR(RANK(TableWRCalcPts[[#This Row],[Custom]],TableWRCalcPts[Custom])+COUNTIF($T$3:T124,T124)-1,"")</f>
        <v>61</v>
      </c>
      <c r="P124" s="60">
        <v>122</v>
      </c>
      <c r="Q124" s="60" t="str">
        <f>IFERROR(INDEX(TableWRMaster[Player],MATCH(TableWRCalcPts[[#This Row],[WRRef]],TableWRMaster[WRRef],0)),"")</f>
        <v>Darius Slayton</v>
      </c>
      <c r="R124" s="60" t="str">
        <f>IFERROR(INDEX(TableWRMaster[TM],MATCH(TableWRCalcPts[[#This Row],[WRRef]],TableWRMaster[WRRef],0)),"")</f>
        <v>NYG</v>
      </c>
      <c r="S124" s="60">
        <f>IFERROR(INDEX(TableWRMaster[BYE],MATCH(TableWRCalcPts[[#This Row],[WRRef]],TableWRMaster[WRRef],0)),"")</f>
        <v>13</v>
      </c>
      <c r="T124" s="61">
        <f>IFERROR(INDEX(TableWRMaster[Custom],MATCH(TableWRCalcPts[[#This Row],[WRRef]],TableWRMaster[WRRef],0)),"")</f>
        <v>121.11123240350437</v>
      </c>
      <c r="AI124" s="60" t="s">
        <v>257</v>
      </c>
      <c r="AJ124" s="60">
        <f>IFERROR(RANK(TableWRTECalcPts[[#This Row],[Custom]],TableWRTECalcPts[Custom])+COUNTIF($AP$3:AP124,AP124)-1,"")</f>
        <v>52</v>
      </c>
      <c r="AK124" s="113">
        <v>22</v>
      </c>
      <c r="AL124" s="113" t="str">
        <f>IFERROR(INDEX(TableWRMaster[Player],MATCH(TableWRTECalcPts[[#This Row],[POSRef]],TableWRMaster[WRRef],0)),"")</f>
        <v>Adam Thielen</v>
      </c>
      <c r="AM124" s="113" t="str">
        <f>IFERROR(_xlfn.CONCAT(TableWRTECalcPts[[#This Row],[POS]],INDEX(TableWRRanks[RK],MATCH(TableWRTECalcPts[[#This Row],[PLAYER]],TableWRRanks[Player],0))),"")</f>
        <v>WR47</v>
      </c>
      <c r="AN124" s="113" t="str">
        <f>IFERROR(INDEX(TableWRMaster[TM],MATCH(TableWRTECalcPts[[#This Row],[POSRef]],TableWRMaster[WRRef],0)),"")</f>
        <v>CAR</v>
      </c>
      <c r="AO124" s="113">
        <f>IFERROR(INDEX(TableWRMaster[BYE],MATCH(TableWRTECalcPts[[#This Row],[POSRef]],TableWRMaster[WRRef],0)),"")</f>
        <v>7</v>
      </c>
      <c r="AP124" s="111">
        <f>IFERROR(INDEX(TableWRMaster[Custom],MATCH(TableWRTECalcPts[[#This Row],[POSRef]],TableWRMaster[WRRef],0)),"")</f>
        <v>146.5873035192601</v>
      </c>
    </row>
    <row r="125" spans="8:42" x14ac:dyDescent="0.2">
      <c r="H125" s="60" t="str">
        <f>IFERROR(RANK(TableRBCalcPts[[#This Row],[Custom]],TableRBCalcPts[Custom])+COUNTIF($M$3:M125,M125)-1,"")</f>
        <v/>
      </c>
      <c r="I125" s="60">
        <v>123</v>
      </c>
      <c r="J125" s="60" t="str">
        <f>IFERROR(INDEX(TableRBMaster[Player],MATCH(TableRBCalcPts[[#This Row],[RBRef]],TableRBMaster[RBRef],0)),"")</f>
        <v/>
      </c>
      <c r="K125" s="60" t="str">
        <f>IFERROR(INDEX(TableRBMaster[TM],MATCH(TableRBCalcPts[[#This Row],[RBRef]],TableRBMaster[RBRef],0)),"")</f>
        <v/>
      </c>
      <c r="L125" s="60" t="str">
        <f>IFERROR(INDEX(TableRBMaster[BYE],MATCH(TableRBCalcPts[[#This Row],[RBRef]],TableRBMaster[RBRef],0)),"")</f>
        <v/>
      </c>
      <c r="M125" s="61" t="str">
        <f>IFERROR(INDEX(TableRBMaster[Custom],MATCH(TableRBCalcPts[[#This Row],[RBRef]],TableRBMaster[RBRef],0)),"")</f>
        <v/>
      </c>
      <c r="O125" s="60">
        <f>IFERROR(RANK(TableWRCalcPts[[#This Row],[Custom]],TableWRCalcPts[Custom])+COUNTIF($T$3:T125,T125)-1,"")</f>
        <v>114</v>
      </c>
      <c r="P125" s="60">
        <v>123</v>
      </c>
      <c r="Q125" s="60" t="str">
        <f>IFERROR(INDEX(TableWRMaster[Player],MATCH(TableWRCalcPts[[#This Row],[WRRef]],TableWRMaster[WRRef],0)),"")</f>
        <v>Jalin Hyatt</v>
      </c>
      <c r="R125" s="60" t="str">
        <f>IFERROR(INDEX(TableWRMaster[TM],MATCH(TableWRCalcPts[[#This Row],[WRRef]],TableWRMaster[WRRef],0)),"")</f>
        <v>NYG</v>
      </c>
      <c r="S125" s="60">
        <f>IFERROR(INDEX(TableWRMaster[BYE],MATCH(TableWRCalcPts[[#This Row],[WRRef]],TableWRMaster[WRRef],0)),"")</f>
        <v>13</v>
      </c>
      <c r="T125" s="61">
        <f>IFERROR(INDEX(TableWRMaster[Custom],MATCH(TableWRCalcPts[[#This Row],[WRRef]],TableWRMaster[WRRef],0)),"")</f>
        <v>39.016453413547382</v>
      </c>
      <c r="AI125" s="60" t="s">
        <v>257</v>
      </c>
      <c r="AJ125" s="60">
        <f>IFERROR(RANK(TableWRTECalcPts[[#This Row],[Custom]],TableWRTECalcPts[Custom])+COUNTIF($AP$3:AP125,AP125)-1,"")</f>
        <v>81</v>
      </c>
      <c r="AK125" s="113">
        <v>23</v>
      </c>
      <c r="AL125" s="113" t="str">
        <f>IFERROR(INDEX(TableWRMaster[Player],MATCH(TableWRTECalcPts[[#This Row],[POSRef]],TableWRMaster[WRRef],0)),"")</f>
        <v>DJ Chark</v>
      </c>
      <c r="AM125" s="113" t="str">
        <f>IFERROR(_xlfn.CONCAT(TableWRTECalcPts[[#This Row],[POS]],INDEX(TableWRRanks[RK],MATCH(TableWRTECalcPts[[#This Row],[PLAYER]],TableWRRanks[Player],0))),"")</f>
        <v>WR69</v>
      </c>
      <c r="AN125" s="113" t="str">
        <f>IFERROR(INDEX(TableWRMaster[TM],MATCH(TableWRTECalcPts[[#This Row],[POSRef]],TableWRMaster[WRRef],0)),"")</f>
        <v>CAR</v>
      </c>
      <c r="AO125" s="113">
        <f>IFERROR(INDEX(TableWRMaster[BYE],MATCH(TableWRTECalcPts[[#This Row],[POSRef]],TableWRMaster[WRRef],0)),"")</f>
        <v>7</v>
      </c>
      <c r="AP125" s="111">
        <f>IFERROR(INDEX(TableWRMaster[Custom],MATCH(TableWRTECalcPts[[#This Row],[POSRef]],TableWRMaster[WRRef],0)),"")</f>
        <v>113.20957392716396</v>
      </c>
    </row>
    <row r="126" spans="8:42" x14ac:dyDescent="0.2">
      <c r="H126" s="60" t="str">
        <f>IFERROR(RANK(TableRBCalcPts[[#This Row],[Custom]],TableRBCalcPts[Custom])+COUNTIF($M$3:M126,M126)-1,"")</f>
        <v/>
      </c>
      <c r="I126" s="60">
        <v>124</v>
      </c>
      <c r="J126" s="60" t="str">
        <f>IFERROR(INDEX(TableRBMaster[Player],MATCH(TableRBCalcPts[[#This Row],[RBRef]],TableRBMaster[RBRef],0)),"")</f>
        <v/>
      </c>
      <c r="K126" s="60" t="str">
        <f>IFERROR(INDEX(TableRBMaster[TM],MATCH(TableRBCalcPts[[#This Row],[RBRef]],TableRBMaster[RBRef],0)),"")</f>
        <v/>
      </c>
      <c r="L126" s="60" t="str">
        <f>IFERROR(INDEX(TableRBMaster[BYE],MATCH(TableRBCalcPts[[#This Row],[RBRef]],TableRBMaster[RBRef],0)),"")</f>
        <v/>
      </c>
      <c r="M126" s="61" t="str">
        <f>IFERROR(INDEX(TableRBMaster[Custom],MATCH(TableRBCalcPts[[#This Row],[RBRef]],TableRBMaster[RBRef],0)),"")</f>
        <v/>
      </c>
      <c r="O126" s="60">
        <f>IFERROR(RANK(TableWRCalcPts[[#This Row],[Custom]],TableWRCalcPts[Custom])+COUNTIF($T$3:T126,T126)-1,"")</f>
        <v>10</v>
      </c>
      <c r="P126" s="60">
        <v>124</v>
      </c>
      <c r="Q126" s="60" t="str">
        <f>IFERROR(INDEX(TableWRMaster[Player],MATCH(TableWRCalcPts[[#This Row],[WRRef]],TableWRMaster[WRRef],0)),"")</f>
        <v>Garrett Wilson</v>
      </c>
      <c r="R126" s="60" t="str">
        <f>IFERROR(INDEX(TableWRMaster[TM],MATCH(TableWRCalcPts[[#This Row],[WRRef]],TableWRMaster[WRRef],0)),"")</f>
        <v>NYJ</v>
      </c>
      <c r="S126" s="60">
        <f>IFERROR(INDEX(TableWRMaster[BYE],MATCH(TableWRCalcPts[[#This Row],[WRRef]],TableWRMaster[WRRef],0)),"")</f>
        <v>7</v>
      </c>
      <c r="T126" s="61">
        <f>IFERROR(INDEX(TableWRMaster[Custom],MATCH(TableWRCalcPts[[#This Row],[WRRef]],TableWRMaster[WRRef],0)),"")</f>
        <v>207.71072219166814</v>
      </c>
      <c r="AI126" s="60" t="s">
        <v>257</v>
      </c>
      <c r="AJ126" s="60">
        <f>IFERROR(RANK(TableWRTECalcPts[[#This Row],[Custom]],TableWRTECalcPts[Custom])+COUNTIF($AP$3:AP126,AP126)-1,"")</f>
        <v>51</v>
      </c>
      <c r="AK126" s="113">
        <v>24</v>
      </c>
      <c r="AL126" s="113" t="str">
        <f>IFERROR(INDEX(TableWRMaster[Player],MATCH(TableWRTECalcPts[[#This Row],[POSRef]],TableWRMaster[WRRef],0)),"")</f>
        <v>Jonathan Mingo</v>
      </c>
      <c r="AM126" s="113" t="str">
        <f>IFERROR(_xlfn.CONCAT(TableWRTECalcPts[[#This Row],[POS]],INDEX(TableWRRanks[RK],MATCH(TableWRTECalcPts[[#This Row],[PLAYER]],TableWRRanks[Player],0))),"")</f>
        <v>WR46</v>
      </c>
      <c r="AN126" s="113" t="str">
        <f>IFERROR(INDEX(TableWRMaster[TM],MATCH(TableWRTECalcPts[[#This Row],[POSRef]],TableWRMaster[WRRef],0)),"")</f>
        <v>CAR</v>
      </c>
      <c r="AO126" s="113">
        <f>IFERROR(INDEX(TableWRMaster[BYE],MATCH(TableWRTECalcPts[[#This Row],[POSRef]],TableWRMaster[WRRef],0)),"")</f>
        <v>7</v>
      </c>
      <c r="AP126" s="111">
        <f>IFERROR(INDEX(TableWRMaster[Custom],MATCH(TableWRTECalcPts[[#This Row],[POSRef]],TableWRMaster[WRRef],0)),"")</f>
        <v>147.26314162241712</v>
      </c>
    </row>
    <row r="127" spans="8:42" x14ac:dyDescent="0.2">
      <c r="H127" s="60" t="str">
        <f>IFERROR(RANK(TableRBCalcPts[[#This Row],[Custom]],TableRBCalcPts[Custom])+COUNTIF($M$3:M127,M127)-1,"")</f>
        <v/>
      </c>
      <c r="I127" s="60">
        <v>125</v>
      </c>
      <c r="J127" s="60" t="str">
        <f>IFERROR(INDEX(TableRBMaster[Player],MATCH(TableRBCalcPts[[#This Row],[RBRef]],TableRBMaster[RBRef],0)),"")</f>
        <v/>
      </c>
      <c r="K127" s="60" t="str">
        <f>IFERROR(INDEX(TableRBMaster[TM],MATCH(TableRBCalcPts[[#This Row],[RBRef]],TableRBMaster[RBRef],0)),"")</f>
        <v/>
      </c>
      <c r="L127" s="60" t="str">
        <f>IFERROR(INDEX(TableRBMaster[BYE],MATCH(TableRBCalcPts[[#This Row],[RBRef]],TableRBMaster[RBRef],0)),"")</f>
        <v/>
      </c>
      <c r="M127" s="61" t="str">
        <f>IFERROR(INDEX(TableRBMaster[Custom],MATCH(TableRBCalcPts[[#This Row],[RBRef]],TableRBMaster[RBRef],0)),"")</f>
        <v/>
      </c>
      <c r="O127" s="60">
        <f>IFERROR(RANK(TableWRCalcPts[[#This Row],[Custom]],TableWRCalcPts[Custom])+COUNTIF($T$3:T127,T127)-1,"")</f>
        <v>36</v>
      </c>
      <c r="P127" s="60">
        <v>125</v>
      </c>
      <c r="Q127" s="60" t="str">
        <f>IFERROR(INDEX(TableWRMaster[Player],MATCH(TableWRCalcPts[[#This Row],[WRRef]],TableWRMaster[WRRef],0)),"")</f>
        <v>Allen Lazard</v>
      </c>
      <c r="R127" s="60" t="str">
        <f>IFERROR(INDEX(TableWRMaster[TM],MATCH(TableWRCalcPts[[#This Row],[WRRef]],TableWRMaster[WRRef],0)),"")</f>
        <v>NYJ</v>
      </c>
      <c r="S127" s="60">
        <f>IFERROR(INDEX(TableWRMaster[BYE],MATCH(TableWRCalcPts[[#This Row],[WRRef]],TableWRMaster[WRRef],0)),"")</f>
        <v>7</v>
      </c>
      <c r="T127" s="61">
        <f>IFERROR(INDEX(TableWRMaster[Custom],MATCH(TableWRCalcPts[[#This Row],[WRRef]],TableWRMaster[WRRef],0)),"")</f>
        <v>162.96652371193738</v>
      </c>
      <c r="AI127" s="60" t="s">
        <v>257</v>
      </c>
      <c r="AJ127" s="60">
        <f>IFERROR(RANK(TableWRTECalcPts[[#This Row],[Custom]],TableWRTECalcPts[Custom])+COUNTIF($AP$3:AP127,AP127)-1,"")</f>
        <v>122</v>
      </c>
      <c r="AK127" s="113">
        <v>25</v>
      </c>
      <c r="AL127" s="113" t="str">
        <f>IFERROR(INDEX(TableWRMaster[Player],MATCH(TableWRTECalcPts[[#This Row],[POSRef]],TableWRMaster[WRRef],0)),"")</f>
        <v>Terrace Marshall</v>
      </c>
      <c r="AM127" s="113" t="str">
        <f>IFERROR(_xlfn.CONCAT(TableWRTECalcPts[[#This Row],[POS]],INDEX(TableWRRanks[RK],MATCH(TableWRTECalcPts[[#This Row],[PLAYER]],TableWRRanks[Player],0))),"")</f>
        <v>WR90</v>
      </c>
      <c r="AN127" s="113" t="str">
        <f>IFERROR(INDEX(TableWRMaster[TM],MATCH(TableWRTECalcPts[[#This Row],[POSRef]],TableWRMaster[WRRef],0)),"")</f>
        <v>CAR</v>
      </c>
      <c r="AO127" s="113">
        <f>IFERROR(INDEX(TableWRMaster[BYE],MATCH(TableWRTECalcPts[[#This Row],[POSRef]],TableWRMaster[WRRef],0)),"")</f>
        <v>7</v>
      </c>
      <c r="AP127" s="111">
        <f>IFERROR(INDEX(TableWRMaster[Custom],MATCH(TableWRTECalcPts[[#This Row],[POSRef]],TableWRMaster[WRRef],0)),"")</f>
        <v>79.745267232922856</v>
      </c>
    </row>
    <row r="128" spans="8:42" x14ac:dyDescent="0.2">
      <c r="H128" s="60" t="str">
        <f>IFERROR(RANK(TableRBCalcPts[[#This Row],[Custom]],TableRBCalcPts[Custom])+COUNTIF($M$3:M128,M128)-1,"")</f>
        <v/>
      </c>
      <c r="I128" s="60">
        <v>126</v>
      </c>
      <c r="J128" s="60" t="str">
        <f>IFERROR(INDEX(TableRBMaster[Player],MATCH(TableRBCalcPts[[#This Row],[RBRef]],TableRBMaster[RBRef],0)),"")</f>
        <v/>
      </c>
      <c r="K128" s="60" t="str">
        <f>IFERROR(INDEX(TableRBMaster[TM],MATCH(TableRBCalcPts[[#This Row],[RBRef]],TableRBMaster[RBRef],0)),"")</f>
        <v/>
      </c>
      <c r="L128" s="60" t="str">
        <f>IFERROR(INDEX(TableRBMaster[BYE],MATCH(TableRBCalcPts[[#This Row],[RBRef]],TableRBMaster[RBRef],0)),"")</f>
        <v/>
      </c>
      <c r="M128" s="61" t="str">
        <f>IFERROR(INDEX(TableRBMaster[Custom],MATCH(TableRBCalcPts[[#This Row],[RBRef]],TableRBMaster[RBRef],0)),"")</f>
        <v/>
      </c>
      <c r="O128" s="60">
        <f>IFERROR(RANK(TableWRCalcPts[[#This Row],[Custom]],TableWRCalcPts[Custom])+COUNTIF($T$3:T128,T128)-1,"")</f>
        <v>82</v>
      </c>
      <c r="P128" s="60">
        <v>126</v>
      </c>
      <c r="Q128" s="60" t="str">
        <f>IFERROR(INDEX(TableWRMaster[Player],MATCH(TableWRCalcPts[[#This Row],[WRRef]],TableWRMaster[WRRef],0)),"")</f>
        <v>Mecole Hardman</v>
      </c>
      <c r="R128" s="60" t="str">
        <f>IFERROR(INDEX(TableWRMaster[TM],MATCH(TableWRCalcPts[[#This Row],[WRRef]],TableWRMaster[WRRef],0)),"")</f>
        <v>NYJ</v>
      </c>
      <c r="S128" s="60">
        <f>IFERROR(INDEX(TableWRMaster[BYE],MATCH(TableWRCalcPts[[#This Row],[WRRef]],TableWRMaster[WRRef],0)),"")</f>
        <v>7</v>
      </c>
      <c r="T128" s="61">
        <f>IFERROR(INDEX(TableWRMaster[Custom],MATCH(TableWRCalcPts[[#This Row],[WRRef]],TableWRMaster[WRRef],0)),"")</f>
        <v>90.344374723291807</v>
      </c>
      <c r="AI128" s="60" t="s">
        <v>257</v>
      </c>
      <c r="AJ128" s="60">
        <f>IFERROR(RANK(TableWRTECalcPts[[#This Row],[Custom]],TableWRTECalcPts[Custom])+COUNTIF($AP$3:AP128,AP128)-1,"")</f>
        <v>109</v>
      </c>
      <c r="AK128" s="113">
        <v>26</v>
      </c>
      <c r="AL128" s="113" t="str">
        <f>IFERROR(INDEX(TableWRMaster[Player],MATCH(TableWRTECalcPts[[#This Row],[POSRef]],TableWRMaster[WRRef],0)),"")</f>
        <v>Laviska Shenault</v>
      </c>
      <c r="AM128" s="113" t="str">
        <f>IFERROR(_xlfn.CONCAT(TableWRTECalcPts[[#This Row],[POS]],INDEX(TableWRRanks[RK],MATCH(TableWRTECalcPts[[#This Row],[PLAYER]],TableWRRanks[Player],0))),"")</f>
        <v>WR83</v>
      </c>
      <c r="AN128" s="113" t="str">
        <f>IFERROR(INDEX(TableWRMaster[TM],MATCH(TableWRTECalcPts[[#This Row],[POSRef]],TableWRMaster[WRRef],0)),"")</f>
        <v>CAR</v>
      </c>
      <c r="AO128" s="113">
        <f>IFERROR(INDEX(TableWRMaster[BYE],MATCH(TableWRTECalcPts[[#This Row],[POSRef]],TableWRMaster[WRRef],0)),"")</f>
        <v>7</v>
      </c>
      <c r="AP128" s="111">
        <f>IFERROR(INDEX(TableWRMaster[Custom],MATCH(TableWRTECalcPts[[#This Row],[POSRef]],TableWRMaster[WRRef],0)),"")</f>
        <v>90.290516206634649</v>
      </c>
    </row>
    <row r="129" spans="8:42" x14ac:dyDescent="0.2">
      <c r="H129" s="60" t="str">
        <f>IFERROR(RANK(TableRBCalcPts[[#This Row],[Custom]],TableRBCalcPts[Custom])+COUNTIF($M$3:M129,M129)-1,"")</f>
        <v/>
      </c>
      <c r="I129" s="60">
        <v>127</v>
      </c>
      <c r="J129" s="60" t="str">
        <f>IFERROR(INDEX(TableRBMaster[Player],MATCH(TableRBCalcPts[[#This Row],[RBRef]],TableRBMaster[RBRef],0)),"")</f>
        <v/>
      </c>
      <c r="K129" s="60" t="str">
        <f>IFERROR(INDEX(TableRBMaster[TM],MATCH(TableRBCalcPts[[#This Row],[RBRef]],TableRBMaster[RBRef],0)),"")</f>
        <v/>
      </c>
      <c r="L129" s="60" t="str">
        <f>IFERROR(INDEX(TableRBMaster[BYE],MATCH(TableRBCalcPts[[#This Row],[RBRef]],TableRBMaster[RBRef],0)),"")</f>
        <v/>
      </c>
      <c r="M129" s="61" t="str">
        <f>IFERROR(INDEX(TableRBMaster[Custom],MATCH(TableRBCalcPts[[#This Row],[RBRef]],TableRBMaster[RBRef],0)),"")</f>
        <v/>
      </c>
      <c r="O129" s="60">
        <f>IFERROR(RANK(TableWRCalcPts[[#This Row],[Custom]],TableWRCalcPts[Custom])+COUNTIF($T$3:T129,T129)-1,"")</f>
        <v>131</v>
      </c>
      <c r="P129" s="60">
        <v>127</v>
      </c>
      <c r="Q129" s="60" t="str">
        <f>IFERROR(INDEX(TableWRMaster[Player],MATCH(TableWRCalcPts[[#This Row],[WRRef]],TableWRMaster[WRRef],0)),"")</f>
        <v>Jason Brownlee</v>
      </c>
      <c r="R129" s="60" t="str">
        <f>IFERROR(INDEX(TableWRMaster[TM],MATCH(TableWRCalcPts[[#This Row],[WRRef]],TableWRMaster[WRRef],0)),"")</f>
        <v>NYJ</v>
      </c>
      <c r="S129" s="60">
        <f>IFERROR(INDEX(TableWRMaster[BYE],MATCH(TableWRCalcPts[[#This Row],[WRRef]],TableWRMaster[WRRef],0)),"")</f>
        <v>7</v>
      </c>
      <c r="T129" s="61">
        <f>IFERROR(INDEX(TableWRMaster[Custom],MATCH(TableWRCalcPts[[#This Row],[WRRef]],TableWRMaster[WRRef],0)),"")</f>
        <v>26.314535347600497</v>
      </c>
      <c r="AI129" s="60" t="s">
        <v>257</v>
      </c>
      <c r="AJ129" s="60">
        <f>IFERROR(RANK(TableWRTECalcPts[[#This Row],[Custom]],TableWRTECalcPts[Custom])+COUNTIF($AP$3:AP129,AP129)-1,"")</f>
        <v>26</v>
      </c>
      <c r="AK129" s="113">
        <v>27</v>
      </c>
      <c r="AL129" s="113" t="str">
        <f>IFERROR(INDEX(TableWRMaster[Player],MATCH(TableWRTECalcPts[[#This Row],[POSRef]],TableWRMaster[WRRef],0)),"")</f>
        <v>DJ Moore</v>
      </c>
      <c r="AM129" s="113" t="str">
        <f>IFERROR(_xlfn.CONCAT(TableWRTECalcPts[[#This Row],[POS]],INDEX(TableWRRanks[RK],MATCH(TableWRTECalcPts[[#This Row],[PLAYER]],TableWRRanks[Player],0))),"")</f>
        <v>WR25</v>
      </c>
      <c r="AN129" s="113" t="str">
        <f>IFERROR(INDEX(TableWRMaster[TM],MATCH(TableWRTECalcPts[[#This Row],[POSRef]],TableWRMaster[WRRef],0)),"")</f>
        <v>CHI</v>
      </c>
      <c r="AO129" s="113">
        <f>IFERROR(INDEX(TableWRMaster[BYE],MATCH(TableWRTECalcPts[[#This Row],[POSRef]],TableWRMaster[WRRef],0)),"")</f>
        <v>13</v>
      </c>
      <c r="AP129" s="111">
        <f>IFERROR(INDEX(TableWRMaster[Custom],MATCH(TableWRTECalcPts[[#This Row],[POSRef]],TableWRMaster[WRRef],0)),"")</f>
        <v>182.80721027452122</v>
      </c>
    </row>
    <row r="130" spans="8:42" x14ac:dyDescent="0.2">
      <c r="H130" s="60" t="str">
        <f>IFERROR(RANK(TableRBCalcPts[[#This Row],[Custom]],TableRBCalcPts[Custom])+COUNTIF($M$3:M130,M130)-1,"")</f>
        <v/>
      </c>
      <c r="I130" s="60">
        <v>128</v>
      </c>
      <c r="J130" s="60" t="str">
        <f>IFERROR(INDEX(TableRBMaster[Player],MATCH(TableRBCalcPts[[#This Row],[RBRef]],TableRBMaster[RBRef],0)),"")</f>
        <v/>
      </c>
      <c r="K130" s="60" t="str">
        <f>IFERROR(INDEX(TableRBMaster[TM],MATCH(TableRBCalcPts[[#This Row],[RBRef]],TableRBMaster[RBRef],0)),"")</f>
        <v/>
      </c>
      <c r="L130" s="60" t="str">
        <f>IFERROR(INDEX(TableRBMaster[BYE],MATCH(TableRBCalcPts[[#This Row],[RBRef]],TableRBMaster[RBRef],0)),"")</f>
        <v/>
      </c>
      <c r="M130" s="61" t="str">
        <f>IFERROR(INDEX(TableRBMaster[Custom],MATCH(TableRBCalcPts[[#This Row],[RBRef]],TableRBMaster[RBRef],0)),"")</f>
        <v/>
      </c>
      <c r="O130" s="60">
        <f>IFERROR(RANK(TableWRCalcPts[[#This Row],[Custom]],TableWRCalcPts[Custom])+COUNTIF($T$3:T130,T130)-1,"")</f>
        <v>95</v>
      </c>
      <c r="P130" s="60">
        <v>128</v>
      </c>
      <c r="Q130" s="60" t="str">
        <f>IFERROR(INDEX(TableWRMaster[Player],MATCH(TableWRCalcPts[[#This Row],[WRRef]],TableWRMaster[WRRef],0)),"")</f>
        <v>Randall Cobb</v>
      </c>
      <c r="R130" s="60" t="str">
        <f>IFERROR(INDEX(TableWRMaster[TM],MATCH(TableWRCalcPts[[#This Row],[WRRef]],TableWRMaster[WRRef],0)),"")</f>
        <v>NYJ</v>
      </c>
      <c r="S130" s="60">
        <f>IFERROR(INDEX(TableWRMaster[BYE],MATCH(TableWRCalcPts[[#This Row],[WRRef]],TableWRMaster[WRRef],0)),"")</f>
        <v>7</v>
      </c>
      <c r="T130" s="61">
        <f>IFERROR(INDEX(TableWRMaster[Custom],MATCH(TableWRCalcPts[[#This Row],[WRRef]],TableWRMaster[WRRef],0)),"")</f>
        <v>71.627058184838234</v>
      </c>
      <c r="AI130" s="60" t="s">
        <v>257</v>
      </c>
      <c r="AJ130" s="60">
        <f>IFERROR(RANK(TableWRTECalcPts[[#This Row],[Custom]],TableWRTECalcPts[Custom])+COUNTIF($AP$3:AP130,AP130)-1,"")</f>
        <v>98</v>
      </c>
      <c r="AK130" s="113">
        <v>28</v>
      </c>
      <c r="AL130" s="113" t="str">
        <f>IFERROR(INDEX(TableWRMaster[Player],MATCH(TableWRTECalcPts[[#This Row],[POSRef]],TableWRMaster[WRRef],0)),"")</f>
        <v>Darnell Mooney</v>
      </c>
      <c r="AM130" s="113" t="str">
        <f>IFERROR(_xlfn.CONCAT(TableWRTECalcPts[[#This Row],[POS]],INDEX(TableWRRanks[RK],MATCH(TableWRTECalcPts[[#This Row],[PLAYER]],TableWRRanks[Player],0))),"")</f>
        <v>WR74</v>
      </c>
      <c r="AN130" s="113" t="str">
        <f>IFERROR(INDEX(TableWRMaster[TM],MATCH(TableWRTECalcPts[[#This Row],[POSRef]],TableWRMaster[WRRef],0)),"")</f>
        <v>CHI</v>
      </c>
      <c r="AO130" s="113">
        <f>IFERROR(INDEX(TableWRMaster[BYE],MATCH(TableWRTECalcPts[[#This Row],[POSRef]],TableWRMaster[WRRef],0)),"")</f>
        <v>13</v>
      </c>
      <c r="AP130" s="111">
        <f>IFERROR(INDEX(TableWRMaster[Custom],MATCH(TableWRTECalcPts[[#This Row],[POSRef]],TableWRMaster[WRRef],0)),"")</f>
        <v>96.007529586463335</v>
      </c>
    </row>
    <row r="131" spans="8:42" x14ac:dyDescent="0.2">
      <c r="H131" s="60" t="str">
        <f>IFERROR(RANK(TableRBCalcPts[[#This Row],[Custom]],TableRBCalcPts[Custom])+COUNTIF($M$3:M131,M131)-1,"")</f>
        <v/>
      </c>
      <c r="I131" s="60">
        <v>129</v>
      </c>
      <c r="J131" s="60" t="str">
        <f>IFERROR(INDEX(TableRBMaster[Player],MATCH(TableRBCalcPts[[#This Row],[RBRef]],TableRBMaster[RBRef],0)),"")</f>
        <v/>
      </c>
      <c r="K131" s="60" t="str">
        <f>IFERROR(INDEX(TableRBMaster[TM],MATCH(TableRBCalcPts[[#This Row],[RBRef]],TableRBMaster[RBRef],0)),"")</f>
        <v/>
      </c>
      <c r="L131" s="60" t="str">
        <f>IFERROR(INDEX(TableRBMaster[BYE],MATCH(TableRBCalcPts[[#This Row],[RBRef]],TableRBMaster[RBRef],0)),"")</f>
        <v/>
      </c>
      <c r="M131" s="61" t="str">
        <f>IFERROR(INDEX(TableRBMaster[Custom],MATCH(TableRBCalcPts[[#This Row],[RBRef]],TableRBMaster[RBRef],0)),"")</f>
        <v/>
      </c>
      <c r="O131" s="60">
        <f>IFERROR(RANK(TableWRCalcPts[[#This Row],[Custom]],TableWRCalcPts[Custom])+COUNTIF($T$3:T131,T131)-1,"")</f>
        <v>11</v>
      </c>
      <c r="P131" s="60">
        <v>129</v>
      </c>
      <c r="Q131" s="60" t="str">
        <f>IFERROR(INDEX(TableWRMaster[Player],MATCH(TableWRCalcPts[[#This Row],[WRRef]],TableWRMaster[WRRef],0)),"")</f>
        <v>A.J. Brown</v>
      </c>
      <c r="R131" s="60" t="str">
        <f>IFERROR(INDEX(TableWRMaster[TM],MATCH(TableWRCalcPts[[#This Row],[WRRef]],TableWRMaster[WRRef],0)),"")</f>
        <v>PHI</v>
      </c>
      <c r="S131" s="60">
        <f>IFERROR(INDEX(TableWRMaster[BYE],MATCH(TableWRCalcPts[[#This Row],[WRRef]],TableWRMaster[WRRef],0)),"")</f>
        <v>10</v>
      </c>
      <c r="T131" s="61">
        <f>IFERROR(INDEX(TableWRMaster[Custom],MATCH(TableWRCalcPts[[#This Row],[WRRef]],TableWRMaster[WRRef],0)),"")</f>
        <v>206.51176008611552</v>
      </c>
      <c r="AI131" s="60" t="s">
        <v>257</v>
      </c>
      <c r="AJ131" s="60">
        <f>IFERROR(RANK(TableWRTECalcPts[[#This Row],[Custom]],TableWRTECalcPts[Custom])+COUNTIF($AP$3:AP131,AP131)-1,"")</f>
        <v>123</v>
      </c>
      <c r="AK131" s="113">
        <v>29</v>
      </c>
      <c r="AL131" s="113" t="str">
        <f>IFERROR(INDEX(TableWRMaster[Player],MATCH(TableWRTECalcPts[[#This Row],[POSRef]],TableWRMaster[WRRef],0)),"")</f>
        <v>Chase Claypool</v>
      </c>
      <c r="AM131" s="113" t="str">
        <f>IFERROR(_xlfn.CONCAT(TableWRTECalcPts[[#This Row],[POS]],INDEX(TableWRRanks[RK],MATCH(TableWRTECalcPts[[#This Row],[PLAYER]],TableWRRanks[Player],0))),"")</f>
        <v>WR91</v>
      </c>
      <c r="AN131" s="113" t="str">
        <f>IFERROR(INDEX(TableWRMaster[TM],MATCH(TableWRTECalcPts[[#This Row],[POSRef]],TableWRMaster[WRRef],0)),"")</f>
        <v>CHI</v>
      </c>
      <c r="AO131" s="113">
        <f>IFERROR(INDEX(TableWRMaster[BYE],MATCH(TableWRTECalcPts[[#This Row],[POSRef]],TableWRMaster[WRRef],0)),"")</f>
        <v>13</v>
      </c>
      <c r="AP131" s="111">
        <f>IFERROR(INDEX(TableWRMaster[Custom],MATCH(TableWRTECalcPts[[#This Row],[POSRef]],TableWRMaster[WRRef],0)),"")</f>
        <v>78.131442847366372</v>
      </c>
    </row>
    <row r="132" spans="8:42" x14ac:dyDescent="0.2">
      <c r="H132" s="60" t="str">
        <f>IFERROR(RANK(TableRBCalcPts[[#This Row],[Custom]],TableRBCalcPts[Custom])+COUNTIF($M$3:M132,M132)-1,"")</f>
        <v/>
      </c>
      <c r="I132" s="60">
        <v>130</v>
      </c>
      <c r="J132" s="60" t="str">
        <f>IFERROR(INDEX(TableRBMaster[Player],MATCH(TableRBCalcPts[[#This Row],[RBRef]],TableRBMaster[RBRef],0)),"")</f>
        <v/>
      </c>
      <c r="K132" s="60" t="str">
        <f>IFERROR(INDEX(TableRBMaster[TM],MATCH(TableRBCalcPts[[#This Row],[RBRef]],TableRBMaster[RBRef],0)),"")</f>
        <v/>
      </c>
      <c r="L132" s="60" t="str">
        <f>IFERROR(INDEX(TableRBMaster[BYE],MATCH(TableRBCalcPts[[#This Row],[RBRef]],TableRBMaster[RBRef],0)),"")</f>
        <v/>
      </c>
      <c r="M132" s="61" t="str">
        <f>IFERROR(INDEX(TableRBMaster[Custom],MATCH(TableRBCalcPts[[#This Row],[RBRef]],TableRBMaster[RBRef],0)),"")</f>
        <v/>
      </c>
      <c r="O132" s="60">
        <f>IFERROR(RANK(TableWRCalcPts[[#This Row],[Custom]],TableWRCalcPts[Custom])+COUNTIF($T$3:T132,T132)-1,"")</f>
        <v>18</v>
      </c>
      <c r="P132" s="60">
        <v>130</v>
      </c>
      <c r="Q132" s="60" t="str">
        <f>IFERROR(INDEX(TableWRMaster[Player],MATCH(TableWRCalcPts[[#This Row],[WRRef]],TableWRMaster[WRRef],0)),"")</f>
        <v>DeVonta Smith</v>
      </c>
      <c r="R132" s="60" t="str">
        <f>IFERROR(INDEX(TableWRMaster[TM],MATCH(TableWRCalcPts[[#This Row],[WRRef]],TableWRMaster[WRRef],0)),"")</f>
        <v>PHI</v>
      </c>
      <c r="S132" s="60">
        <f>IFERROR(INDEX(TableWRMaster[BYE],MATCH(TableWRCalcPts[[#This Row],[WRRef]],TableWRMaster[WRRef],0)),"")</f>
        <v>10</v>
      </c>
      <c r="T132" s="61">
        <f>IFERROR(INDEX(TableWRMaster[Custom],MATCH(TableWRCalcPts[[#This Row],[WRRef]],TableWRMaster[WRRef],0)),"")</f>
        <v>189.0966160335829</v>
      </c>
      <c r="AI132" s="60" t="s">
        <v>257</v>
      </c>
      <c r="AJ132" s="60">
        <f>IFERROR(RANK(TableWRTECalcPts[[#This Row],[Custom]],TableWRTECalcPts[Custom])+COUNTIF($AP$3:AP132,AP132)-1,"")</f>
        <v>230</v>
      </c>
      <c r="AK132" s="113">
        <v>30</v>
      </c>
      <c r="AL132" s="113" t="str">
        <f>IFERROR(INDEX(TableWRMaster[Player],MATCH(TableWRTECalcPts[[#This Row],[POSRef]],TableWRMaster[WRRef],0)),"")</f>
        <v>Velus Jones</v>
      </c>
      <c r="AM132" s="113" t="str">
        <f>IFERROR(_xlfn.CONCAT(TableWRTECalcPts[[#This Row],[POS]],INDEX(TableWRRanks[RK],MATCH(TableWRTECalcPts[[#This Row],[PLAYER]],TableWRRanks[Player],0))),"")</f>
        <v>WR154</v>
      </c>
      <c r="AN132" s="113" t="str">
        <f>IFERROR(INDEX(TableWRMaster[TM],MATCH(TableWRTECalcPts[[#This Row],[POSRef]],TableWRMaster[WRRef],0)),"")</f>
        <v>CHI</v>
      </c>
      <c r="AO132" s="113">
        <f>IFERROR(INDEX(TableWRMaster[BYE],MATCH(TableWRTECalcPts[[#This Row],[POSRef]],TableWRMaster[WRRef],0)),"")</f>
        <v>13</v>
      </c>
      <c r="AP132" s="111">
        <f>IFERROR(INDEX(TableWRMaster[Custom],MATCH(TableWRTECalcPts[[#This Row],[POSRef]],TableWRMaster[WRRef],0)),"")</f>
        <v>13.617734530209351</v>
      </c>
    </row>
    <row r="133" spans="8:42" x14ac:dyDescent="0.2">
      <c r="H133" s="60" t="str">
        <f>IFERROR(RANK(TableRBCalcPts[[#This Row],[Custom]],TableRBCalcPts[Custom])+COUNTIF($M$3:M133,M133)-1,"")</f>
        <v/>
      </c>
      <c r="I133" s="60">
        <v>131</v>
      </c>
      <c r="J133" s="60" t="str">
        <f>IFERROR(INDEX(TableRBMaster[Player],MATCH(TableRBCalcPts[[#This Row],[RBRef]],TableRBMaster[RBRef],0)),"")</f>
        <v/>
      </c>
      <c r="K133" s="60" t="str">
        <f>IFERROR(INDEX(TableRBMaster[TM],MATCH(TableRBCalcPts[[#This Row],[RBRef]],TableRBMaster[RBRef],0)),"")</f>
        <v/>
      </c>
      <c r="L133" s="60" t="str">
        <f>IFERROR(INDEX(TableRBMaster[BYE],MATCH(TableRBCalcPts[[#This Row],[RBRef]],TableRBMaster[RBRef],0)),"")</f>
        <v/>
      </c>
      <c r="M133" s="61" t="str">
        <f>IFERROR(INDEX(TableRBMaster[Custom],MATCH(TableRBCalcPts[[#This Row],[RBRef]],TableRBMaster[RBRef],0)),"")</f>
        <v/>
      </c>
      <c r="O133" s="60">
        <f>IFERROR(RANK(TableWRCalcPts[[#This Row],[Custom]],TableWRCalcPts[Custom])+COUNTIF($T$3:T133,T133)-1,"")</f>
        <v>111</v>
      </c>
      <c r="P133" s="60">
        <v>131</v>
      </c>
      <c r="Q133" s="60" t="str">
        <f>IFERROR(INDEX(TableWRMaster[Player],MATCH(TableWRCalcPts[[#This Row],[WRRef]],TableWRMaster[WRRef],0)),"")</f>
        <v>Quez Watkins</v>
      </c>
      <c r="R133" s="60" t="str">
        <f>IFERROR(INDEX(TableWRMaster[TM],MATCH(TableWRCalcPts[[#This Row],[WRRef]],TableWRMaster[WRRef],0)),"")</f>
        <v>PHI</v>
      </c>
      <c r="S133" s="60">
        <f>IFERROR(INDEX(TableWRMaster[BYE],MATCH(TableWRCalcPts[[#This Row],[WRRef]],TableWRMaster[WRRef],0)),"")</f>
        <v>10</v>
      </c>
      <c r="T133" s="61">
        <f>IFERROR(INDEX(TableWRMaster[Custom],MATCH(TableWRCalcPts[[#This Row],[WRRef]],TableWRMaster[WRRef],0)),"")</f>
        <v>45.688608346058807</v>
      </c>
      <c r="AI133" s="60" t="s">
        <v>257</v>
      </c>
      <c r="AJ133" s="60">
        <f>IFERROR(RANK(TableWRTECalcPts[[#This Row],[Custom]],TableWRTECalcPts[Custom])+COUNTIF($AP$3:AP133,AP133)-1,"")</f>
        <v>196</v>
      </c>
      <c r="AK133" s="113">
        <v>31</v>
      </c>
      <c r="AL133" s="113" t="str">
        <f>IFERROR(INDEX(TableWRMaster[Player],MATCH(TableWRTECalcPts[[#This Row],[POSRef]],TableWRMaster[WRRef],0)),"")</f>
        <v>Tyler Scott</v>
      </c>
      <c r="AM133" s="113" t="str">
        <f>IFERROR(_xlfn.CONCAT(TableWRTECalcPts[[#This Row],[POS]],INDEX(TableWRRanks[RK],MATCH(TableWRTECalcPts[[#This Row],[PLAYER]],TableWRRanks[Player],0))),"")</f>
        <v>WR136</v>
      </c>
      <c r="AN133" s="113" t="str">
        <f>IFERROR(INDEX(TableWRMaster[TM],MATCH(TableWRTECalcPts[[#This Row],[POSRef]],TableWRMaster[WRRef],0)),"")</f>
        <v>CHI</v>
      </c>
      <c r="AO133" s="113">
        <f>IFERROR(INDEX(TableWRMaster[BYE],MATCH(TableWRTECalcPts[[#This Row],[POSRef]],TableWRMaster[WRRef],0)),"")</f>
        <v>13</v>
      </c>
      <c r="AP133" s="111">
        <f>IFERROR(INDEX(TableWRMaster[Custom],MATCH(TableWRTECalcPts[[#This Row],[POSRef]],TableWRMaster[WRRef],0)),"")</f>
        <v>22.848987911184629</v>
      </c>
    </row>
    <row r="134" spans="8:42" x14ac:dyDescent="0.2">
      <c r="H134" s="60" t="str">
        <f>IFERROR(RANK(TableRBCalcPts[[#This Row],[Custom]],TableRBCalcPts[Custom])+COUNTIF($M$3:M134,M134)-1,"")</f>
        <v/>
      </c>
      <c r="I134" s="60">
        <v>132</v>
      </c>
      <c r="J134" s="60" t="str">
        <f>IFERROR(INDEX(TableRBMaster[Player],MATCH(TableRBCalcPts[[#This Row],[RBRef]],TableRBMaster[RBRef],0)),"")</f>
        <v/>
      </c>
      <c r="K134" s="60" t="str">
        <f>IFERROR(INDEX(TableRBMaster[TM],MATCH(TableRBCalcPts[[#This Row],[RBRef]],TableRBMaster[RBRef],0)),"")</f>
        <v/>
      </c>
      <c r="L134" s="60" t="str">
        <f>IFERROR(INDEX(TableRBMaster[BYE],MATCH(TableRBCalcPts[[#This Row],[RBRef]],TableRBMaster[RBRef],0)),"")</f>
        <v/>
      </c>
      <c r="M134" s="61" t="str">
        <f>IFERROR(INDEX(TableRBMaster[Custom],MATCH(TableRBCalcPts[[#This Row],[RBRef]],TableRBMaster[RBRef],0)),"")</f>
        <v/>
      </c>
      <c r="O134" s="60">
        <f>IFERROR(RANK(TableWRCalcPts[[#This Row],[Custom]],TableWRCalcPts[Custom])+COUNTIF($T$3:T134,T134)-1,"")</f>
        <v>145</v>
      </c>
      <c r="P134" s="60">
        <v>132</v>
      </c>
      <c r="Q134" s="60" t="str">
        <f>IFERROR(INDEX(TableWRMaster[Player],MATCH(TableWRCalcPts[[#This Row],[WRRef]],TableWRMaster[WRRef],0)),"")</f>
        <v>Olamide Zaccheaus</v>
      </c>
      <c r="R134" s="60" t="str">
        <f>IFERROR(INDEX(TableWRMaster[TM],MATCH(TableWRCalcPts[[#This Row],[WRRef]],TableWRMaster[WRRef],0)),"")</f>
        <v>PHI</v>
      </c>
      <c r="S134" s="60">
        <f>IFERROR(INDEX(TableWRMaster[BYE],MATCH(TableWRCalcPts[[#This Row],[WRRef]],TableWRMaster[WRRef],0)),"")</f>
        <v>10</v>
      </c>
      <c r="T134" s="61">
        <f>IFERROR(INDEX(TableWRMaster[Custom],MATCH(TableWRCalcPts[[#This Row],[WRRef]],TableWRMaster[WRRef],0)),"")</f>
        <v>17.304445098071039</v>
      </c>
      <c r="AI134" s="60" t="s">
        <v>257</v>
      </c>
      <c r="AJ134" s="60">
        <f>IFERROR(RANK(TableWRTECalcPts[[#This Row],[Custom]],TableWRTECalcPts[Custom])+COUNTIF($AP$3:AP134,AP134)-1,"")</f>
        <v>5</v>
      </c>
      <c r="AK134" s="113">
        <v>32</v>
      </c>
      <c r="AL134" s="113" t="str">
        <f>IFERROR(INDEX(TableWRMaster[Player],MATCH(TableWRTECalcPts[[#This Row],[POSRef]],TableWRMaster[WRRef],0)),"")</f>
        <v>Ja'Marr Chase</v>
      </c>
      <c r="AM134" s="113" t="str">
        <f>IFERROR(_xlfn.CONCAT(TableWRTECalcPts[[#This Row],[POS]],INDEX(TableWRRanks[RK],MATCH(TableWRTECalcPts[[#This Row],[PLAYER]],TableWRRanks[Player],0))),"")</f>
        <v>WR5</v>
      </c>
      <c r="AN134" s="113" t="str">
        <f>IFERROR(INDEX(TableWRMaster[TM],MATCH(TableWRTECalcPts[[#This Row],[POSRef]],TableWRMaster[WRRef],0)),"")</f>
        <v>CIN</v>
      </c>
      <c r="AO134" s="113">
        <f>IFERROR(INDEX(TableWRMaster[BYE],MATCH(TableWRTECalcPts[[#This Row],[POSRef]],TableWRMaster[WRRef],0)),"")</f>
        <v>7</v>
      </c>
      <c r="AP134" s="111">
        <f>IFERROR(INDEX(TableWRMaster[Custom],MATCH(TableWRTECalcPts[[#This Row],[POSRef]],TableWRMaster[WRRef],0)),"")</f>
        <v>251.63020846296595</v>
      </c>
    </row>
    <row r="135" spans="8:42" x14ac:dyDescent="0.2">
      <c r="H135" s="60" t="str">
        <f>IFERROR(RANK(TableRBCalcPts[[#This Row],[Custom]],TableRBCalcPts[Custom])+COUNTIF($M$3:M135,M135)-1,"")</f>
        <v/>
      </c>
      <c r="I135" s="60">
        <v>133</v>
      </c>
      <c r="J135" s="60" t="str">
        <f>IFERROR(INDEX(TableRBMaster[Player],MATCH(TableRBCalcPts[[#This Row],[RBRef]],TableRBMaster[RBRef],0)),"")</f>
        <v/>
      </c>
      <c r="K135" s="60" t="str">
        <f>IFERROR(INDEX(TableRBMaster[TM],MATCH(TableRBCalcPts[[#This Row],[RBRef]],TableRBMaster[RBRef],0)),"")</f>
        <v/>
      </c>
      <c r="L135" s="60" t="str">
        <f>IFERROR(INDEX(TableRBMaster[BYE],MATCH(TableRBCalcPts[[#This Row],[RBRef]],TableRBMaster[RBRef],0)),"")</f>
        <v/>
      </c>
      <c r="M135" s="61" t="str">
        <f>IFERROR(INDEX(TableRBMaster[Custom],MATCH(TableRBCalcPts[[#This Row],[RBRef]],TableRBMaster[RBRef],0)),"")</f>
        <v/>
      </c>
      <c r="O135" s="60">
        <f>IFERROR(RANK(TableWRCalcPts[[#This Row],[Custom]],TableWRCalcPts[Custom])+COUNTIF($T$3:T135,T135)-1,"")</f>
        <v>50</v>
      </c>
      <c r="P135" s="60">
        <v>133</v>
      </c>
      <c r="Q135" s="60" t="str">
        <f>IFERROR(INDEX(TableWRMaster[Player],MATCH(TableWRCalcPts[[#This Row],[WRRef]],TableWRMaster[WRRef],0)),"")</f>
        <v>Diontae Johnson</v>
      </c>
      <c r="R135" s="60" t="str">
        <f>IFERROR(INDEX(TableWRMaster[TM],MATCH(TableWRCalcPts[[#This Row],[WRRef]],TableWRMaster[WRRef],0)),"")</f>
        <v>PIT</v>
      </c>
      <c r="S135" s="60">
        <f>IFERROR(INDEX(TableWRMaster[BYE],MATCH(TableWRCalcPts[[#This Row],[WRRef]],TableWRMaster[WRRef],0)),"")</f>
        <v>6</v>
      </c>
      <c r="T135" s="61">
        <f>IFERROR(INDEX(TableWRMaster[Custom],MATCH(TableWRCalcPts[[#This Row],[WRRef]],TableWRMaster[WRRef],0)),"")</f>
        <v>144.91414323693797</v>
      </c>
      <c r="AI135" s="60" t="s">
        <v>257</v>
      </c>
      <c r="AJ135" s="60">
        <f>IFERROR(RANK(TableWRTECalcPts[[#This Row],[Custom]],TableWRTECalcPts[Custom])+COUNTIF($AP$3:AP135,AP135)-1,"")</f>
        <v>13</v>
      </c>
      <c r="AK135" s="113">
        <v>33</v>
      </c>
      <c r="AL135" s="113" t="str">
        <f>IFERROR(INDEX(TableWRMaster[Player],MATCH(TableWRTECalcPts[[#This Row],[POSRef]],TableWRMaster[WRRef],0)),"")</f>
        <v>Tee Higgins</v>
      </c>
      <c r="AM135" s="113" t="str">
        <f>IFERROR(_xlfn.CONCAT(TableWRTECalcPts[[#This Row],[POS]],INDEX(TableWRRanks[RK],MATCH(TableWRTECalcPts[[#This Row],[PLAYER]],TableWRRanks[Player],0))),"")</f>
        <v>WR12</v>
      </c>
      <c r="AN135" s="113" t="str">
        <f>IFERROR(INDEX(TableWRMaster[TM],MATCH(TableWRTECalcPts[[#This Row],[POSRef]],TableWRMaster[WRRef],0)),"")</f>
        <v>CIN</v>
      </c>
      <c r="AO135" s="113">
        <f>IFERROR(INDEX(TableWRMaster[BYE],MATCH(TableWRTECalcPts[[#This Row],[POSRef]],TableWRMaster[WRRef],0)),"")</f>
        <v>7</v>
      </c>
      <c r="AP135" s="111">
        <f>IFERROR(INDEX(TableWRMaster[Custom],MATCH(TableWRTECalcPts[[#This Row],[POSRef]],TableWRMaster[WRRef],0)),"")</f>
        <v>206.05871828961045</v>
      </c>
    </row>
    <row r="136" spans="8:42" x14ac:dyDescent="0.2">
      <c r="H136" s="60" t="str">
        <f>IFERROR(RANK(TableRBCalcPts[[#This Row],[Custom]],TableRBCalcPts[Custom])+COUNTIF($M$3:M136,M136)-1,"")</f>
        <v/>
      </c>
      <c r="I136" s="60">
        <v>134</v>
      </c>
      <c r="J136" s="60" t="str">
        <f>IFERROR(INDEX(TableRBMaster[Player],MATCH(TableRBCalcPts[[#This Row],[RBRef]],TableRBMaster[RBRef],0)),"")</f>
        <v/>
      </c>
      <c r="K136" s="60" t="str">
        <f>IFERROR(INDEX(TableRBMaster[TM],MATCH(TableRBCalcPts[[#This Row],[RBRef]],TableRBMaster[RBRef],0)),"")</f>
        <v/>
      </c>
      <c r="L136" s="60" t="str">
        <f>IFERROR(INDEX(TableRBMaster[BYE],MATCH(TableRBCalcPts[[#This Row],[RBRef]],TableRBMaster[RBRef],0)),"")</f>
        <v/>
      </c>
      <c r="M136" s="61" t="str">
        <f>IFERROR(INDEX(TableRBMaster[Custom],MATCH(TableRBCalcPts[[#This Row],[RBRef]],TableRBMaster[RBRef],0)),"")</f>
        <v/>
      </c>
      <c r="O136" s="60">
        <f>IFERROR(RANK(TableWRCalcPts[[#This Row],[Custom]],TableWRCalcPts[Custom])+COUNTIF($T$3:T136,T136)-1,"")</f>
        <v>32</v>
      </c>
      <c r="P136" s="60">
        <v>134</v>
      </c>
      <c r="Q136" s="60" t="str">
        <f>IFERROR(INDEX(TableWRMaster[Player],MATCH(TableWRCalcPts[[#This Row],[WRRef]],TableWRMaster[WRRef],0)),"")</f>
        <v>George Pickens</v>
      </c>
      <c r="R136" s="60" t="str">
        <f>IFERROR(INDEX(TableWRMaster[TM],MATCH(TableWRCalcPts[[#This Row],[WRRef]],TableWRMaster[WRRef],0)),"")</f>
        <v>PIT</v>
      </c>
      <c r="S136" s="60">
        <f>IFERROR(INDEX(TableWRMaster[BYE],MATCH(TableWRCalcPts[[#This Row],[WRRef]],TableWRMaster[WRRef],0)),"")</f>
        <v>6</v>
      </c>
      <c r="T136" s="61">
        <f>IFERROR(INDEX(TableWRMaster[Custom],MATCH(TableWRCalcPts[[#This Row],[WRRef]],TableWRMaster[WRRef],0)),"")</f>
        <v>169.33579636065119</v>
      </c>
      <c r="AI136" s="60" t="s">
        <v>257</v>
      </c>
      <c r="AJ136" s="60">
        <f>IFERROR(RANK(TableWRTECalcPts[[#This Row],[Custom]],TableWRTECalcPts[Custom])+COUNTIF($AP$3:AP136,AP136)-1,"")</f>
        <v>58</v>
      </c>
      <c r="AK136" s="113">
        <v>34</v>
      </c>
      <c r="AL136" s="113" t="str">
        <f>IFERROR(INDEX(TableWRMaster[Player],MATCH(TableWRTECalcPts[[#This Row],[POSRef]],TableWRMaster[WRRef],0)),"")</f>
        <v>Tyler Boyd</v>
      </c>
      <c r="AM136" s="113" t="str">
        <f>IFERROR(_xlfn.CONCAT(TableWRTECalcPts[[#This Row],[POS]],INDEX(TableWRRanks[RK],MATCH(TableWRTECalcPts[[#This Row],[PLAYER]],TableWRRanks[Player],0))),"")</f>
        <v>WR52</v>
      </c>
      <c r="AN136" s="113" t="str">
        <f>IFERROR(INDEX(TableWRMaster[TM],MATCH(TableWRTECalcPts[[#This Row],[POSRef]],TableWRMaster[WRRef],0)),"")</f>
        <v>CIN</v>
      </c>
      <c r="AO136" s="113">
        <f>IFERROR(INDEX(TableWRMaster[BYE],MATCH(TableWRTECalcPts[[#This Row],[POSRef]],TableWRMaster[WRRef],0)),"")</f>
        <v>7</v>
      </c>
      <c r="AP136" s="111">
        <f>IFERROR(INDEX(TableWRMaster[Custom],MATCH(TableWRTECalcPts[[#This Row],[POSRef]],TableWRMaster[WRRef],0)),"")</f>
        <v>139.21511967372822</v>
      </c>
    </row>
    <row r="137" spans="8:42" x14ac:dyDescent="0.2">
      <c r="H137" s="60" t="str">
        <f>IFERROR(RANK(TableRBCalcPts[[#This Row],[Custom]],TableRBCalcPts[Custom])+COUNTIF($M$3:M137,M137)-1,"")</f>
        <v/>
      </c>
      <c r="I137" s="60">
        <v>135</v>
      </c>
      <c r="J137" s="60" t="str">
        <f>IFERROR(INDEX(TableRBMaster[Player],MATCH(TableRBCalcPts[[#This Row],[RBRef]],TableRBMaster[RBRef],0)),"")</f>
        <v/>
      </c>
      <c r="K137" s="60" t="str">
        <f>IFERROR(INDEX(TableRBMaster[TM],MATCH(TableRBCalcPts[[#This Row],[RBRef]],TableRBMaster[RBRef],0)),"")</f>
        <v/>
      </c>
      <c r="L137" s="60" t="str">
        <f>IFERROR(INDEX(TableRBMaster[BYE],MATCH(TableRBCalcPts[[#This Row],[RBRef]],TableRBMaster[RBRef],0)),"")</f>
        <v/>
      </c>
      <c r="M137" s="61" t="str">
        <f>IFERROR(INDEX(TableRBMaster[Custom],MATCH(TableRBCalcPts[[#This Row],[RBRef]],TableRBMaster[RBRef],0)),"")</f>
        <v/>
      </c>
      <c r="O137" s="60">
        <f>IFERROR(RANK(TableWRCalcPts[[#This Row],[Custom]],TableWRCalcPts[Custom])+COUNTIF($T$3:T137,T137)-1,"")</f>
        <v>159</v>
      </c>
      <c r="P137" s="60">
        <v>135</v>
      </c>
      <c r="Q137" s="60" t="str">
        <f>IFERROR(INDEX(TableWRMaster[Player],MATCH(TableWRCalcPts[[#This Row],[WRRef]],TableWRMaster[WRRef],0)),"")</f>
        <v>Gunner Olszewski</v>
      </c>
      <c r="R137" s="60" t="str">
        <f>IFERROR(INDEX(TableWRMaster[TM],MATCH(TableWRCalcPts[[#This Row],[WRRef]],TableWRMaster[WRRef],0)),"")</f>
        <v>PIT</v>
      </c>
      <c r="S137" s="60">
        <f>IFERROR(INDEX(TableWRMaster[BYE],MATCH(TableWRCalcPts[[#This Row],[WRRef]],TableWRMaster[WRRef],0)),"")</f>
        <v>6</v>
      </c>
      <c r="T137" s="61">
        <f>IFERROR(INDEX(TableWRMaster[Custom],MATCH(TableWRCalcPts[[#This Row],[WRRef]],TableWRMaster[WRRef],0)),"")</f>
        <v>11.220108984000003</v>
      </c>
      <c r="AI137" s="60" t="s">
        <v>257</v>
      </c>
      <c r="AJ137" s="60">
        <f>IFERROR(RANK(TableWRTECalcPts[[#This Row],[Custom]],TableWRTECalcPts[Custom])+COUNTIF($AP$3:AP137,AP137)-1,"")</f>
        <v>166</v>
      </c>
      <c r="AK137" s="113">
        <v>35</v>
      </c>
      <c r="AL137" s="113" t="str">
        <f>IFERROR(INDEX(TableWRMaster[Player],MATCH(TableWRTECalcPts[[#This Row],[POSRef]],TableWRMaster[WRRef],0)),"")</f>
        <v>Charlie Jones</v>
      </c>
      <c r="AM137" s="113" t="str">
        <f>IFERROR(_xlfn.CONCAT(TableWRTECalcPts[[#This Row],[POS]],INDEX(TableWRRanks[RK],MATCH(TableWRTECalcPts[[#This Row],[PLAYER]],TableWRRanks[Player],0))),"")</f>
        <v>WR119</v>
      </c>
      <c r="AN137" s="113" t="str">
        <f>IFERROR(INDEX(TableWRMaster[TM],MATCH(TableWRTECalcPts[[#This Row],[POSRef]],TableWRMaster[WRRef],0)),"")</f>
        <v>CIN</v>
      </c>
      <c r="AO137" s="113">
        <f>IFERROR(INDEX(TableWRMaster[BYE],MATCH(TableWRTECalcPts[[#This Row],[POSRef]],TableWRMaster[WRRef],0)),"")</f>
        <v>7</v>
      </c>
      <c r="AP137" s="111">
        <f>IFERROR(INDEX(TableWRMaster[Custom],MATCH(TableWRTECalcPts[[#This Row],[POSRef]],TableWRMaster[WRRef],0)),"")</f>
        <v>35.157696402703706</v>
      </c>
    </row>
    <row r="138" spans="8:42" x14ac:dyDescent="0.2">
      <c r="H138" s="60" t="str">
        <f>IFERROR(RANK(TableRBCalcPts[[#This Row],[Custom]],TableRBCalcPts[Custom])+COUNTIF($M$3:M138,M138)-1,"")</f>
        <v/>
      </c>
      <c r="I138" s="60">
        <v>136</v>
      </c>
      <c r="J138" s="60" t="str">
        <f>IFERROR(INDEX(TableRBMaster[Player],MATCH(TableRBCalcPts[[#This Row],[RBRef]],TableRBMaster[RBRef],0)),"")</f>
        <v/>
      </c>
      <c r="K138" s="60" t="str">
        <f>IFERROR(INDEX(TableRBMaster[TM],MATCH(TableRBCalcPts[[#This Row],[RBRef]],TableRBMaster[RBRef],0)),"")</f>
        <v/>
      </c>
      <c r="L138" s="60" t="str">
        <f>IFERROR(INDEX(TableRBMaster[BYE],MATCH(TableRBCalcPts[[#This Row],[RBRef]],TableRBMaster[RBRef],0)),"")</f>
        <v/>
      </c>
      <c r="M138" s="61" t="str">
        <f>IFERROR(INDEX(TableRBMaster[Custom],MATCH(TableRBCalcPts[[#This Row],[RBRef]],TableRBMaster[RBRef],0)),"")</f>
        <v/>
      </c>
      <c r="O138" s="60">
        <f>IFERROR(RANK(TableWRCalcPts[[#This Row],[Custom]],TableWRCalcPts[Custom])+COUNTIF($T$3:T138,T138)-1,"")</f>
        <v>142</v>
      </c>
      <c r="P138" s="60">
        <v>136</v>
      </c>
      <c r="Q138" s="60" t="str">
        <f>IFERROR(INDEX(TableWRMaster[Player],MATCH(TableWRCalcPts[[#This Row],[WRRef]],TableWRMaster[WRRef],0)),"")</f>
        <v>Calvin Austin</v>
      </c>
      <c r="R138" s="60" t="str">
        <f>IFERROR(INDEX(TableWRMaster[TM],MATCH(TableWRCalcPts[[#This Row],[WRRef]],TableWRMaster[WRRef],0)),"")</f>
        <v>PIT</v>
      </c>
      <c r="S138" s="60">
        <f>IFERROR(INDEX(TableWRMaster[BYE],MATCH(TableWRCalcPts[[#This Row],[WRRef]],TableWRMaster[WRRef],0)),"")</f>
        <v>6</v>
      </c>
      <c r="T138" s="61">
        <f>IFERROR(INDEX(TableWRMaster[Custom],MATCH(TableWRCalcPts[[#This Row],[WRRef]],TableWRMaster[WRRef],0)),"")</f>
        <v>20.161777129038061</v>
      </c>
      <c r="AI138" s="60" t="s">
        <v>257</v>
      </c>
      <c r="AJ138" s="60">
        <f>IFERROR(RANK(TableWRTECalcPts[[#This Row],[Custom]],TableWRTECalcPts[Custom])+COUNTIF($AP$3:AP138,AP138)-1,"")</f>
        <v>222</v>
      </c>
      <c r="AK138" s="113">
        <v>36</v>
      </c>
      <c r="AL138" s="113" t="str">
        <f>IFERROR(INDEX(TableWRMaster[Player],MATCH(TableWRTECalcPts[[#This Row],[POSRef]],TableWRMaster[WRRef],0)),"")</f>
        <v>Andrei Iosivas</v>
      </c>
      <c r="AM138" s="113" t="str">
        <f>IFERROR(_xlfn.CONCAT(TableWRTECalcPts[[#This Row],[POS]],INDEX(TableWRRanks[RK],MATCH(TableWRTECalcPts[[#This Row],[PLAYER]],TableWRRanks[Player],0))),"")</f>
        <v>WR150</v>
      </c>
      <c r="AN138" s="113" t="str">
        <f>IFERROR(INDEX(TableWRMaster[TM],MATCH(TableWRTECalcPts[[#This Row],[POSRef]],TableWRMaster[WRRef],0)),"")</f>
        <v>CIN</v>
      </c>
      <c r="AO138" s="113">
        <f>IFERROR(INDEX(TableWRMaster[BYE],MATCH(TableWRTECalcPts[[#This Row],[POSRef]],TableWRMaster[WRRef],0)),"")</f>
        <v>7</v>
      </c>
      <c r="AP138" s="111">
        <f>IFERROR(INDEX(TableWRMaster[Custom],MATCH(TableWRTECalcPts[[#This Row],[POSRef]],TableWRMaster[WRRef],0)),"")</f>
        <v>15.523537206239999</v>
      </c>
    </row>
    <row r="139" spans="8:42" x14ac:dyDescent="0.2">
      <c r="H139" s="60" t="str">
        <f>IFERROR(RANK(TableRBCalcPts[[#This Row],[Custom]],TableRBCalcPts[Custom])+COUNTIF($M$3:M139,M139)-1,"")</f>
        <v/>
      </c>
      <c r="I139" s="60">
        <v>137</v>
      </c>
      <c r="J139" s="60" t="str">
        <f>IFERROR(INDEX(TableRBMaster[Player],MATCH(TableRBCalcPts[[#This Row],[RBRef]],TableRBMaster[RBRef],0)),"")</f>
        <v/>
      </c>
      <c r="K139" s="60" t="str">
        <f>IFERROR(INDEX(TableRBMaster[TM],MATCH(TableRBCalcPts[[#This Row],[RBRef]],TableRBMaster[RBRef],0)),"")</f>
        <v/>
      </c>
      <c r="L139" s="60" t="str">
        <f>IFERROR(INDEX(TableRBMaster[BYE],MATCH(TableRBCalcPts[[#This Row],[RBRef]],TableRBMaster[RBRef],0)),"")</f>
        <v/>
      </c>
      <c r="M139" s="61" t="str">
        <f>IFERROR(INDEX(TableRBMaster[Custom],MATCH(TableRBCalcPts[[#This Row],[RBRef]],TableRBMaster[RBRef],0)),"")</f>
        <v/>
      </c>
      <c r="O139" s="60">
        <f>IFERROR(RANK(TableWRCalcPts[[#This Row],[Custom]],TableWRCalcPts[Custom])+COUNTIF($T$3:T139,T139)-1,"")</f>
        <v>79</v>
      </c>
      <c r="P139" s="60">
        <v>137</v>
      </c>
      <c r="Q139" s="60" t="str">
        <f>IFERROR(INDEX(TableWRMaster[Player],MATCH(TableWRCalcPts[[#This Row],[WRRef]],TableWRMaster[WRRef],0)),"")</f>
        <v>Allen Robinson</v>
      </c>
      <c r="R139" s="60" t="str">
        <f>IFERROR(INDEX(TableWRMaster[TM],MATCH(TableWRCalcPts[[#This Row],[WRRef]],TableWRMaster[WRRef],0)),"")</f>
        <v>PIT</v>
      </c>
      <c r="S139" s="60">
        <f>IFERROR(INDEX(TableWRMaster[BYE],MATCH(TableWRCalcPts[[#This Row],[WRRef]],TableWRMaster[WRRef],0)),"")</f>
        <v>6</v>
      </c>
      <c r="T139" s="61">
        <f>IFERROR(INDEX(TableWRMaster[Custom],MATCH(TableWRCalcPts[[#This Row],[WRRef]],TableWRMaster[WRRef],0)),"")</f>
        <v>92.066985387508694</v>
      </c>
      <c r="AI139" s="60" t="s">
        <v>257</v>
      </c>
      <c r="AJ139" s="60">
        <f>IFERROR(RANK(TableWRTECalcPts[[#This Row],[Custom]],TableWRTECalcPts[Custom])+COUNTIF($AP$3:AP139,AP139)-1,"")</f>
        <v>25</v>
      </c>
      <c r="AK139" s="113">
        <v>37</v>
      </c>
      <c r="AL139" s="113" t="str">
        <f>IFERROR(INDEX(TableWRMaster[Player],MATCH(TableWRTECalcPts[[#This Row],[POSRef]],TableWRMaster[WRRef],0)),"")</f>
        <v>Amari Cooper</v>
      </c>
      <c r="AM139" s="113" t="str">
        <f>IFERROR(_xlfn.CONCAT(TableWRTECalcPts[[#This Row],[POS]],INDEX(TableWRRanks[RK],MATCH(TableWRTECalcPts[[#This Row],[PLAYER]],TableWRRanks[Player],0))),"")</f>
        <v>WR24</v>
      </c>
      <c r="AN139" s="113" t="str">
        <f>IFERROR(INDEX(TableWRMaster[TM],MATCH(TableWRTECalcPts[[#This Row],[POSRef]],TableWRMaster[WRRef],0)),"")</f>
        <v>CLE</v>
      </c>
      <c r="AO139" s="113">
        <f>IFERROR(INDEX(TableWRMaster[BYE],MATCH(TableWRTECalcPts[[#This Row],[POSRef]],TableWRMaster[WRRef],0)),"")</f>
        <v>5</v>
      </c>
      <c r="AP139" s="111">
        <f>IFERROR(INDEX(TableWRMaster[Custom],MATCH(TableWRTECalcPts[[#This Row],[POSRef]],TableWRMaster[WRRef],0)),"")</f>
        <v>183.883298165518</v>
      </c>
    </row>
    <row r="140" spans="8:42" x14ac:dyDescent="0.2">
      <c r="H140" s="60" t="str">
        <f>IFERROR(RANK(TableRBCalcPts[[#This Row],[Custom]],TableRBCalcPts[Custom])+COUNTIF($M$3:M140,M140)-1,"")</f>
        <v/>
      </c>
      <c r="I140" s="60">
        <v>138</v>
      </c>
      <c r="J140" s="60" t="str">
        <f>IFERROR(INDEX(TableRBMaster[Player],MATCH(TableRBCalcPts[[#This Row],[RBRef]],TableRBMaster[RBRef],0)),"")</f>
        <v/>
      </c>
      <c r="K140" s="60" t="str">
        <f>IFERROR(INDEX(TableRBMaster[TM],MATCH(TableRBCalcPts[[#This Row],[RBRef]],TableRBMaster[RBRef],0)),"")</f>
        <v/>
      </c>
      <c r="L140" s="60" t="str">
        <f>IFERROR(INDEX(TableRBMaster[BYE],MATCH(TableRBCalcPts[[#This Row],[RBRef]],TableRBMaster[RBRef],0)),"")</f>
        <v/>
      </c>
      <c r="M140" s="61" t="str">
        <f>IFERROR(INDEX(TableRBMaster[Custom],MATCH(TableRBCalcPts[[#This Row],[RBRef]],TableRBMaster[RBRef],0)),"")</f>
        <v/>
      </c>
      <c r="O140" s="60">
        <f>IFERROR(RANK(TableWRCalcPts[[#This Row],[Custom]],TableWRCalcPts[Custom])+COUNTIF($T$3:T140,T140)-1,"")</f>
        <v>20</v>
      </c>
      <c r="P140" s="60">
        <v>138</v>
      </c>
      <c r="Q140" s="60" t="str">
        <f>IFERROR(INDEX(TableWRMaster[Player],MATCH(TableWRCalcPts[[#This Row],[WRRef]],TableWRMaster[WRRef],0)),"")</f>
        <v>DK Metcalf</v>
      </c>
      <c r="R140" s="60" t="str">
        <f>IFERROR(INDEX(TableWRMaster[TM],MATCH(TableWRCalcPts[[#This Row],[WRRef]],TableWRMaster[WRRef],0)),"")</f>
        <v>SEA</v>
      </c>
      <c r="S140" s="60">
        <f>IFERROR(INDEX(TableWRMaster[BYE],MATCH(TableWRCalcPts[[#This Row],[WRRef]],TableWRMaster[WRRef],0)),"")</f>
        <v>5</v>
      </c>
      <c r="T140" s="61">
        <f>IFERROR(INDEX(TableWRMaster[Custom],MATCH(TableWRCalcPts[[#This Row],[WRRef]],TableWRMaster[WRRef],0)),"")</f>
        <v>188.35721763550663</v>
      </c>
      <c r="AI140" s="60" t="s">
        <v>257</v>
      </c>
      <c r="AJ140" s="60">
        <f>IFERROR(RANK(TableWRTECalcPts[[#This Row],[Custom]],TableWRTECalcPts[Custom])+COUNTIF($AP$3:AP140,AP140)-1,"")</f>
        <v>76</v>
      </c>
      <c r="AK140" s="113">
        <v>38</v>
      </c>
      <c r="AL140" s="113" t="str">
        <f>IFERROR(INDEX(TableWRMaster[Player],MATCH(TableWRTECalcPts[[#This Row],[POSRef]],TableWRMaster[WRRef],0)),"")</f>
        <v>Elijah Moore</v>
      </c>
      <c r="AM140" s="113" t="str">
        <f>IFERROR(_xlfn.CONCAT(TableWRTECalcPts[[#This Row],[POS]],INDEX(TableWRRanks[RK],MATCH(TableWRTECalcPts[[#This Row],[PLAYER]],TableWRRanks[Player],0))),"")</f>
        <v>WR64</v>
      </c>
      <c r="AN140" s="113" t="str">
        <f>IFERROR(INDEX(TableWRMaster[TM],MATCH(TableWRTECalcPts[[#This Row],[POSRef]],TableWRMaster[WRRef],0)),"")</f>
        <v>CLE</v>
      </c>
      <c r="AO140" s="113">
        <f>IFERROR(INDEX(TableWRMaster[BYE],MATCH(TableWRTECalcPts[[#This Row],[POSRef]],TableWRMaster[WRRef],0)),"")</f>
        <v>5</v>
      </c>
      <c r="AP140" s="111">
        <f>IFERROR(INDEX(TableWRMaster[Custom],MATCH(TableWRTECalcPts[[#This Row],[POSRef]],TableWRMaster[WRRef],0)),"")</f>
        <v>118.66713195414852</v>
      </c>
    </row>
    <row r="141" spans="8:42" x14ac:dyDescent="0.2">
      <c r="H141" s="60" t="str">
        <f>IFERROR(RANK(TableRBCalcPts[[#This Row],[Custom]],TableRBCalcPts[Custom])+COUNTIF($M$3:M141,M141)-1,"")</f>
        <v/>
      </c>
      <c r="I141" s="60">
        <v>139</v>
      </c>
      <c r="J141" s="60" t="str">
        <f>IFERROR(INDEX(TableRBMaster[Player],MATCH(TableRBCalcPts[[#This Row],[RBRef]],TableRBMaster[RBRef],0)),"")</f>
        <v/>
      </c>
      <c r="K141" s="60" t="str">
        <f>IFERROR(INDEX(TableRBMaster[TM],MATCH(TableRBCalcPts[[#This Row],[RBRef]],TableRBMaster[RBRef],0)),"")</f>
        <v/>
      </c>
      <c r="L141" s="60" t="str">
        <f>IFERROR(INDEX(TableRBMaster[BYE],MATCH(TableRBCalcPts[[#This Row],[RBRef]],TableRBMaster[RBRef],0)),"")</f>
        <v/>
      </c>
      <c r="M141" s="61" t="str">
        <f>IFERROR(INDEX(TableRBMaster[Custom],MATCH(TableRBCalcPts[[#This Row],[RBRef]],TableRBMaster[RBRef],0)),"")</f>
        <v/>
      </c>
      <c r="O141" s="60">
        <f>IFERROR(RANK(TableWRCalcPts[[#This Row],[Custom]],TableWRCalcPts[Custom])+COUNTIF($T$3:T141,T141)-1,"")</f>
        <v>26</v>
      </c>
      <c r="P141" s="60">
        <v>139</v>
      </c>
      <c r="Q141" s="60" t="str">
        <f>IFERROR(INDEX(TableWRMaster[Player],MATCH(TableWRCalcPts[[#This Row],[WRRef]],TableWRMaster[WRRef],0)),"")</f>
        <v>Tyler Lockett</v>
      </c>
      <c r="R141" s="60" t="str">
        <f>IFERROR(INDEX(TableWRMaster[TM],MATCH(TableWRCalcPts[[#This Row],[WRRef]],TableWRMaster[WRRef],0)),"")</f>
        <v>SEA</v>
      </c>
      <c r="S141" s="60">
        <f>IFERROR(INDEX(TableWRMaster[BYE],MATCH(TableWRCalcPts[[#This Row],[WRRef]],TableWRMaster[WRRef],0)),"")</f>
        <v>5</v>
      </c>
      <c r="T141" s="61">
        <f>IFERROR(INDEX(TableWRMaster[Custom],MATCH(TableWRCalcPts[[#This Row],[WRRef]],TableWRMaster[WRRef],0)),"")</f>
        <v>180.30568338510338</v>
      </c>
      <c r="AI141" s="60" t="s">
        <v>257</v>
      </c>
      <c r="AJ141" s="60">
        <f>IFERROR(RANK(TableWRTECalcPts[[#This Row],[Custom]],TableWRTECalcPts[Custom])+COUNTIF($AP$3:AP141,AP141)-1,"")</f>
        <v>62</v>
      </c>
      <c r="AK141" s="113">
        <v>39</v>
      </c>
      <c r="AL141" s="113" t="str">
        <f>IFERROR(INDEX(TableWRMaster[Player],MATCH(TableWRTECalcPts[[#This Row],[POSRef]],TableWRMaster[WRRef],0)),"")</f>
        <v>Donovan Peoples-Jones</v>
      </c>
      <c r="AM141" s="113" t="str">
        <f>IFERROR(_xlfn.CONCAT(TableWRTECalcPts[[#This Row],[POS]],INDEX(TableWRRanks[RK],MATCH(TableWRTECalcPts[[#This Row],[PLAYER]],TableWRRanks[Player],0))),"")</f>
        <v>WR54</v>
      </c>
      <c r="AN141" s="113" t="str">
        <f>IFERROR(INDEX(TableWRMaster[TM],MATCH(TableWRTECalcPts[[#This Row],[POSRef]],TableWRMaster[WRRef],0)),"")</f>
        <v>CLE</v>
      </c>
      <c r="AO141" s="113">
        <f>IFERROR(INDEX(TableWRMaster[BYE],MATCH(TableWRTECalcPts[[#This Row],[POSRef]],TableWRMaster[WRRef],0)),"")</f>
        <v>5</v>
      </c>
      <c r="AP141" s="111">
        <f>IFERROR(INDEX(TableWRMaster[Custom],MATCH(TableWRTECalcPts[[#This Row],[POSRef]],TableWRMaster[WRRef],0)),"")</f>
        <v>133.57256369839229</v>
      </c>
    </row>
    <row r="142" spans="8:42" x14ac:dyDescent="0.2">
      <c r="H142" s="60" t="str">
        <f>IFERROR(RANK(TableRBCalcPts[[#This Row],[Custom]],TableRBCalcPts[Custom])+COUNTIF($M$3:M142,M142)-1,"")</f>
        <v/>
      </c>
      <c r="I142" s="60">
        <v>140</v>
      </c>
      <c r="J142" s="60" t="str">
        <f>IFERROR(INDEX(TableRBMaster[Player],MATCH(TableRBCalcPts[[#This Row],[RBRef]],TableRBMaster[RBRef],0)),"")</f>
        <v/>
      </c>
      <c r="K142" s="60" t="str">
        <f>IFERROR(INDEX(TableRBMaster[TM],MATCH(TableRBCalcPts[[#This Row],[RBRef]],TableRBMaster[RBRef],0)),"")</f>
        <v/>
      </c>
      <c r="L142" s="60" t="str">
        <f>IFERROR(INDEX(TableRBMaster[BYE],MATCH(TableRBCalcPts[[#This Row],[RBRef]],TableRBMaster[RBRef],0)),"")</f>
        <v/>
      </c>
      <c r="M142" s="61" t="str">
        <f>IFERROR(INDEX(TableRBMaster[Custom],MATCH(TableRBCalcPts[[#This Row],[RBRef]],TableRBMaster[RBRef],0)),"")</f>
        <v/>
      </c>
      <c r="O142" s="60">
        <f>IFERROR(RANK(TableWRCalcPts[[#This Row],[Custom]],TableWRCalcPts[Custom])+COUNTIF($T$3:T142,T142)-1,"")</f>
        <v>144</v>
      </c>
      <c r="P142" s="60">
        <v>140</v>
      </c>
      <c r="Q142" s="60" t="str">
        <f>IFERROR(INDEX(TableWRMaster[Player],MATCH(TableWRCalcPts[[#This Row],[WRRef]],TableWRMaster[WRRef],0)),"")</f>
        <v>Dareke Young</v>
      </c>
      <c r="R142" s="60" t="str">
        <f>IFERROR(INDEX(TableWRMaster[TM],MATCH(TableWRCalcPts[[#This Row],[WRRef]],TableWRMaster[WRRef],0)),"")</f>
        <v>SEA</v>
      </c>
      <c r="S142" s="60">
        <f>IFERROR(INDEX(TableWRMaster[BYE],MATCH(TableWRCalcPts[[#This Row],[WRRef]],TableWRMaster[WRRef],0)),"")</f>
        <v>5</v>
      </c>
      <c r="T142" s="61">
        <f>IFERROR(INDEX(TableWRMaster[Custom],MATCH(TableWRCalcPts[[#This Row],[WRRef]],TableWRMaster[WRRef],0)),"")</f>
        <v>18.109175132318295</v>
      </c>
      <c r="AI142" s="60" t="s">
        <v>257</v>
      </c>
      <c r="AJ142" s="60">
        <f>IFERROR(RANK(TableWRTECalcPts[[#This Row],[Custom]],TableWRTECalcPts[Custom])+COUNTIF($AP$3:AP142,AP142)-1,"")</f>
        <v>170</v>
      </c>
      <c r="AK142" s="113">
        <v>40</v>
      </c>
      <c r="AL142" s="113" t="str">
        <f>IFERROR(INDEX(TableWRMaster[Player],MATCH(TableWRTECalcPts[[#This Row],[POSRef]],TableWRMaster[WRRef],0)),"")</f>
        <v>Cedric Tillman</v>
      </c>
      <c r="AM142" s="113" t="str">
        <f>IFERROR(_xlfn.CONCAT(TableWRTECalcPts[[#This Row],[POS]],INDEX(TableWRRanks[RK],MATCH(TableWRTECalcPts[[#This Row],[PLAYER]],TableWRRanks[Player],0))),"")</f>
        <v>WR123</v>
      </c>
      <c r="AN142" s="113" t="str">
        <f>IFERROR(INDEX(TableWRMaster[TM],MATCH(TableWRTECalcPts[[#This Row],[POSRef]],TableWRMaster[WRRef],0)),"")</f>
        <v>CLE</v>
      </c>
      <c r="AO142" s="113">
        <f>IFERROR(INDEX(TableWRMaster[BYE],MATCH(TableWRTECalcPts[[#This Row],[POSRef]],TableWRMaster[WRRef],0)),"")</f>
        <v>5</v>
      </c>
      <c r="AP142" s="111">
        <f>IFERROR(INDEX(TableWRMaster[Custom],MATCH(TableWRTECalcPts[[#This Row],[POSRef]],TableWRMaster[WRRef],0)),"")</f>
        <v>33.936930944818862</v>
      </c>
    </row>
    <row r="143" spans="8:42" x14ac:dyDescent="0.2">
      <c r="H143" s="60" t="str">
        <f>IFERROR(RANK(TableRBCalcPts[[#This Row],[Custom]],TableRBCalcPts[Custom])+COUNTIF($M$3:M143,M143)-1,"")</f>
        <v/>
      </c>
      <c r="I143" s="60">
        <v>141</v>
      </c>
      <c r="J143" s="60" t="str">
        <f>IFERROR(INDEX(TableRBMaster[Player],MATCH(TableRBCalcPts[[#This Row],[RBRef]],TableRBMaster[RBRef],0)),"")</f>
        <v/>
      </c>
      <c r="K143" s="60" t="str">
        <f>IFERROR(INDEX(TableRBMaster[TM],MATCH(TableRBCalcPts[[#This Row],[RBRef]],TableRBMaster[RBRef],0)),"")</f>
        <v/>
      </c>
      <c r="L143" s="60" t="str">
        <f>IFERROR(INDEX(TableRBMaster[BYE],MATCH(TableRBCalcPts[[#This Row],[RBRef]],TableRBMaster[RBRef],0)),"")</f>
        <v/>
      </c>
      <c r="M143" s="61" t="str">
        <f>IFERROR(INDEX(TableRBMaster[Custom],MATCH(TableRBCalcPts[[#This Row],[RBRef]],TableRBMaster[RBRef],0)),"")</f>
        <v/>
      </c>
      <c r="O143" s="60">
        <f>IFERROR(RANK(TableWRCalcPts[[#This Row],[Custom]],TableWRCalcPts[Custom])+COUNTIF($T$3:T143,T143)-1,"")</f>
        <v>138</v>
      </c>
      <c r="P143" s="60">
        <v>141</v>
      </c>
      <c r="Q143" s="60" t="str">
        <f>IFERROR(INDEX(TableWRMaster[Player],MATCH(TableWRCalcPts[[#This Row],[WRRef]],TableWRMaster[WRRef],0)),"")</f>
        <v>Jake Bobo</v>
      </c>
      <c r="R143" s="60" t="str">
        <f>IFERROR(INDEX(TableWRMaster[TM],MATCH(TableWRCalcPts[[#This Row],[WRRef]],TableWRMaster[WRRef],0)),"")</f>
        <v>SEA</v>
      </c>
      <c r="S143" s="60">
        <f>IFERROR(INDEX(TableWRMaster[BYE],MATCH(TableWRCalcPts[[#This Row],[WRRef]],TableWRMaster[WRRef],0)),"")</f>
        <v>5</v>
      </c>
      <c r="T143" s="61">
        <f>IFERROR(INDEX(TableWRMaster[Custom],MATCH(TableWRCalcPts[[#This Row],[WRRef]],TableWRMaster[WRRef],0)),"")</f>
        <v>21.473156859376324</v>
      </c>
      <c r="AI143" s="60" t="s">
        <v>257</v>
      </c>
      <c r="AJ143" s="60">
        <f>IFERROR(RANK(TableWRTECalcPts[[#This Row],[Custom]],TableWRTECalcPts[Custom])+COUNTIF($AP$3:AP143,AP143)-1,"")</f>
        <v>220</v>
      </c>
      <c r="AK143" s="113">
        <v>41</v>
      </c>
      <c r="AL143" s="113" t="str">
        <f>IFERROR(INDEX(TableWRMaster[Player],MATCH(TableWRTECalcPts[[#This Row],[POSRef]],TableWRMaster[WRRef],0)),"")</f>
        <v>David Bell</v>
      </c>
      <c r="AM143" s="113" t="str">
        <f>IFERROR(_xlfn.CONCAT(TableWRTECalcPts[[#This Row],[POS]],INDEX(TableWRRanks[RK],MATCH(TableWRTECalcPts[[#This Row],[PLAYER]],TableWRRanks[Player],0))),"")</f>
        <v>WR149</v>
      </c>
      <c r="AN143" s="113" t="str">
        <f>IFERROR(INDEX(TableWRMaster[TM],MATCH(TableWRTECalcPts[[#This Row],[POSRef]],TableWRMaster[WRRef],0)),"")</f>
        <v>CLE</v>
      </c>
      <c r="AO143" s="113">
        <f>IFERROR(INDEX(TableWRMaster[BYE],MATCH(TableWRTECalcPts[[#This Row],[POSRef]],TableWRMaster[WRRef],0)),"")</f>
        <v>5</v>
      </c>
      <c r="AP143" s="111">
        <f>IFERROR(INDEX(TableWRMaster[Custom],MATCH(TableWRTECalcPts[[#This Row],[POSRef]],TableWRMaster[WRRef],0)),"")</f>
        <v>16.274309090837527</v>
      </c>
    </row>
    <row r="144" spans="8:42" x14ac:dyDescent="0.2">
      <c r="H144" s="60" t="str">
        <f>IFERROR(RANK(TableRBCalcPts[[#This Row],[Custom]],TableRBCalcPts[Custom])+COUNTIF($M$3:M144,M144)-1,"")</f>
        <v/>
      </c>
      <c r="I144" s="60">
        <v>142</v>
      </c>
      <c r="J144" s="60" t="str">
        <f>IFERROR(INDEX(TableRBMaster[Player],MATCH(TableRBCalcPts[[#This Row],[RBRef]],TableRBMaster[RBRef],0)),"")</f>
        <v/>
      </c>
      <c r="K144" s="60" t="str">
        <f>IFERROR(INDEX(TableRBMaster[TM],MATCH(TableRBCalcPts[[#This Row],[RBRef]],TableRBMaster[RBRef],0)),"")</f>
        <v/>
      </c>
      <c r="L144" s="60" t="str">
        <f>IFERROR(INDEX(TableRBMaster[BYE],MATCH(TableRBCalcPts[[#This Row],[RBRef]],TableRBMaster[RBRef],0)),"")</f>
        <v/>
      </c>
      <c r="M144" s="61" t="str">
        <f>IFERROR(INDEX(TableRBMaster[Custom],MATCH(TableRBCalcPts[[#This Row],[RBRef]],TableRBMaster[RBRef],0)),"")</f>
        <v/>
      </c>
      <c r="O144" s="60">
        <f>IFERROR(RANK(TableWRCalcPts[[#This Row],[Custom]],TableWRCalcPts[Custom])+COUNTIF($T$3:T144,T144)-1,"")</f>
        <v>41</v>
      </c>
      <c r="P144" s="60">
        <v>142</v>
      </c>
      <c r="Q144" s="60" t="str">
        <f>IFERROR(INDEX(TableWRMaster[Player],MATCH(TableWRCalcPts[[#This Row],[WRRef]],TableWRMaster[WRRef],0)),"")</f>
        <v>Jaxon Smith-Njigba</v>
      </c>
      <c r="R144" s="60" t="str">
        <f>IFERROR(INDEX(TableWRMaster[TM],MATCH(TableWRCalcPts[[#This Row],[WRRef]],TableWRMaster[WRRef],0)),"")</f>
        <v>SEA</v>
      </c>
      <c r="S144" s="60">
        <f>IFERROR(INDEX(TableWRMaster[BYE],MATCH(TableWRCalcPts[[#This Row],[WRRef]],TableWRMaster[WRRef],0)),"")</f>
        <v>5</v>
      </c>
      <c r="T144" s="61">
        <f>IFERROR(INDEX(TableWRMaster[Custom],MATCH(TableWRCalcPts[[#This Row],[WRRef]],TableWRMaster[WRRef],0)),"")</f>
        <v>153.39600212962807</v>
      </c>
      <c r="AI144" s="60" t="s">
        <v>257</v>
      </c>
      <c r="AJ144" s="60">
        <f>IFERROR(RANK(TableWRTECalcPts[[#This Row],[Custom]],TableWRTECalcPts[Custom])+COUNTIF($AP$3:AP144,AP144)-1,"")</f>
        <v>9</v>
      </c>
      <c r="AK144" s="113">
        <v>42</v>
      </c>
      <c r="AL144" s="113" t="str">
        <f>IFERROR(INDEX(TableWRMaster[Player],MATCH(TableWRTECalcPts[[#This Row],[POSRef]],TableWRMaster[WRRef],0)),"")</f>
        <v>CeeDee Lamb</v>
      </c>
      <c r="AM144" s="113" t="str">
        <f>IFERROR(_xlfn.CONCAT(TableWRTECalcPts[[#This Row],[POS]],INDEX(TableWRRanks[RK],MATCH(TableWRTECalcPts[[#This Row],[PLAYER]],TableWRRanks[Player],0))),"")</f>
        <v>WR8</v>
      </c>
      <c r="AN144" s="113" t="str">
        <f>IFERROR(INDEX(TableWRMaster[TM],MATCH(TableWRTECalcPts[[#This Row],[POSRef]],TableWRMaster[WRRef],0)),"")</f>
        <v>DAL</v>
      </c>
      <c r="AO144" s="113">
        <f>IFERROR(INDEX(TableWRMaster[BYE],MATCH(TableWRTECalcPts[[#This Row],[POSRef]],TableWRMaster[WRRef],0)),"")</f>
        <v>7</v>
      </c>
      <c r="AP144" s="111">
        <f>IFERROR(INDEX(TableWRMaster[Custom],MATCH(TableWRTECalcPts[[#This Row],[POSRef]],TableWRMaster[WRRef],0)),"")</f>
        <v>217.43365166733861</v>
      </c>
    </row>
    <row r="145" spans="8:42" x14ac:dyDescent="0.2">
      <c r="H145" s="60" t="str">
        <f>IFERROR(RANK(TableRBCalcPts[[#This Row],[Custom]],TableRBCalcPts[Custom])+COUNTIF($M$3:M145,M145)-1,"")</f>
        <v/>
      </c>
      <c r="I145" s="60">
        <v>143</v>
      </c>
      <c r="J145" s="60" t="str">
        <f>IFERROR(INDEX(TableRBMaster[Player],MATCH(TableRBCalcPts[[#This Row],[RBRef]],TableRBMaster[RBRef],0)),"")</f>
        <v/>
      </c>
      <c r="K145" s="60" t="str">
        <f>IFERROR(INDEX(TableRBMaster[TM],MATCH(TableRBCalcPts[[#This Row],[RBRef]],TableRBMaster[RBRef],0)),"")</f>
        <v/>
      </c>
      <c r="L145" s="60" t="str">
        <f>IFERROR(INDEX(TableRBMaster[BYE],MATCH(TableRBCalcPts[[#This Row],[RBRef]],TableRBMaster[RBRef],0)),"")</f>
        <v/>
      </c>
      <c r="M145" s="61" t="str">
        <f>IFERROR(INDEX(TableRBMaster[Custom],MATCH(TableRBCalcPts[[#This Row],[RBRef]],TableRBMaster[RBRef],0)),"")</f>
        <v/>
      </c>
      <c r="O145" s="60">
        <f>IFERROR(RANK(TableWRCalcPts[[#This Row],[Custom]],TableWRCalcPts[Custom])+COUNTIF($T$3:T145,T145)-1,"")</f>
        <v>21</v>
      </c>
      <c r="P145" s="60">
        <v>143</v>
      </c>
      <c r="Q145" s="60" t="str">
        <f>IFERROR(INDEX(TableWRMaster[Player],MATCH(TableWRCalcPts[[#This Row],[WRRef]],TableWRMaster[WRRef],0)),"")</f>
        <v>Deebo Samuel</v>
      </c>
      <c r="R145" s="60" t="str">
        <f>IFERROR(INDEX(TableWRMaster[TM],MATCH(TableWRCalcPts[[#This Row],[WRRef]],TableWRMaster[WRRef],0)),"")</f>
        <v>SF</v>
      </c>
      <c r="S145" s="60">
        <f>IFERROR(INDEX(TableWRMaster[BYE],MATCH(TableWRCalcPts[[#This Row],[WRRef]],TableWRMaster[WRRef],0)),"")</f>
        <v>9</v>
      </c>
      <c r="T145" s="61">
        <f>IFERROR(INDEX(TableWRMaster[Custom],MATCH(TableWRCalcPts[[#This Row],[WRRef]],TableWRMaster[WRRef],0)),"")</f>
        <v>187.77475092905638</v>
      </c>
      <c r="AI145" s="60" t="s">
        <v>257</v>
      </c>
      <c r="AJ145" s="60">
        <f>IFERROR(RANK(TableWRTECalcPts[[#This Row],[Custom]],TableWRTECalcPts[Custom])+COUNTIF($AP$3:AP145,AP145)-1,"")</f>
        <v>47</v>
      </c>
      <c r="AK145" s="113">
        <v>43</v>
      </c>
      <c r="AL145" s="113" t="str">
        <f>IFERROR(INDEX(TableWRMaster[Player],MATCH(TableWRTECalcPts[[#This Row],[POSRef]],TableWRMaster[WRRef],0)),"")</f>
        <v>Brandin Cooks</v>
      </c>
      <c r="AM145" s="113" t="str">
        <f>IFERROR(_xlfn.CONCAT(TableWRTECalcPts[[#This Row],[POS]],INDEX(TableWRRanks[RK],MATCH(TableWRTECalcPts[[#This Row],[PLAYER]],TableWRRanks[Player],0))),"")</f>
        <v>WR42</v>
      </c>
      <c r="AN145" s="113" t="str">
        <f>IFERROR(INDEX(TableWRMaster[TM],MATCH(TableWRTECalcPts[[#This Row],[POSRef]],TableWRMaster[WRRef],0)),"")</f>
        <v>DAL</v>
      </c>
      <c r="AO145" s="113">
        <f>IFERROR(INDEX(TableWRMaster[BYE],MATCH(TableWRTECalcPts[[#This Row],[POSRef]],TableWRMaster[WRRef],0)),"")</f>
        <v>7</v>
      </c>
      <c r="AP145" s="111">
        <f>IFERROR(INDEX(TableWRMaster[Custom],MATCH(TableWRTECalcPts[[#This Row],[POSRef]],TableWRMaster[WRRef],0)),"")</f>
        <v>151.57421394837161</v>
      </c>
    </row>
    <row r="146" spans="8:42" x14ac:dyDescent="0.2">
      <c r="H146" s="60" t="str">
        <f>IFERROR(RANK(TableRBCalcPts[[#This Row],[Custom]],TableRBCalcPts[Custom])+COUNTIF($M$3:M146,M146)-1,"")</f>
        <v/>
      </c>
      <c r="I146" s="60">
        <v>144</v>
      </c>
      <c r="J146" s="60" t="str">
        <f>IFERROR(INDEX(TableRBMaster[Player],MATCH(TableRBCalcPts[[#This Row],[RBRef]],TableRBMaster[RBRef],0)),"")</f>
        <v/>
      </c>
      <c r="K146" s="60" t="str">
        <f>IFERROR(INDEX(TableRBMaster[TM],MATCH(TableRBCalcPts[[#This Row],[RBRef]],TableRBMaster[RBRef],0)),"")</f>
        <v/>
      </c>
      <c r="L146" s="60" t="str">
        <f>IFERROR(INDEX(TableRBMaster[BYE],MATCH(TableRBCalcPts[[#This Row],[RBRef]],TableRBMaster[RBRef],0)),"")</f>
        <v/>
      </c>
      <c r="M146" s="61" t="str">
        <f>IFERROR(INDEX(TableRBMaster[Custom],MATCH(TableRBCalcPts[[#This Row],[RBRef]],TableRBMaster[RBRef],0)),"")</f>
        <v/>
      </c>
      <c r="O146" s="60">
        <f>IFERROR(RANK(TableWRCalcPts[[#This Row],[Custom]],TableWRCalcPts[Custom])+COUNTIF($T$3:T146,T146)-1,"")</f>
        <v>34</v>
      </c>
      <c r="P146" s="60">
        <v>144</v>
      </c>
      <c r="Q146" s="60" t="str">
        <f>IFERROR(INDEX(TableWRMaster[Player],MATCH(TableWRCalcPts[[#This Row],[WRRef]],TableWRMaster[WRRef],0)),"")</f>
        <v>Brandon Aiyuk</v>
      </c>
      <c r="R146" s="60" t="str">
        <f>IFERROR(INDEX(TableWRMaster[TM],MATCH(TableWRCalcPts[[#This Row],[WRRef]],TableWRMaster[WRRef],0)),"")</f>
        <v>SF</v>
      </c>
      <c r="S146" s="60">
        <f>IFERROR(INDEX(TableWRMaster[BYE],MATCH(TableWRCalcPts[[#This Row],[WRRef]],TableWRMaster[WRRef],0)),"")</f>
        <v>9</v>
      </c>
      <c r="T146" s="61">
        <f>IFERROR(INDEX(TableWRMaster[Custom],MATCH(TableWRCalcPts[[#This Row],[WRRef]],TableWRMaster[WRRef],0)),"")</f>
        <v>165.73280716151041</v>
      </c>
      <c r="AI146" s="60" t="s">
        <v>257</v>
      </c>
      <c r="AJ146" s="60">
        <f>IFERROR(RANK(TableWRTECalcPts[[#This Row],[Custom]],TableWRTECalcPts[Custom])+COUNTIF($AP$3:AP146,AP146)-1,"")</f>
        <v>101</v>
      </c>
      <c r="AK146" s="113">
        <v>44</v>
      </c>
      <c r="AL146" s="113" t="str">
        <f>IFERROR(INDEX(TableWRMaster[Player],MATCH(TableWRTECalcPts[[#This Row],[POSRef]],TableWRMaster[WRRef],0)),"")</f>
        <v>Michael Gallup</v>
      </c>
      <c r="AM146" s="113" t="str">
        <f>IFERROR(_xlfn.CONCAT(TableWRTECalcPts[[#This Row],[POS]],INDEX(TableWRRanks[RK],MATCH(TableWRTECalcPts[[#This Row],[PLAYER]],TableWRRanks[Player],0))),"")</f>
        <v>WR77</v>
      </c>
      <c r="AN146" s="113" t="str">
        <f>IFERROR(INDEX(TableWRMaster[TM],MATCH(TableWRTECalcPts[[#This Row],[POSRef]],TableWRMaster[WRRef],0)),"")</f>
        <v>DAL</v>
      </c>
      <c r="AO146" s="113">
        <f>IFERROR(INDEX(TableWRMaster[BYE],MATCH(TableWRTECalcPts[[#This Row],[POSRef]],TableWRMaster[WRRef],0)),"")</f>
        <v>7</v>
      </c>
      <c r="AP146" s="111">
        <f>IFERROR(INDEX(TableWRMaster[Custom],MATCH(TableWRTECalcPts[[#This Row],[POSRef]],TableWRMaster[WRRef],0)),"")</f>
        <v>93.431094692524141</v>
      </c>
    </row>
    <row r="147" spans="8:42" x14ac:dyDescent="0.2">
      <c r="H147" s="60" t="str">
        <f>IFERROR(RANK(TableRBCalcPts[[#This Row],[Custom]],TableRBCalcPts[Custom])+COUNTIF($M$3:M147,M147)-1,"")</f>
        <v/>
      </c>
      <c r="I147" s="60">
        <v>145</v>
      </c>
      <c r="J147" s="60" t="str">
        <f>IFERROR(INDEX(TableRBMaster[Player],MATCH(TableRBCalcPts[[#This Row],[RBRef]],TableRBMaster[RBRef],0)),"")</f>
        <v/>
      </c>
      <c r="K147" s="60" t="str">
        <f>IFERROR(INDEX(TableRBMaster[TM],MATCH(TableRBCalcPts[[#This Row],[RBRef]],TableRBMaster[RBRef],0)),"")</f>
        <v/>
      </c>
      <c r="L147" s="60" t="str">
        <f>IFERROR(INDEX(TableRBMaster[BYE],MATCH(TableRBCalcPts[[#This Row],[RBRef]],TableRBMaster[RBRef],0)),"")</f>
        <v/>
      </c>
      <c r="M147" s="61" t="str">
        <f>IFERROR(INDEX(TableRBMaster[Custom],MATCH(TableRBCalcPts[[#This Row],[RBRef]],TableRBMaster[RBRef],0)),"")</f>
        <v/>
      </c>
      <c r="O147" s="60">
        <f>IFERROR(RANK(TableWRCalcPts[[#This Row],[Custom]],TableWRCalcPts[Custom])+COUNTIF($T$3:T147,T147)-1,"")</f>
        <v>112</v>
      </c>
      <c r="P147" s="60">
        <v>145</v>
      </c>
      <c r="Q147" s="60" t="str">
        <f>IFERROR(INDEX(TableWRMaster[Player],MATCH(TableWRCalcPts[[#This Row],[WRRef]],TableWRMaster[WRRef],0)),"")</f>
        <v>Jauan Jennings</v>
      </c>
      <c r="R147" s="60" t="str">
        <f>IFERROR(INDEX(TableWRMaster[TM],MATCH(TableWRCalcPts[[#This Row],[WRRef]],TableWRMaster[WRRef],0)),"")</f>
        <v>SF</v>
      </c>
      <c r="S147" s="60">
        <f>IFERROR(INDEX(TableWRMaster[BYE],MATCH(TableWRCalcPts[[#This Row],[WRRef]],TableWRMaster[WRRef],0)),"")</f>
        <v>9</v>
      </c>
      <c r="T147" s="61">
        <f>IFERROR(INDEX(TableWRMaster[Custom],MATCH(TableWRCalcPts[[#This Row],[WRRef]],TableWRMaster[WRRef],0)),"")</f>
        <v>40.313265190549011</v>
      </c>
      <c r="AI147" s="60" t="s">
        <v>257</v>
      </c>
      <c r="AJ147" s="60">
        <f>IFERROR(RANK(TableWRTECalcPts[[#This Row],[Custom]],TableWRTECalcPts[Custom])+COUNTIF($AP$3:AP147,AP147)-1,"")</f>
        <v>178</v>
      </c>
      <c r="AK147" s="113">
        <v>45</v>
      </c>
      <c r="AL147" s="113" t="str">
        <f>IFERROR(INDEX(TableWRMaster[Player],MATCH(TableWRTECalcPts[[#This Row],[POSRef]],TableWRMaster[WRRef],0)),"")</f>
        <v>Jalen Tolbert</v>
      </c>
      <c r="AM147" s="113" t="str">
        <f>IFERROR(_xlfn.CONCAT(TableWRTECalcPts[[#This Row],[POS]],INDEX(TableWRRanks[RK],MATCH(TableWRTECalcPts[[#This Row],[PLAYER]],TableWRRanks[Player],0))),"")</f>
        <v>WR127</v>
      </c>
      <c r="AN147" s="113" t="str">
        <f>IFERROR(INDEX(TableWRMaster[TM],MATCH(TableWRTECalcPts[[#This Row],[POSRef]],TableWRMaster[WRRef],0)),"")</f>
        <v>DAL</v>
      </c>
      <c r="AO147" s="113">
        <f>IFERROR(INDEX(TableWRMaster[BYE],MATCH(TableWRTECalcPts[[#This Row],[POSRef]],TableWRMaster[WRRef],0)),"")</f>
        <v>7</v>
      </c>
      <c r="AP147" s="111">
        <f>IFERROR(INDEX(TableWRMaster[Custom],MATCH(TableWRTECalcPts[[#This Row],[POSRef]],TableWRMaster[WRRef],0)),"")</f>
        <v>29.724437104205709</v>
      </c>
    </row>
    <row r="148" spans="8:42" x14ac:dyDescent="0.2">
      <c r="H148" s="60" t="str">
        <f>IFERROR(RANK(TableRBCalcPts[[#This Row],[Custom]],TableRBCalcPts[Custom])+COUNTIF($M$3:M148,M148)-1,"")</f>
        <v/>
      </c>
      <c r="I148" s="60">
        <v>146</v>
      </c>
      <c r="J148" s="60" t="str">
        <f>IFERROR(INDEX(TableRBMaster[Player],MATCH(TableRBCalcPts[[#This Row],[RBRef]],TableRBMaster[RBRef],0)),"")</f>
        <v/>
      </c>
      <c r="K148" s="60" t="str">
        <f>IFERROR(INDEX(TableRBMaster[TM],MATCH(TableRBCalcPts[[#This Row],[RBRef]],TableRBMaster[RBRef],0)),"")</f>
        <v/>
      </c>
      <c r="L148" s="60" t="str">
        <f>IFERROR(INDEX(TableRBMaster[BYE],MATCH(TableRBCalcPts[[#This Row],[RBRef]],TableRBMaster[RBRef],0)),"")</f>
        <v/>
      </c>
      <c r="M148" s="61" t="str">
        <f>IFERROR(INDEX(TableRBMaster[Custom],MATCH(TableRBCalcPts[[#This Row],[RBRef]],TableRBMaster[RBRef],0)),"")</f>
        <v/>
      </c>
      <c r="O148" s="60">
        <f>IFERROR(RANK(TableWRCalcPts[[#This Row],[Custom]],TableWRCalcPts[Custom])+COUNTIF($T$3:T148,T148)-1,"")</f>
        <v>158</v>
      </c>
      <c r="P148" s="60">
        <v>146</v>
      </c>
      <c r="Q148" s="60" t="str">
        <f>IFERROR(INDEX(TableWRMaster[Player],MATCH(TableWRCalcPts[[#This Row],[WRRef]],TableWRMaster[WRRef],0)),"")</f>
        <v>Ronnie Bell</v>
      </c>
      <c r="R148" s="60" t="str">
        <f>IFERROR(INDEX(TableWRMaster[TM],MATCH(TableWRCalcPts[[#This Row],[WRRef]],TableWRMaster[WRRef],0)),"")</f>
        <v>SF</v>
      </c>
      <c r="S148" s="60">
        <f>IFERROR(INDEX(TableWRMaster[BYE],MATCH(TableWRCalcPts[[#This Row],[WRRef]],TableWRMaster[WRRef],0)),"")</f>
        <v>9</v>
      </c>
      <c r="T148" s="61">
        <f>IFERROR(INDEX(TableWRMaster[Custom],MATCH(TableWRCalcPts[[#This Row],[WRRef]],TableWRMaster[WRRef],0)),"")</f>
        <v>11.527513781876888</v>
      </c>
      <c r="AI148" s="60" t="s">
        <v>257</v>
      </c>
      <c r="AJ148" s="60">
        <f>IFERROR(RANK(TableWRTECalcPts[[#This Row],[Custom]],TableWRTECalcPts[Custom])+COUNTIF($AP$3:AP148,AP148)-1,"")</f>
        <v>231</v>
      </c>
      <c r="AK148" s="113">
        <v>46</v>
      </c>
      <c r="AL148" s="113" t="str">
        <f>IFERROR(INDEX(TableWRMaster[Player],MATCH(TableWRTECalcPts[[#This Row],[POSRef]],TableWRMaster[WRRef],0)),"")</f>
        <v>KaVontae Turpin</v>
      </c>
      <c r="AM148" s="113" t="str">
        <f>IFERROR(_xlfn.CONCAT(TableWRTECalcPts[[#This Row],[POS]],INDEX(TableWRRanks[RK],MATCH(TableWRTECalcPts[[#This Row],[PLAYER]],TableWRRanks[Player],0))),"")</f>
        <v>WR155</v>
      </c>
      <c r="AN148" s="113" t="str">
        <f>IFERROR(INDEX(TableWRMaster[TM],MATCH(TableWRTECalcPts[[#This Row],[POSRef]],TableWRMaster[WRRef],0)),"")</f>
        <v>DAL</v>
      </c>
      <c r="AO148" s="113">
        <f>IFERROR(INDEX(TableWRMaster[BYE],MATCH(TableWRTECalcPts[[#This Row],[POSRef]],TableWRMaster[WRRef],0)),"")</f>
        <v>7</v>
      </c>
      <c r="AP148" s="111">
        <f>IFERROR(INDEX(TableWRMaster[Custom],MATCH(TableWRTECalcPts[[#This Row],[POSRef]],TableWRMaster[WRRef],0)),"")</f>
        <v>13.457139075072</v>
      </c>
    </row>
    <row r="149" spans="8:42" x14ac:dyDescent="0.2">
      <c r="H149" s="60" t="str">
        <f>IFERROR(RANK(TableRBCalcPts[[#This Row],[Custom]],TableRBCalcPts[Custom])+COUNTIF($M$3:M149,M149)-1,"")</f>
        <v/>
      </c>
      <c r="I149" s="60">
        <v>147</v>
      </c>
      <c r="J149" s="60" t="str">
        <f>IFERROR(INDEX(TableRBMaster[Player],MATCH(TableRBCalcPts[[#This Row],[RBRef]],TableRBMaster[RBRef],0)),"")</f>
        <v/>
      </c>
      <c r="K149" s="60" t="str">
        <f>IFERROR(INDEX(TableRBMaster[TM],MATCH(TableRBCalcPts[[#This Row],[RBRef]],TableRBMaster[RBRef],0)),"")</f>
        <v/>
      </c>
      <c r="L149" s="60" t="str">
        <f>IFERROR(INDEX(TableRBMaster[BYE],MATCH(TableRBCalcPts[[#This Row],[RBRef]],TableRBMaster[RBRef],0)),"")</f>
        <v/>
      </c>
      <c r="M149" s="61" t="str">
        <f>IFERROR(INDEX(TableRBMaster[Custom],MATCH(TableRBCalcPts[[#This Row],[RBRef]],TableRBMaster[RBRef],0)),"")</f>
        <v/>
      </c>
      <c r="O149" s="60">
        <f>IFERROR(RANK(TableWRCalcPts[[#This Row],[Custom]],TableWRCalcPts[Custom])+COUNTIF($T$3:T149,T149)-1,"")</f>
        <v>162</v>
      </c>
      <c r="P149" s="60">
        <v>147</v>
      </c>
      <c r="Q149" s="60" t="str">
        <f>IFERROR(INDEX(TableWRMaster[Player],MATCH(TableWRCalcPts[[#This Row],[WRRef]],TableWRMaster[WRRef],0)),"")</f>
        <v>Danny Gray</v>
      </c>
      <c r="R149" s="60" t="str">
        <f>IFERROR(INDEX(TableWRMaster[TM],MATCH(TableWRCalcPts[[#This Row],[WRRef]],TableWRMaster[WRRef],0)),"")</f>
        <v>SF</v>
      </c>
      <c r="S149" s="60">
        <f>IFERROR(INDEX(TableWRMaster[BYE],MATCH(TableWRCalcPts[[#This Row],[WRRef]],TableWRMaster[WRRef],0)),"")</f>
        <v>9</v>
      </c>
      <c r="T149" s="61">
        <f>IFERROR(INDEX(TableWRMaster[Custom],MATCH(TableWRCalcPts[[#This Row],[WRRef]],TableWRMaster[WRRef],0)),"")</f>
        <v>6.1474887920832781</v>
      </c>
      <c r="AI149" s="60" t="s">
        <v>257</v>
      </c>
      <c r="AJ149" s="60">
        <f>IFERROR(RANK(TableWRTECalcPts[[#This Row],[Custom]],TableWRTECalcPts[Custom])+COUNTIF($AP$3:AP149,AP149)-1,"")</f>
        <v>45</v>
      </c>
      <c r="AK149" s="113">
        <v>47</v>
      </c>
      <c r="AL149" s="113" t="str">
        <f>IFERROR(INDEX(TableWRMaster[Player],MATCH(TableWRTECalcPts[[#This Row],[POSRef]],TableWRMaster[WRRef],0)),"")</f>
        <v>Courtland Sutton</v>
      </c>
      <c r="AM149" s="113" t="str">
        <f>IFERROR(_xlfn.CONCAT(TableWRTECalcPts[[#This Row],[POS]],INDEX(TableWRRanks[RK],MATCH(TableWRTECalcPts[[#This Row],[PLAYER]],TableWRRanks[Player],0))),"")</f>
        <v>WR40</v>
      </c>
      <c r="AN149" s="113" t="str">
        <f>IFERROR(INDEX(TableWRMaster[TM],MATCH(TableWRTECalcPts[[#This Row],[POSRef]],TableWRMaster[WRRef],0)),"")</f>
        <v>DEN</v>
      </c>
      <c r="AO149" s="113">
        <f>IFERROR(INDEX(TableWRMaster[BYE],MATCH(TableWRTECalcPts[[#This Row],[POSRef]],TableWRMaster[WRRef],0)),"")</f>
        <v>9</v>
      </c>
      <c r="AP149" s="111">
        <f>IFERROR(INDEX(TableWRMaster[Custom],MATCH(TableWRTECalcPts[[#This Row],[POSRef]],TableWRMaster[WRRef],0)),"")</f>
        <v>153.42312532599362</v>
      </c>
    </row>
    <row r="150" spans="8:42" x14ac:dyDescent="0.2">
      <c r="H150" s="60" t="str">
        <f>IFERROR(RANK(TableRBCalcPts[[#This Row],[Custom]],TableRBCalcPts[Custom])+COUNTIF($M$3:M150,M150)-1,"")</f>
        <v/>
      </c>
      <c r="I150" s="60">
        <v>148</v>
      </c>
      <c r="J150" s="60" t="str">
        <f>IFERROR(INDEX(TableRBMaster[Player],MATCH(TableRBCalcPts[[#This Row],[RBRef]],TableRBMaster[RBRef],0)),"")</f>
        <v/>
      </c>
      <c r="K150" s="60" t="str">
        <f>IFERROR(INDEX(TableRBMaster[TM],MATCH(TableRBCalcPts[[#This Row],[RBRef]],TableRBMaster[RBRef],0)),"")</f>
        <v/>
      </c>
      <c r="L150" s="60" t="str">
        <f>IFERROR(INDEX(TableRBMaster[BYE],MATCH(TableRBCalcPts[[#This Row],[RBRef]],TableRBMaster[RBRef],0)),"")</f>
        <v/>
      </c>
      <c r="M150" s="61" t="str">
        <f>IFERROR(INDEX(TableRBMaster[Custom],MATCH(TableRBCalcPts[[#This Row],[RBRef]],TableRBMaster[RBRef],0)),"")</f>
        <v/>
      </c>
      <c r="O150" s="60">
        <f>IFERROR(RANK(TableWRCalcPts[[#This Row],[Custom]],TableWRCalcPts[Custom])+COUNTIF($T$3:T150,T150)-1,"")</f>
        <v>37</v>
      </c>
      <c r="P150" s="60">
        <v>148</v>
      </c>
      <c r="Q150" s="60" t="str">
        <f>IFERROR(INDEX(TableWRMaster[Player],MATCH(TableWRCalcPts[[#This Row],[WRRef]],TableWRMaster[WRRef],0)),"")</f>
        <v>Mike Evans</v>
      </c>
      <c r="R150" s="60" t="str">
        <f>IFERROR(INDEX(TableWRMaster[TM],MATCH(TableWRCalcPts[[#This Row],[WRRef]],TableWRMaster[WRRef],0)),"")</f>
        <v>TB</v>
      </c>
      <c r="S150" s="60">
        <f>IFERROR(INDEX(TableWRMaster[BYE],MATCH(TableWRCalcPts[[#This Row],[WRRef]],TableWRMaster[WRRef],0)),"")</f>
        <v>5</v>
      </c>
      <c r="T150" s="61">
        <f>IFERROR(INDEX(TableWRMaster[Custom],MATCH(TableWRCalcPts[[#This Row],[WRRef]],TableWRMaster[WRRef],0)),"")</f>
        <v>162.31074654216576</v>
      </c>
      <c r="AI150" s="60" t="s">
        <v>257</v>
      </c>
      <c r="AJ150" s="60">
        <f>IFERROR(RANK(TableWRTECalcPts[[#This Row],[Custom]],TableWRTECalcPts[Custom])+COUNTIF($AP$3:AP150,AP150)-1,"")</f>
        <v>34</v>
      </c>
      <c r="AK150" s="113">
        <v>48</v>
      </c>
      <c r="AL150" s="113" t="str">
        <f>IFERROR(INDEX(TableWRMaster[Player],MATCH(TableWRTECalcPts[[#This Row],[POSRef]],TableWRMaster[WRRef],0)),"")</f>
        <v>Jerry Jeudy</v>
      </c>
      <c r="AM150" s="113" t="str">
        <f>IFERROR(_xlfn.CONCAT(TableWRTECalcPts[[#This Row],[POS]],INDEX(TableWRRanks[RK],MATCH(TableWRTECalcPts[[#This Row],[PLAYER]],TableWRRanks[Player],0))),"")</f>
        <v>WR30</v>
      </c>
      <c r="AN150" s="113" t="str">
        <f>IFERROR(INDEX(TableWRMaster[TM],MATCH(TableWRTECalcPts[[#This Row],[POSRef]],TableWRMaster[WRRef],0)),"")</f>
        <v>DEN</v>
      </c>
      <c r="AO150" s="113">
        <f>IFERROR(INDEX(TableWRMaster[BYE],MATCH(TableWRTECalcPts[[#This Row],[POSRef]],TableWRMaster[WRRef],0)),"")</f>
        <v>9</v>
      </c>
      <c r="AP150" s="111">
        <f>IFERROR(INDEX(TableWRMaster[Custom],MATCH(TableWRTECalcPts[[#This Row],[POSRef]],TableWRMaster[WRRef],0)),"")</f>
        <v>171.08206155698551</v>
      </c>
    </row>
    <row r="151" spans="8:42" x14ac:dyDescent="0.2">
      <c r="H151" s="60" t="str">
        <f>IFERROR(RANK(TableRBCalcPts[[#This Row],[Custom]],TableRBCalcPts[Custom])+COUNTIF($M$3:M151,M151)-1,"")</f>
        <v/>
      </c>
      <c r="I151" s="60">
        <v>149</v>
      </c>
      <c r="J151" s="60" t="str">
        <f>IFERROR(INDEX(TableRBMaster[Player],MATCH(TableRBCalcPts[[#This Row],[RBRef]],TableRBMaster[RBRef],0)),"")</f>
        <v/>
      </c>
      <c r="K151" s="60" t="str">
        <f>IFERROR(INDEX(TableRBMaster[TM],MATCH(TableRBCalcPts[[#This Row],[RBRef]],TableRBMaster[RBRef],0)),"")</f>
        <v/>
      </c>
      <c r="L151" s="60" t="str">
        <f>IFERROR(INDEX(TableRBMaster[BYE],MATCH(TableRBCalcPts[[#This Row],[RBRef]],TableRBMaster[RBRef],0)),"")</f>
        <v/>
      </c>
      <c r="M151" s="61" t="str">
        <f>IFERROR(INDEX(TableRBMaster[Custom],MATCH(TableRBCalcPts[[#This Row],[RBRef]],TableRBMaster[RBRef],0)),"")</f>
        <v/>
      </c>
      <c r="O151" s="60">
        <f>IFERROR(RANK(TableWRCalcPts[[#This Row],[Custom]],TableWRCalcPts[Custom])+COUNTIF($T$3:T151,T151)-1,"")</f>
        <v>38</v>
      </c>
      <c r="P151" s="60">
        <v>149</v>
      </c>
      <c r="Q151" s="60" t="str">
        <f>IFERROR(INDEX(TableWRMaster[Player],MATCH(TableWRCalcPts[[#This Row],[WRRef]],TableWRMaster[WRRef],0)),"")</f>
        <v>Chris Godwin</v>
      </c>
      <c r="R151" s="60" t="str">
        <f>IFERROR(INDEX(TableWRMaster[TM],MATCH(TableWRCalcPts[[#This Row],[WRRef]],TableWRMaster[WRRef],0)),"")</f>
        <v>TB</v>
      </c>
      <c r="S151" s="60">
        <f>IFERROR(INDEX(TableWRMaster[BYE],MATCH(TableWRCalcPts[[#This Row],[WRRef]],TableWRMaster[WRRef],0)),"")</f>
        <v>5</v>
      </c>
      <c r="T151" s="61">
        <f>IFERROR(INDEX(TableWRMaster[Custom],MATCH(TableWRCalcPts[[#This Row],[WRRef]],TableWRMaster[WRRef],0)),"")</f>
        <v>161.83878261451261</v>
      </c>
      <c r="AI151" s="60" t="s">
        <v>257</v>
      </c>
      <c r="AJ151" s="60">
        <f>IFERROR(RANK(TableWRTECalcPts[[#This Row],[Custom]],TableWRTECalcPts[Custom])+COUNTIF($AP$3:AP151,AP151)-1,"")</f>
        <v>69</v>
      </c>
      <c r="AK151" s="113">
        <v>49</v>
      </c>
      <c r="AL151" s="113" t="str">
        <f>IFERROR(INDEX(TableWRMaster[Player],MATCH(TableWRTECalcPts[[#This Row],[POSRef]],TableWRMaster[WRRef],0)),"")</f>
        <v>Marvin Mims</v>
      </c>
      <c r="AM151" s="113" t="str">
        <f>IFERROR(_xlfn.CONCAT(TableWRTECalcPts[[#This Row],[POS]],INDEX(TableWRRanks[RK],MATCH(TableWRTECalcPts[[#This Row],[PLAYER]],TableWRRanks[Player],0))),"")</f>
        <v>WR59</v>
      </c>
      <c r="AN151" s="113" t="str">
        <f>IFERROR(INDEX(TableWRMaster[TM],MATCH(TableWRTECalcPts[[#This Row],[POSRef]],TableWRMaster[WRRef],0)),"")</f>
        <v>DEN</v>
      </c>
      <c r="AO151" s="113">
        <f>IFERROR(INDEX(TableWRMaster[BYE],MATCH(TableWRTECalcPts[[#This Row],[POSRef]],TableWRMaster[WRRef],0)),"")</f>
        <v>9</v>
      </c>
      <c r="AP151" s="111">
        <f>IFERROR(INDEX(TableWRMaster[Custom],MATCH(TableWRTECalcPts[[#This Row],[POSRef]],TableWRMaster[WRRef],0)),"")</f>
        <v>129.2891470122569</v>
      </c>
    </row>
    <row r="152" spans="8:42" x14ac:dyDescent="0.2">
      <c r="H152" s="60" t="str">
        <f>IFERROR(RANK(TableRBCalcPts[[#This Row],[Custom]],TableRBCalcPts[Custom])+COUNTIF($M$3:M152,M152)-1,"")</f>
        <v/>
      </c>
      <c r="I152" s="60">
        <v>150</v>
      </c>
      <c r="J152" s="60" t="str">
        <f>IFERROR(INDEX(TableRBMaster[Player],MATCH(TableRBCalcPts[[#This Row],[RBRef]],TableRBMaster[RBRef],0)),"")</f>
        <v/>
      </c>
      <c r="K152" s="60" t="str">
        <f>IFERROR(INDEX(TableRBMaster[TM],MATCH(TableRBCalcPts[[#This Row],[RBRef]],TableRBMaster[RBRef],0)),"")</f>
        <v/>
      </c>
      <c r="L152" s="60" t="str">
        <f>IFERROR(INDEX(TableRBMaster[BYE],MATCH(TableRBCalcPts[[#This Row],[RBRef]],TableRBMaster[RBRef],0)),"")</f>
        <v/>
      </c>
      <c r="M152" s="61" t="str">
        <f>IFERROR(INDEX(TableRBMaster[Custom],MATCH(TableRBCalcPts[[#This Row],[RBRef]],TableRBMaster[RBRef],0)),"")</f>
        <v/>
      </c>
      <c r="O152" s="60">
        <f>IFERROR(RANK(TableWRCalcPts[[#This Row],[Custom]],TableWRCalcPts[Custom])+COUNTIF($T$3:T152,T152)-1,"")</f>
        <v>87</v>
      </c>
      <c r="P152" s="60">
        <v>150</v>
      </c>
      <c r="Q152" s="60" t="str">
        <f>IFERROR(INDEX(TableWRMaster[Player],MATCH(TableWRCalcPts[[#This Row],[WRRef]],TableWRMaster[WRRef],0)),"")</f>
        <v>Trey Palmer</v>
      </c>
      <c r="R152" s="60" t="str">
        <f>IFERROR(INDEX(TableWRMaster[TM],MATCH(TableWRCalcPts[[#This Row],[WRRef]],TableWRMaster[WRRef],0)),"")</f>
        <v>TB</v>
      </c>
      <c r="S152" s="60">
        <f>IFERROR(INDEX(TableWRMaster[BYE],MATCH(TableWRCalcPts[[#This Row],[WRRef]],TableWRMaster[WRRef],0)),"")</f>
        <v>5</v>
      </c>
      <c r="T152" s="61">
        <f>IFERROR(INDEX(TableWRMaster[Custom],MATCH(TableWRCalcPts[[#This Row],[WRRef]],TableWRMaster[WRRef],0)),"")</f>
        <v>87.342060412734071</v>
      </c>
      <c r="AI152" s="60" t="s">
        <v>257</v>
      </c>
      <c r="AJ152" s="60">
        <f>IFERROR(RANK(TableWRTECalcPts[[#This Row],[Custom]],TableWRTECalcPts[Custom])+COUNTIF($AP$3:AP152,AP152)-1,"")</f>
        <v>168</v>
      </c>
      <c r="AK152" s="113">
        <v>50</v>
      </c>
      <c r="AL152" s="113" t="str">
        <f>IFERROR(INDEX(TableWRMaster[Player],MATCH(TableWRTECalcPts[[#This Row],[POSRef]],TableWRMaster[WRRef],0)),"")</f>
        <v>Brandon Johnson</v>
      </c>
      <c r="AM152" s="113" t="str">
        <f>IFERROR(_xlfn.CONCAT(TableWRTECalcPts[[#This Row],[POS]],INDEX(TableWRRanks[RK],MATCH(TableWRTECalcPts[[#This Row],[PLAYER]],TableWRRanks[Player],0))),"")</f>
        <v>WR121</v>
      </c>
      <c r="AN152" s="113" t="str">
        <f>IFERROR(INDEX(TableWRMaster[TM],MATCH(TableWRTECalcPts[[#This Row],[POSRef]],TableWRMaster[WRRef],0)),"")</f>
        <v>DEN</v>
      </c>
      <c r="AO152" s="113">
        <f>IFERROR(INDEX(TableWRMaster[BYE],MATCH(TableWRTECalcPts[[#This Row],[POSRef]],TableWRMaster[WRRef],0)),"")</f>
        <v>9</v>
      </c>
      <c r="AP152" s="111">
        <f>IFERROR(INDEX(TableWRMaster[Custom],MATCH(TableWRTECalcPts[[#This Row],[POSRef]],TableWRMaster[WRRef],0)),"")</f>
        <v>34.217311715823605</v>
      </c>
    </row>
    <row r="153" spans="8:42" x14ac:dyDescent="0.2">
      <c r="H153" s="60" t="str">
        <f>IFERROR(RANK(TableRBCalcPts[[#This Row],[Custom]],TableRBCalcPts[Custom])+COUNTIF($M$3:M153,M153)-1,"")</f>
        <v/>
      </c>
      <c r="I153" s="60">
        <v>151</v>
      </c>
      <c r="J153" s="60" t="str">
        <f>IFERROR(INDEX(TableRBMaster[Player],MATCH(TableRBCalcPts[[#This Row],[RBRef]],TableRBMaster[RBRef],0)),"")</f>
        <v/>
      </c>
      <c r="K153" s="60" t="str">
        <f>IFERROR(INDEX(TableRBMaster[TM],MATCH(TableRBCalcPts[[#This Row],[RBRef]],TableRBMaster[RBRef],0)),"")</f>
        <v/>
      </c>
      <c r="L153" s="60" t="str">
        <f>IFERROR(INDEX(TableRBMaster[BYE],MATCH(TableRBCalcPts[[#This Row],[RBRef]],TableRBMaster[RBRef],0)),"")</f>
        <v/>
      </c>
      <c r="M153" s="61" t="str">
        <f>IFERROR(INDEX(TableRBMaster[Custom],MATCH(TableRBCalcPts[[#This Row],[RBRef]],TableRBMaster[RBRef],0)),"")</f>
        <v/>
      </c>
      <c r="O153" s="60">
        <f>IFERROR(RANK(TableWRCalcPts[[#This Row],[Custom]],TableWRCalcPts[Custom])+COUNTIF($T$3:T153,T153)-1,"")</f>
        <v>122</v>
      </c>
      <c r="P153" s="60">
        <v>151</v>
      </c>
      <c r="Q153" s="60" t="str">
        <f>IFERROR(INDEX(TableWRMaster[Player],MATCH(TableWRCalcPts[[#This Row],[WRRef]],TableWRMaster[WRRef],0)),"")</f>
        <v>Deven Thompkins</v>
      </c>
      <c r="R153" s="60" t="str">
        <f>IFERROR(INDEX(TableWRMaster[TM],MATCH(TableWRCalcPts[[#This Row],[WRRef]],TableWRMaster[WRRef],0)),"")</f>
        <v>TB</v>
      </c>
      <c r="S153" s="60">
        <f>IFERROR(INDEX(TableWRMaster[BYE],MATCH(TableWRCalcPts[[#This Row],[WRRef]],TableWRMaster[WRRef],0)),"")</f>
        <v>5</v>
      </c>
      <c r="T153" s="61">
        <f>IFERROR(INDEX(TableWRMaster[Custom],MATCH(TableWRCalcPts[[#This Row],[WRRef]],TableWRMaster[WRRef],0)),"")</f>
        <v>33.969009366190079</v>
      </c>
      <c r="AI153" s="60" t="s">
        <v>257</v>
      </c>
      <c r="AJ153" s="60">
        <f>IFERROR(RANK(TableWRTECalcPts[[#This Row],[Custom]],TableWRTECalcPts[Custom])+COUNTIF($AP$3:AP153,AP153)-1,"")</f>
        <v>96</v>
      </c>
      <c r="AK153" s="113">
        <v>51</v>
      </c>
      <c r="AL153" s="113" t="str">
        <f>IFERROR(INDEX(TableWRMaster[Player],MATCH(TableWRTECalcPts[[#This Row],[POSRef]],TableWRMaster[WRRef],0)),"")</f>
        <v>Jameson Williams</v>
      </c>
      <c r="AM153" s="113" t="str">
        <f>IFERROR(_xlfn.CONCAT(TableWRTECalcPts[[#This Row],[POS]],INDEX(TableWRRanks[RK],MATCH(TableWRTECalcPts[[#This Row],[PLAYER]],TableWRRanks[Player],0))),"")</f>
        <v>WR73</v>
      </c>
      <c r="AN153" s="113" t="str">
        <f>IFERROR(INDEX(TableWRMaster[TM],MATCH(TableWRTECalcPts[[#This Row],[POSRef]],TableWRMaster[WRRef],0)),"")</f>
        <v>DET</v>
      </c>
      <c r="AO153" s="113">
        <f>IFERROR(INDEX(TableWRMaster[BYE],MATCH(TableWRTECalcPts[[#This Row],[POSRef]],TableWRMaster[WRRef],0)),"")</f>
        <v>9</v>
      </c>
      <c r="AP153" s="111">
        <f>IFERROR(INDEX(TableWRMaster[Custom],MATCH(TableWRTECalcPts[[#This Row],[POSRef]],TableWRMaster[WRRef],0)),"")</f>
        <v>96.934568288463439</v>
      </c>
    </row>
    <row r="154" spans="8:42" x14ac:dyDescent="0.2">
      <c r="H154" s="60" t="str">
        <f>IFERROR(RANK(TableRBCalcPts[[#This Row],[Custom]],TableRBCalcPts[Custom])+COUNTIF($M$3:M154,M154)-1,"")</f>
        <v/>
      </c>
      <c r="I154" s="60">
        <v>152</v>
      </c>
      <c r="J154" s="60" t="str">
        <f>IFERROR(INDEX(TableRBMaster[Player],MATCH(TableRBCalcPts[[#This Row],[RBRef]],TableRBMaster[RBRef],0)),"")</f>
        <v/>
      </c>
      <c r="K154" s="60" t="str">
        <f>IFERROR(INDEX(TableRBMaster[TM],MATCH(TableRBCalcPts[[#This Row],[RBRef]],TableRBMaster[RBRef],0)),"")</f>
        <v/>
      </c>
      <c r="L154" s="60" t="str">
        <f>IFERROR(INDEX(TableRBMaster[BYE],MATCH(TableRBCalcPts[[#This Row],[RBRef]],TableRBMaster[RBRef],0)),"")</f>
        <v/>
      </c>
      <c r="M154" s="61" t="str">
        <f>IFERROR(INDEX(TableRBMaster[Custom],MATCH(TableRBCalcPts[[#This Row],[RBRef]],TableRBMaster[RBRef],0)),"")</f>
        <v/>
      </c>
      <c r="O154" s="60">
        <f>IFERROR(RANK(TableWRCalcPts[[#This Row],[Custom]],TableWRCalcPts[Custom])+COUNTIF($T$3:T154,T154)-1,"")</f>
        <v>156</v>
      </c>
      <c r="P154" s="60">
        <v>152</v>
      </c>
      <c r="Q154" s="60" t="str">
        <f>IFERROR(INDEX(TableWRMaster[Player],MATCH(TableWRCalcPts[[#This Row],[WRRef]],TableWRMaster[WRRef],0)),"")</f>
        <v>Rakim Jarrett</v>
      </c>
      <c r="R154" s="60" t="str">
        <f>IFERROR(INDEX(TableWRMaster[TM],MATCH(TableWRCalcPts[[#This Row],[WRRef]],TableWRMaster[WRRef],0)),"")</f>
        <v>TB</v>
      </c>
      <c r="S154" s="60">
        <f>IFERROR(INDEX(TableWRMaster[BYE],MATCH(TableWRCalcPts[[#This Row],[WRRef]],TableWRMaster[WRRef],0)),"")</f>
        <v>5</v>
      </c>
      <c r="T154" s="61">
        <f>IFERROR(INDEX(TableWRMaster[Custom],MATCH(TableWRCalcPts[[#This Row],[WRRef]],TableWRMaster[WRRef],0)),"")</f>
        <v>13.398454129737601</v>
      </c>
      <c r="AI154" s="60" t="s">
        <v>257</v>
      </c>
      <c r="AJ154" s="60">
        <f>IFERROR(RANK(TableWRTECalcPts[[#This Row],[Custom]],TableWRTECalcPts[Custom])+COUNTIF($AP$3:AP154,AP154)-1,"")</f>
        <v>6</v>
      </c>
      <c r="AK154" s="113">
        <v>52</v>
      </c>
      <c r="AL154" s="113" t="str">
        <f>IFERROR(INDEX(TableWRMaster[Player],MATCH(TableWRTECalcPts[[#This Row],[POSRef]],TableWRMaster[WRRef],0)),"")</f>
        <v>Amon-Ra St. Brown</v>
      </c>
      <c r="AM154" s="113" t="str">
        <f>IFERROR(_xlfn.CONCAT(TableWRTECalcPts[[#This Row],[POS]],INDEX(TableWRRanks[RK],MATCH(TableWRTECalcPts[[#This Row],[PLAYER]],TableWRRanks[Player],0))),"")</f>
        <v>WR6</v>
      </c>
      <c r="AN154" s="113" t="str">
        <f>IFERROR(INDEX(TableWRMaster[TM],MATCH(TableWRTECalcPts[[#This Row],[POSRef]],TableWRMaster[WRRef],0)),"")</f>
        <v>DET</v>
      </c>
      <c r="AO154" s="113">
        <f>IFERROR(INDEX(TableWRMaster[BYE],MATCH(TableWRTECalcPts[[#This Row],[POSRef]],TableWRMaster[WRRef],0)),"")</f>
        <v>9</v>
      </c>
      <c r="AP154" s="111">
        <f>IFERROR(INDEX(TableWRMaster[Custom],MATCH(TableWRTECalcPts[[#This Row],[POSRef]],TableWRMaster[WRRef],0)),"")</f>
        <v>235.77471963299024</v>
      </c>
    </row>
    <row r="155" spans="8:42" x14ac:dyDescent="0.2">
      <c r="H155" s="60" t="str">
        <f>IFERROR(RANK(TableRBCalcPts[[#This Row],[Custom]],TableRBCalcPts[Custom])+COUNTIF($M$3:M155,M155)-1,"")</f>
        <v/>
      </c>
      <c r="I155" s="60">
        <v>153</v>
      </c>
      <c r="J155" s="60" t="str">
        <f>IFERROR(INDEX(TableRBMaster[Player],MATCH(TableRBCalcPts[[#This Row],[RBRef]],TableRBMaster[RBRef],0)),"")</f>
        <v/>
      </c>
      <c r="K155" s="60" t="str">
        <f>IFERROR(INDEX(TableRBMaster[TM],MATCH(TableRBCalcPts[[#This Row],[RBRef]],TableRBMaster[RBRef],0)),"")</f>
        <v/>
      </c>
      <c r="L155" s="60" t="str">
        <f>IFERROR(INDEX(TableRBMaster[BYE],MATCH(TableRBCalcPts[[#This Row],[RBRef]],TableRBMaster[RBRef],0)),"")</f>
        <v/>
      </c>
      <c r="M155" s="61" t="str">
        <f>IFERROR(INDEX(TableRBMaster[Custom],MATCH(TableRBCalcPts[[#This Row],[RBRef]],TableRBMaster[RBRef],0)),"")</f>
        <v/>
      </c>
      <c r="O155" s="60">
        <f>IFERROR(RANK(TableWRCalcPts[[#This Row],[Custom]],TableWRCalcPts[Custom])+COUNTIF($T$3:T155,T155)-1,"")</f>
        <v>17</v>
      </c>
      <c r="P155" s="60">
        <v>153</v>
      </c>
      <c r="Q155" s="60" t="str">
        <f>IFERROR(INDEX(TableWRMaster[Player],MATCH(TableWRCalcPts[[#This Row],[WRRef]],TableWRMaster[WRRef],0)),"")</f>
        <v>DeAndre Hopkins</v>
      </c>
      <c r="R155" s="60" t="str">
        <f>IFERROR(INDEX(TableWRMaster[TM],MATCH(TableWRCalcPts[[#This Row],[WRRef]],TableWRMaster[WRRef],0)),"")</f>
        <v>TEN</v>
      </c>
      <c r="S155" s="60">
        <f>IFERROR(INDEX(TableWRMaster[BYE],MATCH(TableWRCalcPts[[#This Row],[WRRef]],TableWRMaster[WRRef],0)),"")</f>
        <v>7</v>
      </c>
      <c r="T155" s="61">
        <f>IFERROR(INDEX(TableWRMaster[Custom],MATCH(TableWRCalcPts[[#This Row],[WRRef]],TableWRMaster[WRRef],0)),"")</f>
        <v>189.24061536009924</v>
      </c>
      <c r="AI155" s="60" t="s">
        <v>257</v>
      </c>
      <c r="AJ155" s="60">
        <f>IFERROR(RANK(TableWRTECalcPts[[#This Row],[Custom]],TableWRTECalcPts[Custom])+COUNTIF($AP$3:AP155,AP155)-1,"")</f>
        <v>131</v>
      </c>
      <c r="AK155" s="113">
        <v>53</v>
      </c>
      <c r="AL155" s="113" t="str">
        <f>IFERROR(INDEX(TableWRMaster[Player],MATCH(TableWRTECalcPts[[#This Row],[POSRef]],TableWRMaster[WRRef],0)),"")</f>
        <v>Josh Reynolds</v>
      </c>
      <c r="AM155" s="113" t="str">
        <f>IFERROR(_xlfn.CONCAT(TableWRTECalcPts[[#This Row],[POS]],INDEX(TableWRRanks[RK],MATCH(TableWRTECalcPts[[#This Row],[PLAYER]],TableWRRanks[Player],0))),"")</f>
        <v>WR97</v>
      </c>
      <c r="AN155" s="113" t="str">
        <f>IFERROR(INDEX(TableWRMaster[TM],MATCH(TableWRTECalcPts[[#This Row],[POSRef]],TableWRMaster[WRRef],0)),"")</f>
        <v>DET</v>
      </c>
      <c r="AO155" s="113">
        <f>IFERROR(INDEX(TableWRMaster[BYE],MATCH(TableWRTECalcPts[[#This Row],[POSRef]],TableWRMaster[WRRef],0)),"")</f>
        <v>9</v>
      </c>
      <c r="AP155" s="111">
        <f>IFERROR(INDEX(TableWRMaster[Custom],MATCH(TableWRTECalcPts[[#This Row],[POSRef]],TableWRMaster[WRRef],0)),"")</f>
        <v>68.671312284847986</v>
      </c>
    </row>
    <row r="156" spans="8:42" x14ac:dyDescent="0.2">
      <c r="H156" s="60" t="str">
        <f>IFERROR(RANK(TableRBCalcPts[[#This Row],[Custom]],TableRBCalcPts[Custom])+COUNTIF($M$3:M156,M156)-1,"")</f>
        <v/>
      </c>
      <c r="I156" s="60">
        <v>154</v>
      </c>
      <c r="J156" s="60" t="str">
        <f>IFERROR(INDEX(TableRBMaster[Player],MATCH(TableRBCalcPts[[#This Row],[RBRef]],TableRBMaster[RBRef],0)),"")</f>
        <v/>
      </c>
      <c r="K156" s="60" t="str">
        <f>IFERROR(INDEX(TableRBMaster[TM],MATCH(TableRBCalcPts[[#This Row],[RBRef]],TableRBMaster[RBRef],0)),"")</f>
        <v/>
      </c>
      <c r="L156" s="60" t="str">
        <f>IFERROR(INDEX(TableRBMaster[BYE],MATCH(TableRBCalcPts[[#This Row],[RBRef]],TableRBMaster[RBRef],0)),"")</f>
        <v/>
      </c>
      <c r="M156" s="61" t="str">
        <f>IFERROR(INDEX(TableRBMaster[Custom],MATCH(TableRBCalcPts[[#This Row],[RBRef]],TableRBMaster[RBRef],0)),"")</f>
        <v/>
      </c>
      <c r="O156" s="60">
        <f>IFERROR(RANK(TableWRCalcPts[[#This Row],[Custom]],TableWRCalcPts[Custom])+COUNTIF($T$3:T156,T156)-1,"")</f>
        <v>48</v>
      </c>
      <c r="P156" s="60">
        <v>154</v>
      </c>
      <c r="Q156" s="60" t="str">
        <f>IFERROR(INDEX(TableWRMaster[Player],MATCH(TableWRCalcPts[[#This Row],[WRRef]],TableWRMaster[WRRef],0)),"")</f>
        <v>Treylon Burks</v>
      </c>
      <c r="R156" s="60" t="str">
        <f>IFERROR(INDEX(TableWRMaster[TM],MATCH(TableWRCalcPts[[#This Row],[WRRef]],TableWRMaster[WRRef],0)),"")</f>
        <v>TEN</v>
      </c>
      <c r="S156" s="60">
        <f>IFERROR(INDEX(TableWRMaster[BYE],MATCH(TableWRCalcPts[[#This Row],[WRRef]],TableWRMaster[WRRef],0)),"")</f>
        <v>7</v>
      </c>
      <c r="T156" s="61">
        <f>IFERROR(INDEX(TableWRMaster[Custom],MATCH(TableWRCalcPts[[#This Row],[WRRef]],TableWRMaster[WRRef],0)),"")</f>
        <v>146.50792170981475</v>
      </c>
      <c r="AI156" s="60" t="s">
        <v>257</v>
      </c>
      <c r="AJ156" s="60">
        <f>IFERROR(RANK(TableWRTECalcPts[[#This Row],[Custom]],TableWRTECalcPts[Custom])+COUNTIF($AP$3:AP156,AP156)-1,"")</f>
        <v>106</v>
      </c>
      <c r="AK156" s="113">
        <v>54</v>
      </c>
      <c r="AL156" s="113" t="str">
        <f>IFERROR(INDEX(TableWRMaster[Player],MATCH(TableWRTECalcPts[[#This Row],[POSRef]],TableWRMaster[WRRef],0)),"")</f>
        <v>Marvin Jones</v>
      </c>
      <c r="AM156" s="113" t="str">
        <f>IFERROR(_xlfn.CONCAT(TableWRTECalcPts[[#This Row],[POS]],INDEX(TableWRRanks[RK],MATCH(TableWRTECalcPts[[#This Row],[PLAYER]],TableWRRanks[Player],0))),"")</f>
        <v>WR80</v>
      </c>
      <c r="AN156" s="113" t="str">
        <f>IFERROR(INDEX(TableWRMaster[TM],MATCH(TableWRTECalcPts[[#This Row],[POSRef]],TableWRMaster[WRRef],0)),"")</f>
        <v>DET</v>
      </c>
      <c r="AO156" s="113">
        <f>IFERROR(INDEX(TableWRMaster[BYE],MATCH(TableWRTECalcPts[[#This Row],[POSRef]],TableWRMaster[WRRef],0)),"")</f>
        <v>9</v>
      </c>
      <c r="AP156" s="111">
        <f>IFERROR(INDEX(TableWRMaster[Custom],MATCH(TableWRTECalcPts[[#This Row],[POSRef]],TableWRMaster[WRRef],0)),"")</f>
        <v>91.94050662758977</v>
      </c>
    </row>
    <row r="157" spans="8:42" x14ac:dyDescent="0.2">
      <c r="H157" s="60" t="str">
        <f>IFERROR(RANK(TableRBCalcPts[[#This Row],[Custom]],TableRBCalcPts[Custom])+COUNTIF($M$3:M157,M157)-1,"")</f>
        <v/>
      </c>
      <c r="I157" s="60">
        <v>155</v>
      </c>
      <c r="J157" s="60" t="str">
        <f>IFERROR(INDEX(TableRBMaster[Player],MATCH(TableRBCalcPts[[#This Row],[RBRef]],TableRBMaster[RBRef],0)),"")</f>
        <v/>
      </c>
      <c r="K157" s="60" t="str">
        <f>IFERROR(INDEX(TableRBMaster[TM],MATCH(TableRBCalcPts[[#This Row],[RBRef]],TableRBMaster[RBRef],0)),"")</f>
        <v/>
      </c>
      <c r="L157" s="60" t="str">
        <f>IFERROR(INDEX(TableRBMaster[BYE],MATCH(TableRBCalcPts[[#This Row],[RBRef]],TableRBMaster[RBRef],0)),"")</f>
        <v/>
      </c>
      <c r="M157" s="61" t="str">
        <f>IFERROR(INDEX(TableRBMaster[Custom],MATCH(TableRBCalcPts[[#This Row],[RBRef]],TableRBMaster[RBRef],0)),"")</f>
        <v/>
      </c>
      <c r="O157" s="60">
        <f>IFERROR(RANK(TableWRCalcPts[[#This Row],[Custom]],TableWRCalcPts[Custom])+COUNTIF($T$3:T157,T157)-1,"")</f>
        <v>117</v>
      </c>
      <c r="P157" s="60">
        <v>155</v>
      </c>
      <c r="Q157" s="60" t="str">
        <f>IFERROR(INDEX(TableWRMaster[Player],MATCH(TableWRCalcPts[[#This Row],[WRRef]],TableWRMaster[WRRef],0)),"")</f>
        <v>Kyle Philips</v>
      </c>
      <c r="R157" s="60" t="str">
        <f>IFERROR(INDEX(TableWRMaster[TM],MATCH(TableWRCalcPts[[#This Row],[WRRef]],TableWRMaster[WRRef],0)),"")</f>
        <v>TEN</v>
      </c>
      <c r="S157" s="60">
        <f>IFERROR(INDEX(TableWRMaster[BYE],MATCH(TableWRCalcPts[[#This Row],[WRRef]],TableWRMaster[WRRef],0)),"")</f>
        <v>7</v>
      </c>
      <c r="T157" s="61">
        <f>IFERROR(INDEX(TableWRMaster[Custom],MATCH(TableWRCalcPts[[#This Row],[WRRef]],TableWRMaster[WRRef],0)),"")</f>
        <v>36.780466404519956</v>
      </c>
      <c r="AI157" s="60" t="s">
        <v>257</v>
      </c>
      <c r="AJ157" s="60">
        <f>IFERROR(RANK(TableWRTECalcPts[[#This Row],[Custom]],TableWRTECalcPts[Custom])+COUNTIF($AP$3:AP157,AP157)-1,"")</f>
        <v>167</v>
      </c>
      <c r="AK157" s="113">
        <v>55</v>
      </c>
      <c r="AL157" s="113" t="str">
        <f>IFERROR(INDEX(TableWRMaster[Player],MATCH(TableWRTECalcPts[[#This Row],[POSRef]],TableWRMaster[WRRef],0)),"")</f>
        <v>Antoine Green</v>
      </c>
      <c r="AM157" s="113" t="str">
        <f>IFERROR(_xlfn.CONCAT(TableWRTECalcPts[[#This Row],[POS]],INDEX(TableWRRanks[RK],MATCH(TableWRTECalcPts[[#This Row],[PLAYER]],TableWRRanks[Player],0))),"")</f>
        <v>WR120</v>
      </c>
      <c r="AN157" s="113" t="str">
        <f>IFERROR(INDEX(TableWRMaster[TM],MATCH(TableWRTECalcPts[[#This Row],[POSRef]],TableWRMaster[WRRef],0)),"")</f>
        <v>DET</v>
      </c>
      <c r="AO157" s="113">
        <f>IFERROR(INDEX(TableWRMaster[BYE],MATCH(TableWRTECalcPts[[#This Row],[POSRef]],TableWRMaster[WRRef],0)),"")</f>
        <v>9</v>
      </c>
      <c r="AP157" s="111">
        <f>IFERROR(INDEX(TableWRMaster[Custom],MATCH(TableWRTECalcPts[[#This Row],[POSRef]],TableWRMaster[WRRef],0)),"")</f>
        <v>34.981737176305913</v>
      </c>
    </row>
    <row r="158" spans="8:42" x14ac:dyDescent="0.2">
      <c r="H158" s="60" t="str">
        <f>IFERROR(RANK(TableRBCalcPts[[#This Row],[Custom]],TableRBCalcPts[Custom])+COUNTIF($M$3:M158,M158)-1,"")</f>
        <v/>
      </c>
      <c r="I158" s="60">
        <v>156</v>
      </c>
      <c r="J158" s="60" t="str">
        <f>IFERROR(INDEX(TableRBMaster[Player],MATCH(TableRBCalcPts[[#This Row],[RBRef]],TableRBMaster[RBRef],0)),"")</f>
        <v/>
      </c>
      <c r="K158" s="60" t="str">
        <f>IFERROR(INDEX(TableRBMaster[TM],MATCH(TableRBCalcPts[[#This Row],[RBRef]],TableRBMaster[RBRef],0)),"")</f>
        <v/>
      </c>
      <c r="L158" s="60" t="str">
        <f>IFERROR(INDEX(TableRBMaster[BYE],MATCH(TableRBCalcPts[[#This Row],[RBRef]],TableRBMaster[RBRef],0)),"")</f>
        <v/>
      </c>
      <c r="M158" s="61" t="str">
        <f>IFERROR(INDEX(TableRBMaster[Custom],MATCH(TableRBCalcPts[[#This Row],[RBRef]],TableRBMaster[RBRef],0)),"")</f>
        <v/>
      </c>
      <c r="O158" s="60">
        <f>IFERROR(RANK(TableWRCalcPts[[#This Row],[Custom]],TableWRCalcPts[Custom])+COUNTIF($T$3:T158,T158)-1,"")</f>
        <v>140</v>
      </c>
      <c r="P158" s="60">
        <v>156</v>
      </c>
      <c r="Q158" s="60" t="str">
        <f>IFERROR(INDEX(TableWRMaster[Player],MATCH(TableWRCalcPts[[#This Row],[WRRef]],TableWRMaster[WRRef],0)),"")</f>
        <v>Chris Moore</v>
      </c>
      <c r="R158" s="60" t="str">
        <f>IFERROR(INDEX(TableWRMaster[TM],MATCH(TableWRCalcPts[[#This Row],[WRRef]],TableWRMaster[WRRef],0)),"")</f>
        <v>TEN</v>
      </c>
      <c r="S158" s="60">
        <f>IFERROR(INDEX(TableWRMaster[BYE],MATCH(TableWRCalcPts[[#This Row],[WRRef]],TableWRMaster[WRRef],0)),"")</f>
        <v>7</v>
      </c>
      <c r="T158" s="61">
        <f>IFERROR(INDEX(TableWRMaster[Custom],MATCH(TableWRCalcPts[[#This Row],[WRRef]],TableWRMaster[WRRef],0)),"")</f>
        <v>21.260022568135398</v>
      </c>
      <c r="AI158" s="60" t="s">
        <v>257</v>
      </c>
      <c r="AJ158" s="60">
        <f>IFERROR(RANK(TableWRTECalcPts[[#This Row],[Custom]],TableWRTECalcPts[Custom])+COUNTIF($AP$3:AP158,AP158)-1,"")</f>
        <v>15</v>
      </c>
      <c r="AK158" s="113">
        <v>56</v>
      </c>
      <c r="AL158" s="113" t="str">
        <f>IFERROR(INDEX(TableWRMaster[Player],MATCH(TableWRTECalcPts[[#This Row],[POSRef]],TableWRMaster[WRRef],0)),"")</f>
        <v>Christian Watson</v>
      </c>
      <c r="AM158" s="113" t="str">
        <f>IFERROR(_xlfn.CONCAT(TableWRTECalcPts[[#This Row],[POS]],INDEX(TableWRRanks[RK],MATCH(TableWRTECalcPts[[#This Row],[PLAYER]],TableWRRanks[Player],0))),"")</f>
        <v>WR14</v>
      </c>
      <c r="AN158" s="113" t="str">
        <f>IFERROR(INDEX(TableWRMaster[TM],MATCH(TableWRTECalcPts[[#This Row],[POSRef]],TableWRMaster[WRRef],0)),"")</f>
        <v>GB</v>
      </c>
      <c r="AO158" s="113">
        <f>IFERROR(INDEX(TableWRMaster[BYE],MATCH(TableWRTECalcPts[[#This Row],[POSRef]],TableWRMaster[WRRef],0)),"")</f>
        <v>6</v>
      </c>
      <c r="AP158" s="111">
        <f>IFERROR(INDEX(TableWRMaster[Custom],MATCH(TableWRTECalcPts[[#This Row],[POSRef]],TableWRMaster[WRRef],0)),"")</f>
        <v>194.98899947146739</v>
      </c>
    </row>
    <row r="159" spans="8:42" x14ac:dyDescent="0.2">
      <c r="H159" s="60" t="str">
        <f>IFERROR(RANK(TableRBCalcPts[[#This Row],[Custom]],TableRBCalcPts[Custom])+COUNTIF($M$3:M159,M159)-1,"")</f>
        <v/>
      </c>
      <c r="I159" s="60">
        <v>157</v>
      </c>
      <c r="J159" s="60" t="str">
        <f>IFERROR(INDEX(TableRBMaster[Player],MATCH(TableRBCalcPts[[#This Row],[RBRef]],TableRBMaster[RBRef],0)),"")</f>
        <v/>
      </c>
      <c r="K159" s="60" t="str">
        <f>IFERROR(INDEX(TableRBMaster[TM],MATCH(TableRBCalcPts[[#This Row],[RBRef]],TableRBMaster[RBRef],0)),"")</f>
        <v/>
      </c>
      <c r="L159" s="60" t="str">
        <f>IFERROR(INDEX(TableRBMaster[BYE],MATCH(TableRBCalcPts[[#This Row],[RBRef]],TableRBMaster[RBRef],0)),"")</f>
        <v/>
      </c>
      <c r="M159" s="61" t="str">
        <f>IFERROR(INDEX(TableRBMaster[Custom],MATCH(TableRBCalcPts[[#This Row],[RBRef]],TableRBMaster[RBRef],0)),"")</f>
        <v/>
      </c>
      <c r="O159" s="60">
        <f>IFERROR(RANK(TableWRCalcPts[[#This Row],[Custom]],TableWRCalcPts[Custom])+COUNTIF($T$3:T159,T159)-1,"")</f>
        <v>96</v>
      </c>
      <c r="P159" s="60">
        <v>157</v>
      </c>
      <c r="Q159" s="60" t="str">
        <f>IFERROR(INDEX(TableWRMaster[Player],MATCH(TableWRCalcPts[[#This Row],[WRRef]],TableWRMaster[WRRef],0)),"")</f>
        <v>Nick Westbrook-Ikhine</v>
      </c>
      <c r="R159" s="60" t="str">
        <f>IFERROR(INDEX(TableWRMaster[TM],MATCH(TableWRCalcPts[[#This Row],[WRRef]],TableWRMaster[WRRef],0)),"")</f>
        <v>TEN</v>
      </c>
      <c r="S159" s="60">
        <f>IFERROR(INDEX(TableWRMaster[BYE],MATCH(TableWRCalcPts[[#This Row],[WRRef]],TableWRMaster[WRRef],0)),"")</f>
        <v>7</v>
      </c>
      <c r="T159" s="61">
        <f>IFERROR(INDEX(TableWRMaster[Custom],MATCH(TableWRCalcPts[[#This Row],[WRRef]],TableWRMaster[WRRef],0)),"")</f>
        <v>69.20477178254302</v>
      </c>
      <c r="AI159" s="60" t="s">
        <v>257</v>
      </c>
      <c r="AJ159" s="60">
        <f>IFERROR(RANK(TableWRTECalcPts[[#This Row],[Custom]],TableWRTECalcPts[Custom])+COUNTIF($AP$3:AP159,AP159)-1,"")</f>
        <v>66</v>
      </c>
      <c r="AK159" s="113">
        <v>57</v>
      </c>
      <c r="AL159" s="113" t="str">
        <f>IFERROR(INDEX(TableWRMaster[Player],MATCH(TableWRTECalcPts[[#This Row],[POSRef]],TableWRMaster[WRRef],0)),"")</f>
        <v>Romeo Doubs</v>
      </c>
      <c r="AM159" s="113" t="str">
        <f>IFERROR(_xlfn.CONCAT(TableWRTECalcPts[[#This Row],[POS]],INDEX(TableWRRanks[RK],MATCH(TableWRTECalcPts[[#This Row],[PLAYER]],TableWRRanks[Player],0))),"")</f>
        <v>WR56</v>
      </c>
      <c r="AN159" s="113" t="str">
        <f>IFERROR(INDEX(TableWRMaster[TM],MATCH(TableWRTECalcPts[[#This Row],[POSRef]],TableWRMaster[WRRef],0)),"")</f>
        <v>GB</v>
      </c>
      <c r="AO159" s="113">
        <f>IFERROR(INDEX(TableWRMaster[BYE],MATCH(TableWRTECalcPts[[#This Row],[POSRef]],TableWRMaster[WRRef],0)),"")</f>
        <v>6</v>
      </c>
      <c r="AP159" s="111">
        <f>IFERROR(INDEX(TableWRMaster[Custom],MATCH(TableWRTECalcPts[[#This Row],[POSRef]],TableWRMaster[WRRef],0)),"")</f>
        <v>131.5987978749377</v>
      </c>
    </row>
    <row r="160" spans="8:42" x14ac:dyDescent="0.2">
      <c r="H160" s="60" t="str">
        <f>IFERROR(RANK(TableRBCalcPts[[#This Row],[Custom]],TableRBCalcPts[Custom])+COUNTIF($M$3:M160,M160)-1,"")</f>
        <v/>
      </c>
      <c r="I160" s="60">
        <v>158</v>
      </c>
      <c r="J160" s="60" t="str">
        <f>IFERROR(INDEX(TableRBMaster[Player],MATCH(TableRBCalcPts[[#This Row],[RBRef]],TableRBMaster[RBRef],0)),"")</f>
        <v/>
      </c>
      <c r="K160" s="60" t="str">
        <f>IFERROR(INDEX(TableRBMaster[TM],MATCH(TableRBCalcPts[[#This Row],[RBRef]],TableRBMaster[RBRef],0)),"")</f>
        <v/>
      </c>
      <c r="L160" s="60" t="str">
        <f>IFERROR(INDEX(TableRBMaster[BYE],MATCH(TableRBCalcPts[[#This Row],[RBRef]],TableRBMaster[RBRef],0)),"")</f>
        <v/>
      </c>
      <c r="M160" s="61" t="str">
        <f>IFERROR(INDEX(TableRBMaster[Custom],MATCH(TableRBCalcPts[[#This Row],[RBRef]],TableRBMaster[RBRef],0)),"")</f>
        <v/>
      </c>
      <c r="O160" s="60">
        <f>IFERROR(RANK(TableWRCalcPts[[#This Row],[Custom]],TableWRCalcPts[Custom])+COUNTIF($T$3:T160,T160)-1,"")</f>
        <v>22</v>
      </c>
      <c r="P160" s="60">
        <v>158</v>
      </c>
      <c r="Q160" s="60" t="str">
        <f>IFERROR(INDEX(TableWRMaster[Player],MATCH(TableWRCalcPts[[#This Row],[WRRef]],TableWRMaster[WRRef],0)),"")</f>
        <v>Terry McLaurin</v>
      </c>
      <c r="R160" s="60" t="str">
        <f>IFERROR(INDEX(TableWRMaster[TM],MATCH(TableWRCalcPts[[#This Row],[WRRef]],TableWRMaster[WRRef],0)),"")</f>
        <v>WSH</v>
      </c>
      <c r="S160" s="60">
        <f>IFERROR(INDEX(TableWRMaster[BYE],MATCH(TableWRCalcPts[[#This Row],[WRRef]],TableWRMaster[WRRef],0)),"")</f>
        <v>14</v>
      </c>
      <c r="T160" s="61">
        <f>IFERROR(INDEX(TableWRMaster[Custom],MATCH(TableWRCalcPts[[#This Row],[WRRef]],TableWRMaster[WRRef],0)),"")</f>
        <v>185.45630681519057</v>
      </c>
      <c r="AI160" s="60" t="s">
        <v>257</v>
      </c>
      <c r="AJ160" s="60">
        <f>IFERROR(RANK(TableWRTECalcPts[[#This Row],[Custom]],TableWRTECalcPts[Custom])+COUNTIF($AP$3:AP160,AP160)-1,"")</f>
        <v>74</v>
      </c>
      <c r="AK160" s="113">
        <v>58</v>
      </c>
      <c r="AL160" s="113" t="str">
        <f>IFERROR(INDEX(TableWRMaster[Player],MATCH(TableWRTECalcPts[[#This Row],[POSRef]],TableWRMaster[WRRef],0)),"")</f>
        <v>Jayden Reed</v>
      </c>
      <c r="AM160" s="113" t="str">
        <f>IFERROR(_xlfn.CONCAT(TableWRTECalcPts[[#This Row],[POS]],INDEX(TableWRRanks[RK],MATCH(TableWRTECalcPts[[#This Row],[PLAYER]],TableWRRanks[Player],0))),"")</f>
        <v>WR63</v>
      </c>
      <c r="AN160" s="113" t="str">
        <f>IFERROR(INDEX(TableWRMaster[TM],MATCH(TableWRTECalcPts[[#This Row],[POSRef]],TableWRMaster[WRRef],0)),"")</f>
        <v>GB</v>
      </c>
      <c r="AO160" s="113">
        <f>IFERROR(INDEX(TableWRMaster[BYE],MATCH(TableWRTECalcPts[[#This Row],[POSRef]],TableWRMaster[WRRef],0)),"")</f>
        <v>6</v>
      </c>
      <c r="AP160" s="111">
        <f>IFERROR(INDEX(TableWRMaster[Custom],MATCH(TableWRTECalcPts[[#This Row],[POSRef]],TableWRMaster[WRRef],0)),"")</f>
        <v>119.06544448157086</v>
      </c>
    </row>
    <row r="161" spans="8:42" x14ac:dyDescent="0.2">
      <c r="H161" s="60" t="str">
        <f>IFERROR(RANK(TableRBCalcPts[[#This Row],[Custom]],TableRBCalcPts[Custom])+COUNTIF($M$3:M161,M161)-1,"")</f>
        <v/>
      </c>
      <c r="I161" s="60">
        <v>159</v>
      </c>
      <c r="J161" s="60" t="str">
        <f>IFERROR(INDEX(TableRBMaster[Player],MATCH(TableRBCalcPts[[#This Row],[RBRef]],TableRBMaster[RBRef],0)),"")</f>
        <v/>
      </c>
      <c r="K161" s="60" t="str">
        <f>IFERROR(INDEX(TableRBMaster[TM],MATCH(TableRBCalcPts[[#This Row],[RBRef]],TableRBMaster[RBRef],0)),"")</f>
        <v/>
      </c>
      <c r="L161" s="60" t="str">
        <f>IFERROR(INDEX(TableRBMaster[BYE],MATCH(TableRBCalcPts[[#This Row],[RBRef]],TableRBMaster[RBRef],0)),"")</f>
        <v/>
      </c>
      <c r="M161" s="61" t="str">
        <f>IFERROR(INDEX(TableRBMaster[Custom],MATCH(TableRBCalcPts[[#This Row],[RBRef]],TableRBMaster[RBRef],0)),"")</f>
        <v/>
      </c>
      <c r="O161" s="60">
        <f>IFERROR(RANK(TableWRCalcPts[[#This Row],[Custom]],TableWRCalcPts[Custom])+COUNTIF($T$3:T161,T161)-1,"")</f>
        <v>60</v>
      </c>
      <c r="P161" s="60">
        <v>159</v>
      </c>
      <c r="Q161" s="60" t="str">
        <f>IFERROR(INDEX(TableWRMaster[Player],MATCH(TableWRCalcPts[[#This Row],[WRRef]],TableWRMaster[WRRef],0)),"")</f>
        <v>Curtis Samuel</v>
      </c>
      <c r="R161" s="60" t="str">
        <f>IFERROR(INDEX(TableWRMaster[TM],MATCH(TableWRCalcPts[[#This Row],[WRRef]],TableWRMaster[WRRef],0)),"")</f>
        <v>WSH</v>
      </c>
      <c r="S161" s="60">
        <f>IFERROR(INDEX(TableWRMaster[BYE],MATCH(TableWRCalcPts[[#This Row],[WRRef]],TableWRMaster[WRRef],0)),"")</f>
        <v>14</v>
      </c>
      <c r="T161" s="61">
        <f>IFERROR(INDEX(TableWRMaster[Custom],MATCH(TableWRCalcPts[[#This Row],[WRRef]],TableWRMaster[WRRef],0)),"")</f>
        <v>129.28583659160677</v>
      </c>
      <c r="AI161" s="60" t="s">
        <v>257</v>
      </c>
      <c r="AJ161" s="60">
        <f>IFERROR(RANK(TableWRTECalcPts[[#This Row],[Custom]],TableWRTECalcPts[Custom])+COUNTIF($AP$3:AP161,AP161)-1,"")</f>
        <v>187</v>
      </c>
      <c r="AK161" s="113">
        <v>59</v>
      </c>
      <c r="AL161" s="113" t="str">
        <f>IFERROR(INDEX(TableWRMaster[Player],MATCH(TableWRTECalcPts[[#This Row],[POSRef]],TableWRMaster[WRRef],0)),"")</f>
        <v>Samori Toure</v>
      </c>
      <c r="AM161" s="113" t="str">
        <f>IFERROR(_xlfn.CONCAT(TableWRTECalcPts[[#This Row],[POS]],INDEX(TableWRRanks[RK],MATCH(TableWRTECalcPts[[#This Row],[PLAYER]],TableWRRanks[Player],0))),"")</f>
        <v>WR132</v>
      </c>
      <c r="AN161" s="113" t="str">
        <f>IFERROR(INDEX(TableWRMaster[TM],MATCH(TableWRTECalcPts[[#This Row],[POSRef]],TableWRMaster[WRRef],0)),"")</f>
        <v>GB</v>
      </c>
      <c r="AO161" s="113">
        <f>IFERROR(INDEX(TableWRMaster[BYE],MATCH(TableWRTECalcPts[[#This Row],[POSRef]],TableWRMaster[WRRef],0)),"")</f>
        <v>6</v>
      </c>
      <c r="AP161" s="111">
        <f>IFERROR(INDEX(TableWRMaster[Custom],MATCH(TableWRTECalcPts[[#This Row],[POSRef]],TableWRMaster[WRRef],0)),"")</f>
        <v>25.989920188422406</v>
      </c>
    </row>
    <row r="162" spans="8:42" x14ac:dyDescent="0.2">
      <c r="H162" s="60" t="str">
        <f>IFERROR(RANK(TableRBCalcPts[[#This Row],[Custom]],TableRBCalcPts[Custom])+COUNTIF($M$3:M162,M162)-1,"")</f>
        <v/>
      </c>
      <c r="I162" s="60">
        <v>160</v>
      </c>
      <c r="J162" s="60" t="str">
        <f>IFERROR(INDEX(TableRBMaster[Player],MATCH(TableRBCalcPts[[#This Row],[RBRef]],TableRBMaster[RBRef],0)),"")</f>
        <v/>
      </c>
      <c r="K162" s="60" t="str">
        <f>IFERROR(INDEX(TableRBMaster[TM],MATCH(TableRBCalcPts[[#This Row],[RBRef]],TableRBMaster[RBRef],0)),"")</f>
        <v/>
      </c>
      <c r="L162" s="60" t="str">
        <f>IFERROR(INDEX(TableRBMaster[BYE],MATCH(TableRBCalcPts[[#This Row],[RBRef]],TableRBMaster[RBRef],0)),"")</f>
        <v/>
      </c>
      <c r="M162" s="61" t="str">
        <f>IFERROR(INDEX(TableRBMaster[Custom],MATCH(TableRBCalcPts[[#This Row],[RBRef]],TableRBMaster[RBRef],0)),"")</f>
        <v/>
      </c>
      <c r="O162" s="60">
        <f>IFERROR(RANK(TableWRCalcPts[[#This Row],[Custom]],TableWRCalcPts[Custom])+COUNTIF($T$3:T162,T162)-1,"")</f>
        <v>15</v>
      </c>
      <c r="P162" s="60">
        <v>160</v>
      </c>
      <c r="Q162" s="60" t="str">
        <f>IFERROR(INDEX(TableWRMaster[Player],MATCH(TableWRCalcPts[[#This Row],[WRRef]],TableWRMaster[WRRef],0)),"")</f>
        <v>Jahan Dotson</v>
      </c>
      <c r="R162" s="60" t="str">
        <f>IFERROR(INDEX(TableWRMaster[TM],MATCH(TableWRCalcPts[[#This Row],[WRRef]],TableWRMaster[WRRef],0)),"")</f>
        <v>WSH</v>
      </c>
      <c r="S162" s="60">
        <f>IFERROR(INDEX(TableWRMaster[BYE],MATCH(TableWRCalcPts[[#This Row],[WRRef]],TableWRMaster[WRRef],0)),"")</f>
        <v>14</v>
      </c>
      <c r="T162" s="61">
        <f>IFERROR(INDEX(TableWRMaster[Custom],MATCH(TableWRCalcPts[[#This Row],[WRRef]],TableWRMaster[WRRef],0)),"")</f>
        <v>191.8214704728</v>
      </c>
      <c r="AI162" s="60" t="s">
        <v>257</v>
      </c>
      <c r="AJ162" s="60">
        <f>IFERROR(RANK(TableWRTECalcPts[[#This Row],[Custom]],TableWRTECalcPts[Custom])+COUNTIF($AP$3:AP162,AP162)-1,"")</f>
        <v>210</v>
      </c>
      <c r="AK162" s="113">
        <v>60</v>
      </c>
      <c r="AL162" s="113" t="str">
        <f>IFERROR(INDEX(TableWRMaster[Player],MATCH(TableWRTECalcPts[[#This Row],[POSRef]],TableWRMaster[WRRef],0)),"")</f>
        <v>Malik Heath</v>
      </c>
      <c r="AM162" s="113" t="str">
        <f>IFERROR(_xlfn.CONCAT(TableWRTECalcPts[[#This Row],[POS]],INDEX(TableWRRanks[RK],MATCH(TableWRTECalcPts[[#This Row],[PLAYER]],TableWRRanks[Player],0))),"")</f>
        <v>WR143</v>
      </c>
      <c r="AN162" s="113" t="str">
        <f>IFERROR(INDEX(TableWRMaster[TM],MATCH(TableWRTECalcPts[[#This Row],[POSRef]],TableWRMaster[WRRef],0)),"")</f>
        <v>GB</v>
      </c>
      <c r="AO162" s="113">
        <f>IFERROR(INDEX(TableWRMaster[BYE],MATCH(TableWRTECalcPts[[#This Row],[POSRef]],TableWRMaster[WRRef],0)),"")</f>
        <v>6</v>
      </c>
      <c r="AP162" s="111">
        <f>IFERROR(INDEX(TableWRMaster[Custom],MATCH(TableWRTECalcPts[[#This Row],[POSRef]],TableWRMaster[WRRef],0)),"")</f>
        <v>18.534319168668365</v>
      </c>
    </row>
    <row r="163" spans="8:42" x14ac:dyDescent="0.2">
      <c r="H163" s="60" t="str">
        <f>IFERROR(RANK(TableRBCalcPts[[#This Row],[Custom]],TableRBCalcPts[Custom])+COUNTIF($M$3:M163,M163)-1,"")</f>
        <v/>
      </c>
      <c r="I163" s="60">
        <v>161</v>
      </c>
      <c r="J163" s="60" t="str">
        <f>IFERROR(INDEX(TableRBMaster[Player],MATCH(TableRBCalcPts[[#This Row],[RBRef]],TableRBMaster[RBRef],0)),"")</f>
        <v/>
      </c>
      <c r="K163" s="60" t="str">
        <f>IFERROR(INDEX(TableRBMaster[TM],MATCH(TableRBCalcPts[[#This Row],[RBRef]],TableRBMaster[RBRef],0)),"")</f>
        <v/>
      </c>
      <c r="L163" s="60" t="str">
        <f>IFERROR(INDEX(TableRBMaster[BYE],MATCH(TableRBCalcPts[[#This Row],[RBRef]],TableRBMaster[RBRef],0)),"")</f>
        <v/>
      </c>
      <c r="M163" s="61" t="str">
        <f>IFERROR(INDEX(TableRBMaster[Custom],MATCH(TableRBCalcPts[[#This Row],[RBRef]],TableRBMaster[RBRef],0)),"")</f>
        <v/>
      </c>
      <c r="O163" s="60">
        <f>IFERROR(RANK(TableWRCalcPts[[#This Row],[Custom]],TableWRCalcPts[Custom])+COUNTIF($T$3:T163,T163)-1,"")</f>
        <v>135</v>
      </c>
      <c r="P163" s="60">
        <v>161</v>
      </c>
      <c r="Q163" s="60" t="str">
        <f>IFERROR(INDEX(TableWRMaster[Player],MATCH(TableWRCalcPts[[#This Row],[WRRef]],TableWRMaster[WRRef],0)),"")</f>
        <v>Dyami Brown</v>
      </c>
      <c r="R163" s="60" t="str">
        <f>IFERROR(INDEX(TableWRMaster[TM],MATCH(TableWRCalcPts[[#This Row],[WRRef]],TableWRMaster[WRRef],0)),"")</f>
        <v>WSH</v>
      </c>
      <c r="S163" s="60">
        <f>IFERROR(INDEX(TableWRMaster[BYE],MATCH(TableWRCalcPts[[#This Row],[WRRef]],TableWRMaster[WRRef],0)),"")</f>
        <v>14</v>
      </c>
      <c r="T163" s="61">
        <f>IFERROR(INDEX(TableWRMaster[Custom],MATCH(TableWRCalcPts[[#This Row],[WRRef]],TableWRMaster[WRRef],0)),"")</f>
        <v>24.28852591635879</v>
      </c>
      <c r="AI163" s="60" t="s">
        <v>257</v>
      </c>
      <c r="AJ163" s="60">
        <f>IFERROR(RANK(TableWRTECalcPts[[#This Row],[Custom]],TableWRTECalcPts[Custom])+COUNTIF($AP$3:AP163,AP163)-1,"")</f>
        <v>86</v>
      </c>
      <c r="AK163" s="113">
        <v>61</v>
      </c>
      <c r="AL163" s="113" t="str">
        <f>IFERROR(INDEX(TableWRMaster[Player],MATCH(TableWRTECalcPts[[#This Row],[POSRef]],TableWRMaster[WRRef],0)),"")</f>
        <v>Robert Woods</v>
      </c>
      <c r="AM163" s="113" t="str">
        <f>IFERROR(_xlfn.CONCAT(TableWRTECalcPts[[#This Row],[POS]],INDEX(TableWRRanks[RK],MATCH(TableWRTECalcPts[[#This Row],[PLAYER]],TableWRRanks[Player],0))),"")</f>
        <v>WR71</v>
      </c>
      <c r="AN163" s="113" t="str">
        <f>IFERROR(INDEX(TableWRMaster[TM],MATCH(TableWRTECalcPts[[#This Row],[POSRef]],TableWRMaster[WRRef],0)),"")</f>
        <v>HOU</v>
      </c>
      <c r="AO163" s="113">
        <f>IFERROR(INDEX(TableWRMaster[BYE],MATCH(TableWRTECalcPts[[#This Row],[POSRef]],TableWRMaster[WRRef],0)),"")</f>
        <v>7</v>
      </c>
      <c r="AP163" s="111">
        <f>IFERROR(INDEX(TableWRMaster[Custom],MATCH(TableWRTECalcPts[[#This Row],[POSRef]],TableWRMaster[WRRef],0)),"")</f>
        <v>109.84140305335866</v>
      </c>
    </row>
    <row r="164" spans="8:42" x14ac:dyDescent="0.2">
      <c r="H164" s="60" t="str">
        <f>IFERROR(RANK(TableRBCalcPts[[#This Row],[Custom]],TableRBCalcPts[Custom])+COUNTIF($M$3:M164,M164)-1,"")</f>
        <v/>
      </c>
      <c r="I164" s="60">
        <v>162</v>
      </c>
      <c r="J164" s="60" t="str">
        <f>IFERROR(INDEX(TableRBMaster[Player],MATCH(TableRBCalcPts[[#This Row],[RBRef]],TableRBMaster[RBRef],0)),"")</f>
        <v/>
      </c>
      <c r="K164" s="60" t="str">
        <f>IFERROR(INDEX(TableRBMaster[TM],MATCH(TableRBCalcPts[[#This Row],[RBRef]],TableRBMaster[RBRef],0)),"")</f>
        <v/>
      </c>
      <c r="L164" s="60" t="str">
        <f>IFERROR(INDEX(TableRBMaster[BYE],MATCH(TableRBCalcPts[[#This Row],[RBRef]],TableRBMaster[RBRef],0)),"")</f>
        <v/>
      </c>
      <c r="M164" s="61" t="str">
        <f>IFERROR(INDEX(TableRBMaster[Custom],MATCH(TableRBCalcPts[[#This Row],[RBRef]],TableRBMaster[RBRef],0)),"")</f>
        <v/>
      </c>
      <c r="O164" s="60">
        <f>IFERROR(RANK(TableWRCalcPts[[#This Row],[Custom]],TableWRCalcPts[Custom])+COUNTIF($T$3:T164,T164)-1,"")</f>
        <v>152</v>
      </c>
      <c r="P164" s="60">
        <v>162</v>
      </c>
      <c r="Q164" s="60" t="str">
        <f>IFERROR(INDEX(TableWRMaster[Player],MATCH(TableWRCalcPts[[#This Row],[WRRef]],TableWRMaster[WRRef],0)),"")</f>
        <v>Dax Milne</v>
      </c>
      <c r="R164" s="60" t="str">
        <f>IFERROR(INDEX(TableWRMaster[TM],MATCH(TableWRCalcPts[[#This Row],[WRRef]],TableWRMaster[WRRef],0)),"")</f>
        <v>WSH</v>
      </c>
      <c r="S164" s="60">
        <f>IFERROR(INDEX(TableWRMaster[BYE],MATCH(TableWRCalcPts[[#This Row],[WRRef]],TableWRMaster[WRRef],0)),"")</f>
        <v>14</v>
      </c>
      <c r="T164" s="61">
        <f>IFERROR(INDEX(TableWRMaster[Custom],MATCH(TableWRCalcPts[[#This Row],[WRRef]],TableWRMaster[WRRef],0)),"")</f>
        <v>13.829966895396961</v>
      </c>
      <c r="AI164" s="60" t="s">
        <v>257</v>
      </c>
      <c r="AJ164" s="60">
        <f>IFERROR(RANK(TableWRTECalcPts[[#This Row],[Custom]],TableWRTECalcPts[Custom])+COUNTIF($AP$3:AP164,AP164)-1,"")</f>
        <v>78</v>
      </c>
      <c r="AK164" s="113">
        <v>62</v>
      </c>
      <c r="AL164" s="113" t="str">
        <f>IFERROR(INDEX(TableWRMaster[Player],MATCH(TableWRTECalcPts[[#This Row],[POSRef]],TableWRMaster[WRRef],0)),"")</f>
        <v>Nico Collins</v>
      </c>
      <c r="AM164" s="113" t="str">
        <f>IFERROR(_xlfn.CONCAT(TableWRTECalcPts[[#This Row],[POS]],INDEX(TableWRRanks[RK],MATCH(TableWRTECalcPts[[#This Row],[PLAYER]],TableWRRanks[Player],0))),"")</f>
        <v>WR66</v>
      </c>
      <c r="AN164" s="113" t="str">
        <f>IFERROR(INDEX(TableWRMaster[TM],MATCH(TableWRTECalcPts[[#This Row],[POSRef]],TableWRMaster[WRRef],0)),"")</f>
        <v>HOU</v>
      </c>
      <c r="AO164" s="113">
        <f>IFERROR(INDEX(TableWRMaster[BYE],MATCH(TableWRTECalcPts[[#This Row],[POSRef]],TableWRMaster[WRRef],0)),"")</f>
        <v>7</v>
      </c>
      <c r="AP164" s="111">
        <f>IFERROR(INDEX(TableWRMaster[Custom],MATCH(TableWRTECalcPts[[#This Row],[POSRef]],TableWRMaster[WRRef],0)),"")</f>
        <v>114.84809106865067</v>
      </c>
    </row>
    <row r="165" spans="8:42" x14ac:dyDescent="0.2">
      <c r="H165" s="60" t="str">
        <f>IFERROR(RANK(TableRBCalcPts[[#This Row],[Custom]],TableRBCalcPts[Custom])+COUNTIF($M$3:M165,M165)-1,"")</f>
        <v/>
      </c>
      <c r="I165" s="60">
        <v>163</v>
      </c>
      <c r="J165" s="60" t="str">
        <f>IFERROR(INDEX(TableRBMaster[Player],MATCH(TableRBCalcPts[[#This Row],[RBRef]],TableRBMaster[RBRef],0)),"")</f>
        <v/>
      </c>
      <c r="K165" s="60" t="str">
        <f>IFERROR(INDEX(TableRBMaster[TM],MATCH(TableRBCalcPts[[#This Row],[RBRef]],TableRBMaster[RBRef],0)),"")</f>
        <v/>
      </c>
      <c r="L165" s="60" t="str">
        <f>IFERROR(INDEX(TableRBMaster[BYE],MATCH(TableRBCalcPts[[#This Row],[RBRef]],TableRBMaster[RBRef],0)),"")</f>
        <v/>
      </c>
      <c r="M165" s="61" t="str">
        <f>IFERROR(INDEX(TableRBMaster[Custom],MATCH(TableRBCalcPts[[#This Row],[RBRef]],TableRBMaster[RBRef],0)),"")</f>
        <v/>
      </c>
      <c r="O165" s="60" t="str">
        <f>IFERROR(RANK(TableWRCalcPts[[#This Row],[Custom]],TableWRCalcPts[Custom])+COUNTIF($T$3:T165,T165)-1,"")</f>
        <v/>
      </c>
      <c r="P165" s="60">
        <v>163</v>
      </c>
      <c r="Q165" s="60" t="str">
        <f>IFERROR(INDEX(TableWRMaster[Player],MATCH(TableWRCalcPts[[#This Row],[WRRef]],TableWRMaster[WRRef],0)),"")</f>
        <v/>
      </c>
      <c r="R165" s="60" t="str">
        <f>IFERROR(INDEX(TableWRMaster[TM],MATCH(TableWRCalcPts[[#This Row],[WRRef]],TableWRMaster[WRRef],0)),"")</f>
        <v/>
      </c>
      <c r="S165" s="60" t="str">
        <f>IFERROR(INDEX(TableWRMaster[BYE],MATCH(TableWRCalcPts[[#This Row],[WRRef]],TableWRMaster[WRRef],0)),"")</f>
        <v/>
      </c>
      <c r="T165" s="61" t="str">
        <f>IFERROR(INDEX(TableWRMaster[Custom],MATCH(TableWRCalcPts[[#This Row],[WRRef]],TableWRMaster[WRRef],0)),"")</f>
        <v/>
      </c>
      <c r="AI165" s="60" t="s">
        <v>257</v>
      </c>
      <c r="AJ165" s="60">
        <f>IFERROR(RANK(TableWRTECalcPts[[#This Row],[Custom]],TableWRTECalcPts[Custom])+COUNTIF($AP$3:AP165,AP165)-1,"")</f>
        <v>127</v>
      </c>
      <c r="AK165" s="113">
        <v>63</v>
      </c>
      <c r="AL165" s="113" t="str">
        <f>IFERROR(INDEX(TableWRMaster[Player],MATCH(TableWRTECalcPts[[#This Row],[POSRef]],TableWRMaster[WRRef],0)),"")</f>
        <v>John Metchie</v>
      </c>
      <c r="AM165" s="113" t="str">
        <f>IFERROR(_xlfn.CONCAT(TableWRTECalcPts[[#This Row],[POS]],INDEX(TableWRRanks[RK],MATCH(TableWRTECalcPts[[#This Row],[PLAYER]],TableWRRanks[Player],0))),"")</f>
        <v>WR94</v>
      </c>
      <c r="AN165" s="113" t="str">
        <f>IFERROR(INDEX(TableWRMaster[TM],MATCH(TableWRTECalcPts[[#This Row],[POSRef]],TableWRMaster[WRRef],0)),"")</f>
        <v>HOU</v>
      </c>
      <c r="AO165" s="113">
        <f>IFERROR(INDEX(TableWRMaster[BYE],MATCH(TableWRTECalcPts[[#This Row],[POSRef]],TableWRMaster[WRRef],0)),"")</f>
        <v>7</v>
      </c>
      <c r="AP165" s="111">
        <f>IFERROR(INDEX(TableWRMaster[Custom],MATCH(TableWRTECalcPts[[#This Row],[POSRef]],TableWRMaster[WRRef],0)),"")</f>
        <v>73.182013035648367</v>
      </c>
    </row>
    <row r="166" spans="8:42" x14ac:dyDescent="0.2">
      <c r="H166" s="60" t="str">
        <f>IFERROR(RANK(TableRBCalcPts[[#This Row],[Custom]],TableRBCalcPts[Custom])+COUNTIF($M$3:M166,M166)-1,"")</f>
        <v/>
      </c>
      <c r="I166" s="60">
        <v>164</v>
      </c>
      <c r="J166" s="60" t="str">
        <f>IFERROR(INDEX(TableRBMaster[Player],MATCH(TableRBCalcPts[[#This Row],[RBRef]],TableRBMaster[RBRef],0)),"")</f>
        <v/>
      </c>
      <c r="K166" s="60" t="str">
        <f>IFERROR(INDEX(TableRBMaster[TM],MATCH(TableRBCalcPts[[#This Row],[RBRef]],TableRBMaster[RBRef],0)),"")</f>
        <v/>
      </c>
      <c r="L166" s="60" t="str">
        <f>IFERROR(INDEX(TableRBMaster[BYE],MATCH(TableRBCalcPts[[#This Row],[RBRef]],TableRBMaster[RBRef],0)),"")</f>
        <v/>
      </c>
      <c r="M166" s="61" t="str">
        <f>IFERROR(INDEX(TableRBMaster[Custom],MATCH(TableRBCalcPts[[#This Row],[RBRef]],TableRBMaster[RBRef],0)),"")</f>
        <v/>
      </c>
      <c r="O166" s="60" t="str">
        <f>IFERROR(RANK(TableWRCalcPts[[#This Row],[Custom]],TableWRCalcPts[Custom])+COUNTIF($T$3:T166,T166)-1,"")</f>
        <v/>
      </c>
      <c r="P166" s="60">
        <v>164</v>
      </c>
      <c r="Q166" s="60" t="str">
        <f>IFERROR(INDEX(TableWRMaster[Player],MATCH(TableWRCalcPts[[#This Row],[WRRef]],TableWRMaster[WRRef],0)),"")</f>
        <v/>
      </c>
      <c r="R166" s="60" t="str">
        <f>IFERROR(INDEX(TableWRMaster[TM],MATCH(TableWRCalcPts[[#This Row],[WRRef]],TableWRMaster[WRRef],0)),"")</f>
        <v/>
      </c>
      <c r="S166" s="60" t="str">
        <f>IFERROR(INDEX(TableWRMaster[BYE],MATCH(TableWRCalcPts[[#This Row],[WRRef]],TableWRMaster[WRRef],0)),"")</f>
        <v/>
      </c>
      <c r="T166" s="61" t="str">
        <f>IFERROR(INDEX(TableWRMaster[Custom],MATCH(TableWRCalcPts[[#This Row],[WRRef]],TableWRMaster[WRRef],0)),"")</f>
        <v/>
      </c>
      <c r="AI166" s="60" t="s">
        <v>257</v>
      </c>
      <c r="AJ166" s="60">
        <f>IFERROR(RANK(TableWRTECalcPts[[#This Row],[Custom]],TableWRTECalcPts[Custom])+COUNTIF($AP$3:AP166,AP166)-1,"")</f>
        <v>138</v>
      </c>
      <c r="AK166" s="113">
        <v>64</v>
      </c>
      <c r="AL166" s="113" t="str">
        <f>IFERROR(INDEX(TableWRMaster[Player],MATCH(TableWRTECalcPts[[#This Row],[POSRef]],TableWRMaster[WRRef],0)),"")</f>
        <v>Tank Dell</v>
      </c>
      <c r="AM166" s="113" t="str">
        <f>IFERROR(_xlfn.CONCAT(TableWRTECalcPts[[#This Row],[POS]],INDEX(TableWRRanks[RK],MATCH(TableWRTECalcPts[[#This Row],[PLAYER]],TableWRRanks[Player],0))),"")</f>
        <v>WR101</v>
      </c>
      <c r="AN166" s="113" t="str">
        <f>IFERROR(INDEX(TableWRMaster[TM],MATCH(TableWRTECalcPts[[#This Row],[POSRef]],TableWRMaster[WRRef],0)),"")</f>
        <v>HOU</v>
      </c>
      <c r="AO166" s="113">
        <f>IFERROR(INDEX(TableWRMaster[BYE],MATCH(TableWRTECalcPts[[#This Row],[POSRef]],TableWRMaster[WRRef],0)),"")</f>
        <v>7</v>
      </c>
      <c r="AP166" s="111">
        <f>IFERROR(INDEX(TableWRMaster[Custom],MATCH(TableWRTECalcPts[[#This Row],[POSRef]],TableWRMaster[WRRef],0)),"")</f>
        <v>59.210008222847328</v>
      </c>
    </row>
    <row r="167" spans="8:42" x14ac:dyDescent="0.2">
      <c r="H167" s="60" t="str">
        <f>IFERROR(RANK(TableRBCalcPts[[#This Row],[Custom]],TableRBCalcPts[Custom])+COUNTIF($M$3:M167,M167)-1,"")</f>
        <v/>
      </c>
      <c r="I167" s="60">
        <v>165</v>
      </c>
      <c r="J167" s="60" t="str">
        <f>IFERROR(INDEX(TableRBMaster[Player],MATCH(TableRBCalcPts[[#This Row],[RBRef]],TableRBMaster[RBRef],0)),"")</f>
        <v/>
      </c>
      <c r="K167" s="60" t="str">
        <f>IFERROR(INDEX(TableRBMaster[TM],MATCH(TableRBCalcPts[[#This Row],[RBRef]],TableRBMaster[RBRef],0)),"")</f>
        <v/>
      </c>
      <c r="L167" s="60" t="str">
        <f>IFERROR(INDEX(TableRBMaster[BYE],MATCH(TableRBCalcPts[[#This Row],[RBRef]],TableRBMaster[RBRef],0)),"")</f>
        <v/>
      </c>
      <c r="M167" s="61" t="str">
        <f>IFERROR(INDEX(TableRBMaster[Custom],MATCH(TableRBCalcPts[[#This Row],[RBRef]],TableRBMaster[RBRef],0)),"")</f>
        <v/>
      </c>
      <c r="O167" s="60" t="str">
        <f>IFERROR(RANK(TableWRCalcPts[[#This Row],[Custom]],TableWRCalcPts[Custom])+COUNTIF($T$3:T167,T167)-1,"")</f>
        <v/>
      </c>
      <c r="P167" s="60">
        <v>165</v>
      </c>
      <c r="Q167" s="60" t="str">
        <f>IFERROR(INDEX(TableWRMaster[Player],MATCH(TableWRCalcPts[[#This Row],[WRRef]],TableWRMaster[WRRef],0)),"")</f>
        <v/>
      </c>
      <c r="R167" s="60" t="str">
        <f>IFERROR(INDEX(TableWRMaster[TM],MATCH(TableWRCalcPts[[#This Row],[WRRef]],TableWRMaster[WRRef],0)),"")</f>
        <v/>
      </c>
      <c r="S167" s="60" t="str">
        <f>IFERROR(INDEX(TableWRMaster[BYE],MATCH(TableWRCalcPts[[#This Row],[WRRef]],TableWRMaster[WRRef],0)),"")</f>
        <v/>
      </c>
      <c r="T167" s="61" t="str">
        <f>IFERROR(INDEX(TableWRMaster[Custom],MATCH(TableWRCalcPts[[#This Row],[WRRef]],TableWRMaster[WRRef],0)),"")</f>
        <v/>
      </c>
      <c r="AI167" s="60" t="s">
        <v>257</v>
      </c>
      <c r="AJ167" s="60">
        <f>IFERROR(RANK(TableWRTECalcPts[[#This Row],[Custom]],TableWRTECalcPts[Custom])+COUNTIF($AP$3:AP167,AP167)-1,"")</f>
        <v>107</v>
      </c>
      <c r="AK167" s="113">
        <v>65</v>
      </c>
      <c r="AL167" s="113" t="str">
        <f>IFERROR(INDEX(TableWRMaster[Player],MATCH(TableWRTECalcPts[[#This Row],[POSRef]],TableWRMaster[WRRef],0)),"")</f>
        <v>Noah Brown</v>
      </c>
      <c r="AM167" s="113" t="str">
        <f>IFERROR(_xlfn.CONCAT(TableWRTECalcPts[[#This Row],[POS]],INDEX(TableWRRanks[RK],MATCH(TableWRTECalcPts[[#This Row],[PLAYER]],TableWRRanks[Player],0))),"")</f>
        <v>WR81</v>
      </c>
      <c r="AN167" s="113" t="str">
        <f>IFERROR(INDEX(TableWRMaster[TM],MATCH(TableWRTECalcPts[[#This Row],[POSRef]],TableWRMaster[WRRef],0)),"")</f>
        <v>HOU</v>
      </c>
      <c r="AO167" s="113">
        <f>IFERROR(INDEX(TableWRMaster[BYE],MATCH(TableWRTECalcPts[[#This Row],[POSRef]],TableWRMaster[WRRef],0)),"")</f>
        <v>7</v>
      </c>
      <c r="AP167" s="111">
        <f>IFERROR(INDEX(TableWRMaster[Custom],MATCH(TableWRTECalcPts[[#This Row],[POSRef]],TableWRMaster[WRRef],0)),"")</f>
        <v>90.783936841197601</v>
      </c>
    </row>
    <row r="168" spans="8:42" x14ac:dyDescent="0.2">
      <c r="H168" s="60" t="str">
        <f>IFERROR(RANK(TableRBCalcPts[[#This Row],[Custom]],TableRBCalcPts[Custom])+COUNTIF($M$3:M168,M168)-1,"")</f>
        <v/>
      </c>
      <c r="I168" s="60">
        <v>166</v>
      </c>
      <c r="J168" s="60" t="str">
        <f>IFERROR(INDEX(TableRBMaster[Player],MATCH(TableRBCalcPts[[#This Row],[RBRef]],TableRBMaster[RBRef],0)),"")</f>
        <v/>
      </c>
      <c r="K168" s="60" t="str">
        <f>IFERROR(INDEX(TableRBMaster[TM],MATCH(TableRBCalcPts[[#This Row],[RBRef]],TableRBMaster[RBRef],0)),"")</f>
        <v/>
      </c>
      <c r="L168" s="60" t="str">
        <f>IFERROR(INDEX(TableRBMaster[BYE],MATCH(TableRBCalcPts[[#This Row],[RBRef]],TableRBMaster[RBRef],0)),"")</f>
        <v/>
      </c>
      <c r="M168" s="61" t="str">
        <f>IFERROR(INDEX(TableRBMaster[Custom],MATCH(TableRBCalcPts[[#This Row],[RBRef]],TableRBMaster[RBRef],0)),"")</f>
        <v/>
      </c>
      <c r="O168" s="60" t="str">
        <f>IFERROR(RANK(TableWRCalcPts[[#This Row],[Custom]],TableWRCalcPts[Custom])+COUNTIF($T$3:T168,T168)-1,"")</f>
        <v/>
      </c>
      <c r="P168" s="60">
        <v>166</v>
      </c>
      <c r="Q168" s="60" t="str">
        <f>IFERROR(INDEX(TableWRMaster[Player],MATCH(TableWRCalcPts[[#This Row],[WRRef]],TableWRMaster[WRRef],0)),"")</f>
        <v/>
      </c>
      <c r="R168" s="60" t="str">
        <f>IFERROR(INDEX(TableWRMaster[TM],MATCH(TableWRCalcPts[[#This Row],[WRRef]],TableWRMaster[WRRef],0)),"")</f>
        <v/>
      </c>
      <c r="S168" s="60" t="str">
        <f>IFERROR(INDEX(TableWRMaster[BYE],MATCH(TableWRCalcPts[[#This Row],[WRRef]],TableWRMaster[WRRef],0)),"")</f>
        <v/>
      </c>
      <c r="T168" s="61" t="str">
        <f>IFERROR(INDEX(TableWRMaster[Custom],MATCH(TableWRCalcPts[[#This Row],[WRRef]],TableWRMaster[WRRef],0)),"")</f>
        <v/>
      </c>
      <c r="AI168" s="60" t="s">
        <v>257</v>
      </c>
      <c r="AJ168" s="60">
        <f>IFERROR(RANK(TableWRTECalcPts[[#This Row],[Custom]],TableWRTECalcPts[Custom])+COUNTIF($AP$3:AP168,AP168)-1,"")</f>
        <v>242</v>
      </c>
      <c r="AK168" s="113">
        <v>66</v>
      </c>
      <c r="AL168" s="113" t="str">
        <f>IFERROR(INDEX(TableWRMaster[Player],MATCH(TableWRTECalcPts[[#This Row],[POSRef]],TableWRMaster[WRRef],0)),"")</f>
        <v>Xavier Hutchinson</v>
      </c>
      <c r="AM168" s="113" t="str">
        <f>IFERROR(_xlfn.CONCAT(TableWRTECalcPts[[#This Row],[POS]],INDEX(TableWRRanks[RK],MATCH(TableWRTECalcPts[[#This Row],[PLAYER]],TableWRRanks[Player],0))),"")</f>
        <v>WR160</v>
      </c>
      <c r="AN168" s="113" t="str">
        <f>IFERROR(INDEX(TableWRMaster[TM],MATCH(TableWRTECalcPts[[#This Row],[POSRef]],TableWRMaster[WRRef],0)),"")</f>
        <v>HOU</v>
      </c>
      <c r="AO168" s="113">
        <f>IFERROR(INDEX(TableWRMaster[BYE],MATCH(TableWRTECalcPts[[#This Row],[POSRef]],TableWRMaster[WRRef],0)),"")</f>
        <v>7</v>
      </c>
      <c r="AP168" s="111">
        <f>IFERROR(INDEX(TableWRMaster[Custom],MATCH(TableWRTECalcPts[[#This Row],[POSRef]],TableWRMaster[WRRef],0)),"")</f>
        <v>9.68795222327239</v>
      </c>
    </row>
    <row r="169" spans="8:42" x14ac:dyDescent="0.2">
      <c r="H169" s="60" t="str">
        <f>IFERROR(RANK(TableRBCalcPts[[#This Row],[Custom]],TableRBCalcPts[Custom])+COUNTIF($M$3:M169,M169)-1,"")</f>
        <v/>
      </c>
      <c r="I169" s="60">
        <v>167</v>
      </c>
      <c r="J169" s="60" t="str">
        <f>IFERROR(INDEX(TableRBMaster[Player],MATCH(TableRBCalcPts[[#This Row],[RBRef]],TableRBMaster[RBRef],0)),"")</f>
        <v/>
      </c>
      <c r="K169" s="60" t="str">
        <f>IFERROR(INDEX(TableRBMaster[TM],MATCH(TableRBCalcPts[[#This Row],[RBRef]],TableRBMaster[RBRef],0)),"")</f>
        <v/>
      </c>
      <c r="L169" s="60" t="str">
        <f>IFERROR(INDEX(TableRBMaster[BYE],MATCH(TableRBCalcPts[[#This Row],[RBRef]],TableRBMaster[RBRef],0)),"")</f>
        <v/>
      </c>
      <c r="M169" s="61" t="str">
        <f>IFERROR(INDEX(TableRBMaster[Custom],MATCH(TableRBCalcPts[[#This Row],[RBRef]],TableRBMaster[RBRef],0)),"")</f>
        <v/>
      </c>
      <c r="O169" s="60" t="str">
        <f>IFERROR(RANK(TableWRCalcPts[[#This Row],[Custom]],TableWRCalcPts[Custom])+COUNTIF($T$3:T169,T169)-1,"")</f>
        <v/>
      </c>
      <c r="P169" s="60">
        <v>167</v>
      </c>
      <c r="Q169" s="60" t="str">
        <f>IFERROR(INDEX(TableWRMaster[Player],MATCH(TableWRCalcPts[[#This Row],[WRRef]],TableWRMaster[WRRef],0)),"")</f>
        <v/>
      </c>
      <c r="R169" s="60" t="str">
        <f>IFERROR(INDEX(TableWRMaster[TM],MATCH(TableWRCalcPts[[#This Row],[WRRef]],TableWRMaster[WRRef],0)),"")</f>
        <v/>
      </c>
      <c r="S169" s="60" t="str">
        <f>IFERROR(INDEX(TableWRMaster[BYE],MATCH(TableWRCalcPts[[#This Row],[WRRef]],TableWRMaster[WRRef],0)),"")</f>
        <v/>
      </c>
      <c r="T169" s="61" t="str">
        <f>IFERROR(INDEX(TableWRMaster[Custom],MATCH(TableWRCalcPts[[#This Row],[WRRef]],TableWRMaster[WRRef],0)),"")</f>
        <v/>
      </c>
      <c r="AI169" s="60" t="s">
        <v>257</v>
      </c>
      <c r="AJ169" s="60">
        <f>IFERROR(RANK(TableWRTECalcPts[[#This Row],[Custom]],TableWRTECalcPts[Custom])+COUNTIF($AP$3:AP169,AP169)-1,"")</f>
        <v>50</v>
      </c>
      <c r="AK169" s="113">
        <v>67</v>
      </c>
      <c r="AL169" s="113" t="str">
        <f>IFERROR(INDEX(TableWRMaster[Player],MATCH(TableWRTECalcPts[[#This Row],[POSRef]],TableWRMaster[WRRef],0)),"")</f>
        <v>Michael Pittman</v>
      </c>
      <c r="AM169" s="113" t="str">
        <f>IFERROR(_xlfn.CONCAT(TableWRTECalcPts[[#This Row],[POS]],INDEX(TableWRRanks[RK],MATCH(TableWRTECalcPts[[#This Row],[PLAYER]],TableWRRanks[Player],0))),"")</f>
        <v>WR45</v>
      </c>
      <c r="AN169" s="113" t="str">
        <f>IFERROR(INDEX(TableWRMaster[TM],MATCH(TableWRTECalcPts[[#This Row],[POSRef]],TableWRMaster[WRRef],0)),"")</f>
        <v>IND</v>
      </c>
      <c r="AO169" s="113">
        <f>IFERROR(INDEX(TableWRMaster[BYE],MATCH(TableWRTECalcPts[[#This Row],[POSRef]],TableWRMaster[WRRef],0)),"")</f>
        <v>11</v>
      </c>
      <c r="AP169" s="111">
        <f>IFERROR(INDEX(TableWRMaster[Custom],MATCH(TableWRTECalcPts[[#This Row],[POSRef]],TableWRMaster[WRRef],0)),"")</f>
        <v>147.32864579569036</v>
      </c>
    </row>
    <row r="170" spans="8:42" x14ac:dyDescent="0.2">
      <c r="H170" s="60" t="str">
        <f>IFERROR(RANK(TableRBCalcPts[[#This Row],[Custom]],TableRBCalcPts[Custom])+COUNTIF($M$3:M170,M170)-1,"")</f>
        <v/>
      </c>
      <c r="I170" s="60">
        <v>168</v>
      </c>
      <c r="J170" s="60" t="str">
        <f>IFERROR(INDEX(TableRBMaster[Player],MATCH(TableRBCalcPts[[#This Row],[RBRef]],TableRBMaster[RBRef],0)),"")</f>
        <v/>
      </c>
      <c r="K170" s="60" t="str">
        <f>IFERROR(INDEX(TableRBMaster[TM],MATCH(TableRBCalcPts[[#This Row],[RBRef]],TableRBMaster[RBRef],0)),"")</f>
        <v/>
      </c>
      <c r="L170" s="60" t="str">
        <f>IFERROR(INDEX(TableRBMaster[BYE],MATCH(TableRBCalcPts[[#This Row],[RBRef]],TableRBMaster[RBRef],0)),"")</f>
        <v/>
      </c>
      <c r="M170" s="61" t="str">
        <f>IFERROR(INDEX(TableRBMaster[Custom],MATCH(TableRBCalcPts[[#This Row],[RBRef]],TableRBMaster[RBRef],0)),"")</f>
        <v/>
      </c>
      <c r="O170" s="60" t="str">
        <f>IFERROR(RANK(TableWRCalcPts[[#This Row],[Custom]],TableWRCalcPts[Custom])+COUNTIF($T$3:T170,T170)-1,"")</f>
        <v/>
      </c>
      <c r="P170" s="60">
        <v>168</v>
      </c>
      <c r="Q170" s="60" t="str">
        <f>IFERROR(INDEX(TableWRMaster[Player],MATCH(TableWRCalcPts[[#This Row],[WRRef]],TableWRMaster[WRRef],0)),"")</f>
        <v/>
      </c>
      <c r="R170" s="60" t="str">
        <f>IFERROR(INDEX(TableWRMaster[TM],MATCH(TableWRCalcPts[[#This Row],[WRRef]],TableWRMaster[WRRef],0)),"")</f>
        <v/>
      </c>
      <c r="S170" s="60" t="str">
        <f>IFERROR(INDEX(TableWRMaster[BYE],MATCH(TableWRCalcPts[[#This Row],[WRRef]],TableWRMaster[WRRef],0)),"")</f>
        <v/>
      </c>
      <c r="T170" s="61" t="str">
        <f>IFERROR(INDEX(TableWRMaster[Custom],MATCH(TableWRCalcPts[[#This Row],[WRRef]],TableWRMaster[WRRef],0)),"")</f>
        <v/>
      </c>
      <c r="AI170" s="60" t="s">
        <v>257</v>
      </c>
      <c r="AJ170" s="60">
        <f>IFERROR(RANK(TableWRTECalcPts[[#This Row],[Custom]],TableWRTECalcPts[Custom])+COUNTIF($AP$3:AP170,AP170)-1,"")</f>
        <v>100</v>
      </c>
      <c r="AK170" s="113">
        <v>68</v>
      </c>
      <c r="AL170" s="113" t="str">
        <f>IFERROR(INDEX(TableWRMaster[Player],MATCH(TableWRTECalcPts[[#This Row],[POSRef]],TableWRMaster[WRRef],0)),"")</f>
        <v>Alec Pierce</v>
      </c>
      <c r="AM170" s="113" t="str">
        <f>IFERROR(_xlfn.CONCAT(TableWRTECalcPts[[#This Row],[POS]],INDEX(TableWRRanks[RK],MATCH(TableWRTECalcPts[[#This Row],[PLAYER]],TableWRRanks[Player],0))),"")</f>
        <v>WR76</v>
      </c>
      <c r="AN170" s="113" t="str">
        <f>IFERROR(INDEX(TableWRMaster[TM],MATCH(TableWRTECalcPts[[#This Row],[POSRef]],TableWRMaster[WRRef],0)),"")</f>
        <v>IND</v>
      </c>
      <c r="AO170" s="113">
        <f>IFERROR(INDEX(TableWRMaster[BYE],MATCH(TableWRTECalcPts[[#This Row],[POSRef]],TableWRMaster[WRRef],0)),"")</f>
        <v>11</v>
      </c>
      <c r="AP170" s="111">
        <f>IFERROR(INDEX(TableWRMaster[Custom],MATCH(TableWRTECalcPts[[#This Row],[POSRef]],TableWRMaster[WRRef],0)),"")</f>
        <v>94.292158056808148</v>
      </c>
    </row>
    <row r="171" spans="8:42" x14ac:dyDescent="0.2">
      <c r="H171" s="60" t="str">
        <f>IFERROR(RANK(TableRBCalcPts[[#This Row],[Custom]],TableRBCalcPts[Custom])+COUNTIF($M$3:M171,M171)-1,"")</f>
        <v/>
      </c>
      <c r="I171" s="60">
        <v>169</v>
      </c>
      <c r="J171" s="60" t="str">
        <f>IFERROR(INDEX(TableRBMaster[Player],MATCH(TableRBCalcPts[[#This Row],[RBRef]],TableRBMaster[RBRef],0)),"")</f>
        <v/>
      </c>
      <c r="K171" s="60" t="str">
        <f>IFERROR(INDEX(TableRBMaster[TM],MATCH(TableRBCalcPts[[#This Row],[RBRef]],TableRBMaster[RBRef],0)),"")</f>
        <v/>
      </c>
      <c r="L171" s="60" t="str">
        <f>IFERROR(INDEX(TableRBMaster[BYE],MATCH(TableRBCalcPts[[#This Row],[RBRef]],TableRBMaster[RBRef],0)),"")</f>
        <v/>
      </c>
      <c r="M171" s="61" t="str">
        <f>IFERROR(INDEX(TableRBMaster[Custom],MATCH(TableRBCalcPts[[#This Row],[RBRef]],TableRBMaster[RBRef],0)),"")</f>
        <v/>
      </c>
      <c r="O171" s="60" t="str">
        <f>IFERROR(RANK(TableWRCalcPts[[#This Row],[Custom]],TableWRCalcPts[Custom])+COUNTIF($T$3:T171,T171)-1,"")</f>
        <v/>
      </c>
      <c r="P171" s="60">
        <v>169</v>
      </c>
      <c r="Q171" s="60" t="str">
        <f>IFERROR(INDEX(TableWRMaster[Player],MATCH(TableWRCalcPts[[#This Row],[WRRef]],TableWRMaster[WRRef],0)),"")</f>
        <v/>
      </c>
      <c r="R171" s="60" t="str">
        <f>IFERROR(INDEX(TableWRMaster[TM],MATCH(TableWRCalcPts[[#This Row],[WRRef]],TableWRMaster[WRRef],0)),"")</f>
        <v/>
      </c>
      <c r="S171" s="60" t="str">
        <f>IFERROR(INDEX(TableWRMaster[BYE],MATCH(TableWRCalcPts[[#This Row],[WRRef]],TableWRMaster[WRRef],0)),"")</f>
        <v/>
      </c>
      <c r="T171" s="61" t="str">
        <f>IFERROR(INDEX(TableWRMaster[Custom],MATCH(TableWRCalcPts[[#This Row],[WRRef]],TableWRMaster[WRRef],0)),"")</f>
        <v/>
      </c>
      <c r="AI171" s="60" t="s">
        <v>257</v>
      </c>
      <c r="AJ171" s="60">
        <f>IFERROR(RANK(TableWRTECalcPts[[#This Row],[Custom]],TableWRTECalcPts[Custom])+COUNTIF($AP$3:AP171,AP171)-1,"")</f>
        <v>157</v>
      </c>
      <c r="AK171" s="113">
        <v>69</v>
      </c>
      <c r="AL171" s="113" t="str">
        <f>IFERROR(INDEX(TableWRMaster[Player],MATCH(TableWRTECalcPts[[#This Row],[POSRef]],TableWRMaster[WRRef],0)),"")</f>
        <v>Isaiah McKenzie</v>
      </c>
      <c r="AM171" s="113" t="str">
        <f>IFERROR(_xlfn.CONCAT(TableWRTECalcPts[[#This Row],[POS]],INDEX(TableWRRanks[RK],MATCH(TableWRTECalcPts[[#This Row],[PLAYER]],TableWRRanks[Player],0))),"")</f>
        <v>WR113</v>
      </c>
      <c r="AN171" s="113" t="str">
        <f>IFERROR(INDEX(TableWRMaster[TM],MATCH(TableWRTECalcPts[[#This Row],[POSRef]],TableWRMaster[WRRef],0)),"")</f>
        <v>IND</v>
      </c>
      <c r="AO171" s="113">
        <f>IFERROR(INDEX(TableWRMaster[BYE],MATCH(TableWRTECalcPts[[#This Row],[POSRef]],TableWRMaster[WRRef],0)),"")</f>
        <v>11</v>
      </c>
      <c r="AP171" s="111">
        <f>IFERROR(INDEX(TableWRMaster[Custom],MATCH(TableWRTECalcPts[[#This Row],[POSRef]],TableWRMaster[WRRef],0)),"")</f>
        <v>39.328571361895207</v>
      </c>
    </row>
    <row r="172" spans="8:42" x14ac:dyDescent="0.2">
      <c r="H172" s="60" t="str">
        <f>IFERROR(RANK(TableRBCalcPts[[#This Row],[Custom]],TableRBCalcPts[Custom])+COUNTIF($M$3:M172,M172)-1,"")</f>
        <v/>
      </c>
      <c r="I172" s="60">
        <v>170</v>
      </c>
      <c r="J172" s="60" t="str">
        <f>IFERROR(INDEX(TableRBMaster[Player],MATCH(TableRBCalcPts[[#This Row],[RBRef]],TableRBMaster[RBRef],0)),"")</f>
        <v/>
      </c>
      <c r="K172" s="60" t="str">
        <f>IFERROR(INDEX(TableRBMaster[TM],MATCH(TableRBCalcPts[[#This Row],[RBRef]],TableRBMaster[RBRef],0)),"")</f>
        <v/>
      </c>
      <c r="L172" s="60" t="str">
        <f>IFERROR(INDEX(TableRBMaster[BYE],MATCH(TableRBCalcPts[[#This Row],[RBRef]],TableRBMaster[RBRef],0)),"")</f>
        <v/>
      </c>
      <c r="M172" s="61" t="str">
        <f>IFERROR(INDEX(TableRBMaster[Custom],MATCH(TableRBCalcPts[[#This Row],[RBRef]],TableRBMaster[RBRef],0)),"")</f>
        <v/>
      </c>
      <c r="O172" s="60" t="str">
        <f>IFERROR(RANK(TableWRCalcPts[[#This Row],[Custom]],TableWRCalcPts[Custom])+COUNTIF($T$3:T172,T172)-1,"")</f>
        <v/>
      </c>
      <c r="P172" s="60">
        <v>170</v>
      </c>
      <c r="Q172" s="60" t="str">
        <f>IFERROR(INDEX(TableWRMaster[Player],MATCH(TableWRCalcPts[[#This Row],[WRRef]],TableWRMaster[WRRef],0)),"")</f>
        <v/>
      </c>
      <c r="R172" s="60" t="str">
        <f>IFERROR(INDEX(TableWRMaster[TM],MATCH(TableWRCalcPts[[#This Row],[WRRef]],TableWRMaster[WRRef],0)),"")</f>
        <v/>
      </c>
      <c r="S172" s="60" t="str">
        <f>IFERROR(INDEX(TableWRMaster[BYE],MATCH(TableWRCalcPts[[#This Row],[WRRef]],TableWRMaster[WRRef],0)),"")</f>
        <v/>
      </c>
      <c r="T172" s="61" t="str">
        <f>IFERROR(INDEX(TableWRMaster[Custom],MATCH(TableWRCalcPts[[#This Row],[WRRef]],TableWRMaster[WRRef],0)),"")</f>
        <v/>
      </c>
      <c r="AI172" s="60" t="s">
        <v>257</v>
      </c>
      <c r="AJ172" s="60">
        <f>IFERROR(RANK(TableWRTECalcPts[[#This Row],[Custom]],TableWRTECalcPts[Custom])+COUNTIF($AP$3:AP172,AP172)-1,"")</f>
        <v>80</v>
      </c>
      <c r="AK172" s="113">
        <v>70</v>
      </c>
      <c r="AL172" s="113" t="str">
        <f>IFERROR(INDEX(TableWRMaster[Player],MATCH(TableWRTECalcPts[[#This Row],[POSRef]],TableWRMaster[WRRef],0)),"")</f>
        <v>Josh Downs</v>
      </c>
      <c r="AM172" s="113" t="str">
        <f>IFERROR(_xlfn.CONCAT(TableWRTECalcPts[[#This Row],[POS]],INDEX(TableWRRanks[RK],MATCH(TableWRTECalcPts[[#This Row],[PLAYER]],TableWRRanks[Player],0))),"")</f>
        <v>WR68</v>
      </c>
      <c r="AN172" s="113" t="str">
        <f>IFERROR(INDEX(TableWRMaster[TM],MATCH(TableWRTECalcPts[[#This Row],[POSRef]],TableWRMaster[WRRef],0)),"")</f>
        <v>IND</v>
      </c>
      <c r="AO172" s="113">
        <f>IFERROR(INDEX(TableWRMaster[BYE],MATCH(TableWRTECalcPts[[#This Row],[POSRef]],TableWRMaster[WRRef],0)),"")</f>
        <v>11</v>
      </c>
      <c r="AP172" s="111">
        <f>IFERROR(INDEX(TableWRMaster[Custom],MATCH(TableWRTECalcPts[[#This Row],[POSRef]],TableWRMaster[WRRef],0)),"")</f>
        <v>113.73967041881546</v>
      </c>
    </row>
    <row r="173" spans="8:42" x14ac:dyDescent="0.2">
      <c r="H173" s="60" t="str">
        <f>IFERROR(RANK(TableRBCalcPts[[#This Row],[Custom]],TableRBCalcPts[Custom])+COUNTIF($M$3:M173,M173)-1,"")</f>
        <v/>
      </c>
      <c r="I173" s="60">
        <v>171</v>
      </c>
      <c r="J173" s="60" t="str">
        <f>IFERROR(INDEX(TableRBMaster[Player],MATCH(TableRBCalcPts[[#This Row],[RBRef]],TableRBMaster[RBRef],0)),"")</f>
        <v/>
      </c>
      <c r="K173" s="60" t="str">
        <f>IFERROR(INDEX(TableRBMaster[TM],MATCH(TableRBCalcPts[[#This Row],[RBRef]],TableRBMaster[RBRef],0)),"")</f>
        <v/>
      </c>
      <c r="L173" s="60" t="str">
        <f>IFERROR(INDEX(TableRBMaster[BYE],MATCH(TableRBCalcPts[[#This Row],[RBRef]],TableRBMaster[RBRef],0)),"")</f>
        <v/>
      </c>
      <c r="M173" s="61" t="str">
        <f>IFERROR(INDEX(TableRBMaster[Custom],MATCH(TableRBCalcPts[[#This Row],[RBRef]],TableRBMaster[RBRef],0)),"")</f>
        <v/>
      </c>
      <c r="O173" s="60" t="str">
        <f>IFERROR(RANK(TableWRCalcPts[[#This Row],[Custom]],TableWRCalcPts[Custom])+COUNTIF($T$3:T173,T173)-1,"")</f>
        <v/>
      </c>
      <c r="P173" s="60">
        <v>171</v>
      </c>
      <c r="Q173" s="60" t="str">
        <f>IFERROR(INDEX(TableWRMaster[Player],MATCH(TableWRCalcPts[[#This Row],[WRRef]],TableWRMaster[WRRef],0)),"")</f>
        <v/>
      </c>
      <c r="R173" s="60" t="str">
        <f>IFERROR(INDEX(TableWRMaster[TM],MATCH(TableWRCalcPts[[#This Row],[WRRef]],TableWRMaster[WRRef],0)),"")</f>
        <v/>
      </c>
      <c r="S173" s="60" t="str">
        <f>IFERROR(INDEX(TableWRMaster[BYE],MATCH(TableWRCalcPts[[#This Row],[WRRef]],TableWRMaster[WRRef],0)),"")</f>
        <v/>
      </c>
      <c r="T173" s="61" t="str">
        <f>IFERROR(INDEX(TableWRMaster[Custom],MATCH(TableWRCalcPts[[#This Row],[WRRef]],TableWRMaster[WRRef],0)),"")</f>
        <v/>
      </c>
      <c r="AI173" s="60" t="s">
        <v>257</v>
      </c>
      <c r="AJ173" s="60">
        <f>IFERROR(RANK(TableWRTECalcPts[[#This Row],[Custom]],TableWRTECalcPts[Custom])+COUNTIF($AP$3:AP173,AP173)-1,"")</f>
        <v>33</v>
      </c>
      <c r="AK173" s="113">
        <v>71</v>
      </c>
      <c r="AL173" s="113" t="str">
        <f>IFERROR(INDEX(TableWRMaster[Player],MATCH(TableWRTECalcPts[[#This Row],[POSRef]],TableWRMaster[WRRef],0)),"")</f>
        <v>Christian Kirk</v>
      </c>
      <c r="AM173" s="113" t="str">
        <f>IFERROR(_xlfn.CONCAT(TableWRTECalcPts[[#This Row],[POS]],INDEX(TableWRRanks[RK],MATCH(TableWRTECalcPts[[#This Row],[PLAYER]],TableWRRanks[Player],0))),"")</f>
        <v>WR29</v>
      </c>
      <c r="AN173" s="113" t="str">
        <f>IFERROR(INDEX(TableWRMaster[TM],MATCH(TableWRTECalcPts[[#This Row],[POSRef]],TableWRMaster[WRRef],0)),"")</f>
        <v>JAX</v>
      </c>
      <c r="AO173" s="113">
        <f>IFERROR(INDEX(TableWRMaster[BYE],MATCH(TableWRTECalcPts[[#This Row],[POSRef]],TableWRMaster[WRRef],0)),"")</f>
        <v>9</v>
      </c>
      <c r="AP173" s="111">
        <f>IFERROR(INDEX(TableWRMaster[Custom],MATCH(TableWRTECalcPts[[#This Row],[POSRef]],TableWRMaster[WRRef],0)),"")</f>
        <v>171.53592071198523</v>
      </c>
    </row>
    <row r="174" spans="8:42" x14ac:dyDescent="0.2">
      <c r="H174" s="60" t="str">
        <f>IFERROR(RANK(TableRBCalcPts[[#This Row],[Custom]],TableRBCalcPts[Custom])+COUNTIF($M$3:M174,M174)-1,"")</f>
        <v/>
      </c>
      <c r="I174" s="60">
        <v>172</v>
      </c>
      <c r="J174" s="60" t="str">
        <f>IFERROR(INDEX(TableRBMaster[Player],MATCH(TableRBCalcPts[[#This Row],[RBRef]],TableRBMaster[RBRef],0)),"")</f>
        <v/>
      </c>
      <c r="K174" s="60" t="str">
        <f>IFERROR(INDEX(TableRBMaster[TM],MATCH(TableRBCalcPts[[#This Row],[RBRef]],TableRBMaster[RBRef],0)),"")</f>
        <v/>
      </c>
      <c r="L174" s="60" t="str">
        <f>IFERROR(INDEX(TableRBMaster[BYE],MATCH(TableRBCalcPts[[#This Row],[RBRef]],TableRBMaster[RBRef],0)),"")</f>
        <v/>
      </c>
      <c r="M174" s="61" t="str">
        <f>IFERROR(INDEX(TableRBMaster[Custom],MATCH(TableRBCalcPts[[#This Row],[RBRef]],TableRBMaster[RBRef],0)),"")</f>
        <v/>
      </c>
      <c r="O174" s="60" t="str">
        <f>IFERROR(RANK(TableWRCalcPts[[#This Row],[Custom]],TableWRCalcPts[Custom])+COUNTIF($T$3:T174,T174)-1,"")</f>
        <v/>
      </c>
      <c r="P174" s="60">
        <v>172</v>
      </c>
      <c r="Q174" s="60" t="str">
        <f>IFERROR(INDEX(TableWRMaster[Player],MATCH(TableWRCalcPts[[#This Row],[WRRef]],TableWRMaster[WRRef],0)),"")</f>
        <v/>
      </c>
      <c r="R174" s="60" t="str">
        <f>IFERROR(INDEX(TableWRMaster[TM],MATCH(TableWRCalcPts[[#This Row],[WRRef]],TableWRMaster[WRRef],0)),"")</f>
        <v/>
      </c>
      <c r="S174" s="60" t="str">
        <f>IFERROR(INDEX(TableWRMaster[BYE],MATCH(TableWRCalcPts[[#This Row],[WRRef]],TableWRMaster[WRRef],0)),"")</f>
        <v/>
      </c>
      <c r="T174" s="61" t="str">
        <f>IFERROR(INDEX(TableWRMaster[Custom],MATCH(TableWRCalcPts[[#This Row],[WRRef]],TableWRMaster[WRRef],0)),"")</f>
        <v/>
      </c>
      <c r="AI174" s="60" t="s">
        <v>257</v>
      </c>
      <c r="AJ174" s="60">
        <f>IFERROR(RANK(TableWRTECalcPts[[#This Row],[Custom]],TableWRTECalcPts[Custom])+COUNTIF($AP$3:AP174,AP174)-1,"")</f>
        <v>14</v>
      </c>
      <c r="AK174" s="113">
        <v>72</v>
      </c>
      <c r="AL174" s="113" t="str">
        <f>IFERROR(INDEX(TableWRMaster[Player],MATCH(TableWRTECalcPts[[#This Row],[POSRef]],TableWRMaster[WRRef],0)),"")</f>
        <v>Calvin Ridley</v>
      </c>
      <c r="AM174" s="113" t="str">
        <f>IFERROR(_xlfn.CONCAT(TableWRTECalcPts[[#This Row],[POS]],INDEX(TableWRRanks[RK],MATCH(TableWRTECalcPts[[#This Row],[PLAYER]],TableWRRanks[Player],0))),"")</f>
        <v>WR13</v>
      </c>
      <c r="AN174" s="113" t="str">
        <f>IFERROR(INDEX(TableWRMaster[TM],MATCH(TableWRTECalcPts[[#This Row],[POSRef]],TableWRMaster[WRRef],0)),"")</f>
        <v>JAX</v>
      </c>
      <c r="AO174" s="113">
        <f>IFERROR(INDEX(TableWRMaster[BYE],MATCH(TableWRTECalcPts[[#This Row],[POSRef]],TableWRMaster[WRRef],0)),"")</f>
        <v>9</v>
      </c>
      <c r="AP174" s="111">
        <f>IFERROR(INDEX(TableWRMaster[Custom],MATCH(TableWRTECalcPts[[#This Row],[POSRef]],TableWRMaster[WRRef],0)),"")</f>
        <v>205.85347666981542</v>
      </c>
    </row>
    <row r="175" spans="8:42" x14ac:dyDescent="0.2">
      <c r="H175" s="60" t="str">
        <f>IFERROR(RANK(TableRBCalcPts[[#This Row],[Custom]],TableRBCalcPts[Custom])+COUNTIF($M$3:M175,M175)-1,"")</f>
        <v/>
      </c>
      <c r="I175" s="60">
        <v>173</v>
      </c>
      <c r="J175" s="60" t="str">
        <f>IFERROR(INDEX(TableRBMaster[Player],MATCH(TableRBCalcPts[[#This Row],[RBRef]],TableRBMaster[RBRef],0)),"")</f>
        <v/>
      </c>
      <c r="K175" s="60" t="str">
        <f>IFERROR(INDEX(TableRBMaster[TM],MATCH(TableRBCalcPts[[#This Row],[RBRef]],TableRBMaster[RBRef],0)),"")</f>
        <v/>
      </c>
      <c r="L175" s="60" t="str">
        <f>IFERROR(INDEX(TableRBMaster[BYE],MATCH(TableRBCalcPts[[#This Row],[RBRef]],TableRBMaster[RBRef],0)),"")</f>
        <v/>
      </c>
      <c r="M175" s="61" t="str">
        <f>IFERROR(INDEX(TableRBMaster[Custom],MATCH(TableRBCalcPts[[#This Row],[RBRef]],TableRBMaster[RBRef],0)),"")</f>
        <v/>
      </c>
      <c r="O175" s="60" t="str">
        <f>IFERROR(RANK(TableWRCalcPts[[#This Row],[Custom]],TableWRCalcPts[Custom])+COUNTIF($T$3:T175,T175)-1,"")</f>
        <v/>
      </c>
      <c r="P175" s="60">
        <v>173</v>
      </c>
      <c r="Q175" s="60" t="str">
        <f>IFERROR(INDEX(TableWRMaster[Player],MATCH(TableWRCalcPts[[#This Row],[WRRef]],TableWRMaster[WRRef],0)),"")</f>
        <v/>
      </c>
      <c r="R175" s="60" t="str">
        <f>IFERROR(INDEX(TableWRMaster[TM],MATCH(TableWRCalcPts[[#This Row],[WRRef]],TableWRMaster[WRRef],0)),"")</f>
        <v/>
      </c>
      <c r="S175" s="60" t="str">
        <f>IFERROR(INDEX(TableWRMaster[BYE],MATCH(TableWRCalcPts[[#This Row],[WRRef]],TableWRMaster[WRRef],0)),"")</f>
        <v/>
      </c>
      <c r="T175" s="61" t="str">
        <f>IFERROR(INDEX(TableWRMaster[Custom],MATCH(TableWRCalcPts[[#This Row],[WRRef]],TableWRMaster[WRRef],0)),"")</f>
        <v/>
      </c>
      <c r="AI175" s="60" t="s">
        <v>257</v>
      </c>
      <c r="AJ175" s="60">
        <f>IFERROR(RANK(TableWRTECalcPts[[#This Row],[Custom]],TableWRTECalcPts[Custom])+COUNTIF($AP$3:AP175,AP175)-1,"")</f>
        <v>48</v>
      </c>
      <c r="AK175" s="113">
        <v>73</v>
      </c>
      <c r="AL175" s="113" t="str">
        <f>IFERROR(INDEX(TableWRMaster[Player],MATCH(TableWRTECalcPts[[#This Row],[POSRef]],TableWRMaster[WRRef],0)),"")</f>
        <v>Zay Jones</v>
      </c>
      <c r="AM175" s="113" t="str">
        <f>IFERROR(_xlfn.CONCAT(TableWRTECalcPts[[#This Row],[POS]],INDEX(TableWRRanks[RK],MATCH(TableWRTECalcPts[[#This Row],[PLAYER]],TableWRRanks[Player],0))),"")</f>
        <v>WR43</v>
      </c>
      <c r="AN175" s="113" t="str">
        <f>IFERROR(INDEX(TableWRMaster[TM],MATCH(TableWRTECalcPts[[#This Row],[POSRef]],TableWRMaster[WRRef],0)),"")</f>
        <v>JAX</v>
      </c>
      <c r="AO175" s="113">
        <f>IFERROR(INDEX(TableWRMaster[BYE],MATCH(TableWRTECalcPts[[#This Row],[POSRef]],TableWRMaster[WRRef],0)),"")</f>
        <v>9</v>
      </c>
      <c r="AP175" s="111">
        <f>IFERROR(INDEX(TableWRMaster[Custom],MATCH(TableWRTECalcPts[[#This Row],[POSRef]],TableWRMaster[WRRef],0)),"")</f>
        <v>150.18755470457839</v>
      </c>
    </row>
    <row r="176" spans="8:42" x14ac:dyDescent="0.2">
      <c r="H176" s="60" t="str">
        <f>IFERROR(RANK(TableRBCalcPts[[#This Row],[Custom]],TableRBCalcPts[Custom])+COUNTIF($M$3:M176,M176)-1,"")</f>
        <v/>
      </c>
      <c r="I176" s="60">
        <v>174</v>
      </c>
      <c r="J176" s="60" t="str">
        <f>IFERROR(INDEX(TableRBMaster[Player],MATCH(TableRBCalcPts[[#This Row],[RBRef]],TableRBMaster[RBRef],0)),"")</f>
        <v/>
      </c>
      <c r="K176" s="60" t="str">
        <f>IFERROR(INDEX(TableRBMaster[TM],MATCH(TableRBCalcPts[[#This Row],[RBRef]],TableRBMaster[RBRef],0)),"")</f>
        <v/>
      </c>
      <c r="L176" s="60" t="str">
        <f>IFERROR(INDEX(TableRBMaster[BYE],MATCH(TableRBCalcPts[[#This Row],[RBRef]],TableRBMaster[RBRef],0)),"")</f>
        <v/>
      </c>
      <c r="M176" s="61" t="str">
        <f>IFERROR(INDEX(TableRBMaster[Custom],MATCH(TableRBCalcPts[[#This Row],[RBRef]],TableRBMaster[RBRef],0)),"")</f>
        <v/>
      </c>
      <c r="O176" s="60" t="str">
        <f>IFERROR(RANK(TableWRCalcPts[[#This Row],[Custom]],TableWRCalcPts[Custom])+COUNTIF($T$3:T176,T176)-1,"")</f>
        <v/>
      </c>
      <c r="P176" s="60">
        <v>174</v>
      </c>
      <c r="Q176" s="60" t="str">
        <f>IFERROR(INDEX(TableWRMaster[Player],MATCH(TableWRCalcPts[[#This Row],[WRRef]],TableWRMaster[WRRef],0)),"")</f>
        <v/>
      </c>
      <c r="R176" s="60" t="str">
        <f>IFERROR(INDEX(TableWRMaster[TM],MATCH(TableWRCalcPts[[#This Row],[WRRef]],TableWRMaster[WRRef],0)),"")</f>
        <v/>
      </c>
      <c r="S176" s="60" t="str">
        <f>IFERROR(INDEX(TableWRMaster[BYE],MATCH(TableWRCalcPts[[#This Row],[WRRef]],TableWRMaster[WRRef],0)),"")</f>
        <v/>
      </c>
      <c r="T176" s="61" t="str">
        <f>IFERROR(INDEX(TableWRMaster[Custom],MATCH(TableWRCalcPts[[#This Row],[WRRef]],TableWRMaster[WRRef],0)),"")</f>
        <v/>
      </c>
      <c r="AI176" s="60" t="s">
        <v>257</v>
      </c>
      <c r="AJ176" s="60">
        <f>IFERROR(RANK(TableWRTECalcPts[[#This Row],[Custom]],TableWRTECalcPts[Custom])+COUNTIF($AP$3:AP176,AP176)-1,"")</f>
        <v>172</v>
      </c>
      <c r="AK176" s="113">
        <v>74</v>
      </c>
      <c r="AL176" s="113" t="str">
        <f>IFERROR(INDEX(TableWRMaster[Player],MATCH(TableWRTECalcPts[[#This Row],[POSRef]],TableWRMaster[WRRef],0)),"")</f>
        <v>Jamal Agnew</v>
      </c>
      <c r="AM176" s="113" t="str">
        <f>IFERROR(_xlfn.CONCAT(TableWRTECalcPts[[#This Row],[POS]],INDEX(TableWRRanks[RK],MATCH(TableWRTECalcPts[[#This Row],[PLAYER]],TableWRRanks[Player],0))),"")</f>
        <v>WR125</v>
      </c>
      <c r="AN176" s="113" t="str">
        <f>IFERROR(INDEX(TableWRMaster[TM],MATCH(TableWRTECalcPts[[#This Row],[POSRef]],TableWRMaster[WRRef],0)),"")</f>
        <v>JAX</v>
      </c>
      <c r="AO176" s="113">
        <f>IFERROR(INDEX(TableWRMaster[BYE],MATCH(TableWRTECalcPts[[#This Row],[POSRef]],TableWRMaster[WRRef],0)),"")</f>
        <v>9</v>
      </c>
      <c r="AP176" s="111">
        <f>IFERROR(INDEX(TableWRMaster[Custom],MATCH(TableWRTECalcPts[[#This Row],[POSRef]],TableWRMaster[WRRef],0)),"")</f>
        <v>33.638613788015689</v>
      </c>
    </row>
    <row r="177" spans="8:42" x14ac:dyDescent="0.2">
      <c r="H177" s="60" t="str">
        <f>IFERROR(RANK(TableRBCalcPts[[#This Row],[Custom]],TableRBCalcPts[Custom])+COUNTIF($M$3:M177,M177)-1,"")</f>
        <v/>
      </c>
      <c r="I177" s="60">
        <v>175</v>
      </c>
      <c r="J177" s="60" t="str">
        <f>IFERROR(INDEX(TableRBMaster[Player],MATCH(TableRBCalcPts[[#This Row],[RBRef]],TableRBMaster[RBRef],0)),"")</f>
        <v/>
      </c>
      <c r="K177" s="60" t="str">
        <f>IFERROR(INDEX(TableRBMaster[TM],MATCH(TableRBCalcPts[[#This Row],[RBRef]],TableRBMaster[RBRef],0)),"")</f>
        <v/>
      </c>
      <c r="L177" s="60" t="str">
        <f>IFERROR(INDEX(TableRBMaster[BYE],MATCH(TableRBCalcPts[[#This Row],[RBRef]],TableRBMaster[RBRef],0)),"")</f>
        <v/>
      </c>
      <c r="M177" s="61" t="str">
        <f>IFERROR(INDEX(TableRBMaster[Custom],MATCH(TableRBCalcPts[[#This Row],[RBRef]],TableRBMaster[RBRef],0)),"")</f>
        <v/>
      </c>
      <c r="O177" s="60" t="str">
        <f>IFERROR(RANK(TableWRCalcPts[[#This Row],[Custom]],TableWRCalcPts[Custom])+COUNTIF($T$3:T177,T177)-1,"")</f>
        <v/>
      </c>
      <c r="P177" s="60">
        <v>175</v>
      </c>
      <c r="Q177" s="60" t="str">
        <f>IFERROR(INDEX(TableWRMaster[Player],MATCH(TableWRCalcPts[[#This Row],[WRRef]],TableWRMaster[WRRef],0)),"")</f>
        <v/>
      </c>
      <c r="R177" s="60" t="str">
        <f>IFERROR(INDEX(TableWRMaster[TM],MATCH(TableWRCalcPts[[#This Row],[WRRef]],TableWRMaster[WRRef],0)),"")</f>
        <v/>
      </c>
      <c r="S177" s="60" t="str">
        <f>IFERROR(INDEX(TableWRMaster[BYE],MATCH(TableWRCalcPts[[#This Row],[WRRef]],TableWRMaster[WRRef],0)),"")</f>
        <v/>
      </c>
      <c r="T177" s="61" t="str">
        <f>IFERROR(INDEX(TableWRMaster[Custom],MATCH(TableWRCalcPts[[#This Row],[WRRef]],TableWRMaster[WRRef],0)),"")</f>
        <v/>
      </c>
      <c r="AI177" s="60" t="s">
        <v>257</v>
      </c>
      <c r="AJ177" s="60">
        <f>IFERROR(RANK(TableWRTECalcPts[[#This Row],[Custom]],TableWRTECalcPts[Custom])+COUNTIF($AP$3:AP177,AP177)-1,"")</f>
        <v>250</v>
      </c>
      <c r="AK177" s="113">
        <v>75</v>
      </c>
      <c r="AL177" s="113" t="str">
        <f>IFERROR(INDEX(TableWRMaster[Player],MATCH(TableWRTECalcPts[[#This Row],[POSRef]],TableWRMaster[WRRef],0)),"")</f>
        <v>Tim Jones</v>
      </c>
      <c r="AM177" s="113" t="str">
        <f>IFERROR(_xlfn.CONCAT(TableWRTECalcPts[[#This Row],[POS]],INDEX(TableWRRanks[RK],MATCH(TableWRTECalcPts[[#This Row],[PLAYER]],TableWRRanks[Player],0))),"")</f>
        <v>WR161</v>
      </c>
      <c r="AN177" s="113" t="str">
        <f>IFERROR(INDEX(TableWRMaster[TM],MATCH(TableWRTECalcPts[[#This Row],[POSRef]],TableWRMaster[WRRef],0)),"")</f>
        <v>JAX</v>
      </c>
      <c r="AO177" s="113">
        <f>IFERROR(INDEX(TableWRMaster[BYE],MATCH(TableWRTECalcPts[[#This Row],[POSRef]],TableWRMaster[WRRef],0)),"")</f>
        <v>9</v>
      </c>
      <c r="AP177" s="111">
        <f>IFERROR(INDEX(TableWRMaster[Custom],MATCH(TableWRTECalcPts[[#This Row],[POSRef]],TableWRMaster[WRRef],0)),"")</f>
        <v>7.3040380685999988</v>
      </c>
    </row>
    <row r="178" spans="8:42" x14ac:dyDescent="0.2">
      <c r="M178" s="61"/>
      <c r="O178" s="60" t="str">
        <f>IFERROR(RANK(TableWRCalcPts[[#This Row],[Custom]],TableWRCalcPts[Custom])+COUNTIF($T$3:T178,T178)-1,"")</f>
        <v/>
      </c>
      <c r="P178" s="60">
        <v>176</v>
      </c>
      <c r="Q178" s="60" t="str">
        <f>IFERROR(INDEX(TableWRMaster[Player],MATCH(TableWRCalcPts[[#This Row],[WRRef]],TableWRMaster[WRRef],0)),"")</f>
        <v/>
      </c>
      <c r="R178" s="60" t="str">
        <f>IFERROR(INDEX(TableWRMaster[TM],MATCH(TableWRCalcPts[[#This Row],[WRRef]],TableWRMaster[WRRef],0)),"")</f>
        <v/>
      </c>
      <c r="S178" s="60" t="str">
        <f>IFERROR(INDEX(TableWRMaster[BYE],MATCH(TableWRCalcPts[[#This Row],[WRRef]],TableWRMaster[WRRef],0)),"")</f>
        <v/>
      </c>
      <c r="T178" s="61" t="str">
        <f>IFERROR(INDEX(TableWRMaster[Custom],MATCH(TableWRCalcPts[[#This Row],[WRRef]],TableWRMaster[WRRef],0)),"")</f>
        <v/>
      </c>
      <c r="AI178" s="60" t="s">
        <v>257</v>
      </c>
      <c r="AJ178" s="60">
        <f>IFERROR(RANK(TableWRTECalcPts[[#This Row],[Custom]],TableWRTECalcPts[Custom])+COUNTIF($AP$3:AP178,AP178)-1,"")</f>
        <v>201</v>
      </c>
      <c r="AK178" s="113">
        <v>76</v>
      </c>
      <c r="AL178" s="113" t="str">
        <f>IFERROR(INDEX(TableWRMaster[Player],MATCH(TableWRTECalcPts[[#This Row],[POSRef]],TableWRMaster[WRRef],0)),"")</f>
        <v>Parker Washington</v>
      </c>
      <c r="AM178" s="113" t="str">
        <f>IFERROR(_xlfn.CONCAT(TableWRTECalcPts[[#This Row],[POS]],INDEX(TableWRRanks[RK],MATCH(TableWRTECalcPts[[#This Row],[PLAYER]],TableWRRanks[Player],0))),"")</f>
        <v>WR139</v>
      </c>
      <c r="AN178" s="113" t="str">
        <f>IFERROR(INDEX(TableWRMaster[TM],MATCH(TableWRTECalcPts[[#This Row],[POSRef]],TableWRMaster[WRRef],0)),"")</f>
        <v>JAX</v>
      </c>
      <c r="AO178" s="113">
        <f>IFERROR(INDEX(TableWRMaster[BYE],MATCH(TableWRTECalcPts[[#This Row],[POSRef]],TableWRMaster[WRRef],0)),"")</f>
        <v>9</v>
      </c>
      <c r="AP178" s="111">
        <f>IFERROR(INDEX(TableWRMaster[Custom],MATCH(TableWRTECalcPts[[#This Row],[POSRef]],TableWRMaster[WRRef],0)),"")</f>
        <v>21.3997226771328</v>
      </c>
    </row>
    <row r="179" spans="8:42" x14ac:dyDescent="0.2">
      <c r="M179" s="61"/>
      <c r="O179" s="60" t="str">
        <f>IFERROR(RANK(TableWRCalcPts[[#This Row],[Custom]],TableWRCalcPts[Custom])+COUNTIF($T$3:T179,T179)-1,"")</f>
        <v/>
      </c>
      <c r="P179" s="60">
        <v>177</v>
      </c>
      <c r="Q179" s="60" t="str">
        <f>IFERROR(INDEX(TableWRMaster[Player],MATCH(TableWRCalcPts[[#This Row],[WRRef]],TableWRMaster[WRRef],0)),"")</f>
        <v/>
      </c>
      <c r="R179" s="60" t="str">
        <f>IFERROR(INDEX(TableWRMaster[TM],MATCH(TableWRCalcPts[[#This Row],[WRRef]],TableWRMaster[WRRef],0)),"")</f>
        <v/>
      </c>
      <c r="S179" s="60" t="str">
        <f>IFERROR(INDEX(TableWRMaster[BYE],MATCH(TableWRCalcPts[[#This Row],[WRRef]],TableWRMaster[WRRef],0)),"")</f>
        <v/>
      </c>
      <c r="T179" s="61" t="str">
        <f>IFERROR(INDEX(TableWRMaster[Custom],MATCH(TableWRCalcPts[[#This Row],[WRRef]],TableWRMaster[WRRef],0)),"")</f>
        <v/>
      </c>
      <c r="AI179" s="60" t="s">
        <v>257</v>
      </c>
      <c r="AJ179" s="60">
        <f>IFERROR(RANK(TableWRTECalcPts[[#This Row],[Custom]],TableWRTECalcPts[Custom])+COUNTIF($AP$3:AP179,AP179)-1,"")</f>
        <v>77</v>
      </c>
      <c r="AK179" s="113">
        <v>77</v>
      </c>
      <c r="AL179" s="113" t="str">
        <f>IFERROR(INDEX(TableWRMaster[Player],MATCH(TableWRTECalcPts[[#This Row],[POSRef]],TableWRMaster[WRRef],0)),"")</f>
        <v>Kadarius Toney</v>
      </c>
      <c r="AM179" s="113" t="str">
        <f>IFERROR(_xlfn.CONCAT(TableWRTECalcPts[[#This Row],[POS]],INDEX(TableWRRanks[RK],MATCH(TableWRTECalcPts[[#This Row],[PLAYER]],TableWRRanks[Player],0))),"")</f>
        <v>WR65</v>
      </c>
      <c r="AN179" s="113" t="str">
        <f>IFERROR(INDEX(TableWRMaster[TM],MATCH(TableWRTECalcPts[[#This Row],[POSRef]],TableWRMaster[WRRef],0)),"")</f>
        <v>KC</v>
      </c>
      <c r="AO179" s="113">
        <f>IFERROR(INDEX(TableWRMaster[BYE],MATCH(TableWRTECalcPts[[#This Row],[POSRef]],TableWRMaster[WRRef],0)),"")</f>
        <v>10</v>
      </c>
      <c r="AP179" s="111">
        <f>IFERROR(INDEX(TableWRMaster[Custom],MATCH(TableWRTECalcPts[[#This Row],[POSRef]],TableWRMaster[WRRef],0)),"")</f>
        <v>115.6532121174868</v>
      </c>
    </row>
    <row r="180" spans="8:42" x14ac:dyDescent="0.2">
      <c r="M180" s="61"/>
      <c r="O180" s="60" t="str">
        <f>IFERROR(RANK(TableWRCalcPts[[#This Row],[Custom]],TableWRCalcPts[Custom])+COUNTIF($T$3:T180,T180)-1,"")</f>
        <v/>
      </c>
      <c r="P180" s="60">
        <v>178</v>
      </c>
      <c r="Q180" s="60" t="str">
        <f>IFERROR(INDEX(TableWRMaster[Player],MATCH(TableWRCalcPts[[#This Row],[WRRef]],TableWRMaster[WRRef],0)),"")</f>
        <v/>
      </c>
      <c r="R180" s="60" t="str">
        <f>IFERROR(INDEX(TableWRMaster[TM],MATCH(TableWRCalcPts[[#This Row],[WRRef]],TableWRMaster[WRRef],0)),"")</f>
        <v/>
      </c>
      <c r="S180" s="60" t="str">
        <f>IFERROR(INDEX(TableWRMaster[BYE],MATCH(TableWRCalcPts[[#This Row],[WRRef]],TableWRMaster[WRRef],0)),"")</f>
        <v/>
      </c>
      <c r="T180" s="61" t="str">
        <f>IFERROR(INDEX(TableWRMaster[Custom],MATCH(TableWRCalcPts[[#This Row],[WRRef]],TableWRMaster[WRRef],0)),"")</f>
        <v/>
      </c>
      <c r="AI180" s="60" t="s">
        <v>257</v>
      </c>
      <c r="AJ180" s="60">
        <f>IFERROR(RANK(TableWRTECalcPts[[#This Row],[Custom]],TableWRTECalcPts[Custom])+COUNTIF($AP$3:AP180,AP180)-1,"")</f>
        <v>37</v>
      </c>
      <c r="AK180" s="113">
        <v>78</v>
      </c>
      <c r="AL180" s="113" t="str">
        <f>IFERROR(INDEX(TableWRMaster[Player],MATCH(TableWRTECalcPts[[#This Row],[POSRef]],TableWRMaster[WRRef],0)),"")</f>
        <v>Skyy Moore</v>
      </c>
      <c r="AM180" s="113" t="str">
        <f>IFERROR(_xlfn.CONCAT(TableWRTECalcPts[[#This Row],[POS]],INDEX(TableWRRanks[RK],MATCH(TableWRTECalcPts[[#This Row],[PLAYER]],TableWRRanks[Player],0))),"")</f>
        <v>WR33</v>
      </c>
      <c r="AN180" s="113" t="str">
        <f>IFERROR(INDEX(TableWRMaster[TM],MATCH(TableWRTECalcPts[[#This Row],[POSRef]],TableWRMaster[WRRef],0)),"")</f>
        <v>KC</v>
      </c>
      <c r="AO180" s="113">
        <f>IFERROR(INDEX(TableWRMaster[BYE],MATCH(TableWRTECalcPts[[#This Row],[POSRef]],TableWRMaster[WRRef],0)),"")</f>
        <v>10</v>
      </c>
      <c r="AP180" s="111">
        <f>IFERROR(INDEX(TableWRMaster[Custom],MATCH(TableWRTECalcPts[[#This Row],[POSRef]],TableWRMaster[WRRef],0)),"")</f>
        <v>168.88950711828755</v>
      </c>
    </row>
    <row r="181" spans="8:42" x14ac:dyDescent="0.2">
      <c r="M181" s="61"/>
      <c r="O181" s="60" t="str">
        <f>IFERROR(RANK(TableWRCalcPts[[#This Row],[Custom]],TableWRCalcPts[Custom])+COUNTIF($T$3:T181,T181)-1,"")</f>
        <v/>
      </c>
      <c r="P181" s="60">
        <v>179</v>
      </c>
      <c r="Q181" s="60" t="str">
        <f>IFERROR(INDEX(TableWRMaster[Player],MATCH(TableWRCalcPts[[#This Row],[WRRef]],TableWRMaster[WRRef],0)),"")</f>
        <v/>
      </c>
      <c r="R181" s="60" t="str">
        <f>IFERROR(INDEX(TableWRMaster[TM],MATCH(TableWRCalcPts[[#This Row],[WRRef]],TableWRMaster[WRRef],0)),"")</f>
        <v/>
      </c>
      <c r="S181" s="60" t="str">
        <f>IFERROR(INDEX(TableWRMaster[BYE],MATCH(TableWRCalcPts[[#This Row],[WRRef]],TableWRMaster[WRRef],0)),"")</f>
        <v/>
      </c>
      <c r="T181" s="61" t="str">
        <f>IFERROR(INDEX(TableWRMaster[Custom],MATCH(TableWRCalcPts[[#This Row],[WRRef]],TableWRMaster[WRRef],0)),"")</f>
        <v/>
      </c>
      <c r="AI181" s="60" t="s">
        <v>257</v>
      </c>
      <c r="AJ181" s="60">
        <f>IFERROR(RANK(TableWRTECalcPts[[#This Row],[Custom]],TableWRTECalcPts[Custom])+COUNTIF($AP$3:AP181,AP181)-1,"")</f>
        <v>49</v>
      </c>
      <c r="AK181" s="113">
        <v>79</v>
      </c>
      <c r="AL181" s="113" t="str">
        <f>IFERROR(INDEX(TableWRMaster[Player],MATCH(TableWRTECalcPts[[#This Row],[POSRef]],TableWRMaster[WRRef],0)),"")</f>
        <v>Marquez Valdes-Scantling</v>
      </c>
      <c r="AM181" s="113" t="str">
        <f>IFERROR(_xlfn.CONCAT(TableWRTECalcPts[[#This Row],[POS]],INDEX(TableWRRanks[RK],MATCH(TableWRTECalcPts[[#This Row],[PLAYER]],TableWRRanks[Player],0))),"")</f>
        <v>WR44</v>
      </c>
      <c r="AN181" s="113" t="str">
        <f>IFERROR(INDEX(TableWRMaster[TM],MATCH(TableWRTECalcPts[[#This Row],[POSRef]],TableWRMaster[WRRef],0)),"")</f>
        <v>KC</v>
      </c>
      <c r="AO181" s="113">
        <f>IFERROR(INDEX(TableWRMaster[BYE],MATCH(TableWRTECalcPts[[#This Row],[POSRef]],TableWRMaster[WRRef],0)),"")</f>
        <v>10</v>
      </c>
      <c r="AP181" s="111">
        <f>IFERROR(INDEX(TableWRMaster[Custom],MATCH(TableWRTECalcPts[[#This Row],[POSRef]],TableWRMaster[WRRef],0)),"")</f>
        <v>149.61004613929302</v>
      </c>
    </row>
    <row r="182" spans="8:42" x14ac:dyDescent="0.2">
      <c r="M182" s="61"/>
      <c r="O182" s="60" t="str">
        <f>IFERROR(RANK(TableWRCalcPts[[#This Row],[Custom]],TableWRCalcPts[Custom])+COUNTIF($T$3:T182,T182)-1,"")</f>
        <v/>
      </c>
      <c r="P182" s="60">
        <v>180</v>
      </c>
      <c r="Q182" s="60" t="str">
        <f>IFERROR(INDEX(TableWRMaster[Player],MATCH(TableWRCalcPts[[#This Row],[WRRef]],TableWRMaster[WRRef],0)),"")</f>
        <v/>
      </c>
      <c r="R182" s="60" t="str">
        <f>IFERROR(INDEX(TableWRMaster[TM],MATCH(TableWRCalcPts[[#This Row],[WRRef]],TableWRMaster[WRRef],0)),"")</f>
        <v/>
      </c>
      <c r="S182" s="60" t="str">
        <f>IFERROR(INDEX(TableWRMaster[BYE],MATCH(TableWRCalcPts[[#This Row],[WRRef]],TableWRMaster[WRRef],0)),"")</f>
        <v/>
      </c>
      <c r="T182" s="61" t="str">
        <f>IFERROR(INDEX(TableWRMaster[Custom],MATCH(TableWRCalcPts[[#This Row],[WRRef]],TableWRMaster[WRRef],0)),"")</f>
        <v/>
      </c>
      <c r="AI182" s="60" t="s">
        <v>257</v>
      </c>
      <c r="AJ182" s="60">
        <f>IFERROR(RANK(TableWRTECalcPts[[#This Row],[Custom]],TableWRTECalcPts[Custom])+COUNTIF($AP$3:AP182,AP182)-1,"")</f>
        <v>148</v>
      </c>
      <c r="AK182" s="113">
        <v>80</v>
      </c>
      <c r="AL182" s="113" t="str">
        <f>IFERROR(INDEX(TableWRMaster[Player],MATCH(TableWRTECalcPts[[#This Row],[POSRef]],TableWRMaster[WRRef],0)),"")</f>
        <v>Richie James</v>
      </c>
      <c r="AM182" s="113" t="str">
        <f>IFERROR(_xlfn.CONCAT(TableWRTECalcPts[[#This Row],[POS]],INDEX(TableWRRanks[RK],MATCH(TableWRTECalcPts[[#This Row],[PLAYER]],TableWRRanks[Player],0))),"")</f>
        <v>WR108</v>
      </c>
      <c r="AN182" s="113" t="str">
        <f>IFERROR(INDEX(TableWRMaster[TM],MATCH(TableWRTECalcPts[[#This Row],[POSRef]],TableWRMaster[WRRef],0)),"")</f>
        <v>KC</v>
      </c>
      <c r="AO182" s="113">
        <f>IFERROR(INDEX(TableWRMaster[BYE],MATCH(TableWRTECalcPts[[#This Row],[POSRef]],TableWRMaster[WRRef],0)),"")</f>
        <v>10</v>
      </c>
      <c r="AP182" s="111">
        <f>IFERROR(INDEX(TableWRMaster[Custom],MATCH(TableWRTECalcPts[[#This Row],[POSRef]],TableWRMaster[WRRef],0)),"")</f>
        <v>54.595342488959986</v>
      </c>
    </row>
    <row r="183" spans="8:42" x14ac:dyDescent="0.2">
      <c r="M183" s="61"/>
      <c r="O183" s="60" t="str">
        <f>IFERROR(RANK(TableWRCalcPts[[#This Row],[Custom]],TableWRCalcPts[Custom])+COUNTIF($T$3:T183,T183)-1,"")</f>
        <v/>
      </c>
      <c r="P183" s="60">
        <v>181</v>
      </c>
      <c r="Q183" s="60" t="str">
        <f>IFERROR(INDEX(TableWRMaster[Player],MATCH(TableWRCalcPts[[#This Row],[WRRef]],TableWRMaster[WRRef],0)),"")</f>
        <v/>
      </c>
      <c r="R183" s="60" t="str">
        <f>IFERROR(INDEX(TableWRMaster[TM],MATCH(TableWRCalcPts[[#This Row],[WRRef]],TableWRMaster[WRRef],0)),"")</f>
        <v/>
      </c>
      <c r="S183" s="60" t="str">
        <f>IFERROR(INDEX(TableWRMaster[BYE],MATCH(TableWRCalcPts[[#This Row],[WRRef]],TableWRMaster[WRRef],0)),"")</f>
        <v/>
      </c>
      <c r="T183" s="61" t="str">
        <f>IFERROR(INDEX(TableWRMaster[Custom],MATCH(TableWRCalcPts[[#This Row],[WRRef]],TableWRMaster[WRRef],0)),"")</f>
        <v/>
      </c>
      <c r="AI183" s="60" t="s">
        <v>257</v>
      </c>
      <c r="AJ183" s="60">
        <f>IFERROR(RANK(TableWRTECalcPts[[#This Row],[Custom]],TableWRTECalcPts[Custom])+COUNTIF($AP$3:AP183,AP183)-1,"")</f>
        <v>142</v>
      </c>
      <c r="AK183" s="113">
        <v>81</v>
      </c>
      <c r="AL183" s="113" t="str">
        <f>IFERROR(INDEX(TableWRMaster[Player],MATCH(TableWRTECalcPts[[#This Row],[POSRef]],TableWRMaster[WRRef],0)),"")</f>
        <v>Rashee Rice</v>
      </c>
      <c r="AM183" s="113" t="str">
        <f>IFERROR(_xlfn.CONCAT(TableWRTECalcPts[[#This Row],[POS]],INDEX(TableWRRanks[RK],MATCH(TableWRTECalcPts[[#This Row],[PLAYER]],TableWRRanks[Player],0))),"")</f>
        <v>WR104</v>
      </c>
      <c r="AN183" s="113" t="str">
        <f>IFERROR(INDEX(TableWRMaster[TM],MATCH(TableWRTECalcPts[[#This Row],[POSRef]],TableWRMaster[WRRef],0)),"")</f>
        <v>KC</v>
      </c>
      <c r="AO183" s="113">
        <f>IFERROR(INDEX(TableWRMaster[BYE],MATCH(TableWRTECalcPts[[#This Row],[POSRef]],TableWRMaster[WRRef],0)),"")</f>
        <v>10</v>
      </c>
      <c r="AP183" s="111">
        <f>IFERROR(INDEX(TableWRMaster[Custom],MATCH(TableWRTECalcPts[[#This Row],[POSRef]],TableWRMaster[WRRef],0)),"")</f>
        <v>56.831704490872688</v>
      </c>
    </row>
    <row r="184" spans="8:42" x14ac:dyDescent="0.2">
      <c r="M184" s="61"/>
      <c r="O184" s="60" t="str">
        <f>IFERROR(RANK(TableWRCalcPts[[#This Row],[Custom]],TableWRCalcPts[Custom])+COUNTIF($T$3:T184,T184)-1,"")</f>
        <v/>
      </c>
      <c r="P184" s="60">
        <v>182</v>
      </c>
      <c r="Q184" s="60" t="str">
        <f>IFERROR(INDEX(TableWRMaster[Player],MATCH(TableWRCalcPts[[#This Row],[WRRef]],TableWRMaster[WRRef],0)),"")</f>
        <v/>
      </c>
      <c r="R184" s="60" t="str">
        <f>IFERROR(INDEX(TableWRMaster[TM],MATCH(TableWRCalcPts[[#This Row],[WRRef]],TableWRMaster[WRRef],0)),"")</f>
        <v/>
      </c>
      <c r="S184" s="60" t="str">
        <f>IFERROR(INDEX(TableWRMaster[BYE],MATCH(TableWRCalcPts[[#This Row],[WRRef]],TableWRMaster[WRRef],0)),"")</f>
        <v/>
      </c>
      <c r="T184" s="61" t="str">
        <f>IFERROR(INDEX(TableWRMaster[Custom],MATCH(TableWRCalcPts[[#This Row],[WRRef]],TableWRMaster[WRRef],0)),"")</f>
        <v/>
      </c>
      <c r="AI184" s="60" t="s">
        <v>257</v>
      </c>
      <c r="AJ184" s="60">
        <f>IFERROR(RANK(TableWRTECalcPts[[#This Row],[Custom]],TableWRTECalcPts[Custom])+COUNTIF($AP$3:AP184,AP184)-1,"")</f>
        <v>104</v>
      </c>
      <c r="AK184" s="113">
        <v>82</v>
      </c>
      <c r="AL184" s="113" t="str">
        <f>IFERROR(INDEX(TableWRMaster[Player],MATCH(TableWRTECalcPts[[#This Row],[POSRef]],TableWRMaster[WRRef],0)),"")</f>
        <v>Justyn Ross</v>
      </c>
      <c r="AM184" s="113" t="str">
        <f>IFERROR(_xlfn.CONCAT(TableWRTECalcPts[[#This Row],[POS]],INDEX(TableWRRanks[RK],MATCH(TableWRTECalcPts[[#This Row],[PLAYER]],TableWRRanks[Player],0))),"")</f>
        <v>WR78</v>
      </c>
      <c r="AN184" s="113" t="str">
        <f>IFERROR(INDEX(TableWRMaster[TM],MATCH(TableWRTECalcPts[[#This Row],[POSRef]],TableWRMaster[WRRef],0)),"")</f>
        <v>KC</v>
      </c>
      <c r="AO184" s="113">
        <f>IFERROR(INDEX(TableWRMaster[BYE],MATCH(TableWRTECalcPts[[#This Row],[POSRef]],TableWRMaster[WRRef],0)),"")</f>
        <v>10</v>
      </c>
      <c r="AP184" s="111">
        <f>IFERROR(INDEX(TableWRMaster[Custom],MATCH(TableWRTECalcPts[[#This Row],[POSRef]],TableWRMaster[WRRef],0)),"")</f>
        <v>92.112339109190401</v>
      </c>
    </row>
    <row r="185" spans="8:42" x14ac:dyDescent="0.2">
      <c r="M185" s="61"/>
      <c r="O185" s="60" t="str">
        <f>IFERROR(RANK(TableWRCalcPts[[#This Row],[Custom]],TableWRCalcPts[Custom])+COUNTIF($T$3:T185,T185)-1,"")</f>
        <v/>
      </c>
      <c r="P185" s="60">
        <v>183</v>
      </c>
      <c r="Q185" s="60" t="str">
        <f>IFERROR(INDEX(TableWRMaster[Player],MATCH(TableWRCalcPts[[#This Row],[WRRef]],TableWRMaster[WRRef],0)),"")</f>
        <v/>
      </c>
      <c r="R185" s="60" t="str">
        <f>IFERROR(INDEX(TableWRMaster[TM],MATCH(TableWRCalcPts[[#This Row],[WRRef]],TableWRMaster[WRRef],0)),"")</f>
        <v/>
      </c>
      <c r="S185" s="60" t="str">
        <f>IFERROR(INDEX(TableWRMaster[BYE],MATCH(TableWRCalcPts[[#This Row],[WRRef]],TableWRMaster[WRRef],0)),"")</f>
        <v/>
      </c>
      <c r="T185" s="61" t="str">
        <f>IFERROR(INDEX(TableWRMaster[Custom],MATCH(TableWRCalcPts[[#This Row],[WRRef]],TableWRMaster[WRRef],0)),"")</f>
        <v/>
      </c>
      <c r="AI185" s="60" t="s">
        <v>257</v>
      </c>
      <c r="AJ185" s="60">
        <f>IFERROR(RANK(TableWRTECalcPts[[#This Row],[Custom]],TableWRTECalcPts[Custom])+COUNTIF($AP$3:AP185,AP185)-1,"")</f>
        <v>20</v>
      </c>
      <c r="AK185" s="113">
        <v>83</v>
      </c>
      <c r="AL185" s="113" t="str">
        <f>IFERROR(INDEX(TableWRMaster[Player],MATCH(TableWRTECalcPts[[#This Row],[POSRef]],TableWRMaster[WRRef],0)),"")</f>
        <v>Keenan Allen</v>
      </c>
      <c r="AM185" s="113" t="str">
        <f>IFERROR(_xlfn.CONCAT(TableWRTECalcPts[[#This Row],[POS]],INDEX(TableWRRanks[RK],MATCH(TableWRTECalcPts[[#This Row],[PLAYER]],TableWRRanks[Player],0))),"")</f>
        <v>WR19</v>
      </c>
      <c r="AN185" s="113" t="str">
        <f>IFERROR(INDEX(TableWRMaster[TM],MATCH(TableWRTECalcPts[[#This Row],[POSRef]],TableWRMaster[WRRef],0)),"")</f>
        <v>LAC</v>
      </c>
      <c r="AO185" s="113">
        <f>IFERROR(INDEX(TableWRMaster[BYE],MATCH(TableWRTECalcPts[[#This Row],[POSRef]],TableWRMaster[WRRef],0)),"")</f>
        <v>5</v>
      </c>
      <c r="AP185" s="111">
        <f>IFERROR(INDEX(TableWRMaster[Custom],MATCH(TableWRTECalcPts[[#This Row],[POSRef]],TableWRMaster[WRRef],0)),"")</f>
        <v>188.37080588355121</v>
      </c>
    </row>
    <row r="186" spans="8:42" x14ac:dyDescent="0.2">
      <c r="M186" s="61"/>
      <c r="O186" s="60" t="str">
        <f>IFERROR(RANK(TableWRCalcPts[[#This Row],[Custom]],TableWRCalcPts[Custom])+COUNTIF($T$3:T186,T186)-1,"")</f>
        <v/>
      </c>
      <c r="P186" s="60">
        <v>184</v>
      </c>
      <c r="Q186" s="60" t="str">
        <f>IFERROR(INDEX(TableWRMaster[Player],MATCH(TableWRCalcPts[[#This Row],[WRRef]],TableWRMaster[WRRef],0)),"")</f>
        <v/>
      </c>
      <c r="R186" s="60" t="str">
        <f>IFERROR(INDEX(TableWRMaster[TM],MATCH(TableWRCalcPts[[#This Row],[WRRef]],TableWRMaster[WRRef],0)),"")</f>
        <v/>
      </c>
      <c r="S186" s="60" t="str">
        <f>IFERROR(INDEX(TableWRMaster[BYE],MATCH(TableWRCalcPts[[#This Row],[WRRef]],TableWRMaster[WRRef],0)),"")</f>
        <v/>
      </c>
      <c r="T186" s="61" t="str">
        <f>IFERROR(INDEX(TableWRMaster[Custom],MATCH(TableWRCalcPts[[#This Row],[WRRef]],TableWRMaster[WRRef],0)),"")</f>
        <v/>
      </c>
      <c r="AI186" s="60" t="s">
        <v>257</v>
      </c>
      <c r="AJ186" s="60">
        <f>IFERROR(RANK(TableWRTECalcPts[[#This Row],[Custom]],TableWRTECalcPts[Custom])+COUNTIF($AP$3:AP186,AP186)-1,"")</f>
        <v>24</v>
      </c>
      <c r="AK186" s="113">
        <v>84</v>
      </c>
      <c r="AL186" s="113" t="str">
        <f>IFERROR(INDEX(TableWRMaster[Player],MATCH(TableWRTECalcPts[[#This Row],[POSRef]],TableWRMaster[WRRef],0)),"")</f>
        <v>Mike Williams</v>
      </c>
      <c r="AM186" s="113" t="str">
        <f>IFERROR(_xlfn.CONCAT(TableWRTECalcPts[[#This Row],[POS]],INDEX(TableWRRanks[RK],MATCH(TableWRTECalcPts[[#This Row],[PLAYER]],TableWRRanks[Player],0))),"")</f>
        <v>WR23</v>
      </c>
      <c r="AN186" s="113" t="str">
        <f>IFERROR(INDEX(TableWRMaster[TM],MATCH(TableWRTECalcPts[[#This Row],[POSRef]],TableWRMaster[WRRef],0)),"")</f>
        <v>LAC</v>
      </c>
      <c r="AO186" s="113">
        <f>IFERROR(INDEX(TableWRMaster[BYE],MATCH(TableWRTECalcPts[[#This Row],[POSRef]],TableWRMaster[WRRef],0)),"")</f>
        <v>5</v>
      </c>
      <c r="AP186" s="111">
        <f>IFERROR(INDEX(TableWRMaster[Custom],MATCH(TableWRTECalcPts[[#This Row],[POSRef]],TableWRMaster[WRRef],0)),"")</f>
        <v>184.79340105256802</v>
      </c>
    </row>
    <row r="187" spans="8:42" x14ac:dyDescent="0.2">
      <c r="M187" s="61"/>
      <c r="O187" s="60" t="str">
        <f>IFERROR(RANK(TableWRCalcPts[[#This Row],[Custom]],TableWRCalcPts[Custom])+COUNTIF($T$3:T187,T187)-1,"")</f>
        <v/>
      </c>
      <c r="P187" s="60">
        <v>185</v>
      </c>
      <c r="Q187" s="60" t="str">
        <f>IFERROR(INDEX(TableWRMaster[Player],MATCH(TableWRCalcPts[[#This Row],[WRRef]],TableWRMaster[WRRef],0)),"")</f>
        <v/>
      </c>
      <c r="R187" s="60" t="str">
        <f>IFERROR(INDEX(TableWRMaster[TM],MATCH(TableWRCalcPts[[#This Row],[WRRef]],TableWRMaster[WRRef],0)),"")</f>
        <v/>
      </c>
      <c r="S187" s="60" t="str">
        <f>IFERROR(INDEX(TableWRMaster[BYE],MATCH(TableWRCalcPts[[#This Row],[WRRef]],TableWRMaster[WRRef],0)),"")</f>
        <v/>
      </c>
      <c r="T187" s="61" t="str">
        <f>IFERROR(INDEX(TableWRMaster[Custom],MATCH(TableWRCalcPts[[#This Row],[WRRef]],TableWRMaster[WRRef],0)),"")</f>
        <v/>
      </c>
      <c r="AI187" s="60" t="s">
        <v>257</v>
      </c>
      <c r="AJ187" s="60">
        <f>IFERROR(RANK(TableWRTECalcPts[[#This Row],[Custom]],TableWRTECalcPts[Custom])+COUNTIF($AP$3:AP187,AP187)-1,"")</f>
        <v>54</v>
      </c>
      <c r="AK187" s="113">
        <v>85</v>
      </c>
      <c r="AL187" s="113" t="str">
        <f>IFERROR(INDEX(TableWRMaster[Player],MATCH(TableWRTECalcPts[[#This Row],[POSRef]],TableWRMaster[WRRef],0)),"")</f>
        <v>Quentin Johnston</v>
      </c>
      <c r="AM187" s="113" t="str">
        <f>IFERROR(_xlfn.CONCAT(TableWRTECalcPts[[#This Row],[POS]],INDEX(TableWRRanks[RK],MATCH(TableWRTECalcPts[[#This Row],[PLAYER]],TableWRRanks[Player],0))),"")</f>
        <v>WR49</v>
      </c>
      <c r="AN187" s="113" t="str">
        <f>IFERROR(INDEX(TableWRMaster[TM],MATCH(TableWRTECalcPts[[#This Row],[POSRef]],TableWRMaster[WRRef],0)),"")</f>
        <v>LAC</v>
      </c>
      <c r="AO187" s="113">
        <f>IFERROR(INDEX(TableWRMaster[BYE],MATCH(TableWRTECalcPts[[#This Row],[POSRef]],TableWRMaster[WRRef],0)),"")</f>
        <v>5</v>
      </c>
      <c r="AP187" s="111">
        <f>IFERROR(INDEX(TableWRMaster[Custom],MATCH(TableWRTECalcPts[[#This Row],[POSRef]],TableWRMaster[WRRef],0)),"")</f>
        <v>146.30157488677921</v>
      </c>
    </row>
    <row r="188" spans="8:42" x14ac:dyDescent="0.2">
      <c r="M188" s="61"/>
      <c r="O188" s="60" t="str">
        <f>IFERROR(RANK(TableWRCalcPts[[#This Row],[Custom]],TableWRCalcPts[Custom])+COUNTIF($T$3:T188,T188)-1,"")</f>
        <v/>
      </c>
      <c r="P188" s="60">
        <v>186</v>
      </c>
      <c r="Q188" s="60" t="str">
        <f>IFERROR(INDEX(TableWRMaster[Player],MATCH(TableWRCalcPts[[#This Row],[WRRef]],TableWRMaster[WRRef],0)),"")</f>
        <v/>
      </c>
      <c r="R188" s="60" t="str">
        <f>IFERROR(INDEX(TableWRMaster[TM],MATCH(TableWRCalcPts[[#This Row],[WRRef]],TableWRMaster[WRRef],0)),"")</f>
        <v/>
      </c>
      <c r="S188" s="60" t="str">
        <f>IFERROR(INDEX(TableWRMaster[BYE],MATCH(TableWRCalcPts[[#This Row],[WRRef]],TableWRMaster[WRRef],0)),"")</f>
        <v/>
      </c>
      <c r="T188" s="61" t="str">
        <f>IFERROR(INDEX(TableWRMaster[Custom],MATCH(TableWRCalcPts[[#This Row],[WRRef]],TableWRMaster[WRRef],0)),"")</f>
        <v/>
      </c>
      <c r="AI188" s="60" t="s">
        <v>257</v>
      </c>
      <c r="AJ188" s="60">
        <f>IFERROR(RANK(TableWRTECalcPts[[#This Row],[Custom]],TableWRTECalcPts[Custom])+COUNTIF($AP$3:AP188,AP188)-1,"")</f>
        <v>134</v>
      </c>
      <c r="AK188" s="113">
        <v>86</v>
      </c>
      <c r="AL188" s="113" t="str">
        <f>IFERROR(INDEX(TableWRMaster[Player],MATCH(TableWRTECalcPts[[#This Row],[POSRef]],TableWRMaster[WRRef],0)),"")</f>
        <v>Joshua Palmer</v>
      </c>
      <c r="AM188" s="113" t="str">
        <f>IFERROR(_xlfn.CONCAT(TableWRTECalcPts[[#This Row],[POS]],INDEX(TableWRRanks[RK],MATCH(TableWRTECalcPts[[#This Row],[PLAYER]],TableWRRanks[Player],0))),"")</f>
        <v>WR98</v>
      </c>
      <c r="AN188" s="113" t="str">
        <f>IFERROR(INDEX(TableWRMaster[TM],MATCH(TableWRTECalcPts[[#This Row],[POSRef]],TableWRMaster[WRRef],0)),"")</f>
        <v>LAC</v>
      </c>
      <c r="AO188" s="113">
        <f>IFERROR(INDEX(TableWRMaster[BYE],MATCH(TableWRTECalcPts[[#This Row],[POSRef]],TableWRMaster[WRRef],0)),"")</f>
        <v>5</v>
      </c>
      <c r="AP188" s="111">
        <f>IFERROR(INDEX(TableWRMaster[Custom],MATCH(TableWRTECalcPts[[#This Row],[POSRef]],TableWRMaster[WRRef],0)),"")</f>
        <v>65.559330244799995</v>
      </c>
    </row>
    <row r="189" spans="8:42" x14ac:dyDescent="0.2">
      <c r="M189" s="61"/>
      <c r="O189" s="60" t="str">
        <f>IFERROR(RANK(TableWRCalcPts[[#This Row],[Custom]],TableWRCalcPts[Custom])+COUNTIF($T$3:T189,T189)-1,"")</f>
        <v/>
      </c>
      <c r="P189" s="60">
        <v>187</v>
      </c>
      <c r="Q189" s="60" t="str">
        <f>IFERROR(INDEX(TableWRMaster[Player],MATCH(TableWRCalcPts[[#This Row],[WRRef]],TableWRMaster[WRRef],0)),"")</f>
        <v/>
      </c>
      <c r="R189" s="60" t="str">
        <f>IFERROR(INDEX(TableWRMaster[TM],MATCH(TableWRCalcPts[[#This Row],[WRRef]],TableWRMaster[WRRef],0)),"")</f>
        <v/>
      </c>
      <c r="S189" s="60" t="str">
        <f>IFERROR(INDEX(TableWRMaster[BYE],MATCH(TableWRCalcPts[[#This Row],[WRRef]],TableWRMaster[WRRef],0)),"")</f>
        <v/>
      </c>
      <c r="T189" s="61" t="str">
        <f>IFERROR(INDEX(TableWRMaster[Custom],MATCH(TableWRCalcPts[[#This Row],[WRRef]],TableWRMaster[WRRef],0)),"")</f>
        <v/>
      </c>
      <c r="AI189" s="60" t="s">
        <v>257</v>
      </c>
      <c r="AJ189" s="60">
        <f>IFERROR(RANK(TableWRTECalcPts[[#This Row],[Custom]],TableWRTECalcPts[Custom])+COUNTIF($AP$3:AP189,AP189)-1,"")</f>
        <v>229</v>
      </c>
      <c r="AK189" s="113">
        <v>87</v>
      </c>
      <c r="AL189" s="113" t="str">
        <f>IFERROR(INDEX(TableWRMaster[Player],MATCH(TableWRTECalcPts[[#This Row],[POSRef]],TableWRMaster[WRRef],0)),"")</f>
        <v>Derius Davis</v>
      </c>
      <c r="AM189" s="113" t="str">
        <f>IFERROR(_xlfn.CONCAT(TableWRTECalcPts[[#This Row],[POS]],INDEX(TableWRRanks[RK],MATCH(TableWRTECalcPts[[#This Row],[PLAYER]],TableWRRanks[Player],0))),"")</f>
        <v>WR153</v>
      </c>
      <c r="AN189" s="113" t="str">
        <f>IFERROR(INDEX(TableWRMaster[TM],MATCH(TableWRTECalcPts[[#This Row],[POSRef]],TableWRMaster[WRRef],0)),"")</f>
        <v>LAC</v>
      </c>
      <c r="AO189" s="113">
        <f>IFERROR(INDEX(TableWRMaster[BYE],MATCH(TableWRTECalcPts[[#This Row],[POSRef]],TableWRMaster[WRRef],0)),"")</f>
        <v>5</v>
      </c>
      <c r="AP189" s="111">
        <f>IFERROR(INDEX(TableWRMaster[Custom],MATCH(TableWRTECalcPts[[#This Row],[POSRef]],TableWRMaster[WRRef],0)),"")</f>
        <v>13.746683842113603</v>
      </c>
    </row>
    <row r="190" spans="8:42" x14ac:dyDescent="0.2">
      <c r="M190" s="61"/>
      <c r="O190" s="60" t="str">
        <f>IFERROR(RANK(TableWRCalcPts[[#This Row],[Custom]],TableWRCalcPts[Custom])+COUNTIF($T$3:T190,T190)-1,"")</f>
        <v/>
      </c>
      <c r="P190" s="60">
        <v>188</v>
      </c>
      <c r="Q190" s="60" t="str">
        <f>IFERROR(INDEX(TableWRMaster[Player],MATCH(TableWRCalcPts[[#This Row],[WRRef]],TableWRMaster[WRRef],0)),"")</f>
        <v/>
      </c>
      <c r="R190" s="60" t="str">
        <f>IFERROR(INDEX(TableWRMaster[TM],MATCH(TableWRCalcPts[[#This Row],[WRRef]],TableWRMaster[WRRef],0)),"")</f>
        <v/>
      </c>
      <c r="S190" s="60" t="str">
        <f>IFERROR(INDEX(TableWRMaster[BYE],MATCH(TableWRCalcPts[[#This Row],[WRRef]],TableWRMaster[WRRef],0)),"")</f>
        <v/>
      </c>
      <c r="T190" s="61" t="str">
        <f>IFERROR(INDEX(TableWRMaster[Custom],MATCH(TableWRCalcPts[[#This Row],[WRRef]],TableWRMaster[WRRef],0)),"")</f>
        <v/>
      </c>
      <c r="AI190" s="60" t="s">
        <v>257</v>
      </c>
      <c r="AJ190" s="60">
        <f>IFERROR(RANK(TableWRTECalcPts[[#This Row],[Custom]],TableWRTECalcPts[Custom])+COUNTIF($AP$3:AP190,AP190)-1,"")</f>
        <v>68</v>
      </c>
      <c r="AK190" s="113">
        <v>88</v>
      </c>
      <c r="AL190" s="113" t="str">
        <f>IFERROR(INDEX(TableWRMaster[Player],MATCH(TableWRTECalcPts[[#This Row],[POSRef]],TableWRMaster[WRRef],0)),"")</f>
        <v>Van Jefferson</v>
      </c>
      <c r="AM190" s="113" t="str">
        <f>IFERROR(_xlfn.CONCAT(TableWRTECalcPts[[#This Row],[POS]],INDEX(TableWRRanks[RK],MATCH(TableWRTECalcPts[[#This Row],[PLAYER]],TableWRRanks[Player],0))),"")</f>
        <v>WR58</v>
      </c>
      <c r="AN190" s="113" t="str">
        <f>IFERROR(INDEX(TableWRMaster[TM],MATCH(TableWRTECalcPts[[#This Row],[POSRef]],TableWRMaster[WRRef],0)),"")</f>
        <v>LAR</v>
      </c>
      <c r="AO190" s="113">
        <f>IFERROR(INDEX(TableWRMaster[BYE],MATCH(TableWRTECalcPts[[#This Row],[POSRef]],TableWRMaster[WRRef],0)),"")</f>
        <v>10</v>
      </c>
      <c r="AP190" s="111">
        <f>IFERROR(INDEX(TableWRMaster[Custom],MATCH(TableWRTECalcPts[[#This Row],[POSRef]],TableWRMaster[WRRef],0)),"")</f>
        <v>130.16505343713359</v>
      </c>
    </row>
    <row r="191" spans="8:42" x14ac:dyDescent="0.2">
      <c r="M191" s="61"/>
      <c r="O191" s="60" t="str">
        <f>IFERROR(RANK(TableWRCalcPts[[#This Row],[Custom]],TableWRCalcPts[Custom])+COUNTIF($T$3:T191,T191)-1,"")</f>
        <v/>
      </c>
      <c r="P191" s="60">
        <v>189</v>
      </c>
      <c r="Q191" s="60" t="str">
        <f>IFERROR(INDEX(TableWRMaster[Player],MATCH(TableWRCalcPts[[#This Row],[WRRef]],TableWRMaster[WRRef],0)),"")</f>
        <v/>
      </c>
      <c r="R191" s="60" t="str">
        <f>IFERROR(INDEX(TableWRMaster[TM],MATCH(TableWRCalcPts[[#This Row],[WRRef]],TableWRMaster[WRRef],0)),"")</f>
        <v/>
      </c>
      <c r="S191" s="60" t="str">
        <f>IFERROR(INDEX(TableWRMaster[BYE],MATCH(TableWRCalcPts[[#This Row],[WRRef]],TableWRMaster[WRRef],0)),"")</f>
        <v/>
      </c>
      <c r="T191" s="61" t="str">
        <f>IFERROR(INDEX(TableWRMaster[Custom],MATCH(TableWRCalcPts[[#This Row],[WRRef]],TableWRMaster[WRRef],0)),"")</f>
        <v/>
      </c>
      <c r="AI191" s="60" t="s">
        <v>257</v>
      </c>
      <c r="AJ191" s="60">
        <f>IFERROR(RANK(TableWRTECalcPts[[#This Row],[Custom]],TableWRTECalcPts[Custom])+COUNTIF($AP$3:AP191,AP191)-1,"")</f>
        <v>3</v>
      </c>
      <c r="AK191" s="113">
        <v>89</v>
      </c>
      <c r="AL191" s="113" t="str">
        <f>IFERROR(INDEX(TableWRMaster[Player],MATCH(TableWRTECalcPts[[#This Row],[POSRef]],TableWRMaster[WRRef],0)),"")</f>
        <v>Cooper Kupp</v>
      </c>
      <c r="AM191" s="113" t="str">
        <f>IFERROR(_xlfn.CONCAT(TableWRTECalcPts[[#This Row],[POS]],INDEX(TableWRRanks[RK],MATCH(TableWRTECalcPts[[#This Row],[PLAYER]],TableWRRanks[Player],0))),"")</f>
        <v>WR3</v>
      </c>
      <c r="AN191" s="113" t="str">
        <f>IFERROR(INDEX(TableWRMaster[TM],MATCH(TableWRTECalcPts[[#This Row],[POSRef]],TableWRMaster[WRRef],0)),"")</f>
        <v>LAR</v>
      </c>
      <c r="AO191" s="113">
        <f>IFERROR(INDEX(TableWRMaster[BYE],MATCH(TableWRTECalcPts[[#This Row],[POSRef]],TableWRMaster[WRRef],0)),"")</f>
        <v>10</v>
      </c>
      <c r="AP191" s="111">
        <f>IFERROR(INDEX(TableWRMaster[Custom],MATCH(TableWRTECalcPts[[#This Row],[POSRef]],TableWRMaster[WRRef],0)),"")</f>
        <v>258.64512105109765</v>
      </c>
    </row>
    <row r="192" spans="8:42" x14ac:dyDescent="0.2">
      <c r="M192" s="61"/>
      <c r="O192" s="60" t="str">
        <f>IFERROR(RANK(TableWRCalcPts[[#This Row],[Custom]],TableWRCalcPts[Custom])+COUNTIF($T$3:T192,T192)-1,"")</f>
        <v/>
      </c>
      <c r="P192" s="60">
        <v>190</v>
      </c>
      <c r="Q192" s="60" t="str">
        <f>IFERROR(INDEX(TableWRMaster[Player],MATCH(TableWRCalcPts[[#This Row],[WRRef]],TableWRMaster[WRRef],0)),"")</f>
        <v/>
      </c>
      <c r="R192" s="60" t="str">
        <f>IFERROR(INDEX(TableWRMaster[TM],MATCH(TableWRCalcPts[[#This Row],[WRRef]],TableWRMaster[WRRef],0)),"")</f>
        <v/>
      </c>
      <c r="S192" s="60" t="str">
        <f>IFERROR(INDEX(TableWRMaster[BYE],MATCH(TableWRCalcPts[[#This Row],[WRRef]],TableWRMaster[WRRef],0)),"")</f>
        <v/>
      </c>
      <c r="T192" s="61" t="str">
        <f>IFERROR(INDEX(TableWRMaster[Custom],MATCH(TableWRCalcPts[[#This Row],[WRRef]],TableWRMaster[WRRef],0)),"")</f>
        <v/>
      </c>
      <c r="AI192" s="60" t="s">
        <v>257</v>
      </c>
      <c r="AJ192" s="60">
        <f>IFERROR(RANK(TableWRTECalcPts[[#This Row],[Custom]],TableWRTECalcPts[Custom])+COUNTIF($AP$3:AP192,AP192)-1,"")</f>
        <v>145</v>
      </c>
      <c r="AK192" s="113">
        <v>90</v>
      </c>
      <c r="AL192" s="113" t="str">
        <f>IFERROR(INDEX(TableWRMaster[Player],MATCH(TableWRTECalcPts[[#This Row],[POSRef]],TableWRMaster[WRRef],0)),"")</f>
        <v>Ben Skowronek</v>
      </c>
      <c r="AM192" s="113" t="str">
        <f>IFERROR(_xlfn.CONCAT(TableWRTECalcPts[[#This Row],[POS]],INDEX(TableWRRanks[RK],MATCH(TableWRTECalcPts[[#This Row],[PLAYER]],TableWRRanks[Player],0))),"")</f>
        <v>WR107</v>
      </c>
      <c r="AN192" s="113" t="str">
        <f>IFERROR(INDEX(TableWRMaster[TM],MATCH(TableWRTECalcPts[[#This Row],[POSRef]],TableWRMaster[WRRef],0)),"")</f>
        <v>LAR</v>
      </c>
      <c r="AO192" s="113">
        <f>IFERROR(INDEX(TableWRMaster[BYE],MATCH(TableWRTECalcPts[[#This Row],[POSRef]],TableWRMaster[WRRef],0)),"")</f>
        <v>10</v>
      </c>
      <c r="AP192" s="111">
        <f>IFERROR(INDEX(TableWRMaster[Custom],MATCH(TableWRTECalcPts[[#This Row],[POSRef]],TableWRMaster[WRRef],0)),"")</f>
        <v>55.2630857895698</v>
      </c>
    </row>
    <row r="193" spans="13:42" x14ac:dyDescent="0.2">
      <c r="M193" s="61"/>
      <c r="O193" s="60" t="str">
        <f>IFERROR(RANK(TableWRCalcPts[[#This Row],[Custom]],TableWRCalcPts[Custom])+COUNTIF($T$3:T193,T193)-1,"")</f>
        <v/>
      </c>
      <c r="P193" s="60">
        <v>191</v>
      </c>
      <c r="Q193" s="60" t="str">
        <f>IFERROR(INDEX(TableWRMaster[Player],MATCH(TableWRCalcPts[[#This Row],[WRRef]],TableWRMaster[WRRef],0)),"")</f>
        <v/>
      </c>
      <c r="R193" s="60" t="str">
        <f>IFERROR(INDEX(TableWRMaster[TM],MATCH(TableWRCalcPts[[#This Row],[WRRef]],TableWRMaster[WRRef],0)),"")</f>
        <v/>
      </c>
      <c r="S193" s="60" t="str">
        <f>IFERROR(INDEX(TableWRMaster[BYE],MATCH(TableWRCalcPts[[#This Row],[WRRef]],TableWRMaster[WRRef],0)),"")</f>
        <v/>
      </c>
      <c r="T193" s="61" t="str">
        <f>IFERROR(INDEX(TableWRMaster[Custom],MATCH(TableWRCalcPts[[#This Row],[WRRef]],TableWRMaster[WRRef],0)),"")</f>
        <v/>
      </c>
      <c r="AI193" s="60" t="s">
        <v>257</v>
      </c>
      <c r="AJ193" s="60">
        <f>IFERROR(RANK(TableWRTECalcPts[[#This Row],[Custom]],TableWRTECalcPts[Custom])+COUNTIF($AP$3:AP193,AP193)-1,"")</f>
        <v>116</v>
      </c>
      <c r="AK193" s="113">
        <v>91</v>
      </c>
      <c r="AL193" s="113" t="str">
        <f>IFERROR(INDEX(TableWRMaster[Player],MATCH(TableWRTECalcPts[[#This Row],[POSRef]],TableWRMaster[WRRef],0)),"")</f>
        <v>Puka Nacua</v>
      </c>
      <c r="AM193" s="113" t="str">
        <f>IFERROR(_xlfn.CONCAT(TableWRTECalcPts[[#This Row],[POS]],INDEX(TableWRRanks[RK],MATCH(TableWRTECalcPts[[#This Row],[PLAYER]],TableWRRanks[Player],0))),"")</f>
        <v>WR88</v>
      </c>
      <c r="AN193" s="113" t="str">
        <f>IFERROR(INDEX(TableWRMaster[TM],MATCH(TableWRTECalcPts[[#This Row],[POSRef]],TableWRMaster[WRRef],0)),"")</f>
        <v>LAR</v>
      </c>
      <c r="AO193" s="113">
        <f>IFERROR(INDEX(TableWRMaster[BYE],MATCH(TableWRTECalcPts[[#This Row],[POSRef]],TableWRMaster[WRRef],0)),"")</f>
        <v>10</v>
      </c>
      <c r="AP193" s="111">
        <f>IFERROR(INDEX(TableWRMaster[Custom],MATCH(TableWRTECalcPts[[#This Row],[POSRef]],TableWRMaster[WRRef],0)),"")</f>
        <v>85.054259195136012</v>
      </c>
    </row>
    <row r="194" spans="13:42" x14ac:dyDescent="0.2">
      <c r="M194" s="61"/>
      <c r="O194" s="60" t="str">
        <f>IFERROR(RANK(TableWRCalcPts[[#This Row],[Custom]],TableWRCalcPts[Custom])+COUNTIF($T$3:T194,T194)-1,"")</f>
        <v/>
      </c>
      <c r="P194" s="60">
        <v>192</v>
      </c>
      <c r="Q194" s="60" t="str">
        <f>IFERROR(INDEX(TableWRMaster[Player],MATCH(TableWRCalcPts[[#This Row],[WRRef]],TableWRMaster[WRRef],0)),"")</f>
        <v/>
      </c>
      <c r="R194" s="60" t="str">
        <f>IFERROR(INDEX(TableWRMaster[TM],MATCH(TableWRCalcPts[[#This Row],[WRRef]],TableWRMaster[WRRef],0)),"")</f>
        <v/>
      </c>
      <c r="S194" s="60" t="str">
        <f>IFERROR(INDEX(TableWRMaster[BYE],MATCH(TableWRCalcPts[[#This Row],[WRRef]],TableWRMaster[WRRef],0)),"")</f>
        <v/>
      </c>
      <c r="T194" s="61" t="str">
        <f>IFERROR(INDEX(TableWRMaster[Custom],MATCH(TableWRCalcPts[[#This Row],[WRRef]],TableWRMaster[WRRef],0)),"")</f>
        <v/>
      </c>
      <c r="AI194" s="60" t="s">
        <v>257</v>
      </c>
      <c r="AJ194" s="60">
        <f>IFERROR(RANK(TableWRTECalcPts[[#This Row],[Custom]],TableWRTECalcPts[Custom])+COUNTIF($AP$3:AP194,AP194)-1,"")</f>
        <v>136</v>
      </c>
      <c r="AK194" s="113">
        <v>92</v>
      </c>
      <c r="AL194" s="113" t="str">
        <f>IFERROR(INDEX(TableWRMaster[Player],MATCH(TableWRTECalcPts[[#This Row],[POSRef]],TableWRMaster[WRRef],0)),"")</f>
        <v>Tutu Atwell</v>
      </c>
      <c r="AM194" s="113" t="str">
        <f>IFERROR(_xlfn.CONCAT(TableWRTECalcPts[[#This Row],[POS]],INDEX(TableWRRanks[RK],MATCH(TableWRTECalcPts[[#This Row],[PLAYER]],TableWRRanks[Player],0))),"")</f>
        <v>WR99</v>
      </c>
      <c r="AN194" s="113" t="str">
        <f>IFERROR(INDEX(TableWRMaster[TM],MATCH(TableWRTECalcPts[[#This Row],[POSRef]],TableWRMaster[WRRef],0)),"")</f>
        <v>LAR</v>
      </c>
      <c r="AO194" s="113">
        <f>IFERROR(INDEX(TableWRMaster[BYE],MATCH(TableWRTECalcPts[[#This Row],[POSRef]],TableWRMaster[WRRef],0)),"")</f>
        <v>10</v>
      </c>
      <c r="AP194" s="111">
        <f>IFERROR(INDEX(TableWRMaster[Custom],MATCH(TableWRTECalcPts[[#This Row],[POSRef]],TableWRMaster[WRRef],0)),"")</f>
        <v>64.322349932332799</v>
      </c>
    </row>
    <row r="195" spans="13:42" x14ac:dyDescent="0.2">
      <c r="M195" s="61"/>
      <c r="O195" s="60" t="str">
        <f>IFERROR(RANK(TableWRCalcPts[[#This Row],[Custom]],TableWRCalcPts[Custom])+COUNTIF($T$3:T195,T195)-1,"")</f>
        <v/>
      </c>
      <c r="P195" s="60">
        <v>193</v>
      </c>
      <c r="Q195" s="60" t="str">
        <f>IFERROR(INDEX(TableWRMaster[Player],MATCH(TableWRCalcPts[[#This Row],[WRRef]],TableWRMaster[WRRef],0)),"")</f>
        <v/>
      </c>
      <c r="R195" s="60" t="str">
        <f>IFERROR(INDEX(TableWRMaster[TM],MATCH(TableWRCalcPts[[#This Row],[WRRef]],TableWRMaster[WRRef],0)),"")</f>
        <v/>
      </c>
      <c r="S195" s="60" t="str">
        <f>IFERROR(INDEX(TableWRMaster[BYE],MATCH(TableWRCalcPts[[#This Row],[WRRef]],TableWRMaster[WRRef],0)),"")</f>
        <v/>
      </c>
      <c r="T195" s="61" t="str">
        <f>IFERROR(INDEX(TableWRMaster[Custom],MATCH(TableWRCalcPts[[#This Row],[WRRef]],TableWRMaster[WRRef],0)),"")</f>
        <v/>
      </c>
      <c r="AI195" s="60" t="s">
        <v>257</v>
      </c>
      <c r="AJ195" s="60">
        <f>IFERROR(RANK(TableWRTECalcPts[[#This Row],[Custom]],TableWRTECalcPts[Custom])+COUNTIF($AP$3:AP195,AP195)-1,"")</f>
        <v>4</v>
      </c>
      <c r="AK195" s="113">
        <v>93</v>
      </c>
      <c r="AL195" s="113" t="str">
        <f>IFERROR(INDEX(TableWRMaster[Player],MATCH(TableWRTECalcPts[[#This Row],[POSRef]],TableWRMaster[WRRef],0)),"")</f>
        <v>Davante Adams</v>
      </c>
      <c r="AM195" s="113" t="str">
        <f>IFERROR(_xlfn.CONCAT(TableWRTECalcPts[[#This Row],[POS]],INDEX(TableWRRanks[RK],MATCH(TableWRTECalcPts[[#This Row],[PLAYER]],TableWRRanks[Player],0))),"")</f>
        <v>WR4</v>
      </c>
      <c r="AN195" s="113" t="str">
        <f>IFERROR(INDEX(TableWRMaster[TM],MATCH(TableWRTECalcPts[[#This Row],[POSRef]],TableWRMaster[WRRef],0)),"")</f>
        <v>LV</v>
      </c>
      <c r="AO195" s="113">
        <f>IFERROR(INDEX(TableWRMaster[BYE],MATCH(TableWRTECalcPts[[#This Row],[POSRef]],TableWRMaster[WRRef],0)),"")</f>
        <v>13</v>
      </c>
      <c r="AP195" s="111">
        <f>IFERROR(INDEX(TableWRMaster[Custom],MATCH(TableWRTECalcPts[[#This Row],[POSRef]],TableWRMaster[WRRef],0)),"")</f>
        <v>254.78207097985711</v>
      </c>
    </row>
    <row r="196" spans="13:42" x14ac:dyDescent="0.2">
      <c r="M196" s="61"/>
      <c r="O196" s="60" t="str">
        <f>IFERROR(RANK(TableWRCalcPts[[#This Row],[Custom]],TableWRCalcPts[Custom])+COUNTIF($T$3:T196,T196)-1,"")</f>
        <v/>
      </c>
      <c r="P196" s="60">
        <v>194</v>
      </c>
      <c r="Q196" s="60" t="str">
        <f>IFERROR(INDEX(TableWRMaster[Player],MATCH(TableWRCalcPts[[#This Row],[WRRef]],TableWRMaster[WRRef],0)),"")</f>
        <v/>
      </c>
      <c r="R196" s="60" t="str">
        <f>IFERROR(INDEX(TableWRMaster[TM],MATCH(TableWRCalcPts[[#This Row],[WRRef]],TableWRMaster[WRRef],0)),"")</f>
        <v/>
      </c>
      <c r="S196" s="60" t="str">
        <f>IFERROR(INDEX(TableWRMaster[BYE],MATCH(TableWRCalcPts[[#This Row],[WRRef]],TableWRMaster[WRRef],0)),"")</f>
        <v/>
      </c>
      <c r="T196" s="61" t="str">
        <f>IFERROR(INDEX(TableWRMaster[Custom],MATCH(TableWRCalcPts[[#This Row],[WRRef]],TableWRMaster[WRRef],0)),"")</f>
        <v/>
      </c>
      <c r="AI196" s="60" t="s">
        <v>257</v>
      </c>
      <c r="AJ196" s="60">
        <f>IFERROR(RANK(TableWRTECalcPts[[#This Row],[Custom]],TableWRTECalcPts[Custom])+COUNTIF($AP$3:AP196,AP196)-1,"")</f>
        <v>56</v>
      </c>
      <c r="AK196" s="113">
        <v>94</v>
      </c>
      <c r="AL196" s="113" t="str">
        <f>IFERROR(INDEX(TableWRMaster[Player],MATCH(TableWRTECalcPts[[#This Row],[POSRef]],TableWRMaster[WRRef],0)),"")</f>
        <v>Jakobi Meyers</v>
      </c>
      <c r="AM196" s="113" t="str">
        <f>IFERROR(_xlfn.CONCAT(TableWRTECalcPts[[#This Row],[POS]],INDEX(TableWRRanks[RK],MATCH(TableWRTECalcPts[[#This Row],[PLAYER]],TableWRRanks[Player],0))),"")</f>
        <v>WR51</v>
      </c>
      <c r="AN196" s="113" t="str">
        <f>IFERROR(INDEX(TableWRMaster[TM],MATCH(TableWRTECalcPts[[#This Row],[POSRef]],TableWRMaster[WRRef],0)),"")</f>
        <v>LV</v>
      </c>
      <c r="AO196" s="113">
        <f>IFERROR(INDEX(TableWRMaster[BYE],MATCH(TableWRTECalcPts[[#This Row],[POSRef]],TableWRMaster[WRRef],0)),"")</f>
        <v>13</v>
      </c>
      <c r="AP196" s="111">
        <f>IFERROR(INDEX(TableWRMaster[Custom],MATCH(TableWRTECalcPts[[#This Row],[POSRef]],TableWRMaster[WRRef],0)),"")</f>
        <v>144.71799711264924</v>
      </c>
    </row>
    <row r="197" spans="13:42" x14ac:dyDescent="0.2">
      <c r="M197" s="61"/>
      <c r="O197" s="60" t="str">
        <f>IFERROR(RANK(TableWRCalcPts[[#This Row],[Custom]],TableWRCalcPts[Custom])+COUNTIF($T$3:T197,T197)-1,"")</f>
        <v/>
      </c>
      <c r="P197" s="60">
        <v>195</v>
      </c>
      <c r="Q197" s="60" t="str">
        <f>IFERROR(INDEX(TableWRMaster[Player],MATCH(TableWRCalcPts[[#This Row],[WRRef]],TableWRMaster[WRRef],0)),"")</f>
        <v/>
      </c>
      <c r="R197" s="60" t="str">
        <f>IFERROR(INDEX(TableWRMaster[TM],MATCH(TableWRCalcPts[[#This Row],[WRRef]],TableWRMaster[WRRef],0)),"")</f>
        <v/>
      </c>
      <c r="S197" s="60" t="str">
        <f>IFERROR(INDEX(TableWRMaster[BYE],MATCH(TableWRCalcPts[[#This Row],[WRRef]],TableWRMaster[WRRef],0)),"")</f>
        <v/>
      </c>
      <c r="T197" s="61" t="str">
        <f>IFERROR(INDEX(TableWRMaster[Custom],MATCH(TableWRCalcPts[[#This Row],[WRRef]],TableWRMaster[WRRef],0)),"")</f>
        <v/>
      </c>
      <c r="AI197" s="60" t="s">
        <v>257</v>
      </c>
      <c r="AJ197" s="60">
        <f>IFERROR(RANK(TableWRTECalcPts[[#This Row],[Custom]],TableWRTECalcPts[Custom])+COUNTIF($AP$3:AP197,AP197)-1,"")</f>
        <v>117</v>
      </c>
      <c r="AK197" s="113">
        <v>95</v>
      </c>
      <c r="AL197" s="113" t="str">
        <f>IFERROR(INDEX(TableWRMaster[Player],MATCH(TableWRTECalcPts[[#This Row],[POSRef]],TableWRMaster[WRRef],0)),"")</f>
        <v>Hunter Renfrow</v>
      </c>
      <c r="AM197" s="113" t="str">
        <f>IFERROR(_xlfn.CONCAT(TableWRTECalcPts[[#This Row],[POS]],INDEX(TableWRRanks[RK],MATCH(TableWRTECalcPts[[#This Row],[PLAYER]],TableWRRanks[Player],0))),"")</f>
        <v>WR89</v>
      </c>
      <c r="AN197" s="113" t="str">
        <f>IFERROR(INDEX(TableWRMaster[TM],MATCH(TableWRTECalcPts[[#This Row],[POSRef]],TableWRMaster[WRRef],0)),"")</f>
        <v>LV</v>
      </c>
      <c r="AO197" s="113">
        <f>IFERROR(INDEX(TableWRMaster[BYE],MATCH(TableWRTECalcPts[[#This Row],[POSRef]],TableWRMaster[WRRef],0)),"")</f>
        <v>13</v>
      </c>
      <c r="AP197" s="111">
        <f>IFERROR(INDEX(TableWRMaster[Custom],MATCH(TableWRTECalcPts[[#This Row],[POSRef]],TableWRMaster[WRRef],0)),"")</f>
        <v>84.554260335667863</v>
      </c>
    </row>
    <row r="198" spans="13:42" x14ac:dyDescent="0.2">
      <c r="M198" s="61"/>
      <c r="O198" s="60" t="str">
        <f>IFERROR(RANK(TableWRCalcPts[[#This Row],[Custom]],TableWRCalcPts[Custom])+COUNTIF($T$3:T198,T198)-1,"")</f>
        <v/>
      </c>
      <c r="P198" s="60">
        <v>196</v>
      </c>
      <c r="Q198" s="60" t="str">
        <f>IFERROR(INDEX(TableWRMaster[Player],MATCH(TableWRCalcPts[[#This Row],[WRRef]],TableWRMaster[WRRef],0)),"")</f>
        <v/>
      </c>
      <c r="R198" s="60" t="str">
        <f>IFERROR(INDEX(TableWRMaster[TM],MATCH(TableWRCalcPts[[#This Row],[WRRef]],TableWRMaster[WRRef],0)),"")</f>
        <v/>
      </c>
      <c r="S198" s="60" t="str">
        <f>IFERROR(INDEX(TableWRMaster[BYE],MATCH(TableWRCalcPts[[#This Row],[WRRef]],TableWRMaster[WRRef],0)),"")</f>
        <v/>
      </c>
      <c r="T198" s="61" t="str">
        <f>IFERROR(INDEX(TableWRMaster[Custom],MATCH(TableWRCalcPts[[#This Row],[WRRef]],TableWRMaster[WRRef],0)),"")</f>
        <v/>
      </c>
      <c r="AI198" s="60" t="s">
        <v>257</v>
      </c>
      <c r="AJ198" s="60">
        <f>IFERROR(RANK(TableWRTECalcPts[[#This Row],[Custom]],TableWRTECalcPts[Custom])+COUNTIF($AP$3:AP198,AP198)-1,"")</f>
        <v>217</v>
      </c>
      <c r="AK198" s="113">
        <v>96</v>
      </c>
      <c r="AL198" s="113" t="str">
        <f>IFERROR(INDEX(TableWRMaster[Player],MATCH(TableWRTECalcPts[[#This Row],[POSRef]],TableWRMaster[WRRef],0)),"")</f>
        <v>DeAndre Carter</v>
      </c>
      <c r="AM198" s="113" t="str">
        <f>IFERROR(_xlfn.CONCAT(TableWRTECalcPts[[#This Row],[POS]],INDEX(TableWRRanks[RK],MATCH(TableWRTECalcPts[[#This Row],[PLAYER]],TableWRRanks[Player],0))),"")</f>
        <v>WR147</v>
      </c>
      <c r="AN198" s="113" t="str">
        <f>IFERROR(INDEX(TableWRMaster[TM],MATCH(TableWRTECalcPts[[#This Row],[POSRef]],TableWRMaster[WRRef],0)),"")</f>
        <v>LV</v>
      </c>
      <c r="AO198" s="113">
        <f>IFERROR(INDEX(TableWRMaster[BYE],MATCH(TableWRTECalcPts[[#This Row],[POSRef]],TableWRMaster[WRRef],0)),"")</f>
        <v>13</v>
      </c>
      <c r="AP198" s="111">
        <f>IFERROR(INDEX(TableWRMaster[Custom],MATCH(TableWRTECalcPts[[#This Row],[POSRef]],TableWRMaster[WRRef],0)),"")</f>
        <v>16.591250282286047</v>
      </c>
    </row>
    <row r="199" spans="13:42" x14ac:dyDescent="0.2">
      <c r="M199" s="61"/>
      <c r="O199" s="60" t="str">
        <f>IFERROR(RANK(TableWRCalcPts[[#This Row],[Custom]],TableWRCalcPts[Custom])+COUNTIF($T$3:T199,T199)-1,"")</f>
        <v/>
      </c>
      <c r="P199" s="60">
        <v>197</v>
      </c>
      <c r="Q199" s="60" t="str">
        <f>IFERROR(INDEX(TableWRMaster[Player],MATCH(TableWRCalcPts[[#This Row],[WRRef]],TableWRMaster[WRRef],0)),"")</f>
        <v/>
      </c>
      <c r="R199" s="60" t="str">
        <f>IFERROR(INDEX(TableWRMaster[TM],MATCH(TableWRCalcPts[[#This Row],[WRRef]],TableWRMaster[WRRef],0)),"")</f>
        <v/>
      </c>
      <c r="S199" s="60" t="str">
        <f>IFERROR(INDEX(TableWRMaster[BYE],MATCH(TableWRCalcPts[[#This Row],[WRRef]],TableWRMaster[WRRef],0)),"")</f>
        <v/>
      </c>
      <c r="T199" s="61" t="str">
        <f>IFERROR(INDEX(TableWRMaster[Custom],MATCH(TableWRCalcPts[[#This Row],[WRRef]],TableWRMaster[WRRef],0)),"")</f>
        <v/>
      </c>
      <c r="AI199" s="60" t="s">
        <v>257</v>
      </c>
      <c r="AJ199" s="60">
        <f>IFERROR(RANK(TableWRTECalcPts[[#This Row],[Custom]],TableWRTECalcPts[Custom])+COUNTIF($AP$3:AP199,AP199)-1,"")</f>
        <v>219</v>
      </c>
      <c r="AK199" s="113">
        <v>97</v>
      </c>
      <c r="AL199" s="113" t="str">
        <f>IFERROR(INDEX(TableWRMaster[Player],MATCH(TableWRTECalcPts[[#This Row],[POSRef]],TableWRMaster[WRRef],0)),"")</f>
        <v>Tre Tucker</v>
      </c>
      <c r="AM199" s="113" t="str">
        <f>IFERROR(_xlfn.CONCAT(TableWRTECalcPts[[#This Row],[POS]],INDEX(TableWRRanks[RK],MATCH(TableWRTECalcPts[[#This Row],[PLAYER]],TableWRRanks[Player],0))),"")</f>
        <v>WR148</v>
      </c>
      <c r="AN199" s="113" t="str">
        <f>IFERROR(INDEX(TableWRMaster[TM],MATCH(TableWRTECalcPts[[#This Row],[POSRef]],TableWRMaster[WRRef],0)),"")</f>
        <v>LV</v>
      </c>
      <c r="AO199" s="113">
        <f>IFERROR(INDEX(TableWRMaster[BYE],MATCH(TableWRTECalcPts[[#This Row],[POSRef]],TableWRMaster[WRRef],0)),"")</f>
        <v>13</v>
      </c>
      <c r="AP199" s="111">
        <f>IFERROR(INDEX(TableWRMaster[Custom],MATCH(TableWRTECalcPts[[#This Row],[POSRef]],TableWRMaster[WRRef],0)),"")</f>
        <v>16.305184102292177</v>
      </c>
    </row>
    <row r="200" spans="13:42" x14ac:dyDescent="0.2">
      <c r="M200" s="61"/>
      <c r="O200" s="60" t="str">
        <f>IFERROR(RANK(TableWRCalcPts[[#This Row],[Custom]],TableWRCalcPts[Custom])+COUNTIF($T$3:T200,T200)-1,"")</f>
        <v/>
      </c>
      <c r="P200" s="60">
        <v>198</v>
      </c>
      <c r="Q200" s="60" t="str">
        <f>IFERROR(INDEX(TableWRMaster[Player],MATCH(TableWRCalcPts[[#This Row],[WRRef]],TableWRMaster[WRRef],0)),"")</f>
        <v/>
      </c>
      <c r="R200" s="60" t="str">
        <f>IFERROR(INDEX(TableWRMaster[TM],MATCH(TableWRCalcPts[[#This Row],[WRRef]],TableWRMaster[WRRef],0)),"")</f>
        <v/>
      </c>
      <c r="S200" s="60" t="str">
        <f>IFERROR(INDEX(TableWRMaster[BYE],MATCH(TableWRCalcPts[[#This Row],[WRRef]],TableWRMaster[WRRef],0)),"")</f>
        <v/>
      </c>
      <c r="T200" s="61" t="str">
        <f>IFERROR(INDEX(TableWRMaster[Custom],MATCH(TableWRCalcPts[[#This Row],[WRRef]],TableWRMaster[WRRef],0)),"")</f>
        <v/>
      </c>
      <c r="AI200" s="60" t="s">
        <v>257</v>
      </c>
      <c r="AJ200" s="60">
        <f>IFERROR(RANK(TableWRTECalcPts[[#This Row],[Custom]],TableWRTECalcPts[Custom])+COUNTIF($AP$3:AP200,AP200)-1,"")</f>
        <v>2</v>
      </c>
      <c r="AK200" s="113">
        <v>98</v>
      </c>
      <c r="AL200" s="113" t="str">
        <f>IFERROR(INDEX(TableWRMaster[Player],MATCH(TableWRTECalcPts[[#This Row],[POSRef]],TableWRMaster[WRRef],0)),"")</f>
        <v>Tyreek Hill</v>
      </c>
      <c r="AM200" s="113" t="str">
        <f>IFERROR(_xlfn.CONCAT(TableWRTECalcPts[[#This Row],[POS]],INDEX(TableWRRanks[RK],MATCH(TableWRTECalcPts[[#This Row],[PLAYER]],TableWRRanks[Player],0))),"")</f>
        <v>WR2</v>
      </c>
      <c r="AN200" s="113" t="str">
        <f>IFERROR(INDEX(TableWRMaster[TM],MATCH(TableWRTECalcPts[[#This Row],[POSRef]],TableWRMaster[WRRef],0)),"")</f>
        <v>MIA</v>
      </c>
      <c r="AO200" s="113">
        <f>IFERROR(INDEX(TableWRMaster[BYE],MATCH(TableWRTECalcPts[[#This Row],[POSRef]],TableWRMaster[WRRef],0)),"")</f>
        <v>10</v>
      </c>
      <c r="AP200" s="111">
        <f>IFERROR(INDEX(TableWRMaster[Custom],MATCH(TableWRTECalcPts[[#This Row],[POSRef]],TableWRMaster[WRRef],0)),"")</f>
        <v>265.79784894083116</v>
      </c>
    </row>
    <row r="201" spans="13:42" x14ac:dyDescent="0.2">
      <c r="M201" s="61"/>
      <c r="O201" s="60" t="str">
        <f>IFERROR(RANK(TableWRCalcPts[[#This Row],[Custom]],TableWRCalcPts[Custom])+COUNTIF($T$3:T201,T201)-1,"")</f>
        <v/>
      </c>
      <c r="P201" s="60">
        <v>199</v>
      </c>
      <c r="Q201" s="60" t="str">
        <f>IFERROR(INDEX(TableWRMaster[Player],MATCH(TableWRCalcPts[[#This Row],[WRRef]],TableWRMaster[WRRef],0)),"")</f>
        <v/>
      </c>
      <c r="R201" s="60" t="str">
        <f>IFERROR(INDEX(TableWRMaster[TM],MATCH(TableWRCalcPts[[#This Row],[WRRef]],TableWRMaster[WRRef],0)),"")</f>
        <v/>
      </c>
      <c r="S201" s="60" t="str">
        <f>IFERROR(INDEX(TableWRMaster[BYE],MATCH(TableWRCalcPts[[#This Row],[WRRef]],TableWRMaster[WRRef],0)),"")</f>
        <v/>
      </c>
      <c r="T201" s="61" t="str">
        <f>IFERROR(INDEX(TableWRMaster[Custom],MATCH(TableWRCalcPts[[#This Row],[WRRef]],TableWRMaster[WRRef],0)),"")</f>
        <v/>
      </c>
      <c r="AI201" s="60" t="s">
        <v>257</v>
      </c>
      <c r="AJ201" s="60">
        <f>IFERROR(RANK(TableWRTECalcPts[[#This Row],[Custom]],TableWRTECalcPts[Custom])+COUNTIF($AP$3:AP201,AP201)-1,"")</f>
        <v>10</v>
      </c>
      <c r="AK201" s="113">
        <v>99</v>
      </c>
      <c r="AL201" s="113" t="str">
        <f>IFERROR(INDEX(TableWRMaster[Player],MATCH(TableWRTECalcPts[[#This Row],[POSRef]],TableWRMaster[WRRef],0)),"")</f>
        <v>Jaylen Waddle</v>
      </c>
      <c r="AM201" s="113" t="str">
        <f>IFERROR(_xlfn.CONCAT(TableWRTECalcPts[[#This Row],[POS]],INDEX(TableWRRanks[RK],MATCH(TableWRTECalcPts[[#This Row],[PLAYER]],TableWRRanks[Player],0))),"")</f>
        <v>WR9</v>
      </c>
      <c r="AN201" s="113" t="str">
        <f>IFERROR(INDEX(TableWRMaster[TM],MATCH(TableWRTECalcPts[[#This Row],[POSRef]],TableWRMaster[WRRef],0)),"")</f>
        <v>MIA</v>
      </c>
      <c r="AO201" s="113">
        <f>IFERROR(INDEX(TableWRMaster[BYE],MATCH(TableWRTECalcPts[[#This Row],[POSRef]],TableWRMaster[WRRef],0)),"")</f>
        <v>10</v>
      </c>
      <c r="AP201" s="111">
        <f>IFERROR(INDEX(TableWRMaster[Custom],MATCH(TableWRTECalcPts[[#This Row],[POSRef]],TableWRMaster[WRRef],0)),"")</f>
        <v>213.97580424242801</v>
      </c>
    </row>
    <row r="202" spans="13:42" x14ac:dyDescent="0.2">
      <c r="M202" s="61"/>
      <c r="O202" s="60" t="str">
        <f>IFERROR(RANK(TableWRCalcPts[[#This Row],[Custom]],TableWRCalcPts[Custom])+COUNTIF($T$3:T202,T202)-1,"")</f>
        <v/>
      </c>
      <c r="P202" s="60">
        <v>200</v>
      </c>
      <c r="Q202" s="60" t="str">
        <f>IFERROR(INDEX(TableWRMaster[Player],MATCH(TableWRCalcPts[[#This Row],[WRRef]],TableWRMaster[WRRef],0)),"")</f>
        <v/>
      </c>
      <c r="R202" s="60" t="str">
        <f>IFERROR(INDEX(TableWRMaster[TM],MATCH(TableWRCalcPts[[#This Row],[WRRef]],TableWRMaster[WRRef],0)),"")</f>
        <v/>
      </c>
      <c r="S202" s="60" t="str">
        <f>IFERROR(INDEX(TableWRMaster[BYE],MATCH(TableWRCalcPts[[#This Row],[WRRef]],TableWRMaster[WRRef],0)),"")</f>
        <v/>
      </c>
      <c r="T202" s="61" t="str">
        <f>IFERROR(INDEX(TableWRMaster[Custom],MATCH(TableWRCalcPts[[#This Row],[WRRef]],TableWRMaster[WRRef],0)),"")</f>
        <v/>
      </c>
      <c r="AI202" s="60" t="s">
        <v>257</v>
      </c>
      <c r="AJ202" s="60">
        <f>IFERROR(RANK(TableWRTECalcPts[[#This Row],[Custom]],TableWRTECalcPts[Custom])+COUNTIF($AP$3:AP202,AP202)-1,"")</f>
        <v>139</v>
      </c>
      <c r="AK202" s="113">
        <v>100</v>
      </c>
      <c r="AL202" s="113" t="str">
        <f>IFERROR(INDEX(TableWRMaster[Player],MATCH(TableWRTECalcPts[[#This Row],[POSRef]],TableWRMaster[WRRef],0)),"")</f>
        <v>Cedrick Wilson</v>
      </c>
      <c r="AM202" s="113" t="str">
        <f>IFERROR(_xlfn.CONCAT(TableWRTECalcPts[[#This Row],[POS]],INDEX(TableWRRanks[RK],MATCH(TableWRTECalcPts[[#This Row],[PLAYER]],TableWRRanks[Player],0))),"")</f>
        <v>WR102</v>
      </c>
      <c r="AN202" s="113" t="str">
        <f>IFERROR(INDEX(TableWRMaster[TM],MATCH(TableWRTECalcPts[[#This Row],[POSRef]],TableWRMaster[WRRef],0)),"")</f>
        <v>MIA</v>
      </c>
      <c r="AO202" s="113">
        <f>IFERROR(INDEX(TableWRMaster[BYE],MATCH(TableWRTECalcPts[[#This Row],[POSRef]],TableWRMaster[WRRef],0)),"")</f>
        <v>10</v>
      </c>
      <c r="AP202" s="111">
        <f>IFERROR(INDEX(TableWRMaster[Custom],MATCH(TableWRTECalcPts[[#This Row],[POSRef]],TableWRMaster[WRRef],0)),"")</f>
        <v>59.155899982718687</v>
      </c>
    </row>
    <row r="203" spans="13:42" x14ac:dyDescent="0.2">
      <c r="M203" s="61"/>
      <c r="O203" s="60" t="str">
        <f>IFERROR(RANK(TableWRCalcPts[[#This Row],[Custom]],TableWRCalcPts[Custom])+COUNTIF($T$3:T203,T203)-1,"")</f>
        <v/>
      </c>
      <c r="P203" s="60">
        <v>201</v>
      </c>
      <c r="Q203" s="60" t="str">
        <f>IFERROR(INDEX(TableWRMaster[Player],MATCH(TableWRCalcPts[[#This Row],[WRRef]],TableWRMaster[WRRef],0)),"")</f>
        <v/>
      </c>
      <c r="R203" s="60" t="str">
        <f>IFERROR(INDEX(TableWRMaster[TM],MATCH(TableWRCalcPts[[#This Row],[WRRef]],TableWRMaster[WRRef],0)),"")</f>
        <v/>
      </c>
      <c r="S203" s="60" t="str">
        <f>IFERROR(INDEX(TableWRMaster[BYE],MATCH(TableWRCalcPts[[#This Row],[WRRef]],TableWRMaster[WRRef],0)),"")</f>
        <v/>
      </c>
      <c r="T203" s="61" t="str">
        <f>IFERROR(INDEX(TableWRMaster[Custom],MATCH(TableWRCalcPts[[#This Row],[WRRef]],TableWRMaster[WRRef],0)),"")</f>
        <v/>
      </c>
      <c r="AI203" s="60" t="s">
        <v>257</v>
      </c>
      <c r="AJ203" s="60">
        <f>IFERROR(RANK(TableWRTECalcPts[[#This Row],[Custom]],TableWRTECalcPts[Custom])+COUNTIF($AP$3:AP203,AP203)-1,"")</f>
        <v>184</v>
      </c>
      <c r="AK203" s="113">
        <v>101</v>
      </c>
      <c r="AL203" s="113" t="str">
        <f>IFERROR(INDEX(TableWRMaster[Player],MATCH(TableWRTECalcPts[[#This Row],[POSRef]],TableWRMaster[WRRef],0)),"")</f>
        <v>River Cracraft</v>
      </c>
      <c r="AM203" s="113" t="str">
        <f>IFERROR(_xlfn.CONCAT(TableWRTECalcPts[[#This Row],[POS]],INDEX(TableWRRanks[RK],MATCH(TableWRTECalcPts[[#This Row],[PLAYER]],TableWRRanks[Player],0))),"")</f>
        <v>WR129</v>
      </c>
      <c r="AN203" s="113" t="str">
        <f>IFERROR(INDEX(TableWRMaster[TM],MATCH(TableWRTECalcPts[[#This Row],[POSRef]],TableWRMaster[WRRef],0)),"")</f>
        <v>MIA</v>
      </c>
      <c r="AO203" s="113">
        <f>IFERROR(INDEX(TableWRMaster[BYE],MATCH(TableWRTECalcPts[[#This Row],[POSRef]],TableWRMaster[WRRef],0)),"")</f>
        <v>10</v>
      </c>
      <c r="AP203" s="111">
        <f>IFERROR(INDEX(TableWRMaster[Custom],MATCH(TableWRTECalcPts[[#This Row],[POSRef]],TableWRMaster[WRRef],0)),"")</f>
        <v>26.416578674304006</v>
      </c>
    </row>
    <row r="204" spans="13:42" x14ac:dyDescent="0.2">
      <c r="M204" s="61"/>
      <c r="O204" s="60" t="str">
        <f>IFERROR(RANK(TableWRCalcPts[[#This Row],[Custom]],TableWRCalcPts[Custom])+COUNTIF($T$3:T204,T204)-1,"")</f>
        <v/>
      </c>
      <c r="P204" s="60">
        <v>202</v>
      </c>
      <c r="Q204" s="60" t="str">
        <f>IFERROR(INDEX(TableWRMaster[Player],MATCH(TableWRCalcPts[[#This Row],[WRRef]],TableWRMaster[WRRef],0)),"")</f>
        <v/>
      </c>
      <c r="R204" s="60" t="str">
        <f>IFERROR(INDEX(TableWRMaster[TM],MATCH(TableWRCalcPts[[#This Row],[WRRef]],TableWRMaster[WRRef],0)),"")</f>
        <v/>
      </c>
      <c r="S204" s="60" t="str">
        <f>IFERROR(INDEX(TableWRMaster[BYE],MATCH(TableWRCalcPts[[#This Row],[WRRef]],TableWRMaster[WRRef],0)),"")</f>
        <v/>
      </c>
      <c r="T204" s="61" t="str">
        <f>IFERROR(INDEX(TableWRMaster[Custom],MATCH(TableWRCalcPts[[#This Row],[WRRef]],TableWRMaster[WRRef],0)),"")</f>
        <v/>
      </c>
      <c r="AI204" s="60" t="s">
        <v>257</v>
      </c>
      <c r="AJ204" s="60">
        <f>IFERROR(RANK(TableWRTECalcPts[[#This Row],[Custom]],TableWRTECalcPts[Custom])+COUNTIF($AP$3:AP204,AP204)-1,"")</f>
        <v>144</v>
      </c>
      <c r="AK204" s="113">
        <v>102</v>
      </c>
      <c r="AL204" s="113" t="str">
        <f>IFERROR(INDEX(TableWRMaster[Player],MATCH(TableWRTECalcPts[[#This Row],[POSRef]],TableWRMaster[WRRef],0)),"")</f>
        <v>Braxton Berrios</v>
      </c>
      <c r="AM204" s="113" t="str">
        <f>IFERROR(_xlfn.CONCAT(TableWRTECalcPts[[#This Row],[POS]],INDEX(TableWRRanks[RK],MATCH(TableWRTECalcPts[[#This Row],[PLAYER]],TableWRRanks[Player],0))),"")</f>
        <v>WR106</v>
      </c>
      <c r="AN204" s="113" t="str">
        <f>IFERROR(INDEX(TableWRMaster[TM],MATCH(TableWRTECalcPts[[#This Row],[POSRef]],TableWRMaster[WRRef],0)),"")</f>
        <v>MIA</v>
      </c>
      <c r="AO204" s="113">
        <f>IFERROR(INDEX(TableWRMaster[BYE],MATCH(TableWRTECalcPts[[#This Row],[POSRef]],TableWRMaster[WRRef],0)),"")</f>
        <v>10</v>
      </c>
      <c r="AP204" s="111">
        <f>IFERROR(INDEX(TableWRMaster[Custom],MATCH(TableWRTECalcPts[[#This Row],[POSRef]],TableWRMaster[WRRef],0)),"")</f>
        <v>56.686699079863281</v>
      </c>
    </row>
    <row r="205" spans="13:42" x14ac:dyDescent="0.2">
      <c r="M205" s="61"/>
      <c r="O205" s="60" t="str">
        <f>IFERROR(RANK(TableWRCalcPts[[#This Row],[Custom]],TableWRCalcPts[Custom])+COUNTIF($T$3:T205,T205)-1,"")</f>
        <v/>
      </c>
      <c r="P205" s="60">
        <v>203</v>
      </c>
      <c r="Q205" s="60" t="str">
        <f>IFERROR(INDEX(TableWRMaster[Player],MATCH(TableWRCalcPts[[#This Row],[WRRef]],TableWRMaster[WRRef],0)),"")</f>
        <v/>
      </c>
      <c r="R205" s="60" t="str">
        <f>IFERROR(INDEX(TableWRMaster[TM],MATCH(TableWRCalcPts[[#This Row],[WRRef]],TableWRMaster[WRRef],0)),"")</f>
        <v/>
      </c>
      <c r="S205" s="60" t="str">
        <f>IFERROR(INDEX(TableWRMaster[BYE],MATCH(TableWRCalcPts[[#This Row],[WRRef]],TableWRMaster[WRRef],0)),"")</f>
        <v/>
      </c>
      <c r="T205" s="61" t="str">
        <f>IFERROR(INDEX(TableWRMaster[Custom],MATCH(TableWRCalcPts[[#This Row],[WRRef]],TableWRMaster[WRRef],0)),"")</f>
        <v/>
      </c>
      <c r="AI205" s="60" t="s">
        <v>257</v>
      </c>
      <c r="AJ205" s="60">
        <f>IFERROR(RANK(TableWRTECalcPts[[#This Row],[Custom]],TableWRTECalcPts[Custom])+COUNTIF($AP$3:AP205,AP205)-1,"")</f>
        <v>1</v>
      </c>
      <c r="AK205" s="113">
        <v>103</v>
      </c>
      <c r="AL205" s="113" t="str">
        <f>IFERROR(INDEX(TableWRMaster[Player],MATCH(TableWRTECalcPts[[#This Row],[POSRef]],TableWRMaster[WRRef],0)),"")</f>
        <v>Justin Jefferson</v>
      </c>
      <c r="AM205" s="113" t="str">
        <f>IFERROR(_xlfn.CONCAT(TableWRTECalcPts[[#This Row],[POS]],INDEX(TableWRRanks[RK],MATCH(TableWRTECalcPts[[#This Row],[PLAYER]],TableWRRanks[Player],0))),"")</f>
        <v>WR1</v>
      </c>
      <c r="AN205" s="113" t="str">
        <f>IFERROR(INDEX(TableWRMaster[TM],MATCH(TableWRTECalcPts[[#This Row],[POSRef]],TableWRMaster[WRRef],0)),"")</f>
        <v>MIN</v>
      </c>
      <c r="AO205" s="113">
        <f>IFERROR(INDEX(TableWRMaster[BYE],MATCH(TableWRTECalcPts[[#This Row],[POSRef]],TableWRMaster[WRRef],0)),"")</f>
        <v>13</v>
      </c>
      <c r="AP205" s="111">
        <f>IFERROR(INDEX(TableWRMaster[Custom],MATCH(TableWRTECalcPts[[#This Row],[POSRef]],TableWRMaster[WRRef],0)),"")</f>
        <v>277.31918748577561</v>
      </c>
    </row>
    <row r="206" spans="13:42" x14ac:dyDescent="0.2">
      <c r="M206" s="61"/>
      <c r="O206" s="60" t="str">
        <f>IFERROR(RANK(TableWRCalcPts[[#This Row],[Custom]],TableWRCalcPts[Custom])+COUNTIF($T$3:T206,T206)-1,"")</f>
        <v/>
      </c>
      <c r="P206" s="60">
        <v>204</v>
      </c>
      <c r="Q206" s="60" t="str">
        <f>IFERROR(INDEX(TableWRMaster[Player],MATCH(TableWRCalcPts[[#This Row],[WRRef]],TableWRMaster[WRRef],0)),"")</f>
        <v/>
      </c>
      <c r="R206" s="60" t="str">
        <f>IFERROR(INDEX(TableWRMaster[TM],MATCH(TableWRCalcPts[[#This Row],[WRRef]],TableWRMaster[WRRef],0)),"")</f>
        <v/>
      </c>
      <c r="S206" s="60" t="str">
        <f>IFERROR(INDEX(TableWRMaster[BYE],MATCH(TableWRCalcPts[[#This Row],[WRRef]],TableWRMaster[WRRef],0)),"")</f>
        <v/>
      </c>
      <c r="T206" s="61" t="str">
        <f>IFERROR(INDEX(TableWRMaster[Custom],MATCH(TableWRCalcPts[[#This Row],[WRRef]],TableWRMaster[WRRef],0)),"")</f>
        <v/>
      </c>
      <c r="AI206" s="60" t="s">
        <v>257</v>
      </c>
      <c r="AJ206" s="60">
        <f>IFERROR(RANK(TableWRTECalcPts[[#This Row],[Custom]],TableWRTECalcPts[Custom])+COUNTIF($AP$3:AP206,AP206)-1,"")</f>
        <v>30</v>
      </c>
      <c r="AK206" s="113">
        <v>104</v>
      </c>
      <c r="AL206" s="113" t="str">
        <f>IFERROR(INDEX(TableWRMaster[Player],MATCH(TableWRTECalcPts[[#This Row],[POSRef]],TableWRMaster[WRRef],0)),"")</f>
        <v>Jordan Addison</v>
      </c>
      <c r="AM206" s="113" t="str">
        <f>IFERROR(_xlfn.CONCAT(TableWRTECalcPts[[#This Row],[POS]],INDEX(TableWRRanks[RK],MATCH(TableWRTECalcPts[[#This Row],[PLAYER]],TableWRRanks[Player],0))),"")</f>
        <v>WR27</v>
      </c>
      <c r="AN206" s="113" t="str">
        <f>IFERROR(INDEX(TableWRMaster[TM],MATCH(TableWRTECalcPts[[#This Row],[POSRef]],TableWRMaster[WRRef],0)),"")</f>
        <v>MIN</v>
      </c>
      <c r="AO206" s="113">
        <f>IFERROR(INDEX(TableWRMaster[BYE],MATCH(TableWRTECalcPts[[#This Row],[POSRef]],TableWRMaster[WRRef],0)),"")</f>
        <v>13</v>
      </c>
      <c r="AP206" s="111">
        <f>IFERROR(INDEX(TableWRMaster[Custom],MATCH(TableWRTECalcPts[[#This Row],[POSRef]],TableWRMaster[WRRef],0)),"")</f>
        <v>176.77315343207513</v>
      </c>
    </row>
    <row r="207" spans="13:42" x14ac:dyDescent="0.2">
      <c r="M207" s="61"/>
      <c r="O207" s="60" t="str">
        <f>IFERROR(RANK(TableWRCalcPts[[#This Row],[Custom]],TableWRCalcPts[Custom])+COUNTIF($T$3:T207,T207)-1,"")</f>
        <v/>
      </c>
      <c r="P207" s="60">
        <v>205</v>
      </c>
      <c r="Q207" s="60" t="str">
        <f>IFERROR(INDEX(TableWRMaster[Player],MATCH(TableWRCalcPts[[#This Row],[WRRef]],TableWRMaster[WRRef],0)),"")</f>
        <v/>
      </c>
      <c r="R207" s="60" t="str">
        <f>IFERROR(INDEX(TableWRMaster[TM],MATCH(TableWRCalcPts[[#This Row],[WRRef]],TableWRMaster[WRRef],0)),"")</f>
        <v/>
      </c>
      <c r="S207" s="60" t="str">
        <f>IFERROR(INDEX(TableWRMaster[BYE],MATCH(TableWRCalcPts[[#This Row],[WRRef]],TableWRMaster[WRRef],0)),"")</f>
        <v/>
      </c>
      <c r="T207" s="61" t="str">
        <f>IFERROR(INDEX(TableWRMaster[Custom],MATCH(TableWRCalcPts[[#This Row],[WRRef]],TableWRMaster[WRRef],0)),"")</f>
        <v/>
      </c>
      <c r="AI207" s="60" t="s">
        <v>257</v>
      </c>
      <c r="AJ207" s="60">
        <f>IFERROR(RANK(TableWRTECalcPts[[#This Row],[Custom]],TableWRTECalcPts[Custom])+COUNTIF($AP$3:AP207,AP207)-1,"")</f>
        <v>79</v>
      </c>
      <c r="AK207" s="113">
        <v>105</v>
      </c>
      <c r="AL207" s="113" t="str">
        <f>IFERROR(INDEX(TableWRMaster[Player],MATCH(TableWRTECalcPts[[#This Row],[POSRef]],TableWRMaster[WRRef],0)),"")</f>
        <v>K.J. Osborn</v>
      </c>
      <c r="AM207" s="113" t="str">
        <f>IFERROR(_xlfn.CONCAT(TableWRTECalcPts[[#This Row],[POS]],INDEX(TableWRRanks[RK],MATCH(TableWRTECalcPts[[#This Row],[PLAYER]],TableWRRanks[Player],0))),"")</f>
        <v>WR67</v>
      </c>
      <c r="AN207" s="113" t="str">
        <f>IFERROR(INDEX(TableWRMaster[TM],MATCH(TableWRTECalcPts[[#This Row],[POSRef]],TableWRMaster[WRRef],0)),"")</f>
        <v>MIN</v>
      </c>
      <c r="AO207" s="113">
        <f>IFERROR(INDEX(TableWRMaster[BYE],MATCH(TableWRTECalcPts[[#This Row],[POSRef]],TableWRMaster[WRRef],0)),"")</f>
        <v>13</v>
      </c>
      <c r="AP207" s="111">
        <f>IFERROR(INDEX(TableWRMaster[Custom],MATCH(TableWRTECalcPts[[#This Row],[POSRef]],TableWRMaster[WRRef],0)),"")</f>
        <v>113.8911756591277</v>
      </c>
    </row>
    <row r="208" spans="13:42" x14ac:dyDescent="0.2">
      <c r="M208" s="61"/>
      <c r="O208" s="60" t="str">
        <f>IFERROR(RANK(TableWRCalcPts[[#This Row],[Custom]],TableWRCalcPts[Custom])+COUNTIF($T$3:T208,T208)-1,"")</f>
        <v/>
      </c>
      <c r="P208" s="60">
        <v>206</v>
      </c>
      <c r="Q208" s="60" t="str">
        <f>IFERROR(INDEX(TableWRMaster[Player],MATCH(TableWRCalcPts[[#This Row],[WRRef]],TableWRMaster[WRRef],0)),"")</f>
        <v/>
      </c>
      <c r="R208" s="60" t="str">
        <f>IFERROR(INDEX(TableWRMaster[TM],MATCH(TableWRCalcPts[[#This Row],[WRRef]],TableWRMaster[WRRef],0)),"")</f>
        <v/>
      </c>
      <c r="S208" s="60" t="str">
        <f>IFERROR(INDEX(TableWRMaster[BYE],MATCH(TableWRCalcPts[[#This Row],[WRRef]],TableWRMaster[WRRef],0)),"")</f>
        <v/>
      </c>
      <c r="T208" s="61" t="str">
        <f>IFERROR(INDEX(TableWRMaster[Custom],MATCH(TableWRCalcPts[[#This Row],[WRRef]],TableWRMaster[WRRef],0)),"")</f>
        <v/>
      </c>
      <c r="AI208" s="60" t="s">
        <v>257</v>
      </c>
      <c r="AJ208" s="60">
        <f>IFERROR(RANK(TableWRTECalcPts[[#This Row],[Custom]],TableWRTECalcPts[Custom])+COUNTIF($AP$3:AP208,AP208)-1,"")</f>
        <v>233</v>
      </c>
      <c r="AK208" s="113">
        <v>106</v>
      </c>
      <c r="AL208" s="113" t="str">
        <f>IFERROR(INDEX(TableWRMaster[Player],MATCH(TableWRTECalcPts[[#This Row],[POSRef]],TableWRMaster[WRRef],0)),"")</f>
        <v>Jalen Nailor</v>
      </c>
      <c r="AM208" s="113" t="str">
        <f>IFERROR(_xlfn.CONCAT(TableWRTECalcPts[[#This Row],[POS]],INDEX(TableWRRanks[RK],MATCH(TableWRTECalcPts[[#This Row],[PLAYER]],TableWRRanks[Player],0))),"")</f>
        <v>WR157</v>
      </c>
      <c r="AN208" s="113" t="str">
        <f>IFERROR(INDEX(TableWRMaster[TM],MATCH(TableWRTECalcPts[[#This Row],[POSRef]],TableWRMaster[WRRef],0)),"")</f>
        <v>MIN</v>
      </c>
      <c r="AO208" s="113">
        <f>IFERROR(INDEX(TableWRMaster[BYE],MATCH(TableWRTECalcPts[[#This Row],[POSRef]],TableWRMaster[WRRef],0)),"")</f>
        <v>13</v>
      </c>
      <c r="AP208" s="111">
        <f>IFERROR(INDEX(TableWRMaster[Custom],MATCH(TableWRTECalcPts[[#This Row],[POSRef]],TableWRMaster[WRRef],0)),"")</f>
        <v>12.440677591952079</v>
      </c>
    </row>
    <row r="209" spans="13:42" x14ac:dyDescent="0.2">
      <c r="M209" s="61"/>
      <c r="O209" s="60" t="str">
        <f>IFERROR(RANK(TableWRCalcPts[[#This Row],[Custom]],TableWRCalcPts[Custom])+COUNTIF($T$3:T209,T209)-1,"")</f>
        <v/>
      </c>
      <c r="P209" s="60">
        <v>207</v>
      </c>
      <c r="Q209" s="60" t="str">
        <f>IFERROR(INDEX(TableWRMaster[Player],MATCH(TableWRCalcPts[[#This Row],[WRRef]],TableWRMaster[WRRef],0)),"")</f>
        <v/>
      </c>
      <c r="R209" s="60" t="str">
        <f>IFERROR(INDEX(TableWRMaster[TM],MATCH(TableWRCalcPts[[#This Row],[WRRef]],TableWRMaster[WRRef],0)),"")</f>
        <v/>
      </c>
      <c r="S209" s="60" t="str">
        <f>IFERROR(INDEX(TableWRMaster[BYE],MATCH(TableWRCalcPts[[#This Row],[WRRef]],TableWRMaster[WRRef],0)),"")</f>
        <v/>
      </c>
      <c r="T209" s="61" t="str">
        <f>IFERROR(INDEX(TableWRMaster[Custom],MATCH(TableWRCalcPts[[#This Row],[WRRef]],TableWRMaster[WRRef],0)),"")</f>
        <v/>
      </c>
      <c r="AI209" s="60" t="s">
        <v>257</v>
      </c>
      <c r="AJ209" s="60">
        <f>IFERROR(RANK(TableWRTECalcPts[[#This Row],[Custom]],TableWRTECalcPts[Custom])+COUNTIF($AP$3:AP209,AP209)-1,"")</f>
        <v>185</v>
      </c>
      <c r="AK209" s="113">
        <v>107</v>
      </c>
      <c r="AL209" s="113" t="str">
        <f>IFERROR(INDEX(TableWRMaster[Player],MATCH(TableWRTECalcPts[[#This Row],[POSRef]],TableWRMaster[WRRef],0)),"")</f>
        <v>Brandon Powell</v>
      </c>
      <c r="AM209" s="113" t="str">
        <f>IFERROR(_xlfn.CONCAT(TableWRTECalcPts[[#This Row],[POS]],INDEX(TableWRRanks[RK],MATCH(TableWRTECalcPts[[#This Row],[PLAYER]],TableWRRanks[Player],0))),"")</f>
        <v>WR130</v>
      </c>
      <c r="AN209" s="113" t="str">
        <f>IFERROR(INDEX(TableWRMaster[TM],MATCH(TableWRTECalcPts[[#This Row],[POSRef]],TableWRMaster[WRRef],0)),"")</f>
        <v>MIN</v>
      </c>
      <c r="AO209" s="113">
        <f>IFERROR(INDEX(TableWRMaster[BYE],MATCH(TableWRTECalcPts[[#This Row],[POSRef]],TableWRMaster[WRRef],0)),"")</f>
        <v>13</v>
      </c>
      <c r="AP209" s="111">
        <f>IFERROR(INDEX(TableWRMaster[Custom],MATCH(TableWRTECalcPts[[#This Row],[POSRef]],TableWRMaster[WRRef],0)),"")</f>
        <v>26.324510102351994</v>
      </c>
    </row>
    <row r="210" spans="13:42" x14ac:dyDescent="0.2">
      <c r="M210" s="61"/>
      <c r="O210" s="60" t="str">
        <f>IFERROR(RANK(TableWRCalcPts[[#This Row],[Custom]],TableWRCalcPts[Custom])+COUNTIF($T$3:T210,T210)-1,"")</f>
        <v/>
      </c>
      <c r="P210" s="60">
        <v>208</v>
      </c>
      <c r="Q210" s="60" t="str">
        <f>IFERROR(INDEX(TableWRMaster[Player],MATCH(TableWRCalcPts[[#This Row],[WRRef]],TableWRMaster[WRRef],0)),"")</f>
        <v/>
      </c>
      <c r="R210" s="60" t="str">
        <f>IFERROR(INDEX(TableWRMaster[TM],MATCH(TableWRCalcPts[[#This Row],[WRRef]],TableWRMaster[WRRef],0)),"")</f>
        <v/>
      </c>
      <c r="S210" s="60" t="str">
        <f>IFERROR(INDEX(TableWRMaster[BYE],MATCH(TableWRCalcPts[[#This Row],[WRRef]],TableWRMaster[WRRef],0)),"")</f>
        <v/>
      </c>
      <c r="T210" s="61" t="str">
        <f>IFERROR(INDEX(TableWRMaster[Custom],MATCH(TableWRCalcPts[[#This Row],[WRRef]],TableWRMaster[WRRef],0)),"")</f>
        <v/>
      </c>
      <c r="AI210" s="60" t="s">
        <v>257</v>
      </c>
      <c r="AJ210" s="60">
        <f>IFERROR(RANK(TableWRTECalcPts[[#This Row],[Custom]],TableWRTECalcPts[Custom])+COUNTIF($AP$3:AP210,AP210)-1,"")</f>
        <v>63</v>
      </c>
      <c r="AK210" s="113">
        <v>108</v>
      </c>
      <c r="AL210" s="113" t="str">
        <f>IFERROR(INDEX(TableWRMaster[Player],MATCH(TableWRTECalcPts[[#This Row],[POSRef]],TableWRMaster[WRRef],0)),"")</f>
        <v>JuJu Smith-Schuster</v>
      </c>
      <c r="AM210" s="113" t="str">
        <f>IFERROR(_xlfn.CONCAT(TableWRTECalcPts[[#This Row],[POS]],INDEX(TableWRRanks[RK],MATCH(TableWRTECalcPts[[#This Row],[PLAYER]],TableWRRanks[Player],0))),"")</f>
        <v>WR55</v>
      </c>
      <c r="AN210" s="113" t="str">
        <f>IFERROR(INDEX(TableWRMaster[TM],MATCH(TableWRTECalcPts[[#This Row],[POSRef]],TableWRMaster[WRRef],0)),"")</f>
        <v>NE</v>
      </c>
      <c r="AO210" s="113">
        <f>IFERROR(INDEX(TableWRMaster[BYE],MATCH(TableWRTECalcPts[[#This Row],[POSRef]],TableWRMaster[WRRef],0)),"")</f>
        <v>11</v>
      </c>
      <c r="AP210" s="111">
        <f>IFERROR(INDEX(TableWRMaster[Custom],MATCH(TableWRTECalcPts[[#This Row],[POSRef]],TableWRMaster[WRRef],0)),"")</f>
        <v>132.92429779365278</v>
      </c>
    </row>
    <row r="211" spans="13:42" x14ac:dyDescent="0.2">
      <c r="M211" s="61"/>
      <c r="O211" s="60" t="str">
        <f>IFERROR(RANK(TableWRCalcPts[[#This Row],[Custom]],TableWRCalcPts[Custom])+COUNTIF($T$3:T211,T211)-1,"")</f>
        <v/>
      </c>
      <c r="P211" s="60">
        <v>209</v>
      </c>
      <c r="Q211" s="60" t="str">
        <f>IFERROR(INDEX(TableWRMaster[Player],MATCH(TableWRCalcPts[[#This Row],[WRRef]],TableWRMaster[WRRef],0)),"")</f>
        <v/>
      </c>
      <c r="R211" s="60" t="str">
        <f>IFERROR(INDEX(TableWRMaster[TM],MATCH(TableWRCalcPts[[#This Row],[WRRef]],TableWRMaster[WRRef],0)),"")</f>
        <v/>
      </c>
      <c r="S211" s="60" t="str">
        <f>IFERROR(INDEX(TableWRMaster[BYE],MATCH(TableWRCalcPts[[#This Row],[WRRef]],TableWRMaster[WRRef],0)),"")</f>
        <v/>
      </c>
      <c r="T211" s="61" t="str">
        <f>IFERROR(INDEX(TableWRMaster[Custom],MATCH(TableWRCalcPts[[#This Row],[WRRef]],TableWRMaster[WRRef],0)),"")</f>
        <v/>
      </c>
      <c r="AI211" s="60" t="s">
        <v>257</v>
      </c>
      <c r="AJ211" s="60">
        <f>IFERROR(RANK(TableWRTECalcPts[[#This Row],[Custom]],TableWRTECalcPts[Custom])+COUNTIF($AP$3:AP211,AP211)-1,"")</f>
        <v>84</v>
      </c>
      <c r="AK211" s="113">
        <v>109</v>
      </c>
      <c r="AL211" s="113" t="str">
        <f>IFERROR(INDEX(TableWRMaster[Player],MATCH(TableWRTECalcPts[[#This Row],[POSRef]],TableWRMaster[WRRef],0)),"")</f>
        <v>DeVante Parker</v>
      </c>
      <c r="AM211" s="113" t="str">
        <f>IFERROR(_xlfn.CONCAT(TableWRTECalcPts[[#This Row],[POS]],INDEX(TableWRRanks[RK],MATCH(TableWRTECalcPts[[#This Row],[PLAYER]],TableWRRanks[Player],0))),"")</f>
        <v>WR70</v>
      </c>
      <c r="AN211" s="113" t="str">
        <f>IFERROR(INDEX(TableWRMaster[TM],MATCH(TableWRTECalcPts[[#This Row],[POSRef]],TableWRMaster[WRRef],0)),"")</f>
        <v>NE</v>
      </c>
      <c r="AO211" s="113">
        <f>IFERROR(INDEX(TableWRMaster[BYE],MATCH(TableWRTECalcPts[[#This Row],[POSRef]],TableWRMaster[WRRef],0)),"")</f>
        <v>11</v>
      </c>
      <c r="AP211" s="111">
        <f>IFERROR(INDEX(TableWRMaster[Custom],MATCH(TableWRTECalcPts[[#This Row],[POSRef]],TableWRMaster[WRRef],0)),"")</f>
        <v>111.97896938137993</v>
      </c>
    </row>
    <row r="212" spans="13:42" x14ac:dyDescent="0.2">
      <c r="M212" s="61"/>
      <c r="O212" s="60" t="str">
        <f>IFERROR(RANK(TableWRCalcPts[[#This Row],[Custom]],TableWRCalcPts[Custom])+COUNTIF($T$3:T212,T212)-1,"")</f>
        <v/>
      </c>
      <c r="P212" s="60">
        <v>210</v>
      </c>
      <c r="Q212" s="60" t="str">
        <f>IFERROR(INDEX(TableWRMaster[Player],MATCH(TableWRCalcPts[[#This Row],[WRRef]],TableWRMaster[WRRef],0)),"")</f>
        <v/>
      </c>
      <c r="R212" s="60" t="str">
        <f>IFERROR(INDEX(TableWRMaster[TM],MATCH(TableWRCalcPts[[#This Row],[WRRef]],TableWRMaster[WRRef],0)),"")</f>
        <v/>
      </c>
      <c r="S212" s="60" t="str">
        <f>IFERROR(INDEX(TableWRMaster[BYE],MATCH(TableWRCalcPts[[#This Row],[WRRef]],TableWRMaster[WRRef],0)),"")</f>
        <v/>
      </c>
      <c r="T212" s="61" t="str">
        <f>IFERROR(INDEX(TableWRMaster[Custom],MATCH(TableWRCalcPts[[#This Row],[WRRef]],TableWRMaster[WRRef],0)),"")</f>
        <v/>
      </c>
      <c r="AI212" s="60" t="s">
        <v>257</v>
      </c>
      <c r="AJ212" s="60">
        <f>IFERROR(RANK(TableWRTECalcPts[[#This Row],[Custom]],TableWRTECalcPts[Custom])+COUNTIF($AP$3:AP212,AP212)-1,"")</f>
        <v>113</v>
      </c>
      <c r="AK212" s="113">
        <v>110</v>
      </c>
      <c r="AL212" s="113" t="str">
        <f>IFERROR(INDEX(TableWRMaster[Player],MATCH(TableWRTECalcPts[[#This Row],[POSRef]],TableWRMaster[WRRef],0)),"")</f>
        <v>Kendrick Bourne</v>
      </c>
      <c r="AM212" s="113" t="str">
        <f>IFERROR(_xlfn.CONCAT(TableWRTECalcPts[[#This Row],[POS]],INDEX(TableWRRanks[RK],MATCH(TableWRTECalcPts[[#This Row],[PLAYER]],TableWRRanks[Player],0))),"")</f>
        <v>WR86</v>
      </c>
      <c r="AN212" s="113" t="str">
        <f>IFERROR(INDEX(TableWRMaster[TM],MATCH(TableWRTECalcPts[[#This Row],[POSRef]],TableWRMaster[WRRef],0)),"")</f>
        <v>NE</v>
      </c>
      <c r="AO212" s="113">
        <f>IFERROR(INDEX(TableWRMaster[BYE],MATCH(TableWRTECalcPts[[#This Row],[POSRef]],TableWRMaster[WRRef],0)),"")</f>
        <v>11</v>
      </c>
      <c r="AP212" s="111">
        <f>IFERROR(INDEX(TableWRMaster[Custom],MATCH(TableWRTECalcPts[[#This Row],[POSRef]],TableWRMaster[WRRef],0)),"")</f>
        <v>87.486076024099162</v>
      </c>
    </row>
    <row r="213" spans="13:42" x14ac:dyDescent="0.2">
      <c r="M213" s="61"/>
      <c r="O213" s="60" t="str">
        <f>IFERROR(RANK(TableWRCalcPts[[#This Row],[Custom]],TableWRCalcPts[Custom])+COUNTIF($T$3:T213,T213)-1,"")</f>
        <v/>
      </c>
      <c r="P213" s="60">
        <v>211</v>
      </c>
      <c r="Q213" s="60" t="str">
        <f>IFERROR(INDEX(TableWRMaster[Player],MATCH(TableWRCalcPts[[#This Row],[WRRef]],TableWRMaster[WRRef],0)),"")</f>
        <v/>
      </c>
      <c r="R213" s="60" t="str">
        <f>IFERROR(INDEX(TableWRMaster[TM],MATCH(TableWRCalcPts[[#This Row],[WRRef]],TableWRMaster[WRRef],0)),"")</f>
        <v/>
      </c>
      <c r="S213" s="60" t="str">
        <f>IFERROR(INDEX(TableWRMaster[BYE],MATCH(TableWRCalcPts[[#This Row],[WRRef]],TableWRMaster[WRRef],0)),"")</f>
        <v/>
      </c>
      <c r="T213" s="61" t="str">
        <f>IFERROR(INDEX(TableWRMaster[Custom],MATCH(TableWRCalcPts[[#This Row],[WRRef]],TableWRMaster[WRRef],0)),"")</f>
        <v/>
      </c>
      <c r="AI213" s="60" t="s">
        <v>257</v>
      </c>
      <c r="AJ213" s="60">
        <f>IFERROR(RANK(TableWRTECalcPts[[#This Row],[Custom]],TableWRTECalcPts[Custom])+COUNTIF($AP$3:AP213,AP213)-1,"")</f>
        <v>150</v>
      </c>
      <c r="AK213" s="113">
        <v>111</v>
      </c>
      <c r="AL213" s="113" t="str">
        <f>IFERROR(INDEX(TableWRMaster[Player],MATCH(TableWRTECalcPts[[#This Row],[POSRef]],TableWRMaster[WRRef],0)),"")</f>
        <v>Kayshon Boutte</v>
      </c>
      <c r="AM213" s="113" t="str">
        <f>IFERROR(_xlfn.CONCAT(TableWRTECalcPts[[#This Row],[POS]],INDEX(TableWRRanks[RK],MATCH(TableWRTECalcPts[[#This Row],[PLAYER]],TableWRRanks[Player],0))),"")</f>
        <v>WR109</v>
      </c>
      <c r="AN213" s="113" t="str">
        <f>IFERROR(INDEX(TableWRMaster[TM],MATCH(TableWRTECalcPts[[#This Row],[POSRef]],TableWRMaster[WRRef],0)),"")</f>
        <v>NE</v>
      </c>
      <c r="AO213" s="113">
        <f>IFERROR(INDEX(TableWRMaster[BYE],MATCH(TableWRTECalcPts[[#This Row],[POSRef]],TableWRMaster[WRRef],0)),"")</f>
        <v>11</v>
      </c>
      <c r="AP213" s="111">
        <f>IFERROR(INDEX(TableWRMaster[Custom],MATCH(TableWRTECalcPts[[#This Row],[POSRef]],TableWRMaster[WRRef],0)),"")</f>
        <v>47.181509120148462</v>
      </c>
    </row>
    <row r="214" spans="13:42" x14ac:dyDescent="0.2">
      <c r="M214" s="61"/>
      <c r="O214" s="60" t="str">
        <f>IFERROR(RANK(TableWRCalcPts[[#This Row],[Custom]],TableWRCalcPts[Custom])+COUNTIF($T$3:T214,T214)-1,"")</f>
        <v/>
      </c>
      <c r="P214" s="60">
        <v>212</v>
      </c>
      <c r="Q214" s="60" t="str">
        <f>IFERROR(INDEX(TableWRMaster[Player],MATCH(TableWRCalcPts[[#This Row],[WRRef]],TableWRMaster[WRRef],0)),"")</f>
        <v/>
      </c>
      <c r="R214" s="60" t="str">
        <f>IFERROR(INDEX(TableWRMaster[TM],MATCH(TableWRCalcPts[[#This Row],[WRRef]],TableWRMaster[WRRef],0)),"")</f>
        <v/>
      </c>
      <c r="S214" s="60" t="str">
        <f>IFERROR(INDEX(TableWRMaster[BYE],MATCH(TableWRCalcPts[[#This Row],[WRRef]],TableWRMaster[WRRef],0)),"")</f>
        <v/>
      </c>
      <c r="T214" s="61" t="str">
        <f>IFERROR(INDEX(TableWRMaster[Custom],MATCH(TableWRCalcPts[[#This Row],[WRRef]],TableWRMaster[WRRef],0)),"")</f>
        <v/>
      </c>
      <c r="AI214" s="60" t="s">
        <v>257</v>
      </c>
      <c r="AJ214" s="60">
        <f>IFERROR(RANK(TableWRTECalcPts[[#This Row],[Custom]],TableWRTECalcPts[Custom])+COUNTIF($AP$3:AP214,AP214)-1,"")</f>
        <v>161</v>
      </c>
      <c r="AK214" s="113">
        <v>112</v>
      </c>
      <c r="AL214" s="113" t="str">
        <f>IFERROR(INDEX(TableWRMaster[Player],MATCH(TableWRTECalcPts[[#This Row],[POSRef]],TableWRMaster[WRRef],0)),"")</f>
        <v>Demario Douglas</v>
      </c>
      <c r="AM214" s="113" t="str">
        <f>IFERROR(_xlfn.CONCAT(TableWRTECalcPts[[#This Row],[POS]],INDEX(TableWRRanks[RK],MATCH(TableWRTECalcPts[[#This Row],[PLAYER]],TableWRRanks[Player],0))),"")</f>
        <v>WR116</v>
      </c>
      <c r="AN214" s="113" t="str">
        <f>IFERROR(INDEX(TableWRMaster[TM],MATCH(TableWRTECalcPts[[#This Row],[POSRef]],TableWRMaster[WRRef],0)),"")</f>
        <v>NE</v>
      </c>
      <c r="AO214" s="113">
        <f>IFERROR(INDEX(TableWRMaster[BYE],MATCH(TableWRTECalcPts[[#This Row],[POSRef]],TableWRMaster[WRRef],0)),"")</f>
        <v>11</v>
      </c>
      <c r="AP214" s="111">
        <f>IFERROR(INDEX(TableWRMaster[Custom],MATCH(TableWRTECalcPts[[#This Row],[POSRef]],TableWRMaster[WRRef],0)),"")</f>
        <v>37.195711972182387</v>
      </c>
    </row>
    <row r="215" spans="13:42" x14ac:dyDescent="0.2">
      <c r="M215" s="61"/>
      <c r="O215" s="60" t="str">
        <f>IFERROR(RANK(TableWRCalcPts[[#This Row],[Custom]],TableWRCalcPts[Custom])+COUNTIF($T$3:T215,T215)-1,"")</f>
        <v/>
      </c>
      <c r="P215" s="60">
        <v>213</v>
      </c>
      <c r="Q215" s="60" t="str">
        <f>IFERROR(INDEX(TableWRMaster[Player],MATCH(TableWRCalcPts[[#This Row],[WRRef]],TableWRMaster[WRRef],0)),"")</f>
        <v/>
      </c>
      <c r="R215" s="60" t="str">
        <f>IFERROR(INDEX(TableWRMaster[TM],MATCH(TableWRCalcPts[[#This Row],[WRRef]],TableWRMaster[WRRef],0)),"")</f>
        <v/>
      </c>
      <c r="S215" s="60" t="str">
        <f>IFERROR(INDEX(TableWRMaster[BYE],MATCH(TableWRCalcPts[[#This Row],[WRRef]],TableWRMaster[WRRef],0)),"")</f>
        <v/>
      </c>
      <c r="T215" s="61" t="str">
        <f>IFERROR(INDEX(TableWRMaster[Custom],MATCH(TableWRCalcPts[[#This Row],[WRRef]],TableWRMaster[WRRef],0)),"")</f>
        <v/>
      </c>
      <c r="AI215" s="60" t="s">
        <v>257</v>
      </c>
      <c r="AJ215" s="60">
        <f>IFERROR(RANK(TableWRTECalcPts[[#This Row],[Custom]],TableWRTECalcPts[Custom])+COUNTIF($AP$3:AP215,AP215)-1,"")</f>
        <v>43</v>
      </c>
      <c r="AK215" s="113">
        <v>113</v>
      </c>
      <c r="AL215" s="113" t="str">
        <f>IFERROR(INDEX(TableWRMaster[Player],MATCH(TableWRTECalcPts[[#This Row],[POSRef]],TableWRMaster[WRRef],0)),"")</f>
        <v>Michael Thomas</v>
      </c>
      <c r="AM215" s="113" t="str">
        <f>IFERROR(_xlfn.CONCAT(TableWRTECalcPts[[#This Row],[POS]],INDEX(TableWRRanks[RK],MATCH(TableWRTECalcPts[[#This Row],[PLAYER]],TableWRRanks[Player],0))),"")</f>
        <v>WR39</v>
      </c>
      <c r="AN215" s="113" t="str">
        <f>IFERROR(INDEX(TableWRMaster[TM],MATCH(TableWRTECalcPts[[#This Row],[POSRef]],TableWRMaster[WRRef],0)),"")</f>
        <v>NO</v>
      </c>
      <c r="AO215" s="113">
        <f>IFERROR(INDEX(TableWRMaster[BYE],MATCH(TableWRTECalcPts[[#This Row],[POSRef]],TableWRMaster[WRRef],0)),"")</f>
        <v>11</v>
      </c>
      <c r="AP215" s="111">
        <f>IFERROR(INDEX(TableWRMaster[Custom],MATCH(TableWRTECalcPts[[#This Row],[POSRef]],TableWRMaster[WRRef],0)),"")</f>
        <v>161.64076617387752</v>
      </c>
    </row>
    <row r="216" spans="13:42" x14ac:dyDescent="0.2">
      <c r="M216" s="61"/>
      <c r="O216" s="60" t="str">
        <f>IFERROR(RANK(TableWRCalcPts[[#This Row],[Custom]],TableWRCalcPts[Custom])+COUNTIF($T$3:T216,T216)-1,"")</f>
        <v/>
      </c>
      <c r="P216" s="60">
        <v>214</v>
      </c>
      <c r="Q216" s="60" t="str">
        <f>IFERROR(INDEX(TableWRMaster[Player],MATCH(TableWRCalcPts[[#This Row],[WRRef]],TableWRMaster[WRRef],0)),"")</f>
        <v/>
      </c>
      <c r="R216" s="60" t="str">
        <f>IFERROR(INDEX(TableWRMaster[TM],MATCH(TableWRCalcPts[[#This Row],[WRRef]],TableWRMaster[WRRef],0)),"")</f>
        <v/>
      </c>
      <c r="S216" s="60" t="str">
        <f>IFERROR(INDEX(TableWRMaster[BYE],MATCH(TableWRCalcPts[[#This Row],[WRRef]],TableWRMaster[WRRef],0)),"")</f>
        <v/>
      </c>
      <c r="T216" s="61" t="str">
        <f>IFERROR(INDEX(TableWRMaster[Custom],MATCH(TableWRCalcPts[[#This Row],[WRRef]],TableWRMaster[WRRef],0)),"")</f>
        <v/>
      </c>
      <c r="AI216" s="60" t="s">
        <v>257</v>
      </c>
      <c r="AJ216" s="60">
        <f>IFERROR(RANK(TableWRTECalcPts[[#This Row],[Custom]],TableWRTECalcPts[Custom])+COUNTIF($AP$3:AP216,AP216)-1,"")</f>
        <v>17</v>
      </c>
      <c r="AK216" s="113">
        <v>114</v>
      </c>
      <c r="AL216" s="113" t="str">
        <f>IFERROR(INDEX(TableWRMaster[Player],MATCH(TableWRTECalcPts[[#This Row],[POSRef]],TableWRMaster[WRRef],0)),"")</f>
        <v>Chris Olave</v>
      </c>
      <c r="AM216" s="113" t="str">
        <f>IFERROR(_xlfn.CONCAT(TableWRTECalcPts[[#This Row],[POS]],INDEX(TableWRRanks[RK],MATCH(TableWRTECalcPts[[#This Row],[PLAYER]],TableWRRanks[Player],0))),"")</f>
        <v>WR16</v>
      </c>
      <c r="AN216" s="113" t="str">
        <f>IFERROR(INDEX(TableWRMaster[TM],MATCH(TableWRTECalcPts[[#This Row],[POSRef]],TableWRMaster[WRRef],0)),"")</f>
        <v>NO</v>
      </c>
      <c r="AO216" s="113">
        <f>IFERROR(INDEX(TableWRMaster[BYE],MATCH(TableWRTECalcPts[[#This Row],[POSRef]],TableWRMaster[WRRef],0)),"")</f>
        <v>11</v>
      </c>
      <c r="AP216" s="111">
        <f>IFERROR(INDEX(TableWRMaster[Custom],MATCH(TableWRTECalcPts[[#This Row],[POSRef]],TableWRMaster[WRRef],0)),"")</f>
        <v>191.7746675145101</v>
      </c>
    </row>
    <row r="217" spans="13:42" x14ac:dyDescent="0.2">
      <c r="M217" s="61"/>
      <c r="O217" s="60" t="str">
        <f>IFERROR(RANK(TableWRCalcPts[[#This Row],[Custom]],TableWRCalcPts[Custom])+COUNTIF($T$3:T217,T217)-1,"")</f>
        <v/>
      </c>
      <c r="P217" s="60">
        <v>215</v>
      </c>
      <c r="Q217" s="60" t="str">
        <f>IFERROR(INDEX(TableWRMaster[Player],MATCH(TableWRCalcPts[[#This Row],[WRRef]],TableWRMaster[WRRef],0)),"")</f>
        <v/>
      </c>
      <c r="R217" s="60" t="str">
        <f>IFERROR(INDEX(TableWRMaster[TM],MATCH(TableWRCalcPts[[#This Row],[WRRef]],TableWRMaster[WRRef],0)),"")</f>
        <v/>
      </c>
      <c r="S217" s="60" t="str">
        <f>IFERROR(INDEX(TableWRMaster[BYE],MATCH(TableWRCalcPts[[#This Row],[WRRef]],TableWRMaster[WRRef],0)),"")</f>
        <v/>
      </c>
      <c r="T217" s="61" t="str">
        <f>IFERROR(INDEX(TableWRMaster[Custom],MATCH(TableWRCalcPts[[#This Row],[WRRef]],TableWRMaster[WRRef],0)),"")</f>
        <v/>
      </c>
      <c r="AI217" s="60" t="s">
        <v>257</v>
      </c>
      <c r="AJ217" s="60">
        <f>IFERROR(RANK(TableWRTECalcPts[[#This Row],[Custom]],TableWRTECalcPts[Custom])+COUNTIF($AP$3:AP217,AP217)-1,"")</f>
        <v>124</v>
      </c>
      <c r="AK217" s="113">
        <v>115</v>
      </c>
      <c r="AL217" s="113" t="str">
        <f>IFERROR(INDEX(TableWRMaster[Player],MATCH(TableWRTECalcPts[[#This Row],[POSRef]],TableWRMaster[WRRef],0)),"")</f>
        <v>Rashid Shaheed</v>
      </c>
      <c r="AM217" s="113" t="str">
        <f>IFERROR(_xlfn.CONCAT(TableWRTECalcPts[[#This Row],[POS]],INDEX(TableWRRanks[RK],MATCH(TableWRTECalcPts[[#This Row],[PLAYER]],TableWRRanks[Player],0))),"")</f>
        <v>WR92</v>
      </c>
      <c r="AN217" s="113" t="str">
        <f>IFERROR(INDEX(TableWRMaster[TM],MATCH(TableWRTECalcPts[[#This Row],[POSRef]],TableWRMaster[WRRef],0)),"")</f>
        <v>NO</v>
      </c>
      <c r="AO217" s="113">
        <f>IFERROR(INDEX(TableWRMaster[BYE],MATCH(TableWRTECalcPts[[#This Row],[POSRef]],TableWRMaster[WRRef],0)),"")</f>
        <v>11</v>
      </c>
      <c r="AP217" s="111">
        <f>IFERROR(INDEX(TableWRMaster[Custom],MATCH(TableWRTECalcPts[[#This Row],[POSRef]],TableWRMaster[WRRef],0)),"")</f>
        <v>77.226919676598641</v>
      </c>
    </row>
    <row r="218" spans="13:42" x14ac:dyDescent="0.2">
      <c r="M218" s="61"/>
      <c r="O218" s="60" t="str">
        <f>IFERROR(RANK(TableWRCalcPts[[#This Row],[Custom]],TableWRCalcPts[Custom])+COUNTIF($T$3:T218,T218)-1,"")</f>
        <v/>
      </c>
      <c r="P218" s="60">
        <v>216</v>
      </c>
      <c r="Q218" s="60" t="str">
        <f>IFERROR(INDEX(TableWRMaster[Player],MATCH(TableWRCalcPts[[#This Row],[WRRef]],TableWRMaster[WRRef],0)),"")</f>
        <v/>
      </c>
      <c r="R218" s="60" t="str">
        <f>IFERROR(INDEX(TableWRMaster[TM],MATCH(TableWRCalcPts[[#This Row],[WRRef]],TableWRMaster[WRRef],0)),"")</f>
        <v/>
      </c>
      <c r="S218" s="60" t="str">
        <f>IFERROR(INDEX(TableWRMaster[BYE],MATCH(TableWRCalcPts[[#This Row],[WRRef]],TableWRMaster[WRRef],0)),"")</f>
        <v/>
      </c>
      <c r="T218" s="61" t="str">
        <f>IFERROR(INDEX(TableWRMaster[Custom],MATCH(TableWRCalcPts[[#This Row],[WRRef]],TableWRMaster[WRRef],0)),"")</f>
        <v/>
      </c>
      <c r="AI218" s="60" t="s">
        <v>257</v>
      </c>
      <c r="AJ218" s="60">
        <f>IFERROR(RANK(TableWRTECalcPts[[#This Row],[Custom]],TableWRTECalcPts[Custom])+COUNTIF($AP$3:AP218,AP218)-1,"")</f>
        <v>197</v>
      </c>
      <c r="AK218" s="113">
        <v>116</v>
      </c>
      <c r="AL218" s="113" t="str">
        <f>IFERROR(INDEX(TableWRMaster[Player],MATCH(TableWRTECalcPts[[#This Row],[POSRef]],TableWRMaster[WRRef],0)),"")</f>
        <v>Tre'Quan Smith</v>
      </c>
      <c r="AM218" s="113" t="str">
        <f>IFERROR(_xlfn.CONCAT(TableWRTECalcPts[[#This Row],[POS]],INDEX(TableWRRanks[RK],MATCH(TableWRTECalcPts[[#This Row],[PLAYER]],TableWRRanks[Player],0))),"")</f>
        <v>WR137</v>
      </c>
      <c r="AN218" s="113" t="str">
        <f>IFERROR(INDEX(TableWRMaster[TM],MATCH(TableWRTECalcPts[[#This Row],[POSRef]],TableWRMaster[WRRef],0)),"")</f>
        <v>NO</v>
      </c>
      <c r="AO218" s="113">
        <f>IFERROR(INDEX(TableWRMaster[BYE],MATCH(TableWRTECalcPts[[#This Row],[POSRef]],TableWRMaster[WRRef],0)),"")</f>
        <v>11</v>
      </c>
      <c r="AP218" s="111">
        <f>IFERROR(INDEX(TableWRMaster[Custom],MATCH(TableWRTECalcPts[[#This Row],[POSRef]],TableWRMaster[WRRef],0)),"")</f>
        <v>22.644639589571998</v>
      </c>
    </row>
    <row r="219" spans="13:42" x14ac:dyDescent="0.2">
      <c r="M219" s="61"/>
      <c r="O219" s="60" t="str">
        <f>IFERROR(RANK(TableWRCalcPts[[#This Row],[Custom]],TableWRCalcPts[Custom])+COUNTIF($T$3:T219,T219)-1,"")</f>
        <v/>
      </c>
      <c r="P219" s="60">
        <v>217</v>
      </c>
      <c r="Q219" s="60" t="str">
        <f>IFERROR(INDEX(TableWRMaster[Player],MATCH(TableWRCalcPts[[#This Row],[WRRef]],TableWRMaster[WRRef],0)),"")</f>
        <v/>
      </c>
      <c r="R219" s="60" t="str">
        <f>IFERROR(INDEX(TableWRMaster[TM],MATCH(TableWRCalcPts[[#This Row],[WRRef]],TableWRMaster[WRRef],0)),"")</f>
        <v/>
      </c>
      <c r="S219" s="60" t="str">
        <f>IFERROR(INDEX(TableWRMaster[BYE],MATCH(TableWRCalcPts[[#This Row],[WRRef]],TableWRMaster[WRRef],0)),"")</f>
        <v/>
      </c>
      <c r="T219" s="61" t="str">
        <f>IFERROR(INDEX(TableWRMaster[Custom],MATCH(TableWRCalcPts[[#This Row],[WRRef]],TableWRMaster[WRRef],0)),"")</f>
        <v/>
      </c>
      <c r="AI219" s="60" t="s">
        <v>257</v>
      </c>
      <c r="AJ219" s="60">
        <f>IFERROR(RANK(TableWRTECalcPts[[#This Row],[Custom]],TableWRTECalcPts[Custom])+COUNTIF($AP$3:AP219,AP219)-1,"")</f>
        <v>190</v>
      </c>
      <c r="AK219" s="113">
        <v>117</v>
      </c>
      <c r="AL219" s="113" t="str">
        <f>IFERROR(INDEX(TableWRMaster[Player],MATCH(TableWRTECalcPts[[#This Row],[POSRef]],TableWRMaster[WRRef],0)),"")</f>
        <v>A.T. Perry</v>
      </c>
      <c r="AM219" s="113" t="str">
        <f>IFERROR(_xlfn.CONCAT(TableWRTECalcPts[[#This Row],[POS]],INDEX(TableWRRanks[RK],MATCH(TableWRTECalcPts[[#This Row],[PLAYER]],TableWRRanks[Player],0))),"")</f>
        <v>WR134</v>
      </c>
      <c r="AN219" s="113" t="str">
        <f>IFERROR(INDEX(TableWRMaster[TM],MATCH(TableWRTECalcPts[[#This Row],[POSRef]],TableWRMaster[WRRef],0)),"")</f>
        <v>NO</v>
      </c>
      <c r="AO219" s="113">
        <f>IFERROR(INDEX(TableWRMaster[BYE],MATCH(TableWRTECalcPts[[#This Row],[POSRef]],TableWRMaster[WRRef],0)),"")</f>
        <v>11</v>
      </c>
      <c r="AP219" s="111">
        <f>IFERROR(INDEX(TableWRMaster[Custom],MATCH(TableWRTECalcPts[[#This Row],[POSRef]],TableWRMaster[WRRef],0)),"")</f>
        <v>24.507357616987889</v>
      </c>
    </row>
    <row r="220" spans="13:42" x14ac:dyDescent="0.2">
      <c r="M220" s="61"/>
      <c r="O220" s="60" t="str">
        <f>IFERROR(RANK(TableWRCalcPts[[#This Row],[Custom]],TableWRCalcPts[Custom])+COUNTIF($T$3:T220,T220)-1,"")</f>
        <v/>
      </c>
      <c r="P220" s="60">
        <v>218</v>
      </c>
      <c r="Q220" s="60" t="str">
        <f>IFERROR(INDEX(TableWRMaster[Player],MATCH(TableWRCalcPts[[#This Row],[WRRef]],TableWRMaster[WRRef],0)),"")</f>
        <v/>
      </c>
      <c r="R220" s="60" t="str">
        <f>IFERROR(INDEX(TableWRMaster[TM],MATCH(TableWRCalcPts[[#This Row],[WRRef]],TableWRMaster[WRRef],0)),"")</f>
        <v/>
      </c>
      <c r="S220" s="60" t="str">
        <f>IFERROR(INDEX(TableWRMaster[BYE],MATCH(TableWRCalcPts[[#This Row],[WRRef]],TableWRMaster[WRRef],0)),"")</f>
        <v/>
      </c>
      <c r="T220" s="61" t="str">
        <f>IFERROR(INDEX(TableWRMaster[Custom],MATCH(TableWRCalcPts[[#This Row],[WRRef]],TableWRMaster[WRRef],0)),"")</f>
        <v/>
      </c>
      <c r="AI220" s="60" t="s">
        <v>257</v>
      </c>
      <c r="AJ220" s="60">
        <f>IFERROR(RANK(TableWRTECalcPts[[#This Row],[Custom]],TableWRTECalcPts[Custom])+COUNTIF($AP$3:AP220,AP220)-1,"")</f>
        <v>165</v>
      </c>
      <c r="AK220" s="113">
        <v>118</v>
      </c>
      <c r="AL220" s="113" t="str">
        <f>IFERROR(INDEX(TableWRMaster[Player],MATCH(TableWRTECalcPts[[#This Row],[POSRef]],TableWRMaster[WRRef],0)),"")</f>
        <v>Sterling Shepard</v>
      </c>
      <c r="AM220" s="113" t="str">
        <f>IFERROR(_xlfn.CONCAT(TableWRTECalcPts[[#This Row],[POS]],INDEX(TableWRRanks[RK],MATCH(TableWRTECalcPts[[#This Row],[PLAYER]],TableWRRanks[Player],0))),"")</f>
        <v>WR118</v>
      </c>
      <c r="AN220" s="113" t="str">
        <f>IFERROR(INDEX(TableWRMaster[TM],MATCH(TableWRTECalcPts[[#This Row],[POSRef]],TableWRMaster[WRRef],0)),"")</f>
        <v>NYG</v>
      </c>
      <c r="AO220" s="113">
        <f>IFERROR(INDEX(TableWRMaster[BYE],MATCH(TableWRTECalcPts[[#This Row],[POSRef]],TableWRMaster[WRRef],0)),"")</f>
        <v>13</v>
      </c>
      <c r="AP220" s="111">
        <f>IFERROR(INDEX(TableWRMaster[Custom],MATCH(TableWRTECalcPts[[#This Row],[POSRef]],TableWRMaster[WRRef],0)),"")</f>
        <v>35.665895599228826</v>
      </c>
    </row>
    <row r="221" spans="13:42" x14ac:dyDescent="0.2">
      <c r="M221" s="61"/>
      <c r="O221" s="60" t="str">
        <f>IFERROR(RANK(TableWRCalcPts[[#This Row],[Custom]],TableWRCalcPts[Custom])+COUNTIF($T$3:T221,T221)-1,"")</f>
        <v/>
      </c>
      <c r="P221" s="60">
        <v>219</v>
      </c>
      <c r="Q221" s="60" t="str">
        <f>IFERROR(INDEX(TableWRMaster[Player],MATCH(TableWRCalcPts[[#This Row],[WRRef]],TableWRMaster[WRRef],0)),"")</f>
        <v/>
      </c>
      <c r="R221" s="60" t="str">
        <f>IFERROR(INDEX(TableWRMaster[TM],MATCH(TableWRCalcPts[[#This Row],[WRRef]],TableWRMaster[WRRef],0)),"")</f>
        <v/>
      </c>
      <c r="S221" s="60" t="str">
        <f>IFERROR(INDEX(TableWRMaster[BYE],MATCH(TableWRCalcPts[[#This Row],[WRRef]],TableWRMaster[WRRef],0)),"")</f>
        <v/>
      </c>
      <c r="T221" s="61" t="str">
        <f>IFERROR(INDEX(TableWRMaster[Custom],MATCH(TableWRCalcPts[[#This Row],[WRRef]],TableWRMaster[WRRef],0)),"")</f>
        <v/>
      </c>
      <c r="AI221" s="60" t="s">
        <v>257</v>
      </c>
      <c r="AJ221" s="60">
        <f>IFERROR(RANK(TableWRTECalcPts[[#This Row],[Custom]],TableWRTECalcPts[Custom])+COUNTIF($AP$3:AP221,AP221)-1,"")</f>
        <v>140</v>
      </c>
      <c r="AK221" s="113">
        <v>119</v>
      </c>
      <c r="AL221" s="113" t="str">
        <f>IFERROR(INDEX(TableWRMaster[Player],MATCH(TableWRTECalcPts[[#This Row],[POSRef]],TableWRMaster[WRRef],0)),"")</f>
        <v>Wan'Dale Robinson</v>
      </c>
      <c r="AM221" s="113" t="str">
        <f>IFERROR(_xlfn.CONCAT(TableWRTECalcPts[[#This Row],[POS]],INDEX(TableWRRanks[RK],MATCH(TableWRTECalcPts[[#This Row],[PLAYER]],TableWRRanks[Player],0))),"")</f>
        <v>WR103</v>
      </c>
      <c r="AN221" s="113" t="str">
        <f>IFERROR(INDEX(TableWRMaster[TM],MATCH(TableWRTECalcPts[[#This Row],[POSRef]],TableWRMaster[WRRef],0)),"")</f>
        <v>NYG</v>
      </c>
      <c r="AO221" s="113">
        <f>IFERROR(INDEX(TableWRMaster[BYE],MATCH(TableWRTECalcPts[[#This Row],[POSRef]],TableWRMaster[WRRef],0)),"")</f>
        <v>13</v>
      </c>
      <c r="AP221" s="111">
        <f>IFERROR(INDEX(TableWRMaster[Custom],MATCH(TableWRTECalcPts[[#This Row],[POSRef]],TableWRMaster[WRRef],0)),"")</f>
        <v>57.776482817212141</v>
      </c>
    </row>
    <row r="222" spans="13:42" x14ac:dyDescent="0.2">
      <c r="M222" s="61"/>
      <c r="O222" s="60" t="str">
        <f>IFERROR(RANK(TableWRCalcPts[[#This Row],[Custom]],TableWRCalcPts[Custom])+COUNTIF($T$3:T222,T222)-1,"")</f>
        <v/>
      </c>
      <c r="P222" s="60">
        <v>220</v>
      </c>
      <c r="Q222" s="60" t="str">
        <f>IFERROR(INDEX(TableWRMaster[Player],MATCH(TableWRCalcPts[[#This Row],[WRRef]],TableWRMaster[WRRef],0)),"")</f>
        <v/>
      </c>
      <c r="R222" s="60" t="str">
        <f>IFERROR(INDEX(TableWRMaster[TM],MATCH(TableWRCalcPts[[#This Row],[WRRef]],TableWRMaster[WRRef],0)),"")</f>
        <v/>
      </c>
      <c r="S222" s="60" t="str">
        <f>IFERROR(INDEX(TableWRMaster[BYE],MATCH(TableWRCalcPts[[#This Row],[WRRef]],TableWRMaster[WRRef],0)),"")</f>
        <v/>
      </c>
      <c r="T222" s="61" t="str">
        <f>IFERROR(INDEX(TableWRMaster[Custom],MATCH(TableWRCalcPts[[#This Row],[WRRef]],TableWRMaster[WRRef],0)),"")</f>
        <v/>
      </c>
      <c r="AI222" s="60" t="s">
        <v>257</v>
      </c>
      <c r="AJ222" s="60">
        <f>IFERROR(RANK(TableWRTECalcPts[[#This Row],[Custom]],TableWRTECalcPts[Custom])+COUNTIF($AP$3:AP222,AP222)-1,"")</f>
        <v>112</v>
      </c>
      <c r="AK222" s="113">
        <v>120</v>
      </c>
      <c r="AL222" s="113" t="str">
        <f>IFERROR(INDEX(TableWRMaster[Player],MATCH(TableWRTECalcPts[[#This Row],[POSRef]],TableWRMaster[WRRef],0)),"")</f>
        <v>Parris Campbell</v>
      </c>
      <c r="AM222" s="113" t="str">
        <f>IFERROR(_xlfn.CONCAT(TableWRTECalcPts[[#This Row],[POS]],INDEX(TableWRRanks[RK],MATCH(TableWRTECalcPts[[#This Row],[PLAYER]],TableWRRanks[Player],0))),"")</f>
        <v>WR85</v>
      </c>
      <c r="AN222" s="113" t="str">
        <f>IFERROR(INDEX(TableWRMaster[TM],MATCH(TableWRTECalcPts[[#This Row],[POSRef]],TableWRMaster[WRRef],0)),"")</f>
        <v>NYG</v>
      </c>
      <c r="AO222" s="113">
        <f>IFERROR(INDEX(TableWRMaster[BYE],MATCH(TableWRTECalcPts[[#This Row],[POSRef]],TableWRMaster[WRRef],0)),"")</f>
        <v>13</v>
      </c>
      <c r="AP222" s="111">
        <f>IFERROR(INDEX(TableWRMaster[Custom],MATCH(TableWRTECalcPts[[#This Row],[POSRef]],TableWRMaster[WRRef],0)),"")</f>
        <v>87.537493843607933</v>
      </c>
    </row>
    <row r="223" spans="13:42" x14ac:dyDescent="0.2">
      <c r="M223" s="61"/>
      <c r="O223" s="60" t="str">
        <f>IFERROR(RANK(TableWRCalcPts[[#This Row],[Custom]],TableWRCalcPts[Custom])+COUNTIF($T$3:T223,T223)-1,"")</f>
        <v/>
      </c>
      <c r="P223" s="60">
        <v>221</v>
      </c>
      <c r="Q223" s="60" t="str">
        <f>IFERROR(INDEX(TableWRMaster[Player],MATCH(TableWRCalcPts[[#This Row],[WRRef]],TableWRMaster[WRRef],0)),"")</f>
        <v/>
      </c>
      <c r="R223" s="60" t="str">
        <f>IFERROR(INDEX(TableWRMaster[TM],MATCH(TableWRCalcPts[[#This Row],[WRRef]],TableWRMaster[WRRef],0)),"")</f>
        <v/>
      </c>
      <c r="S223" s="60" t="str">
        <f>IFERROR(INDEX(TableWRMaster[BYE],MATCH(TableWRCalcPts[[#This Row],[WRRef]],TableWRMaster[WRRef],0)),"")</f>
        <v/>
      </c>
      <c r="T223" s="61" t="str">
        <f>IFERROR(INDEX(TableWRMaster[Custom],MATCH(TableWRCalcPts[[#This Row],[WRRef]],TableWRMaster[WRRef],0)),"")</f>
        <v/>
      </c>
      <c r="AI223" s="60" t="s">
        <v>257</v>
      </c>
      <c r="AJ223" s="60">
        <f>IFERROR(RANK(TableWRTECalcPts[[#This Row],[Custom]],TableWRTECalcPts[Custom])+COUNTIF($AP$3:AP223,AP223)-1,"")</f>
        <v>111</v>
      </c>
      <c r="AK223" s="113">
        <v>121</v>
      </c>
      <c r="AL223" s="113" t="str">
        <f>IFERROR(INDEX(TableWRMaster[Player],MATCH(TableWRTECalcPts[[#This Row],[POSRef]],TableWRMaster[WRRef],0)),"")</f>
        <v>Isaiah Hodgins</v>
      </c>
      <c r="AM223" s="113" t="str">
        <f>IFERROR(_xlfn.CONCAT(TableWRTECalcPts[[#This Row],[POS]],INDEX(TableWRRanks[RK],MATCH(TableWRTECalcPts[[#This Row],[PLAYER]],TableWRRanks[Player],0))),"")</f>
        <v>WR84</v>
      </c>
      <c r="AN223" s="113" t="str">
        <f>IFERROR(INDEX(TableWRMaster[TM],MATCH(TableWRTECalcPts[[#This Row],[POSRef]],TableWRMaster[WRRef],0)),"")</f>
        <v>NYG</v>
      </c>
      <c r="AO223" s="113">
        <f>IFERROR(INDEX(TableWRMaster[BYE],MATCH(TableWRTECalcPts[[#This Row],[POSRef]],TableWRMaster[WRRef],0)),"")</f>
        <v>13</v>
      </c>
      <c r="AP223" s="111">
        <f>IFERROR(INDEX(TableWRMaster[Custom],MATCH(TableWRTECalcPts[[#This Row],[POSRef]],TableWRMaster[WRRef],0)),"")</f>
        <v>88.794501254683098</v>
      </c>
    </row>
    <row r="224" spans="13:42" x14ac:dyDescent="0.2">
      <c r="M224" s="61"/>
      <c r="O224" s="60" t="str">
        <f>IFERROR(RANK(TableWRCalcPts[[#This Row],[Custom]],TableWRCalcPts[Custom])+COUNTIF($T$3:T224,T224)-1,"")</f>
        <v/>
      </c>
      <c r="P224" s="60">
        <v>222</v>
      </c>
      <c r="Q224" s="60" t="str">
        <f>IFERROR(INDEX(TableWRMaster[Player],MATCH(TableWRCalcPts[[#This Row],[WRRef]],TableWRMaster[WRRef],0)),"")</f>
        <v/>
      </c>
      <c r="R224" s="60" t="str">
        <f>IFERROR(INDEX(TableWRMaster[TM],MATCH(TableWRCalcPts[[#This Row],[WRRef]],TableWRMaster[WRRef],0)),"")</f>
        <v/>
      </c>
      <c r="S224" s="60" t="str">
        <f>IFERROR(INDEX(TableWRMaster[BYE],MATCH(TableWRCalcPts[[#This Row],[WRRef]],TableWRMaster[WRRef],0)),"")</f>
        <v/>
      </c>
      <c r="T224" s="61" t="str">
        <f>IFERROR(INDEX(TableWRMaster[Custom],MATCH(TableWRCalcPts[[#This Row],[WRRef]],TableWRMaster[WRRef],0)),"")</f>
        <v/>
      </c>
      <c r="AI224" s="60" t="s">
        <v>257</v>
      </c>
      <c r="AJ224" s="60">
        <f>IFERROR(RANK(TableWRTECalcPts[[#This Row],[Custom]],TableWRTECalcPts[Custom])+COUNTIF($AP$3:AP224,AP224)-1,"")</f>
        <v>72</v>
      </c>
      <c r="AK224" s="113">
        <v>122</v>
      </c>
      <c r="AL224" s="113" t="str">
        <f>IFERROR(INDEX(TableWRMaster[Player],MATCH(TableWRTECalcPts[[#This Row],[POSRef]],TableWRMaster[WRRef],0)),"")</f>
        <v>Darius Slayton</v>
      </c>
      <c r="AM224" s="113" t="str">
        <f>IFERROR(_xlfn.CONCAT(TableWRTECalcPts[[#This Row],[POS]],INDEX(TableWRRanks[RK],MATCH(TableWRTECalcPts[[#This Row],[PLAYER]],TableWRRanks[Player],0))),"")</f>
        <v>WR61</v>
      </c>
      <c r="AN224" s="113" t="str">
        <f>IFERROR(INDEX(TableWRMaster[TM],MATCH(TableWRTECalcPts[[#This Row],[POSRef]],TableWRMaster[WRRef],0)),"")</f>
        <v>NYG</v>
      </c>
      <c r="AO224" s="113">
        <f>IFERROR(INDEX(TableWRMaster[BYE],MATCH(TableWRTECalcPts[[#This Row],[POSRef]],TableWRMaster[WRRef],0)),"")</f>
        <v>13</v>
      </c>
      <c r="AP224" s="111">
        <f>IFERROR(INDEX(TableWRMaster[Custom],MATCH(TableWRTECalcPts[[#This Row],[POSRef]],TableWRMaster[WRRef],0)),"")</f>
        <v>121.11123240350437</v>
      </c>
    </row>
    <row r="225" spans="13:42" x14ac:dyDescent="0.2">
      <c r="M225" s="61"/>
      <c r="O225" s="60" t="str">
        <f>IFERROR(RANK(TableWRCalcPts[[#This Row],[Custom]],TableWRCalcPts[Custom])+COUNTIF($T$3:T225,T225)-1,"")</f>
        <v/>
      </c>
      <c r="P225" s="60">
        <v>223</v>
      </c>
      <c r="Q225" s="60" t="str">
        <f>IFERROR(INDEX(TableWRMaster[Player],MATCH(TableWRCalcPts[[#This Row],[WRRef]],TableWRMaster[WRRef],0)),"")</f>
        <v/>
      </c>
      <c r="R225" s="60" t="str">
        <f>IFERROR(INDEX(TableWRMaster[TM],MATCH(TableWRCalcPts[[#This Row],[WRRef]],TableWRMaster[WRRef],0)),"")</f>
        <v/>
      </c>
      <c r="S225" s="60" t="str">
        <f>IFERROR(INDEX(TableWRMaster[BYE],MATCH(TableWRCalcPts[[#This Row],[WRRef]],TableWRMaster[WRRef],0)),"")</f>
        <v/>
      </c>
      <c r="T225" s="61" t="str">
        <f>IFERROR(INDEX(TableWRMaster[Custom],MATCH(TableWRCalcPts[[#This Row],[WRRef]],TableWRMaster[WRRef],0)),"")</f>
        <v/>
      </c>
      <c r="AI225" s="60" t="s">
        <v>257</v>
      </c>
      <c r="AJ225" s="60">
        <f>IFERROR(RANK(TableWRTECalcPts[[#This Row],[Custom]],TableWRTECalcPts[Custom])+COUNTIF($AP$3:AP225,AP225)-1,"")</f>
        <v>158</v>
      </c>
      <c r="AK225" s="113">
        <v>123</v>
      </c>
      <c r="AL225" s="113" t="str">
        <f>IFERROR(INDEX(TableWRMaster[Player],MATCH(TableWRTECalcPts[[#This Row],[POSRef]],TableWRMaster[WRRef],0)),"")</f>
        <v>Jalin Hyatt</v>
      </c>
      <c r="AM225" s="113" t="str">
        <f>IFERROR(_xlfn.CONCAT(TableWRTECalcPts[[#This Row],[POS]],INDEX(TableWRRanks[RK],MATCH(TableWRTECalcPts[[#This Row],[PLAYER]],TableWRRanks[Player],0))),"")</f>
        <v>WR114</v>
      </c>
      <c r="AN225" s="113" t="str">
        <f>IFERROR(INDEX(TableWRMaster[TM],MATCH(TableWRTECalcPts[[#This Row],[POSRef]],TableWRMaster[WRRef],0)),"")</f>
        <v>NYG</v>
      </c>
      <c r="AO225" s="113">
        <f>IFERROR(INDEX(TableWRMaster[BYE],MATCH(TableWRTECalcPts[[#This Row],[POSRef]],TableWRMaster[WRRef],0)),"")</f>
        <v>13</v>
      </c>
      <c r="AP225" s="111">
        <f>IFERROR(INDEX(TableWRMaster[Custom],MATCH(TableWRTECalcPts[[#This Row],[POSRef]],TableWRMaster[WRRef],0)),"")</f>
        <v>39.016453413547382</v>
      </c>
    </row>
    <row r="226" spans="13:42" x14ac:dyDescent="0.2">
      <c r="M226" s="61"/>
      <c r="O226" s="60" t="str">
        <f>IFERROR(RANK(TableWRCalcPts[[#This Row],[Custom]],TableWRCalcPts[Custom])+COUNTIF($T$3:T226,T226)-1,"")</f>
        <v/>
      </c>
      <c r="P226" s="60">
        <v>224</v>
      </c>
      <c r="Q226" s="60" t="str">
        <f>IFERROR(INDEX(TableWRMaster[Player],MATCH(TableWRCalcPts[[#This Row],[WRRef]],TableWRMaster[WRRef],0)),"")</f>
        <v/>
      </c>
      <c r="R226" s="60" t="str">
        <f>IFERROR(INDEX(TableWRMaster[TM],MATCH(TableWRCalcPts[[#This Row],[WRRef]],TableWRMaster[WRRef],0)),"")</f>
        <v/>
      </c>
      <c r="S226" s="60" t="str">
        <f>IFERROR(INDEX(TableWRMaster[BYE],MATCH(TableWRCalcPts[[#This Row],[WRRef]],TableWRMaster[WRRef],0)),"")</f>
        <v/>
      </c>
      <c r="T226" s="61" t="str">
        <f>IFERROR(INDEX(TableWRMaster[Custom],MATCH(TableWRCalcPts[[#This Row],[WRRef]],TableWRMaster[WRRef],0)),"")</f>
        <v/>
      </c>
      <c r="AI226" s="60" t="s">
        <v>257</v>
      </c>
      <c r="AJ226" s="60">
        <f>IFERROR(RANK(TableWRTECalcPts[[#This Row],[Custom]],TableWRTECalcPts[Custom])+COUNTIF($AP$3:AP226,AP226)-1,"")</f>
        <v>11</v>
      </c>
      <c r="AK226" s="113">
        <v>124</v>
      </c>
      <c r="AL226" s="113" t="str">
        <f>IFERROR(INDEX(TableWRMaster[Player],MATCH(TableWRTECalcPts[[#This Row],[POSRef]],TableWRMaster[WRRef],0)),"")</f>
        <v>Garrett Wilson</v>
      </c>
      <c r="AM226" s="113" t="str">
        <f>IFERROR(_xlfn.CONCAT(TableWRTECalcPts[[#This Row],[POS]],INDEX(TableWRRanks[RK],MATCH(TableWRTECalcPts[[#This Row],[PLAYER]],TableWRRanks[Player],0))),"")</f>
        <v>WR10</v>
      </c>
      <c r="AN226" s="113" t="str">
        <f>IFERROR(INDEX(TableWRMaster[TM],MATCH(TableWRTECalcPts[[#This Row],[POSRef]],TableWRMaster[WRRef],0)),"")</f>
        <v>NYJ</v>
      </c>
      <c r="AO226" s="113">
        <f>IFERROR(INDEX(TableWRMaster[BYE],MATCH(TableWRTECalcPts[[#This Row],[POSRef]],TableWRMaster[WRRef],0)),"")</f>
        <v>7</v>
      </c>
      <c r="AP226" s="111">
        <f>IFERROR(INDEX(TableWRMaster[Custom],MATCH(TableWRTECalcPts[[#This Row],[POSRef]],TableWRMaster[WRRef],0)),"")</f>
        <v>207.71072219166814</v>
      </c>
    </row>
    <row r="227" spans="13:42" x14ac:dyDescent="0.2">
      <c r="M227" s="61"/>
      <c r="O227" s="60" t="str">
        <f>IFERROR(RANK(TableWRCalcPts[[#This Row],[Custom]],TableWRCalcPts[Custom])+COUNTIF($T$3:T227,T227)-1,"")</f>
        <v/>
      </c>
      <c r="P227" s="60">
        <v>225</v>
      </c>
      <c r="Q227" s="60" t="str">
        <f>IFERROR(INDEX(TableWRMaster[Player],MATCH(TableWRCalcPts[[#This Row],[WRRef]],TableWRMaster[WRRef],0)),"")</f>
        <v/>
      </c>
      <c r="R227" s="60" t="str">
        <f>IFERROR(INDEX(TableWRMaster[TM],MATCH(TableWRCalcPts[[#This Row],[WRRef]],TableWRMaster[WRRef],0)),"")</f>
        <v/>
      </c>
      <c r="S227" s="60" t="str">
        <f>IFERROR(INDEX(TableWRMaster[BYE],MATCH(TableWRCalcPts[[#This Row],[WRRef]],TableWRMaster[WRRef],0)),"")</f>
        <v/>
      </c>
      <c r="T227" s="61" t="str">
        <f>IFERROR(INDEX(TableWRMaster[Custom],MATCH(TableWRCalcPts[[#This Row],[WRRef]],TableWRMaster[WRRef],0)),"")</f>
        <v/>
      </c>
      <c r="AI227" s="60" t="s">
        <v>257</v>
      </c>
      <c r="AJ227" s="60">
        <f>IFERROR(RANK(TableWRTECalcPts[[#This Row],[Custom]],TableWRTECalcPts[Custom])+COUNTIF($AP$3:AP227,AP227)-1,"")</f>
        <v>40</v>
      </c>
      <c r="AK227" s="113">
        <v>125</v>
      </c>
      <c r="AL227" s="113" t="str">
        <f>IFERROR(INDEX(TableWRMaster[Player],MATCH(TableWRTECalcPts[[#This Row],[POSRef]],TableWRMaster[WRRef],0)),"")</f>
        <v>Allen Lazard</v>
      </c>
      <c r="AM227" s="113" t="str">
        <f>IFERROR(_xlfn.CONCAT(TableWRTECalcPts[[#This Row],[POS]],INDEX(TableWRRanks[RK],MATCH(TableWRTECalcPts[[#This Row],[PLAYER]],TableWRRanks[Player],0))),"")</f>
        <v>WR36</v>
      </c>
      <c r="AN227" s="113" t="str">
        <f>IFERROR(INDEX(TableWRMaster[TM],MATCH(TableWRTECalcPts[[#This Row],[POSRef]],TableWRMaster[WRRef],0)),"")</f>
        <v>NYJ</v>
      </c>
      <c r="AO227" s="113">
        <f>IFERROR(INDEX(TableWRMaster[BYE],MATCH(TableWRTECalcPts[[#This Row],[POSRef]],TableWRMaster[WRRef],0)),"")</f>
        <v>7</v>
      </c>
      <c r="AP227" s="111">
        <f>IFERROR(INDEX(TableWRMaster[Custom],MATCH(TableWRTECalcPts[[#This Row],[POSRef]],TableWRMaster[WRRef],0)),"")</f>
        <v>162.96652371193738</v>
      </c>
    </row>
    <row r="228" spans="13:42" x14ac:dyDescent="0.2">
      <c r="M228" s="61"/>
      <c r="T228" s="61"/>
      <c r="AI228" s="60" t="s">
        <v>257</v>
      </c>
      <c r="AJ228" s="60">
        <f>IFERROR(RANK(TableWRTECalcPts[[#This Row],[Custom]],TableWRTECalcPts[Custom])+COUNTIF($AP$3:AP228,AP228)-1,"")</f>
        <v>108</v>
      </c>
      <c r="AK228" s="113">
        <v>126</v>
      </c>
      <c r="AL228" s="113" t="str">
        <f>IFERROR(INDEX(TableWRMaster[Player],MATCH(TableWRTECalcPts[[#This Row],[POSRef]],TableWRMaster[WRRef],0)),"")</f>
        <v>Mecole Hardman</v>
      </c>
      <c r="AM228" s="113" t="str">
        <f>IFERROR(_xlfn.CONCAT(TableWRTECalcPts[[#This Row],[POS]],INDEX(TableWRRanks[RK],MATCH(TableWRTECalcPts[[#This Row],[PLAYER]],TableWRRanks[Player],0))),"")</f>
        <v>WR82</v>
      </c>
      <c r="AN228" s="113" t="str">
        <f>IFERROR(INDEX(TableWRMaster[TM],MATCH(TableWRTECalcPts[[#This Row],[POSRef]],TableWRMaster[WRRef],0)),"")</f>
        <v>NYJ</v>
      </c>
      <c r="AO228" s="113">
        <f>IFERROR(INDEX(TableWRMaster[BYE],MATCH(TableWRTECalcPts[[#This Row],[POSRef]],TableWRMaster[WRRef],0)),"")</f>
        <v>7</v>
      </c>
      <c r="AP228" s="111">
        <f>IFERROR(INDEX(TableWRMaster[Custom],MATCH(TableWRTECalcPts[[#This Row],[POSRef]],TableWRMaster[WRRef],0)),"")</f>
        <v>90.344374723291807</v>
      </c>
    </row>
    <row r="229" spans="13:42" x14ac:dyDescent="0.2">
      <c r="M229" s="61"/>
      <c r="T229" s="61"/>
      <c r="AI229" s="60" t="s">
        <v>257</v>
      </c>
      <c r="AJ229" s="60">
        <f>IFERROR(RANK(TableWRTECalcPts[[#This Row],[Custom]],TableWRTECalcPts[Custom])+COUNTIF($AP$3:AP229,AP229)-1,"")</f>
        <v>186</v>
      </c>
      <c r="AK229" s="113">
        <v>127</v>
      </c>
      <c r="AL229" s="113" t="str">
        <f>IFERROR(INDEX(TableWRMaster[Player],MATCH(TableWRTECalcPts[[#This Row],[POSRef]],TableWRMaster[WRRef],0)),"")</f>
        <v>Jason Brownlee</v>
      </c>
      <c r="AM229" s="113" t="str">
        <f>IFERROR(_xlfn.CONCAT(TableWRTECalcPts[[#This Row],[POS]],INDEX(TableWRRanks[RK],MATCH(TableWRTECalcPts[[#This Row],[PLAYER]],TableWRRanks[Player],0))),"")</f>
        <v>WR131</v>
      </c>
      <c r="AN229" s="113" t="str">
        <f>IFERROR(INDEX(TableWRMaster[TM],MATCH(TableWRTECalcPts[[#This Row],[POSRef]],TableWRMaster[WRRef],0)),"")</f>
        <v>NYJ</v>
      </c>
      <c r="AO229" s="113">
        <f>IFERROR(INDEX(TableWRMaster[BYE],MATCH(TableWRTECalcPts[[#This Row],[POSRef]],TableWRMaster[WRRef],0)),"")</f>
        <v>7</v>
      </c>
      <c r="AP229" s="111">
        <f>IFERROR(INDEX(TableWRMaster[Custom],MATCH(TableWRTECalcPts[[#This Row],[POSRef]],TableWRMaster[WRRef],0)),"")</f>
        <v>26.314535347600497</v>
      </c>
    </row>
    <row r="230" spans="13:42" x14ac:dyDescent="0.2">
      <c r="M230" s="61"/>
      <c r="T230" s="61"/>
      <c r="AI230" s="60" t="s">
        <v>257</v>
      </c>
      <c r="AJ230" s="60">
        <f>IFERROR(RANK(TableWRTECalcPts[[#This Row],[Custom]],TableWRTECalcPts[Custom])+COUNTIF($AP$3:AP230,AP230)-1,"")</f>
        <v>129</v>
      </c>
      <c r="AK230" s="113">
        <v>128</v>
      </c>
      <c r="AL230" s="113" t="str">
        <f>IFERROR(INDEX(TableWRMaster[Player],MATCH(TableWRTECalcPts[[#This Row],[POSRef]],TableWRMaster[WRRef],0)),"")</f>
        <v>Randall Cobb</v>
      </c>
      <c r="AM230" s="113" t="str">
        <f>IFERROR(_xlfn.CONCAT(TableWRTECalcPts[[#This Row],[POS]],INDEX(TableWRRanks[RK],MATCH(TableWRTECalcPts[[#This Row],[PLAYER]],TableWRRanks[Player],0))),"")</f>
        <v>WR95</v>
      </c>
      <c r="AN230" s="113" t="str">
        <f>IFERROR(INDEX(TableWRMaster[TM],MATCH(TableWRTECalcPts[[#This Row],[POSRef]],TableWRMaster[WRRef],0)),"")</f>
        <v>NYJ</v>
      </c>
      <c r="AO230" s="113">
        <f>IFERROR(INDEX(TableWRMaster[BYE],MATCH(TableWRTECalcPts[[#This Row],[POSRef]],TableWRMaster[WRRef],0)),"")</f>
        <v>7</v>
      </c>
      <c r="AP230" s="111">
        <f>IFERROR(INDEX(TableWRMaster[Custom],MATCH(TableWRTECalcPts[[#This Row],[POSRef]],TableWRMaster[WRRef],0)),"")</f>
        <v>71.627058184838234</v>
      </c>
    </row>
    <row r="231" spans="13:42" x14ac:dyDescent="0.2">
      <c r="M231" s="61"/>
      <c r="T231" s="61"/>
      <c r="AI231" s="60" t="s">
        <v>257</v>
      </c>
      <c r="AJ231" s="60">
        <f>IFERROR(RANK(TableWRTECalcPts[[#This Row],[Custom]],TableWRTECalcPts[Custom])+COUNTIF($AP$3:AP231,AP231)-1,"")</f>
        <v>12</v>
      </c>
      <c r="AK231" s="113">
        <v>129</v>
      </c>
      <c r="AL231" s="113" t="str">
        <f>IFERROR(INDEX(TableWRMaster[Player],MATCH(TableWRTECalcPts[[#This Row],[POSRef]],TableWRMaster[WRRef],0)),"")</f>
        <v>A.J. Brown</v>
      </c>
      <c r="AM231" s="113" t="str">
        <f>IFERROR(_xlfn.CONCAT(TableWRTECalcPts[[#This Row],[POS]],INDEX(TableWRRanks[RK],MATCH(TableWRTECalcPts[[#This Row],[PLAYER]],TableWRRanks[Player],0))),"")</f>
        <v>WR11</v>
      </c>
      <c r="AN231" s="113" t="str">
        <f>IFERROR(INDEX(TableWRMaster[TM],MATCH(TableWRTECalcPts[[#This Row],[POSRef]],TableWRMaster[WRRef],0)),"")</f>
        <v>PHI</v>
      </c>
      <c r="AO231" s="113">
        <f>IFERROR(INDEX(TableWRMaster[BYE],MATCH(TableWRTECalcPts[[#This Row],[POSRef]],TableWRMaster[WRRef],0)),"")</f>
        <v>10</v>
      </c>
      <c r="AP231" s="111">
        <f>IFERROR(INDEX(TableWRMaster[Custom],MATCH(TableWRTECalcPts[[#This Row],[POSRef]],TableWRMaster[WRRef],0)),"")</f>
        <v>206.51176008611552</v>
      </c>
    </row>
    <row r="232" spans="13:42" x14ac:dyDescent="0.2">
      <c r="M232" s="61"/>
      <c r="T232" s="61"/>
      <c r="AI232" s="60" t="s">
        <v>257</v>
      </c>
      <c r="AJ232" s="60">
        <f>IFERROR(RANK(TableWRTECalcPts[[#This Row],[Custom]],TableWRTECalcPts[Custom])+COUNTIF($AP$3:AP232,AP232)-1,"")</f>
        <v>19</v>
      </c>
      <c r="AK232" s="113">
        <v>130</v>
      </c>
      <c r="AL232" s="113" t="str">
        <f>IFERROR(INDEX(TableWRMaster[Player],MATCH(TableWRTECalcPts[[#This Row],[POSRef]],TableWRMaster[WRRef],0)),"")</f>
        <v>DeVonta Smith</v>
      </c>
      <c r="AM232" s="113" t="str">
        <f>IFERROR(_xlfn.CONCAT(TableWRTECalcPts[[#This Row],[POS]],INDEX(TableWRRanks[RK],MATCH(TableWRTECalcPts[[#This Row],[PLAYER]],TableWRRanks[Player],0))),"")</f>
        <v>WR18</v>
      </c>
      <c r="AN232" s="113" t="str">
        <f>IFERROR(INDEX(TableWRMaster[TM],MATCH(TableWRTECalcPts[[#This Row],[POSRef]],TableWRMaster[WRRef],0)),"")</f>
        <v>PHI</v>
      </c>
      <c r="AO232" s="113">
        <f>IFERROR(INDEX(TableWRMaster[BYE],MATCH(TableWRTECalcPts[[#This Row],[POSRef]],TableWRMaster[WRRef],0)),"")</f>
        <v>10</v>
      </c>
      <c r="AP232" s="111">
        <f>IFERROR(INDEX(TableWRMaster[Custom],MATCH(TableWRTECalcPts[[#This Row],[POSRef]],TableWRMaster[WRRef],0)),"")</f>
        <v>189.0966160335829</v>
      </c>
    </row>
    <row r="233" spans="13:42" x14ac:dyDescent="0.2">
      <c r="M233" s="61"/>
      <c r="T233" s="61"/>
      <c r="AI233" s="60" t="s">
        <v>257</v>
      </c>
      <c r="AJ233" s="60">
        <f>IFERROR(RANK(TableWRTECalcPts[[#This Row],[Custom]],TableWRTECalcPts[Custom])+COUNTIF($AP$3:AP233,AP233)-1,"")</f>
        <v>152</v>
      </c>
      <c r="AK233" s="113">
        <v>131</v>
      </c>
      <c r="AL233" s="113" t="str">
        <f>IFERROR(INDEX(TableWRMaster[Player],MATCH(TableWRTECalcPts[[#This Row],[POSRef]],TableWRMaster[WRRef],0)),"")</f>
        <v>Quez Watkins</v>
      </c>
      <c r="AM233" s="113" t="str">
        <f>IFERROR(_xlfn.CONCAT(TableWRTECalcPts[[#This Row],[POS]],INDEX(TableWRRanks[RK],MATCH(TableWRTECalcPts[[#This Row],[PLAYER]],TableWRRanks[Player],0))),"")</f>
        <v>WR111</v>
      </c>
      <c r="AN233" s="113" t="str">
        <f>IFERROR(INDEX(TableWRMaster[TM],MATCH(TableWRTECalcPts[[#This Row],[POSRef]],TableWRMaster[WRRef],0)),"")</f>
        <v>PHI</v>
      </c>
      <c r="AO233" s="113">
        <f>IFERROR(INDEX(TableWRMaster[BYE],MATCH(TableWRTECalcPts[[#This Row],[POSRef]],TableWRMaster[WRRef],0)),"")</f>
        <v>10</v>
      </c>
      <c r="AP233" s="111">
        <f>IFERROR(INDEX(TableWRMaster[Custom],MATCH(TableWRTECalcPts[[#This Row],[POSRef]],TableWRMaster[WRRef],0)),"")</f>
        <v>45.688608346058807</v>
      </c>
    </row>
    <row r="234" spans="13:42" x14ac:dyDescent="0.2">
      <c r="M234" s="61"/>
      <c r="T234" s="61"/>
      <c r="AI234" s="60" t="s">
        <v>257</v>
      </c>
      <c r="AJ234" s="60">
        <f>IFERROR(RANK(TableWRTECalcPts[[#This Row],[Custom]],TableWRTECalcPts[Custom])+COUNTIF($AP$3:AP234,AP234)-1,"")</f>
        <v>213</v>
      </c>
      <c r="AK234" s="113">
        <v>132</v>
      </c>
      <c r="AL234" s="113" t="str">
        <f>IFERROR(INDEX(TableWRMaster[Player],MATCH(TableWRTECalcPts[[#This Row],[POSRef]],TableWRMaster[WRRef],0)),"")</f>
        <v>Olamide Zaccheaus</v>
      </c>
      <c r="AM234" s="113" t="str">
        <f>IFERROR(_xlfn.CONCAT(TableWRTECalcPts[[#This Row],[POS]],INDEX(TableWRRanks[RK],MATCH(TableWRTECalcPts[[#This Row],[PLAYER]],TableWRRanks[Player],0))),"")</f>
        <v>WR145</v>
      </c>
      <c r="AN234" s="113" t="str">
        <f>IFERROR(INDEX(TableWRMaster[TM],MATCH(TableWRTECalcPts[[#This Row],[POSRef]],TableWRMaster[WRRef],0)),"")</f>
        <v>PHI</v>
      </c>
      <c r="AO234" s="113">
        <f>IFERROR(INDEX(TableWRMaster[BYE],MATCH(TableWRTECalcPts[[#This Row],[POSRef]],TableWRMaster[WRRef],0)),"")</f>
        <v>10</v>
      </c>
      <c r="AP234" s="111">
        <f>IFERROR(INDEX(TableWRMaster[Custom],MATCH(TableWRTECalcPts[[#This Row],[POSRef]],TableWRMaster[WRRef],0)),"")</f>
        <v>17.304445098071039</v>
      </c>
    </row>
    <row r="235" spans="13:42" x14ac:dyDescent="0.2">
      <c r="M235" s="61"/>
      <c r="T235" s="61"/>
      <c r="AI235" s="60" t="s">
        <v>257</v>
      </c>
      <c r="AJ235" s="60">
        <f>IFERROR(RANK(TableWRTECalcPts[[#This Row],[Custom]],TableWRTECalcPts[Custom])+COUNTIF($AP$3:AP235,AP235)-1,"")</f>
        <v>55</v>
      </c>
      <c r="AK235" s="113">
        <v>133</v>
      </c>
      <c r="AL235" s="113" t="str">
        <f>IFERROR(INDEX(TableWRMaster[Player],MATCH(TableWRTECalcPts[[#This Row],[POSRef]],TableWRMaster[WRRef],0)),"")</f>
        <v>Diontae Johnson</v>
      </c>
      <c r="AM235" s="113" t="str">
        <f>IFERROR(_xlfn.CONCAT(TableWRTECalcPts[[#This Row],[POS]],INDEX(TableWRRanks[RK],MATCH(TableWRTECalcPts[[#This Row],[PLAYER]],TableWRRanks[Player],0))),"")</f>
        <v>WR50</v>
      </c>
      <c r="AN235" s="113" t="str">
        <f>IFERROR(INDEX(TableWRMaster[TM],MATCH(TableWRTECalcPts[[#This Row],[POSRef]],TableWRMaster[WRRef],0)),"")</f>
        <v>PIT</v>
      </c>
      <c r="AO235" s="113">
        <f>IFERROR(INDEX(TableWRMaster[BYE],MATCH(TableWRTECalcPts[[#This Row],[POSRef]],TableWRMaster[WRRef],0)),"")</f>
        <v>6</v>
      </c>
      <c r="AP235" s="111">
        <f>IFERROR(INDEX(TableWRMaster[Custom],MATCH(TableWRTECalcPts[[#This Row],[POSRef]],TableWRMaster[WRRef],0)),"")</f>
        <v>144.91414323693797</v>
      </c>
    </row>
    <row r="236" spans="13:42" x14ac:dyDescent="0.2">
      <c r="M236" s="61"/>
      <c r="T236" s="61"/>
      <c r="AI236" s="60" t="s">
        <v>257</v>
      </c>
      <c r="AJ236" s="60">
        <f>IFERROR(RANK(TableWRTECalcPts[[#This Row],[Custom]],TableWRTECalcPts[Custom])+COUNTIF($AP$3:AP236,AP236)-1,"")</f>
        <v>36</v>
      </c>
      <c r="AK236" s="113">
        <v>134</v>
      </c>
      <c r="AL236" s="113" t="str">
        <f>IFERROR(INDEX(TableWRMaster[Player],MATCH(TableWRTECalcPts[[#This Row],[POSRef]],TableWRMaster[WRRef],0)),"")</f>
        <v>George Pickens</v>
      </c>
      <c r="AM236" s="113" t="str">
        <f>IFERROR(_xlfn.CONCAT(TableWRTECalcPts[[#This Row],[POS]],INDEX(TableWRRanks[RK],MATCH(TableWRTECalcPts[[#This Row],[PLAYER]],TableWRRanks[Player],0))),"")</f>
        <v>WR32</v>
      </c>
      <c r="AN236" s="113" t="str">
        <f>IFERROR(INDEX(TableWRMaster[TM],MATCH(TableWRTECalcPts[[#This Row],[POSRef]],TableWRMaster[WRRef],0)),"")</f>
        <v>PIT</v>
      </c>
      <c r="AO236" s="113">
        <f>IFERROR(INDEX(TableWRMaster[BYE],MATCH(TableWRTECalcPts[[#This Row],[POSRef]],TableWRMaster[WRRef],0)),"")</f>
        <v>6</v>
      </c>
      <c r="AP236" s="111">
        <f>IFERROR(INDEX(TableWRMaster[Custom],MATCH(TableWRTECalcPts[[#This Row],[POSRef]],TableWRMaster[WRRef],0)),"")</f>
        <v>169.33579636065119</v>
      </c>
    </row>
    <row r="237" spans="13:42" x14ac:dyDescent="0.2">
      <c r="M237" s="61"/>
      <c r="T237" s="61"/>
      <c r="AI237" s="60" t="s">
        <v>257</v>
      </c>
      <c r="AJ237" s="60">
        <f>IFERROR(RANK(TableWRTECalcPts[[#This Row],[Custom]],TableWRTECalcPts[Custom])+COUNTIF($AP$3:AP237,AP237)-1,"")</f>
        <v>239</v>
      </c>
      <c r="AK237" s="113">
        <v>135</v>
      </c>
      <c r="AL237" s="113" t="str">
        <f>IFERROR(INDEX(TableWRMaster[Player],MATCH(TableWRTECalcPts[[#This Row],[POSRef]],TableWRMaster[WRRef],0)),"")</f>
        <v>Gunner Olszewski</v>
      </c>
      <c r="AM237" s="113" t="str">
        <f>IFERROR(_xlfn.CONCAT(TableWRTECalcPts[[#This Row],[POS]],INDEX(TableWRRanks[RK],MATCH(TableWRTECalcPts[[#This Row],[PLAYER]],TableWRRanks[Player],0))),"")</f>
        <v>WR159</v>
      </c>
      <c r="AN237" s="113" t="str">
        <f>IFERROR(INDEX(TableWRMaster[TM],MATCH(TableWRTECalcPts[[#This Row],[POSRef]],TableWRMaster[WRRef],0)),"")</f>
        <v>PIT</v>
      </c>
      <c r="AO237" s="113">
        <f>IFERROR(INDEX(TableWRMaster[BYE],MATCH(TableWRTECalcPts[[#This Row],[POSRef]],TableWRMaster[WRRef],0)),"")</f>
        <v>6</v>
      </c>
      <c r="AP237" s="111">
        <f>IFERROR(INDEX(TableWRMaster[Custom],MATCH(TableWRTECalcPts[[#This Row],[POSRef]],TableWRMaster[WRRef],0)),"")</f>
        <v>11.220108984000003</v>
      </c>
    </row>
    <row r="238" spans="13:42" x14ac:dyDescent="0.2">
      <c r="M238" s="61"/>
      <c r="T238" s="61"/>
      <c r="AI238" s="60" t="s">
        <v>257</v>
      </c>
      <c r="AJ238" s="60">
        <f>IFERROR(RANK(TableWRTECalcPts[[#This Row],[Custom]],TableWRTECalcPts[Custom])+COUNTIF($AP$3:AP238,AP238)-1,"")</f>
        <v>208</v>
      </c>
      <c r="AK238" s="113">
        <v>136</v>
      </c>
      <c r="AL238" s="113" t="str">
        <f>IFERROR(INDEX(TableWRMaster[Player],MATCH(TableWRTECalcPts[[#This Row],[POSRef]],TableWRMaster[WRRef],0)),"")</f>
        <v>Calvin Austin</v>
      </c>
      <c r="AM238" s="113" t="str">
        <f>IFERROR(_xlfn.CONCAT(TableWRTECalcPts[[#This Row],[POS]],INDEX(TableWRRanks[RK],MATCH(TableWRTECalcPts[[#This Row],[PLAYER]],TableWRRanks[Player],0))),"")</f>
        <v>WR142</v>
      </c>
      <c r="AN238" s="113" t="str">
        <f>IFERROR(INDEX(TableWRMaster[TM],MATCH(TableWRTECalcPts[[#This Row],[POSRef]],TableWRMaster[WRRef],0)),"")</f>
        <v>PIT</v>
      </c>
      <c r="AO238" s="113">
        <f>IFERROR(INDEX(TableWRMaster[BYE],MATCH(TableWRTECalcPts[[#This Row],[POSRef]],TableWRMaster[WRRef],0)),"")</f>
        <v>6</v>
      </c>
      <c r="AP238" s="111">
        <f>IFERROR(INDEX(TableWRMaster[Custom],MATCH(TableWRTECalcPts[[#This Row],[POSRef]],TableWRMaster[WRRef],0)),"")</f>
        <v>20.161777129038061</v>
      </c>
    </row>
    <row r="239" spans="13:42" x14ac:dyDescent="0.2">
      <c r="M239" s="61"/>
      <c r="T239" s="61"/>
      <c r="AI239" s="60" t="s">
        <v>257</v>
      </c>
      <c r="AJ239" s="60">
        <f>IFERROR(RANK(TableWRTECalcPts[[#This Row],[Custom]],TableWRTECalcPts[Custom])+COUNTIF($AP$3:AP239,AP239)-1,"")</f>
        <v>105</v>
      </c>
      <c r="AK239" s="113">
        <v>137</v>
      </c>
      <c r="AL239" s="113" t="str">
        <f>IFERROR(INDEX(TableWRMaster[Player],MATCH(TableWRTECalcPts[[#This Row],[POSRef]],TableWRMaster[WRRef],0)),"")</f>
        <v>Allen Robinson</v>
      </c>
      <c r="AM239" s="113" t="str">
        <f>IFERROR(_xlfn.CONCAT(TableWRTECalcPts[[#This Row],[POS]],INDEX(TableWRRanks[RK],MATCH(TableWRTECalcPts[[#This Row],[PLAYER]],TableWRRanks[Player],0))),"")</f>
        <v>WR79</v>
      </c>
      <c r="AN239" s="113" t="str">
        <f>IFERROR(INDEX(TableWRMaster[TM],MATCH(TableWRTECalcPts[[#This Row],[POSRef]],TableWRMaster[WRRef],0)),"")</f>
        <v>PIT</v>
      </c>
      <c r="AO239" s="113">
        <f>IFERROR(INDEX(TableWRMaster[BYE],MATCH(TableWRTECalcPts[[#This Row],[POSRef]],TableWRMaster[WRRef],0)),"")</f>
        <v>6</v>
      </c>
      <c r="AP239" s="111">
        <f>IFERROR(INDEX(TableWRMaster[Custom],MATCH(TableWRTECalcPts[[#This Row],[POSRef]],TableWRMaster[WRRef],0)),"")</f>
        <v>92.066985387508694</v>
      </c>
    </row>
    <row r="240" spans="13:42" x14ac:dyDescent="0.2">
      <c r="M240" s="61"/>
      <c r="T240" s="61"/>
      <c r="AI240" s="60" t="s">
        <v>257</v>
      </c>
      <c r="AJ240" s="60">
        <f>IFERROR(RANK(TableWRTECalcPts[[#This Row],[Custom]],TableWRTECalcPts[Custom])+COUNTIF($AP$3:AP240,AP240)-1,"")</f>
        <v>21</v>
      </c>
      <c r="AK240" s="113">
        <v>138</v>
      </c>
      <c r="AL240" s="113" t="str">
        <f>IFERROR(INDEX(TableWRMaster[Player],MATCH(TableWRTECalcPts[[#This Row],[POSRef]],TableWRMaster[WRRef],0)),"")</f>
        <v>DK Metcalf</v>
      </c>
      <c r="AM240" s="113" t="str">
        <f>IFERROR(_xlfn.CONCAT(TableWRTECalcPts[[#This Row],[POS]],INDEX(TableWRRanks[RK],MATCH(TableWRTECalcPts[[#This Row],[PLAYER]],TableWRRanks[Player],0))),"")</f>
        <v>WR20</v>
      </c>
      <c r="AN240" s="113" t="str">
        <f>IFERROR(INDEX(TableWRMaster[TM],MATCH(TableWRTECalcPts[[#This Row],[POSRef]],TableWRMaster[WRRef],0)),"")</f>
        <v>SEA</v>
      </c>
      <c r="AO240" s="113">
        <f>IFERROR(INDEX(TableWRMaster[BYE],MATCH(TableWRTECalcPts[[#This Row],[POSRef]],TableWRMaster[WRRef],0)),"")</f>
        <v>5</v>
      </c>
      <c r="AP240" s="111">
        <f>IFERROR(INDEX(TableWRMaster[Custom],MATCH(TableWRTECalcPts[[#This Row],[POSRef]],TableWRMaster[WRRef],0)),"")</f>
        <v>188.35721763550663</v>
      </c>
    </row>
    <row r="241" spans="13:42" x14ac:dyDescent="0.2">
      <c r="M241" s="61"/>
      <c r="T241" s="61"/>
      <c r="AI241" s="60" t="s">
        <v>257</v>
      </c>
      <c r="AJ241" s="60">
        <f>IFERROR(RANK(TableWRTECalcPts[[#This Row],[Custom]],TableWRTECalcPts[Custom])+COUNTIF($AP$3:AP241,AP241)-1,"")</f>
        <v>29</v>
      </c>
      <c r="AK241" s="113">
        <v>139</v>
      </c>
      <c r="AL241" s="113" t="str">
        <f>IFERROR(INDEX(TableWRMaster[Player],MATCH(TableWRTECalcPts[[#This Row],[POSRef]],TableWRMaster[WRRef],0)),"")</f>
        <v>Tyler Lockett</v>
      </c>
      <c r="AM241" s="113" t="str">
        <f>IFERROR(_xlfn.CONCAT(TableWRTECalcPts[[#This Row],[POS]],INDEX(TableWRRanks[RK],MATCH(TableWRTECalcPts[[#This Row],[PLAYER]],TableWRRanks[Player],0))),"")</f>
        <v>WR26</v>
      </c>
      <c r="AN241" s="113" t="str">
        <f>IFERROR(INDEX(TableWRMaster[TM],MATCH(TableWRTECalcPts[[#This Row],[POSRef]],TableWRMaster[WRRef],0)),"")</f>
        <v>SEA</v>
      </c>
      <c r="AO241" s="113">
        <f>IFERROR(INDEX(TableWRMaster[BYE],MATCH(TableWRTECalcPts[[#This Row],[POSRef]],TableWRMaster[WRRef],0)),"")</f>
        <v>5</v>
      </c>
      <c r="AP241" s="111">
        <f>IFERROR(INDEX(TableWRMaster[Custom],MATCH(TableWRTECalcPts[[#This Row],[POSRef]],TableWRMaster[WRRef],0)),"")</f>
        <v>180.30568338510338</v>
      </c>
    </row>
    <row r="242" spans="13:42" x14ac:dyDescent="0.2">
      <c r="M242" s="61"/>
      <c r="T242" s="61"/>
      <c r="AI242" s="60" t="s">
        <v>257</v>
      </c>
      <c r="AJ242" s="60">
        <f>IFERROR(RANK(TableWRTECalcPts[[#This Row],[Custom]],TableWRTECalcPts[Custom])+COUNTIF($AP$3:AP242,AP242)-1,"")</f>
        <v>211</v>
      </c>
      <c r="AK242" s="113">
        <v>140</v>
      </c>
      <c r="AL242" s="113" t="str">
        <f>IFERROR(INDEX(TableWRMaster[Player],MATCH(TableWRTECalcPts[[#This Row],[POSRef]],TableWRMaster[WRRef],0)),"")</f>
        <v>Dareke Young</v>
      </c>
      <c r="AM242" s="113" t="str">
        <f>IFERROR(_xlfn.CONCAT(TableWRTECalcPts[[#This Row],[POS]],INDEX(TableWRRanks[RK],MATCH(TableWRTECalcPts[[#This Row],[PLAYER]],TableWRRanks[Player],0))),"")</f>
        <v>WR144</v>
      </c>
      <c r="AN242" s="113" t="str">
        <f>IFERROR(INDEX(TableWRMaster[TM],MATCH(TableWRTECalcPts[[#This Row],[POSRef]],TableWRMaster[WRRef],0)),"")</f>
        <v>SEA</v>
      </c>
      <c r="AO242" s="113">
        <f>IFERROR(INDEX(TableWRMaster[BYE],MATCH(TableWRTECalcPts[[#This Row],[POSRef]],TableWRMaster[WRRef],0)),"")</f>
        <v>5</v>
      </c>
      <c r="AP242" s="111">
        <f>IFERROR(INDEX(TableWRMaster[Custom],MATCH(TableWRTECalcPts[[#This Row],[POSRef]],TableWRMaster[WRRef],0)),"")</f>
        <v>18.109175132318295</v>
      </c>
    </row>
    <row r="243" spans="13:42" x14ac:dyDescent="0.2">
      <c r="AI243" s="60" t="s">
        <v>257</v>
      </c>
      <c r="AJ243" s="60">
        <f>IFERROR(RANK(TableWRTECalcPts[[#This Row],[Custom]],TableWRTECalcPts[Custom])+COUNTIF($AP$3:AP243,AP243)-1,"")</f>
        <v>200</v>
      </c>
      <c r="AK243" s="113">
        <v>141</v>
      </c>
      <c r="AL243" s="113" t="str">
        <f>IFERROR(INDEX(TableWRMaster[Player],MATCH(TableWRTECalcPts[[#This Row],[POSRef]],TableWRMaster[WRRef],0)),"")</f>
        <v>Jake Bobo</v>
      </c>
      <c r="AM243" s="113" t="str">
        <f>IFERROR(_xlfn.CONCAT(TableWRTECalcPts[[#This Row],[POS]],INDEX(TableWRRanks[RK],MATCH(TableWRTECalcPts[[#This Row],[PLAYER]],TableWRRanks[Player],0))),"")</f>
        <v>WR138</v>
      </c>
      <c r="AN243" s="113" t="str">
        <f>IFERROR(INDEX(TableWRMaster[TM],MATCH(TableWRTECalcPts[[#This Row],[POSRef]],TableWRMaster[WRRef],0)),"")</f>
        <v>SEA</v>
      </c>
      <c r="AO243" s="113">
        <f>IFERROR(INDEX(TableWRMaster[BYE],MATCH(TableWRTECalcPts[[#This Row],[POSRef]],TableWRMaster[WRRef],0)),"")</f>
        <v>5</v>
      </c>
      <c r="AP243" s="111">
        <f>IFERROR(INDEX(TableWRMaster[Custom],MATCH(TableWRTECalcPts[[#This Row],[POSRef]],TableWRMaster[WRRef],0)),"")</f>
        <v>21.473156859376324</v>
      </c>
    </row>
    <row r="244" spans="13:42" x14ac:dyDescent="0.2">
      <c r="AI244" s="60" t="s">
        <v>257</v>
      </c>
      <c r="AJ244" s="60">
        <f>IFERROR(RANK(TableWRTECalcPts[[#This Row],[Custom]],TableWRTECalcPts[Custom])+COUNTIF($AP$3:AP244,AP244)-1,"")</f>
        <v>46</v>
      </c>
      <c r="AK244" s="113">
        <v>142</v>
      </c>
      <c r="AL244" s="113" t="str">
        <f>IFERROR(INDEX(TableWRMaster[Player],MATCH(TableWRTECalcPts[[#This Row],[POSRef]],TableWRMaster[WRRef],0)),"")</f>
        <v>Jaxon Smith-Njigba</v>
      </c>
      <c r="AM244" s="113" t="str">
        <f>IFERROR(_xlfn.CONCAT(TableWRTECalcPts[[#This Row],[POS]],INDEX(TableWRRanks[RK],MATCH(TableWRTECalcPts[[#This Row],[PLAYER]],TableWRRanks[Player],0))),"")</f>
        <v>WR41</v>
      </c>
      <c r="AN244" s="113" t="str">
        <f>IFERROR(INDEX(TableWRMaster[TM],MATCH(TableWRTECalcPts[[#This Row],[POSRef]],TableWRMaster[WRRef],0)),"")</f>
        <v>SEA</v>
      </c>
      <c r="AO244" s="113">
        <f>IFERROR(INDEX(TableWRMaster[BYE],MATCH(TableWRTECalcPts[[#This Row],[POSRef]],TableWRMaster[WRRef],0)),"")</f>
        <v>5</v>
      </c>
      <c r="AP244" s="111">
        <f>IFERROR(INDEX(TableWRMaster[Custom],MATCH(TableWRTECalcPts[[#This Row],[POSRef]],TableWRMaster[WRRef],0)),"")</f>
        <v>153.39600212962807</v>
      </c>
    </row>
    <row r="245" spans="13:42" x14ac:dyDescent="0.2">
      <c r="AI245" s="60" t="s">
        <v>257</v>
      </c>
      <c r="AJ245" s="60">
        <f>IFERROR(RANK(TableWRTECalcPts[[#This Row],[Custom]],TableWRTECalcPts[Custom])+COUNTIF($AP$3:AP245,AP245)-1,"")</f>
        <v>22</v>
      </c>
      <c r="AK245" s="113">
        <v>143</v>
      </c>
      <c r="AL245" s="113" t="str">
        <f>IFERROR(INDEX(TableWRMaster[Player],MATCH(TableWRTECalcPts[[#This Row],[POSRef]],TableWRMaster[WRRef],0)),"")</f>
        <v>Deebo Samuel</v>
      </c>
      <c r="AM245" s="113" t="str">
        <f>IFERROR(_xlfn.CONCAT(TableWRTECalcPts[[#This Row],[POS]],INDEX(TableWRRanks[RK],MATCH(TableWRTECalcPts[[#This Row],[PLAYER]],TableWRRanks[Player],0))),"")</f>
        <v>WR21</v>
      </c>
      <c r="AN245" s="113" t="str">
        <f>IFERROR(INDEX(TableWRMaster[TM],MATCH(TableWRTECalcPts[[#This Row],[POSRef]],TableWRMaster[WRRef],0)),"")</f>
        <v>SF</v>
      </c>
      <c r="AO245" s="113">
        <f>IFERROR(INDEX(TableWRMaster[BYE],MATCH(TableWRTECalcPts[[#This Row],[POSRef]],TableWRMaster[WRRef],0)),"")</f>
        <v>9</v>
      </c>
      <c r="AP245" s="111">
        <f>IFERROR(INDEX(TableWRMaster[Custom],MATCH(TableWRTECalcPts[[#This Row],[POSRef]],TableWRMaster[WRRef],0)),"")</f>
        <v>187.77475092905638</v>
      </c>
    </row>
    <row r="246" spans="13:42" x14ac:dyDescent="0.2">
      <c r="AI246" s="60" t="s">
        <v>257</v>
      </c>
      <c r="AJ246" s="60">
        <f>IFERROR(RANK(TableWRTECalcPts[[#This Row],[Custom]],TableWRTECalcPts[Custom])+COUNTIF($AP$3:AP246,AP246)-1,"")</f>
        <v>38</v>
      </c>
      <c r="AK246" s="113">
        <v>144</v>
      </c>
      <c r="AL246" s="113" t="str">
        <f>IFERROR(INDEX(TableWRMaster[Player],MATCH(TableWRTECalcPts[[#This Row],[POSRef]],TableWRMaster[WRRef],0)),"")</f>
        <v>Brandon Aiyuk</v>
      </c>
      <c r="AM246" s="113" t="str">
        <f>IFERROR(_xlfn.CONCAT(TableWRTECalcPts[[#This Row],[POS]],INDEX(TableWRRanks[RK],MATCH(TableWRTECalcPts[[#This Row],[PLAYER]],TableWRRanks[Player],0))),"")</f>
        <v>WR34</v>
      </c>
      <c r="AN246" s="113" t="str">
        <f>IFERROR(INDEX(TableWRMaster[TM],MATCH(TableWRTECalcPts[[#This Row],[POSRef]],TableWRMaster[WRRef],0)),"")</f>
        <v>SF</v>
      </c>
      <c r="AO246" s="113">
        <f>IFERROR(INDEX(TableWRMaster[BYE],MATCH(TableWRTECalcPts[[#This Row],[POSRef]],TableWRMaster[WRRef],0)),"")</f>
        <v>9</v>
      </c>
      <c r="AP246" s="111">
        <f>IFERROR(INDEX(TableWRMaster[Custom],MATCH(TableWRTECalcPts[[#This Row],[POSRef]],TableWRMaster[WRRef],0)),"")</f>
        <v>165.73280716151041</v>
      </c>
    </row>
    <row r="247" spans="13:42" x14ac:dyDescent="0.2">
      <c r="AI247" s="60" t="s">
        <v>257</v>
      </c>
      <c r="AJ247" s="60">
        <f>IFERROR(RANK(TableWRTECalcPts[[#This Row],[Custom]],TableWRTECalcPts[Custom])+COUNTIF($AP$3:AP247,AP247)-1,"")</f>
        <v>155</v>
      </c>
      <c r="AK247" s="113">
        <v>145</v>
      </c>
      <c r="AL247" s="113" t="str">
        <f>IFERROR(INDEX(TableWRMaster[Player],MATCH(TableWRTECalcPts[[#This Row],[POSRef]],TableWRMaster[WRRef],0)),"")</f>
        <v>Jauan Jennings</v>
      </c>
      <c r="AM247" s="113" t="str">
        <f>IFERROR(_xlfn.CONCAT(TableWRTECalcPts[[#This Row],[POS]],INDEX(TableWRRanks[RK],MATCH(TableWRTECalcPts[[#This Row],[PLAYER]],TableWRRanks[Player],0))),"")</f>
        <v>WR112</v>
      </c>
      <c r="AN247" s="113" t="str">
        <f>IFERROR(INDEX(TableWRMaster[TM],MATCH(TableWRTECalcPts[[#This Row],[POSRef]],TableWRMaster[WRRef],0)),"")</f>
        <v>SF</v>
      </c>
      <c r="AO247" s="113">
        <f>IFERROR(INDEX(TableWRMaster[BYE],MATCH(TableWRTECalcPts[[#This Row],[POSRef]],TableWRMaster[WRRef],0)),"")</f>
        <v>9</v>
      </c>
      <c r="AP247" s="111">
        <f>IFERROR(INDEX(TableWRMaster[Custom],MATCH(TableWRTECalcPts[[#This Row],[POSRef]],TableWRMaster[WRRef],0)),"")</f>
        <v>40.313265190549011</v>
      </c>
    </row>
    <row r="248" spans="13:42" x14ac:dyDescent="0.2">
      <c r="AI248" s="60" t="s">
        <v>257</v>
      </c>
      <c r="AJ248" s="60">
        <f>IFERROR(RANK(TableWRTECalcPts[[#This Row],[Custom]],TableWRTECalcPts[Custom])+COUNTIF($AP$3:AP248,AP248)-1,"")</f>
        <v>238</v>
      </c>
      <c r="AK248" s="113">
        <v>146</v>
      </c>
      <c r="AL248" s="113" t="str">
        <f>IFERROR(INDEX(TableWRMaster[Player],MATCH(TableWRTECalcPts[[#This Row],[POSRef]],TableWRMaster[WRRef],0)),"")</f>
        <v>Ronnie Bell</v>
      </c>
      <c r="AM248" s="113" t="str">
        <f>IFERROR(_xlfn.CONCAT(TableWRTECalcPts[[#This Row],[POS]],INDEX(TableWRRanks[RK],MATCH(TableWRTECalcPts[[#This Row],[PLAYER]],TableWRRanks[Player],0))),"")</f>
        <v>WR158</v>
      </c>
      <c r="AN248" s="113" t="str">
        <f>IFERROR(INDEX(TableWRMaster[TM],MATCH(TableWRTECalcPts[[#This Row],[POSRef]],TableWRMaster[WRRef],0)),"")</f>
        <v>SF</v>
      </c>
      <c r="AO248" s="113">
        <f>IFERROR(INDEX(TableWRMaster[BYE],MATCH(TableWRTECalcPts[[#This Row],[POSRef]],TableWRMaster[WRRef],0)),"")</f>
        <v>9</v>
      </c>
      <c r="AP248" s="111">
        <f>IFERROR(INDEX(TableWRMaster[Custom],MATCH(TableWRTECalcPts[[#This Row],[POSRef]],TableWRMaster[WRRef],0)),"")</f>
        <v>11.527513781876888</v>
      </c>
    </row>
    <row r="249" spans="13:42" x14ac:dyDescent="0.2">
      <c r="AI249" s="60" t="s">
        <v>257</v>
      </c>
      <c r="AJ249" s="60">
        <f>IFERROR(RANK(TableWRTECalcPts[[#This Row],[Custom]],TableWRTECalcPts[Custom])+COUNTIF($AP$3:AP249,AP249)-1,"")</f>
        <v>252</v>
      </c>
      <c r="AK249" s="113">
        <v>147</v>
      </c>
      <c r="AL249" s="113" t="str">
        <f>IFERROR(INDEX(TableWRMaster[Player],MATCH(TableWRTECalcPts[[#This Row],[POSRef]],TableWRMaster[WRRef],0)),"")</f>
        <v>Danny Gray</v>
      </c>
      <c r="AM249" s="113" t="str">
        <f>IFERROR(_xlfn.CONCAT(TableWRTECalcPts[[#This Row],[POS]],INDEX(TableWRRanks[RK],MATCH(TableWRTECalcPts[[#This Row],[PLAYER]],TableWRRanks[Player],0))),"")</f>
        <v>WR162</v>
      </c>
      <c r="AN249" s="113" t="str">
        <f>IFERROR(INDEX(TableWRMaster[TM],MATCH(TableWRTECalcPts[[#This Row],[POSRef]],TableWRMaster[WRRef],0)),"")</f>
        <v>SF</v>
      </c>
      <c r="AO249" s="113">
        <f>IFERROR(INDEX(TableWRMaster[BYE],MATCH(TableWRTECalcPts[[#This Row],[POSRef]],TableWRMaster[WRRef],0)),"")</f>
        <v>9</v>
      </c>
      <c r="AP249" s="111">
        <f>IFERROR(INDEX(TableWRMaster[Custom],MATCH(TableWRTECalcPts[[#This Row],[POSRef]],TableWRMaster[WRRef],0)),"")</f>
        <v>6.1474887920832781</v>
      </c>
    </row>
    <row r="250" spans="13:42" x14ac:dyDescent="0.2">
      <c r="AI250" s="60" t="s">
        <v>257</v>
      </c>
      <c r="AJ250" s="60">
        <f>IFERROR(RANK(TableWRTECalcPts[[#This Row],[Custom]],TableWRTECalcPts[Custom])+COUNTIF($AP$3:AP250,AP250)-1,"")</f>
        <v>41</v>
      </c>
      <c r="AK250" s="113">
        <v>148</v>
      </c>
      <c r="AL250" s="113" t="str">
        <f>IFERROR(INDEX(TableWRMaster[Player],MATCH(TableWRTECalcPts[[#This Row],[POSRef]],TableWRMaster[WRRef],0)),"")</f>
        <v>Mike Evans</v>
      </c>
      <c r="AM250" s="113" t="str">
        <f>IFERROR(_xlfn.CONCAT(TableWRTECalcPts[[#This Row],[POS]],INDEX(TableWRRanks[RK],MATCH(TableWRTECalcPts[[#This Row],[PLAYER]],TableWRRanks[Player],0))),"")</f>
        <v>WR37</v>
      </c>
      <c r="AN250" s="113" t="str">
        <f>IFERROR(INDEX(TableWRMaster[TM],MATCH(TableWRTECalcPts[[#This Row],[POSRef]],TableWRMaster[WRRef],0)),"")</f>
        <v>TB</v>
      </c>
      <c r="AO250" s="113">
        <f>IFERROR(INDEX(TableWRMaster[BYE],MATCH(TableWRTECalcPts[[#This Row],[POSRef]],TableWRMaster[WRRef],0)),"")</f>
        <v>5</v>
      </c>
      <c r="AP250" s="111">
        <f>IFERROR(INDEX(TableWRMaster[Custom],MATCH(TableWRTECalcPts[[#This Row],[POSRef]],TableWRMaster[WRRef],0)),"")</f>
        <v>162.31074654216576</v>
      </c>
    </row>
    <row r="251" spans="13:42" x14ac:dyDescent="0.2">
      <c r="AI251" s="60" t="s">
        <v>257</v>
      </c>
      <c r="AJ251" s="60">
        <f>IFERROR(RANK(TableWRTECalcPts[[#This Row],[Custom]],TableWRTECalcPts[Custom])+COUNTIF($AP$3:AP251,AP251)-1,"")</f>
        <v>42</v>
      </c>
      <c r="AK251" s="113">
        <v>149</v>
      </c>
      <c r="AL251" s="113" t="str">
        <f>IFERROR(INDEX(TableWRMaster[Player],MATCH(TableWRTECalcPts[[#This Row],[POSRef]],TableWRMaster[WRRef],0)),"")</f>
        <v>Chris Godwin</v>
      </c>
      <c r="AM251" s="113" t="str">
        <f>IFERROR(_xlfn.CONCAT(TableWRTECalcPts[[#This Row],[POS]],INDEX(TableWRRanks[RK],MATCH(TableWRTECalcPts[[#This Row],[PLAYER]],TableWRRanks[Player],0))),"")</f>
        <v>WR38</v>
      </c>
      <c r="AN251" s="113" t="str">
        <f>IFERROR(INDEX(TableWRMaster[TM],MATCH(TableWRTECalcPts[[#This Row],[POSRef]],TableWRMaster[WRRef],0)),"")</f>
        <v>TB</v>
      </c>
      <c r="AO251" s="113">
        <f>IFERROR(INDEX(TableWRMaster[BYE],MATCH(TableWRTECalcPts[[#This Row],[POSRef]],TableWRMaster[WRRef],0)),"")</f>
        <v>5</v>
      </c>
      <c r="AP251" s="111">
        <f>IFERROR(INDEX(TableWRMaster[Custom],MATCH(TableWRTECalcPts[[#This Row],[POSRef]],TableWRMaster[WRRef],0)),"")</f>
        <v>161.83878261451261</v>
      </c>
    </row>
    <row r="252" spans="13:42" x14ac:dyDescent="0.2">
      <c r="AI252" s="60" t="s">
        <v>257</v>
      </c>
      <c r="AJ252" s="60">
        <f>IFERROR(RANK(TableWRTECalcPts[[#This Row],[Custom]],TableWRTECalcPts[Custom])+COUNTIF($AP$3:AP252,AP252)-1,"")</f>
        <v>114</v>
      </c>
      <c r="AK252" s="113">
        <v>150</v>
      </c>
      <c r="AL252" s="113" t="str">
        <f>IFERROR(INDEX(TableWRMaster[Player],MATCH(TableWRTECalcPts[[#This Row],[POSRef]],TableWRMaster[WRRef],0)),"")</f>
        <v>Trey Palmer</v>
      </c>
      <c r="AM252" s="113" t="str">
        <f>IFERROR(_xlfn.CONCAT(TableWRTECalcPts[[#This Row],[POS]],INDEX(TableWRRanks[RK],MATCH(TableWRTECalcPts[[#This Row],[PLAYER]],TableWRRanks[Player],0))),"")</f>
        <v>WR87</v>
      </c>
      <c r="AN252" s="113" t="str">
        <f>IFERROR(INDEX(TableWRMaster[TM],MATCH(TableWRTECalcPts[[#This Row],[POSRef]],TableWRMaster[WRRef],0)),"")</f>
        <v>TB</v>
      </c>
      <c r="AO252" s="113">
        <f>IFERROR(INDEX(TableWRMaster[BYE],MATCH(TableWRTECalcPts[[#This Row],[POSRef]],TableWRMaster[WRRef],0)),"")</f>
        <v>5</v>
      </c>
      <c r="AP252" s="111">
        <f>IFERROR(INDEX(TableWRMaster[Custom],MATCH(TableWRTECalcPts[[#This Row],[POSRef]],TableWRMaster[WRRef],0)),"")</f>
        <v>87.342060412734071</v>
      </c>
    </row>
    <row r="253" spans="13:42" x14ac:dyDescent="0.2">
      <c r="AI253" s="60" t="s">
        <v>257</v>
      </c>
      <c r="AJ253" s="60">
        <f>IFERROR(RANK(TableWRTECalcPts[[#This Row],[Custom]],TableWRTECalcPts[Custom])+COUNTIF($AP$3:AP253,AP253)-1,"")</f>
        <v>169</v>
      </c>
      <c r="AK253" s="113">
        <v>151</v>
      </c>
      <c r="AL253" s="113" t="str">
        <f>IFERROR(INDEX(TableWRMaster[Player],MATCH(TableWRTECalcPts[[#This Row],[POSRef]],TableWRMaster[WRRef],0)),"")</f>
        <v>Deven Thompkins</v>
      </c>
      <c r="AM253" s="113" t="str">
        <f>IFERROR(_xlfn.CONCAT(TableWRTECalcPts[[#This Row],[POS]],INDEX(TableWRRanks[RK],MATCH(TableWRTECalcPts[[#This Row],[PLAYER]],TableWRRanks[Player],0))),"")</f>
        <v>WR122</v>
      </c>
      <c r="AN253" s="113" t="str">
        <f>IFERROR(INDEX(TableWRMaster[TM],MATCH(TableWRTECalcPts[[#This Row],[POSRef]],TableWRMaster[WRRef],0)),"")</f>
        <v>TB</v>
      </c>
      <c r="AO253" s="113">
        <f>IFERROR(INDEX(TableWRMaster[BYE],MATCH(TableWRTECalcPts[[#This Row],[POSRef]],TableWRMaster[WRRef],0)),"")</f>
        <v>5</v>
      </c>
      <c r="AP253" s="111">
        <f>IFERROR(INDEX(TableWRMaster[Custom],MATCH(TableWRTECalcPts[[#This Row],[POSRef]],TableWRMaster[WRRef],0)),"")</f>
        <v>33.969009366190079</v>
      </c>
    </row>
    <row r="254" spans="13:42" x14ac:dyDescent="0.2">
      <c r="AI254" s="60" t="s">
        <v>257</v>
      </c>
      <c r="AJ254" s="60">
        <f>IFERROR(RANK(TableWRTECalcPts[[#This Row],[Custom]],TableWRTECalcPts[Custom])+COUNTIF($AP$3:AP254,AP254)-1,"")</f>
        <v>232</v>
      </c>
      <c r="AK254" s="113">
        <v>152</v>
      </c>
      <c r="AL254" s="113" t="str">
        <f>IFERROR(INDEX(TableWRMaster[Player],MATCH(TableWRTECalcPts[[#This Row],[POSRef]],TableWRMaster[WRRef],0)),"")</f>
        <v>Rakim Jarrett</v>
      </c>
      <c r="AM254" s="113" t="str">
        <f>IFERROR(_xlfn.CONCAT(TableWRTECalcPts[[#This Row],[POS]],INDEX(TableWRRanks[RK],MATCH(TableWRTECalcPts[[#This Row],[PLAYER]],TableWRRanks[Player],0))),"")</f>
        <v>WR156</v>
      </c>
      <c r="AN254" s="113" t="str">
        <f>IFERROR(INDEX(TableWRMaster[TM],MATCH(TableWRTECalcPts[[#This Row],[POSRef]],TableWRMaster[WRRef],0)),"")</f>
        <v>TB</v>
      </c>
      <c r="AO254" s="113">
        <f>IFERROR(INDEX(TableWRMaster[BYE],MATCH(TableWRTECalcPts[[#This Row],[POSRef]],TableWRMaster[WRRef],0)),"")</f>
        <v>5</v>
      </c>
      <c r="AP254" s="111">
        <f>IFERROR(INDEX(TableWRMaster[Custom],MATCH(TableWRTECalcPts[[#This Row],[POSRef]],TableWRMaster[WRRef],0)),"")</f>
        <v>13.398454129737601</v>
      </c>
    </row>
    <row r="255" spans="13:42" x14ac:dyDescent="0.2">
      <c r="AI255" s="60" t="s">
        <v>257</v>
      </c>
      <c r="AJ255" s="60">
        <f>IFERROR(RANK(TableWRTECalcPts[[#This Row],[Custom]],TableWRTECalcPts[Custom])+COUNTIF($AP$3:AP255,AP255)-1,"")</f>
        <v>18</v>
      </c>
      <c r="AK255" s="113">
        <v>153</v>
      </c>
      <c r="AL255" s="113" t="str">
        <f>IFERROR(INDEX(TableWRMaster[Player],MATCH(TableWRTECalcPts[[#This Row],[POSRef]],TableWRMaster[WRRef],0)),"")</f>
        <v>DeAndre Hopkins</v>
      </c>
      <c r="AM255" s="113" t="str">
        <f>IFERROR(_xlfn.CONCAT(TableWRTECalcPts[[#This Row],[POS]],INDEX(TableWRRanks[RK],MATCH(TableWRTECalcPts[[#This Row],[PLAYER]],TableWRRanks[Player],0))),"")</f>
        <v>WR17</v>
      </c>
      <c r="AN255" s="113" t="str">
        <f>IFERROR(INDEX(TableWRMaster[TM],MATCH(TableWRTECalcPts[[#This Row],[POSRef]],TableWRMaster[WRRef],0)),"")</f>
        <v>TEN</v>
      </c>
      <c r="AO255" s="113">
        <f>IFERROR(INDEX(TableWRMaster[BYE],MATCH(TableWRTECalcPts[[#This Row],[POSRef]],TableWRMaster[WRRef],0)),"")</f>
        <v>7</v>
      </c>
      <c r="AP255" s="111">
        <f>IFERROR(INDEX(TableWRMaster[Custom],MATCH(TableWRTECalcPts[[#This Row],[POSRef]],TableWRMaster[WRRef],0)),"")</f>
        <v>189.24061536009924</v>
      </c>
    </row>
    <row r="256" spans="13:42" x14ac:dyDescent="0.2">
      <c r="AI256" s="60" t="s">
        <v>257</v>
      </c>
      <c r="AJ256" s="60">
        <f>IFERROR(RANK(TableWRTECalcPts[[#This Row],[Custom]],TableWRTECalcPts[Custom])+COUNTIF($AP$3:AP256,AP256)-1,"")</f>
        <v>53</v>
      </c>
      <c r="AK256" s="113">
        <v>154</v>
      </c>
      <c r="AL256" s="113" t="str">
        <f>IFERROR(INDEX(TableWRMaster[Player],MATCH(TableWRTECalcPts[[#This Row],[POSRef]],TableWRMaster[WRRef],0)),"")</f>
        <v>Treylon Burks</v>
      </c>
      <c r="AM256" s="113" t="str">
        <f>IFERROR(_xlfn.CONCAT(TableWRTECalcPts[[#This Row],[POS]],INDEX(TableWRRanks[RK],MATCH(TableWRTECalcPts[[#This Row],[PLAYER]],TableWRRanks[Player],0))),"")</f>
        <v>WR48</v>
      </c>
      <c r="AN256" s="113" t="str">
        <f>IFERROR(INDEX(TableWRMaster[TM],MATCH(TableWRTECalcPts[[#This Row],[POSRef]],TableWRMaster[WRRef],0)),"")</f>
        <v>TEN</v>
      </c>
      <c r="AO256" s="113">
        <f>IFERROR(INDEX(TableWRMaster[BYE],MATCH(TableWRTECalcPts[[#This Row],[POSRef]],TableWRMaster[WRRef],0)),"")</f>
        <v>7</v>
      </c>
      <c r="AP256" s="111">
        <f>IFERROR(INDEX(TableWRMaster[Custom],MATCH(TableWRTECalcPts[[#This Row],[POSRef]],TableWRMaster[WRRef],0)),"")</f>
        <v>146.50792170981475</v>
      </c>
    </row>
    <row r="257" spans="35:42" x14ac:dyDescent="0.2">
      <c r="AI257" s="60" t="s">
        <v>257</v>
      </c>
      <c r="AJ257" s="60">
        <f>IFERROR(RANK(TableWRTECalcPts[[#This Row],[Custom]],TableWRTECalcPts[Custom])+COUNTIF($AP$3:AP257,AP257)-1,"")</f>
        <v>162</v>
      </c>
      <c r="AK257" s="113">
        <v>155</v>
      </c>
      <c r="AL257" s="113" t="str">
        <f>IFERROR(INDEX(TableWRMaster[Player],MATCH(TableWRTECalcPts[[#This Row],[POSRef]],TableWRMaster[WRRef],0)),"")</f>
        <v>Kyle Philips</v>
      </c>
      <c r="AM257" s="113" t="str">
        <f>IFERROR(_xlfn.CONCAT(TableWRTECalcPts[[#This Row],[POS]],INDEX(TableWRRanks[RK],MATCH(TableWRTECalcPts[[#This Row],[PLAYER]],TableWRRanks[Player],0))),"")</f>
        <v>WR117</v>
      </c>
      <c r="AN257" s="113" t="str">
        <f>IFERROR(INDEX(TableWRMaster[TM],MATCH(TableWRTECalcPts[[#This Row],[POSRef]],TableWRMaster[WRRef],0)),"")</f>
        <v>TEN</v>
      </c>
      <c r="AO257" s="113">
        <f>IFERROR(INDEX(TableWRMaster[BYE],MATCH(TableWRTECalcPts[[#This Row],[POSRef]],TableWRMaster[WRRef],0)),"")</f>
        <v>7</v>
      </c>
      <c r="AP257" s="111">
        <f>IFERROR(INDEX(TableWRMaster[Custom],MATCH(TableWRTECalcPts[[#This Row],[POSRef]],TableWRMaster[WRRef],0)),"")</f>
        <v>36.780466404519956</v>
      </c>
    </row>
    <row r="258" spans="35:42" x14ac:dyDescent="0.2">
      <c r="AI258" s="60" t="s">
        <v>257</v>
      </c>
      <c r="AJ258" s="60">
        <f>IFERROR(RANK(TableWRTECalcPts[[#This Row],[Custom]],TableWRTECalcPts[Custom])+COUNTIF($AP$3:AP258,AP258)-1,"")</f>
        <v>203</v>
      </c>
      <c r="AK258" s="113">
        <v>156</v>
      </c>
      <c r="AL258" s="113" t="str">
        <f>IFERROR(INDEX(TableWRMaster[Player],MATCH(TableWRTECalcPts[[#This Row],[POSRef]],TableWRMaster[WRRef],0)),"")</f>
        <v>Chris Moore</v>
      </c>
      <c r="AM258" s="113" t="str">
        <f>IFERROR(_xlfn.CONCAT(TableWRTECalcPts[[#This Row],[POS]],INDEX(TableWRRanks[RK],MATCH(TableWRTECalcPts[[#This Row],[PLAYER]],TableWRRanks[Player],0))),"")</f>
        <v>WR140</v>
      </c>
      <c r="AN258" s="113" t="str">
        <f>IFERROR(INDEX(TableWRMaster[TM],MATCH(TableWRTECalcPts[[#This Row],[POSRef]],TableWRMaster[WRRef],0)),"")</f>
        <v>TEN</v>
      </c>
      <c r="AO258" s="113">
        <f>IFERROR(INDEX(TableWRMaster[BYE],MATCH(TableWRTECalcPts[[#This Row],[POSRef]],TableWRMaster[WRRef],0)),"")</f>
        <v>7</v>
      </c>
      <c r="AP258" s="111">
        <f>IFERROR(INDEX(TableWRMaster[Custom],MATCH(TableWRTECalcPts[[#This Row],[POSRef]],TableWRMaster[WRRef],0)),"")</f>
        <v>21.260022568135398</v>
      </c>
    </row>
    <row r="259" spans="35:42" x14ac:dyDescent="0.2">
      <c r="AI259" s="60" t="s">
        <v>257</v>
      </c>
      <c r="AJ259" s="60">
        <f>IFERROR(RANK(TableWRTECalcPts[[#This Row],[Custom]],TableWRTECalcPts[Custom])+COUNTIF($AP$3:AP259,AP259)-1,"")</f>
        <v>130</v>
      </c>
      <c r="AK259" s="113">
        <v>157</v>
      </c>
      <c r="AL259" s="113" t="str">
        <f>IFERROR(INDEX(TableWRMaster[Player],MATCH(TableWRTECalcPts[[#This Row],[POSRef]],TableWRMaster[WRRef],0)),"")</f>
        <v>Nick Westbrook-Ikhine</v>
      </c>
      <c r="AM259" s="113" t="str">
        <f>IFERROR(_xlfn.CONCAT(TableWRTECalcPts[[#This Row],[POS]],INDEX(TableWRRanks[RK],MATCH(TableWRTECalcPts[[#This Row],[PLAYER]],TableWRRanks[Player],0))),"")</f>
        <v>WR96</v>
      </c>
      <c r="AN259" s="113" t="str">
        <f>IFERROR(INDEX(TableWRMaster[TM],MATCH(TableWRTECalcPts[[#This Row],[POSRef]],TableWRMaster[WRRef],0)),"")</f>
        <v>TEN</v>
      </c>
      <c r="AO259" s="113">
        <f>IFERROR(INDEX(TableWRMaster[BYE],MATCH(TableWRTECalcPts[[#This Row],[POSRef]],TableWRMaster[WRRef],0)),"")</f>
        <v>7</v>
      </c>
      <c r="AP259" s="111">
        <f>IFERROR(INDEX(TableWRMaster[Custom],MATCH(TableWRTECalcPts[[#This Row],[POSRef]],TableWRMaster[WRRef],0)),"")</f>
        <v>69.20477178254302</v>
      </c>
    </row>
    <row r="260" spans="35:42" x14ac:dyDescent="0.2">
      <c r="AI260" s="60" t="s">
        <v>257</v>
      </c>
      <c r="AJ260" s="60">
        <f>IFERROR(RANK(TableWRTECalcPts[[#This Row],[Custom]],TableWRTECalcPts[Custom])+COUNTIF($AP$3:AP260,AP260)-1,"")</f>
        <v>23</v>
      </c>
      <c r="AK260" s="113">
        <v>158</v>
      </c>
      <c r="AL260" s="113" t="str">
        <f>IFERROR(INDEX(TableWRMaster[Player],MATCH(TableWRTECalcPts[[#This Row],[POSRef]],TableWRMaster[WRRef],0)),"")</f>
        <v>Terry McLaurin</v>
      </c>
      <c r="AM260" s="113" t="str">
        <f>IFERROR(_xlfn.CONCAT(TableWRTECalcPts[[#This Row],[POS]],INDEX(TableWRRanks[RK],MATCH(TableWRTECalcPts[[#This Row],[PLAYER]],TableWRRanks[Player],0))),"")</f>
        <v>WR22</v>
      </c>
      <c r="AN260" s="113" t="str">
        <f>IFERROR(INDEX(TableWRMaster[TM],MATCH(TableWRTECalcPts[[#This Row],[POSRef]],TableWRMaster[WRRef],0)),"")</f>
        <v>WSH</v>
      </c>
      <c r="AO260" s="113">
        <f>IFERROR(INDEX(TableWRMaster[BYE],MATCH(TableWRTECalcPts[[#This Row],[POSRef]],TableWRMaster[WRRef],0)),"")</f>
        <v>14</v>
      </c>
      <c r="AP260" s="111">
        <f>IFERROR(INDEX(TableWRMaster[Custom],MATCH(TableWRTECalcPts[[#This Row],[POSRef]],TableWRMaster[WRRef],0)),"")</f>
        <v>185.45630681519057</v>
      </c>
    </row>
    <row r="261" spans="35:42" x14ac:dyDescent="0.2">
      <c r="AI261" s="60" t="s">
        <v>257</v>
      </c>
      <c r="AJ261" s="60">
        <f>IFERROR(RANK(TableWRTECalcPts[[#This Row],[Custom]],TableWRTECalcPts[Custom])+COUNTIF($AP$3:AP261,AP261)-1,"")</f>
        <v>70</v>
      </c>
      <c r="AK261" s="113">
        <v>159</v>
      </c>
      <c r="AL261" s="113" t="str">
        <f>IFERROR(INDEX(TableWRMaster[Player],MATCH(TableWRTECalcPts[[#This Row],[POSRef]],TableWRMaster[WRRef],0)),"")</f>
        <v>Curtis Samuel</v>
      </c>
      <c r="AM261" s="113" t="str">
        <f>IFERROR(_xlfn.CONCAT(TableWRTECalcPts[[#This Row],[POS]],INDEX(TableWRRanks[RK],MATCH(TableWRTECalcPts[[#This Row],[PLAYER]],TableWRRanks[Player],0))),"")</f>
        <v>WR60</v>
      </c>
      <c r="AN261" s="113" t="str">
        <f>IFERROR(INDEX(TableWRMaster[TM],MATCH(TableWRTECalcPts[[#This Row],[POSRef]],TableWRMaster[WRRef],0)),"")</f>
        <v>WSH</v>
      </c>
      <c r="AO261" s="113">
        <f>IFERROR(INDEX(TableWRMaster[BYE],MATCH(TableWRTECalcPts[[#This Row],[POSRef]],TableWRMaster[WRRef],0)),"")</f>
        <v>14</v>
      </c>
      <c r="AP261" s="111">
        <f>IFERROR(INDEX(TableWRMaster[Custom],MATCH(TableWRTECalcPts[[#This Row],[POSRef]],TableWRMaster[WRRef],0)),"")</f>
        <v>129.28583659160677</v>
      </c>
    </row>
    <row r="262" spans="35:42" x14ac:dyDescent="0.2">
      <c r="AI262" s="60" t="s">
        <v>257</v>
      </c>
      <c r="AJ262" s="60">
        <f>IFERROR(RANK(TableWRTECalcPts[[#This Row],[Custom]],TableWRTECalcPts[Custom])+COUNTIF($AP$3:AP262,AP262)-1,"")</f>
        <v>16</v>
      </c>
      <c r="AK262" s="113">
        <v>160</v>
      </c>
      <c r="AL262" s="113" t="str">
        <f>IFERROR(INDEX(TableWRMaster[Player],MATCH(TableWRTECalcPts[[#This Row],[POSRef]],TableWRMaster[WRRef],0)),"")</f>
        <v>Jahan Dotson</v>
      </c>
      <c r="AM262" s="113" t="str">
        <f>IFERROR(_xlfn.CONCAT(TableWRTECalcPts[[#This Row],[POS]],INDEX(TableWRRanks[RK],MATCH(TableWRTECalcPts[[#This Row],[PLAYER]],TableWRRanks[Player],0))),"")</f>
        <v>WR15</v>
      </c>
      <c r="AN262" s="113" t="str">
        <f>IFERROR(INDEX(TableWRMaster[TM],MATCH(TableWRTECalcPts[[#This Row],[POSRef]],TableWRMaster[WRRef],0)),"")</f>
        <v>WSH</v>
      </c>
      <c r="AO262" s="113">
        <f>IFERROR(INDEX(TableWRMaster[BYE],MATCH(TableWRTECalcPts[[#This Row],[POSRef]],TableWRMaster[WRRef],0)),"")</f>
        <v>14</v>
      </c>
      <c r="AP262" s="111">
        <f>IFERROR(INDEX(TableWRMaster[Custom],MATCH(TableWRTECalcPts[[#This Row],[POSRef]],TableWRMaster[WRRef],0)),"")</f>
        <v>191.8214704728</v>
      </c>
    </row>
    <row r="263" spans="35:42" x14ac:dyDescent="0.2">
      <c r="AI263" s="60" t="s">
        <v>257</v>
      </c>
      <c r="AJ263" s="60">
        <f>IFERROR(RANK(TableWRTECalcPts[[#This Row],[Custom]],TableWRTECalcPts[Custom])+COUNTIF($AP$3:AP263,AP263)-1,"")</f>
        <v>191</v>
      </c>
      <c r="AK263" s="113">
        <v>161</v>
      </c>
      <c r="AL263" s="113" t="str">
        <f>IFERROR(INDEX(TableWRMaster[Player],MATCH(TableWRTECalcPts[[#This Row],[POSRef]],TableWRMaster[WRRef],0)),"")</f>
        <v>Dyami Brown</v>
      </c>
      <c r="AM263" s="113" t="str">
        <f>IFERROR(_xlfn.CONCAT(TableWRTECalcPts[[#This Row],[POS]],INDEX(TableWRRanks[RK],MATCH(TableWRTECalcPts[[#This Row],[PLAYER]],TableWRRanks[Player],0))),"")</f>
        <v>WR135</v>
      </c>
      <c r="AN263" s="113" t="str">
        <f>IFERROR(INDEX(TableWRMaster[TM],MATCH(TableWRTECalcPts[[#This Row],[POSRef]],TableWRMaster[WRRef],0)),"")</f>
        <v>WSH</v>
      </c>
      <c r="AO263" s="113">
        <f>IFERROR(INDEX(TableWRMaster[BYE],MATCH(TableWRTECalcPts[[#This Row],[POSRef]],TableWRMaster[WRRef],0)),"")</f>
        <v>14</v>
      </c>
      <c r="AP263" s="111">
        <f>IFERROR(INDEX(TableWRMaster[Custom],MATCH(TableWRTECalcPts[[#This Row],[POSRef]],TableWRMaster[WRRef],0)),"")</f>
        <v>24.28852591635879</v>
      </c>
    </row>
    <row r="264" spans="35:42" x14ac:dyDescent="0.2">
      <c r="AI264" s="60" t="s">
        <v>257</v>
      </c>
      <c r="AJ264" s="60">
        <f>IFERROR(RANK(TableWRTECalcPts[[#This Row],[Custom]],TableWRTECalcPts[Custom])+COUNTIF($AP$3:AP264,AP264)-1,"")</f>
        <v>227</v>
      </c>
      <c r="AK264" s="113">
        <v>162</v>
      </c>
      <c r="AL264" s="113" t="str">
        <f>IFERROR(INDEX(TableWRMaster[Player],MATCH(TableWRTECalcPts[[#This Row],[POSRef]],TableWRMaster[WRRef],0)),"")</f>
        <v>Dax Milne</v>
      </c>
      <c r="AM264" s="113" t="str">
        <f>IFERROR(_xlfn.CONCAT(TableWRTECalcPts[[#This Row],[POS]],INDEX(TableWRRanks[RK],MATCH(TableWRTECalcPts[[#This Row],[PLAYER]],TableWRRanks[Player],0))),"")</f>
        <v>WR152</v>
      </c>
      <c r="AN264" s="113" t="str">
        <f>IFERROR(INDEX(TableWRMaster[TM],MATCH(TableWRTECalcPts[[#This Row],[POSRef]],TableWRMaster[WRRef],0)),"")</f>
        <v>WSH</v>
      </c>
      <c r="AO264" s="113">
        <f>IFERROR(INDEX(TableWRMaster[BYE],MATCH(TableWRTECalcPts[[#This Row],[POSRef]],TableWRMaster[WRRef],0)),"")</f>
        <v>14</v>
      </c>
      <c r="AP264" s="111">
        <f>IFERROR(INDEX(TableWRMaster[Custom],MATCH(TableWRTECalcPts[[#This Row],[POSRef]],TableWRMaster[WRRef],0)),"")</f>
        <v>13.829966895396961</v>
      </c>
    </row>
    <row r="265" spans="35:42" x14ac:dyDescent="0.2">
      <c r="AI265" s="60" t="s">
        <v>257</v>
      </c>
      <c r="AJ265" s="60" t="str">
        <f>IFERROR(RANK(TableWRTECalcPts[[#This Row],[Custom]],TableWRTECalcPts[Custom])+COUNTIF($AP$3:AP265,AP265)-1,"")</f>
        <v/>
      </c>
      <c r="AK265" s="113">
        <v>163</v>
      </c>
      <c r="AL265" s="113" t="str">
        <f>IFERROR(INDEX(TableWRMaster[Player],MATCH(TableWRTECalcPts[[#This Row],[POSRef]],TableWRMaster[WRRef],0)),"")</f>
        <v/>
      </c>
      <c r="AM265" s="113" t="str">
        <f>IFERROR(_xlfn.CONCAT(TableWRTECalcPts[[#This Row],[POS]],INDEX(TableWRRanks[RK],MATCH(TableWRTECalcPts[[#This Row],[PLAYER]],TableWRRanks[Player],0))),"")</f>
        <v>WR163</v>
      </c>
      <c r="AN265" s="113" t="str">
        <f>IFERROR(INDEX(TableWRMaster[TM],MATCH(TableWRTECalcPts[[#This Row],[POSRef]],TableWRMaster[WRRef],0)),"")</f>
        <v/>
      </c>
      <c r="AO265" s="113" t="str">
        <f>IFERROR(INDEX(TableWRMaster[BYE],MATCH(TableWRTECalcPts[[#This Row],[POSRef]],TableWRMaster[WRRef],0)),"")</f>
        <v/>
      </c>
      <c r="AP265" s="111" t="str">
        <f>IFERROR(INDEX(TableWRMaster[Custom],MATCH(TableWRTECalcPts[[#This Row],[POSRef]],TableWRMaster[WRRef],0)),"")</f>
        <v/>
      </c>
    </row>
    <row r="266" spans="35:42" x14ac:dyDescent="0.2">
      <c r="AI266" s="60" t="s">
        <v>257</v>
      </c>
      <c r="AJ266" s="60" t="str">
        <f>IFERROR(RANK(TableWRTECalcPts[[#This Row],[Custom]],TableWRTECalcPts[Custom])+COUNTIF($AP$3:AP266,AP266)-1,"")</f>
        <v/>
      </c>
      <c r="AK266" s="113">
        <v>164</v>
      </c>
      <c r="AL266" s="113" t="str">
        <f>IFERROR(INDEX(TableWRMaster[Player],MATCH(TableWRTECalcPts[[#This Row],[POSRef]],TableWRMaster[WRRef],0)),"")</f>
        <v/>
      </c>
      <c r="AM266" s="113" t="str">
        <f>IFERROR(_xlfn.CONCAT(TableWRTECalcPts[[#This Row],[POS]],INDEX(TableWRRanks[RK],MATCH(TableWRTECalcPts[[#This Row],[PLAYER]],TableWRRanks[Player],0))),"")</f>
        <v>WR163</v>
      </c>
      <c r="AN266" s="113" t="str">
        <f>IFERROR(INDEX(TableWRMaster[TM],MATCH(TableWRTECalcPts[[#This Row],[POSRef]],TableWRMaster[WRRef],0)),"")</f>
        <v/>
      </c>
      <c r="AO266" s="113" t="str">
        <f>IFERROR(INDEX(TableWRMaster[BYE],MATCH(TableWRTECalcPts[[#This Row],[POSRef]],TableWRMaster[WRRef],0)),"")</f>
        <v/>
      </c>
      <c r="AP266" s="111" t="str">
        <f>IFERROR(INDEX(TableWRMaster[Custom],MATCH(TableWRTECalcPts[[#This Row],[POSRef]],TableWRMaster[WRRef],0)),"")</f>
        <v/>
      </c>
    </row>
    <row r="267" spans="35:42" x14ac:dyDescent="0.2">
      <c r="AI267" s="60" t="s">
        <v>257</v>
      </c>
      <c r="AJ267" s="60" t="str">
        <f>IFERROR(RANK(TableWRTECalcPts[[#This Row],[Custom]],TableWRTECalcPts[Custom])+COUNTIF($AP$3:AP267,AP267)-1,"")</f>
        <v/>
      </c>
      <c r="AK267" s="113">
        <v>165</v>
      </c>
      <c r="AL267" s="113" t="str">
        <f>IFERROR(INDEX(TableWRMaster[Player],MATCH(TableWRTECalcPts[[#This Row],[POSRef]],TableWRMaster[WRRef],0)),"")</f>
        <v/>
      </c>
      <c r="AM267" s="113" t="str">
        <f>IFERROR(_xlfn.CONCAT(TableWRTECalcPts[[#This Row],[POS]],INDEX(TableWRRanks[RK],MATCH(TableWRTECalcPts[[#This Row],[PLAYER]],TableWRRanks[Player],0))),"")</f>
        <v>WR163</v>
      </c>
      <c r="AN267" s="113" t="str">
        <f>IFERROR(INDEX(TableWRMaster[TM],MATCH(TableWRTECalcPts[[#This Row],[POSRef]],TableWRMaster[WRRef],0)),"")</f>
        <v/>
      </c>
      <c r="AO267" s="113" t="str">
        <f>IFERROR(INDEX(TableWRMaster[BYE],MATCH(TableWRTECalcPts[[#This Row],[POSRef]],TableWRMaster[WRRef],0)),"")</f>
        <v/>
      </c>
      <c r="AP267" s="111" t="str">
        <f>IFERROR(INDEX(TableWRMaster[Custom],MATCH(TableWRTECalcPts[[#This Row],[POSRef]],TableWRMaster[WRRef],0)),"")</f>
        <v/>
      </c>
    </row>
    <row r="268" spans="35:42" x14ac:dyDescent="0.2">
      <c r="AI268" s="60" t="s">
        <v>257</v>
      </c>
      <c r="AJ268" s="60" t="str">
        <f>IFERROR(RANK(TableWRTECalcPts[[#This Row],[Custom]],TableWRTECalcPts[Custom])+COUNTIF($AP$3:AP268,AP268)-1,"")</f>
        <v/>
      </c>
      <c r="AK268" s="113">
        <v>166</v>
      </c>
      <c r="AL268" s="113" t="str">
        <f>IFERROR(INDEX(TableWRMaster[Player],MATCH(TableWRTECalcPts[[#This Row],[POSRef]],TableWRMaster[WRRef],0)),"")</f>
        <v/>
      </c>
      <c r="AM268" s="113" t="str">
        <f>IFERROR(_xlfn.CONCAT(TableWRTECalcPts[[#This Row],[POS]],INDEX(TableWRRanks[RK],MATCH(TableWRTECalcPts[[#This Row],[PLAYER]],TableWRRanks[Player],0))),"")</f>
        <v>WR163</v>
      </c>
      <c r="AN268" s="113" t="str">
        <f>IFERROR(INDEX(TableWRMaster[TM],MATCH(TableWRTECalcPts[[#This Row],[POSRef]],TableWRMaster[WRRef],0)),"")</f>
        <v/>
      </c>
      <c r="AO268" s="113" t="str">
        <f>IFERROR(INDEX(TableWRMaster[BYE],MATCH(TableWRTECalcPts[[#This Row],[POSRef]],TableWRMaster[WRRef],0)),"")</f>
        <v/>
      </c>
      <c r="AP268" s="111" t="str">
        <f>IFERROR(INDEX(TableWRMaster[Custom],MATCH(TableWRTECalcPts[[#This Row],[POSRef]],TableWRMaster[WRRef],0)),"")</f>
        <v/>
      </c>
    </row>
    <row r="269" spans="35:42" x14ac:dyDescent="0.2">
      <c r="AI269" s="60" t="s">
        <v>257</v>
      </c>
      <c r="AJ269" s="60" t="str">
        <f>IFERROR(RANK(TableWRTECalcPts[[#This Row],[Custom]],TableWRTECalcPts[Custom])+COUNTIF($AP$3:AP269,AP269)-1,"")</f>
        <v/>
      </c>
      <c r="AK269" s="113">
        <v>167</v>
      </c>
      <c r="AL269" s="113" t="str">
        <f>IFERROR(INDEX(TableWRMaster[Player],MATCH(TableWRTECalcPts[[#This Row],[POSRef]],TableWRMaster[WRRef],0)),"")</f>
        <v/>
      </c>
      <c r="AM269" s="113" t="str">
        <f>IFERROR(_xlfn.CONCAT(TableWRTECalcPts[[#This Row],[POS]],INDEX(TableWRRanks[RK],MATCH(TableWRTECalcPts[[#This Row],[PLAYER]],TableWRRanks[Player],0))),"")</f>
        <v>WR163</v>
      </c>
      <c r="AN269" s="113" t="str">
        <f>IFERROR(INDEX(TableWRMaster[TM],MATCH(TableWRTECalcPts[[#This Row],[POSRef]],TableWRMaster[WRRef],0)),"")</f>
        <v/>
      </c>
      <c r="AO269" s="113" t="str">
        <f>IFERROR(INDEX(TableWRMaster[BYE],MATCH(TableWRTECalcPts[[#This Row],[POSRef]],TableWRMaster[WRRef],0)),"")</f>
        <v/>
      </c>
      <c r="AP269" s="111" t="str">
        <f>IFERROR(INDEX(TableWRMaster[Custom],MATCH(TableWRTECalcPts[[#This Row],[POSRef]],TableWRMaster[WRRef],0)),"")</f>
        <v/>
      </c>
    </row>
    <row r="270" spans="35:42" x14ac:dyDescent="0.2">
      <c r="AI270" s="60" t="s">
        <v>257</v>
      </c>
      <c r="AJ270" s="60" t="str">
        <f>IFERROR(RANK(TableWRTECalcPts[[#This Row],[Custom]],TableWRTECalcPts[Custom])+COUNTIF($AP$3:AP270,AP270)-1,"")</f>
        <v/>
      </c>
      <c r="AK270" s="113">
        <v>168</v>
      </c>
      <c r="AL270" s="113" t="str">
        <f>IFERROR(INDEX(TableWRMaster[Player],MATCH(TableWRTECalcPts[[#This Row],[POSRef]],TableWRMaster[WRRef],0)),"")</f>
        <v/>
      </c>
      <c r="AM270" s="113" t="str">
        <f>IFERROR(_xlfn.CONCAT(TableWRTECalcPts[[#This Row],[POS]],INDEX(TableWRRanks[RK],MATCH(TableWRTECalcPts[[#This Row],[PLAYER]],TableWRRanks[Player],0))),"")</f>
        <v>WR163</v>
      </c>
      <c r="AN270" s="113" t="str">
        <f>IFERROR(INDEX(TableWRMaster[TM],MATCH(TableWRTECalcPts[[#This Row],[POSRef]],TableWRMaster[WRRef],0)),"")</f>
        <v/>
      </c>
      <c r="AO270" s="113" t="str">
        <f>IFERROR(INDEX(TableWRMaster[BYE],MATCH(TableWRTECalcPts[[#This Row],[POSRef]],TableWRMaster[WRRef],0)),"")</f>
        <v/>
      </c>
      <c r="AP270" s="111" t="str">
        <f>IFERROR(INDEX(TableWRMaster[Custom],MATCH(TableWRTECalcPts[[#This Row],[POSRef]],TableWRMaster[WRRef],0)),"")</f>
        <v/>
      </c>
    </row>
    <row r="271" spans="35:42" x14ac:dyDescent="0.2">
      <c r="AI271" s="60" t="s">
        <v>257</v>
      </c>
      <c r="AJ271" s="60" t="str">
        <f>IFERROR(RANK(TableWRTECalcPts[[#This Row],[Custom]],TableWRTECalcPts[Custom])+COUNTIF($AP$3:AP271,AP271)-1,"")</f>
        <v/>
      </c>
      <c r="AK271" s="113">
        <v>169</v>
      </c>
      <c r="AL271" s="113" t="str">
        <f>IFERROR(INDEX(TableWRMaster[Player],MATCH(TableWRTECalcPts[[#This Row],[POSRef]],TableWRMaster[WRRef],0)),"")</f>
        <v/>
      </c>
      <c r="AM271" s="113" t="str">
        <f>IFERROR(_xlfn.CONCAT(TableWRTECalcPts[[#This Row],[POS]],INDEX(TableWRRanks[RK],MATCH(TableWRTECalcPts[[#This Row],[PLAYER]],TableWRRanks[Player],0))),"")</f>
        <v>WR163</v>
      </c>
      <c r="AN271" s="113" t="str">
        <f>IFERROR(INDEX(TableWRMaster[TM],MATCH(TableWRTECalcPts[[#This Row],[POSRef]],TableWRMaster[WRRef],0)),"")</f>
        <v/>
      </c>
      <c r="AO271" s="113" t="str">
        <f>IFERROR(INDEX(TableWRMaster[BYE],MATCH(TableWRTECalcPts[[#This Row],[POSRef]],TableWRMaster[WRRef],0)),"")</f>
        <v/>
      </c>
      <c r="AP271" s="111" t="str">
        <f>IFERROR(INDEX(TableWRMaster[Custom],MATCH(TableWRTECalcPts[[#This Row],[POSRef]],TableWRMaster[WRRef],0)),"")</f>
        <v/>
      </c>
    </row>
    <row r="272" spans="35:42" x14ac:dyDescent="0.2">
      <c r="AI272" s="60" t="s">
        <v>257</v>
      </c>
      <c r="AJ272" s="60" t="str">
        <f>IFERROR(RANK(TableWRTECalcPts[[#This Row],[Custom]],TableWRTECalcPts[Custom])+COUNTIF($AP$3:AP272,AP272)-1,"")</f>
        <v/>
      </c>
      <c r="AK272" s="113">
        <v>170</v>
      </c>
      <c r="AL272" s="113" t="str">
        <f>IFERROR(INDEX(TableWRMaster[Player],MATCH(TableWRTECalcPts[[#This Row],[POSRef]],TableWRMaster[WRRef],0)),"")</f>
        <v/>
      </c>
      <c r="AM272" s="113" t="str">
        <f>IFERROR(_xlfn.CONCAT(TableWRTECalcPts[[#This Row],[POS]],INDEX(TableWRRanks[RK],MATCH(TableWRTECalcPts[[#This Row],[PLAYER]],TableWRRanks[Player],0))),"")</f>
        <v>WR163</v>
      </c>
      <c r="AN272" s="113" t="str">
        <f>IFERROR(INDEX(TableWRMaster[TM],MATCH(TableWRTECalcPts[[#This Row],[POSRef]],TableWRMaster[WRRef],0)),"")</f>
        <v/>
      </c>
      <c r="AO272" s="113" t="str">
        <f>IFERROR(INDEX(TableWRMaster[BYE],MATCH(TableWRTECalcPts[[#This Row],[POSRef]],TableWRMaster[WRRef],0)),"")</f>
        <v/>
      </c>
      <c r="AP272" s="111" t="str">
        <f>IFERROR(INDEX(TableWRMaster[Custom],MATCH(TableWRTECalcPts[[#This Row],[POSRef]],TableWRMaster[WRRef],0)),"")</f>
        <v/>
      </c>
    </row>
    <row r="273" spans="35:42" x14ac:dyDescent="0.2">
      <c r="AI273" s="60" t="s">
        <v>257</v>
      </c>
      <c r="AJ273" s="60" t="str">
        <f>IFERROR(RANK(TableWRTECalcPts[[#This Row],[Custom]],TableWRTECalcPts[Custom])+COUNTIF($AP$3:AP273,AP273)-1,"")</f>
        <v/>
      </c>
      <c r="AK273" s="113">
        <v>171</v>
      </c>
      <c r="AL273" s="113" t="str">
        <f>IFERROR(INDEX(TableWRMaster[Player],MATCH(TableWRTECalcPts[[#This Row],[POSRef]],TableWRMaster[WRRef],0)),"")</f>
        <v/>
      </c>
      <c r="AM273" s="113" t="str">
        <f>IFERROR(_xlfn.CONCAT(TableWRTECalcPts[[#This Row],[POS]],INDEX(TableWRRanks[RK],MATCH(TableWRTECalcPts[[#This Row],[PLAYER]],TableWRRanks[Player],0))),"")</f>
        <v>WR163</v>
      </c>
      <c r="AN273" s="113" t="str">
        <f>IFERROR(INDEX(TableWRMaster[TM],MATCH(TableWRTECalcPts[[#This Row],[POSRef]],TableWRMaster[WRRef],0)),"")</f>
        <v/>
      </c>
      <c r="AO273" s="113" t="str">
        <f>IFERROR(INDEX(TableWRMaster[BYE],MATCH(TableWRTECalcPts[[#This Row],[POSRef]],TableWRMaster[WRRef],0)),"")</f>
        <v/>
      </c>
      <c r="AP273" s="111" t="str">
        <f>IFERROR(INDEX(TableWRMaster[Custom],MATCH(TableWRTECalcPts[[#This Row],[POSRef]],TableWRMaster[WRRef],0)),"")</f>
        <v/>
      </c>
    </row>
    <row r="274" spans="35:42" x14ac:dyDescent="0.2">
      <c r="AI274" s="60" t="s">
        <v>257</v>
      </c>
      <c r="AJ274" s="60" t="str">
        <f>IFERROR(RANK(TableWRTECalcPts[[#This Row],[Custom]],TableWRTECalcPts[Custom])+COUNTIF($AP$3:AP274,AP274)-1,"")</f>
        <v/>
      </c>
      <c r="AK274" s="113">
        <v>172</v>
      </c>
      <c r="AL274" s="113" t="str">
        <f>IFERROR(INDEX(TableWRMaster[Player],MATCH(TableWRTECalcPts[[#This Row],[POSRef]],TableWRMaster[WRRef],0)),"")</f>
        <v/>
      </c>
      <c r="AM274" s="113" t="str">
        <f>IFERROR(_xlfn.CONCAT(TableWRTECalcPts[[#This Row],[POS]],INDEX(TableWRRanks[RK],MATCH(TableWRTECalcPts[[#This Row],[PLAYER]],TableWRRanks[Player],0))),"")</f>
        <v>WR163</v>
      </c>
      <c r="AN274" s="113" t="str">
        <f>IFERROR(INDEX(TableWRMaster[TM],MATCH(TableWRTECalcPts[[#This Row],[POSRef]],TableWRMaster[WRRef],0)),"")</f>
        <v/>
      </c>
      <c r="AO274" s="113" t="str">
        <f>IFERROR(INDEX(TableWRMaster[BYE],MATCH(TableWRTECalcPts[[#This Row],[POSRef]],TableWRMaster[WRRef],0)),"")</f>
        <v/>
      </c>
      <c r="AP274" s="111" t="str">
        <f>IFERROR(INDEX(TableWRMaster[Custom],MATCH(TableWRTECalcPts[[#This Row],[POSRef]],TableWRMaster[WRRef],0)),"")</f>
        <v/>
      </c>
    </row>
    <row r="275" spans="35:42" x14ac:dyDescent="0.2">
      <c r="AI275" s="60" t="s">
        <v>257</v>
      </c>
      <c r="AJ275" s="60" t="str">
        <f>IFERROR(RANK(TableWRTECalcPts[[#This Row],[Custom]],TableWRTECalcPts[Custom])+COUNTIF($AP$3:AP275,AP275)-1,"")</f>
        <v/>
      </c>
      <c r="AK275" s="113">
        <v>173</v>
      </c>
      <c r="AL275" s="113" t="str">
        <f>IFERROR(INDEX(TableWRMaster[Player],MATCH(TableWRTECalcPts[[#This Row],[POSRef]],TableWRMaster[WRRef],0)),"")</f>
        <v/>
      </c>
      <c r="AM275" s="113" t="str">
        <f>IFERROR(_xlfn.CONCAT(TableWRTECalcPts[[#This Row],[POS]],INDEX(TableWRRanks[RK],MATCH(TableWRTECalcPts[[#This Row],[PLAYER]],TableWRRanks[Player],0))),"")</f>
        <v>WR163</v>
      </c>
      <c r="AN275" s="113" t="str">
        <f>IFERROR(INDEX(TableWRMaster[TM],MATCH(TableWRTECalcPts[[#This Row],[POSRef]],TableWRMaster[WRRef],0)),"")</f>
        <v/>
      </c>
      <c r="AO275" s="113" t="str">
        <f>IFERROR(INDEX(TableWRMaster[BYE],MATCH(TableWRTECalcPts[[#This Row],[POSRef]],TableWRMaster[WRRef],0)),"")</f>
        <v/>
      </c>
      <c r="AP275" s="111" t="str">
        <f>IFERROR(INDEX(TableWRMaster[Custom],MATCH(TableWRTECalcPts[[#This Row],[POSRef]],TableWRMaster[WRRef],0)),"")</f>
        <v/>
      </c>
    </row>
    <row r="276" spans="35:42" x14ac:dyDescent="0.2">
      <c r="AI276" s="60" t="s">
        <v>257</v>
      </c>
      <c r="AJ276" s="60" t="str">
        <f>IFERROR(RANK(TableWRTECalcPts[[#This Row],[Custom]],TableWRTECalcPts[Custom])+COUNTIF($AP$3:AP276,AP276)-1,"")</f>
        <v/>
      </c>
      <c r="AK276" s="113">
        <v>174</v>
      </c>
      <c r="AL276" s="113" t="str">
        <f>IFERROR(INDEX(TableWRMaster[Player],MATCH(TableWRTECalcPts[[#This Row],[POSRef]],TableWRMaster[WRRef],0)),"")</f>
        <v/>
      </c>
      <c r="AM276" s="113" t="str">
        <f>IFERROR(_xlfn.CONCAT(TableWRTECalcPts[[#This Row],[POS]],INDEX(TableWRRanks[RK],MATCH(TableWRTECalcPts[[#This Row],[PLAYER]],TableWRRanks[Player],0))),"")</f>
        <v>WR163</v>
      </c>
      <c r="AN276" s="113" t="str">
        <f>IFERROR(INDEX(TableWRMaster[TM],MATCH(TableWRTECalcPts[[#This Row],[POSRef]],TableWRMaster[WRRef],0)),"")</f>
        <v/>
      </c>
      <c r="AO276" s="113" t="str">
        <f>IFERROR(INDEX(TableWRMaster[BYE],MATCH(TableWRTECalcPts[[#This Row],[POSRef]],TableWRMaster[WRRef],0)),"")</f>
        <v/>
      </c>
      <c r="AP276" s="111" t="str">
        <f>IFERROR(INDEX(TableWRMaster[Custom],MATCH(TableWRTECalcPts[[#This Row],[POSRef]],TableWRMaster[WRRef],0)),"")</f>
        <v/>
      </c>
    </row>
    <row r="277" spans="35:42" x14ac:dyDescent="0.2">
      <c r="AI277" s="60" t="s">
        <v>257</v>
      </c>
      <c r="AJ277" s="60" t="str">
        <f>IFERROR(RANK(TableWRTECalcPts[[#This Row],[Custom]],TableWRTECalcPts[Custom])+COUNTIF($AP$3:AP277,AP277)-1,"")</f>
        <v/>
      </c>
      <c r="AK277" s="113">
        <v>175</v>
      </c>
      <c r="AL277" s="113" t="str">
        <f>IFERROR(INDEX(TableWRMaster[Player],MATCH(TableWRTECalcPts[[#This Row],[POSRef]],TableWRMaster[WRRef],0)),"")</f>
        <v/>
      </c>
      <c r="AM277" s="113" t="str">
        <f>IFERROR(_xlfn.CONCAT(TableWRTECalcPts[[#This Row],[POS]],INDEX(TableWRRanks[RK],MATCH(TableWRTECalcPts[[#This Row],[PLAYER]],TableWRRanks[Player],0))),"")</f>
        <v>WR163</v>
      </c>
      <c r="AN277" s="113" t="str">
        <f>IFERROR(INDEX(TableWRMaster[TM],MATCH(TableWRTECalcPts[[#This Row],[POSRef]],TableWRMaster[WRRef],0)),"")</f>
        <v/>
      </c>
      <c r="AO277" s="113" t="str">
        <f>IFERROR(INDEX(TableWRMaster[BYE],MATCH(TableWRTECalcPts[[#This Row],[POSRef]],TableWRMaster[WRRef],0)),"")</f>
        <v/>
      </c>
      <c r="AP277" s="111" t="str">
        <f>IFERROR(INDEX(TableWRMaster[Custom],MATCH(TableWRTECalcPts[[#This Row],[POSRef]],TableWRMaster[WRRef],0)),"")</f>
        <v/>
      </c>
    </row>
    <row r="278" spans="35:42" x14ac:dyDescent="0.2">
      <c r="AI278" s="60" t="s">
        <v>257</v>
      </c>
      <c r="AJ278" s="60" t="str">
        <f>IFERROR(RANK(TableWRTECalcPts[[#This Row],[Custom]],TableWRTECalcPts[Custom])+COUNTIF($AP$3:AP278,AP278)-1,"")</f>
        <v/>
      </c>
      <c r="AK278" s="113">
        <v>176</v>
      </c>
      <c r="AL278" s="113" t="str">
        <f>IFERROR(INDEX(TableWRMaster[Player],MATCH(TableWRTECalcPts[[#This Row],[POSRef]],TableWRMaster[WRRef],0)),"")</f>
        <v/>
      </c>
      <c r="AM278" s="113" t="str">
        <f>IFERROR(_xlfn.CONCAT(TableWRTECalcPts[[#This Row],[POS]],INDEX(TableWRRanks[RK],MATCH(TableWRTECalcPts[[#This Row],[PLAYER]],TableWRRanks[Player],0))),"")</f>
        <v>WR163</v>
      </c>
      <c r="AN278" s="113" t="str">
        <f>IFERROR(INDEX(TableWRMaster[TM],MATCH(TableWRTECalcPts[[#This Row],[POSRef]],TableWRMaster[WRRef],0)),"")</f>
        <v/>
      </c>
      <c r="AO278" s="113" t="str">
        <f>IFERROR(INDEX(TableWRMaster[BYE],MATCH(TableWRTECalcPts[[#This Row],[POSRef]],TableWRMaster[WRRef],0)),"")</f>
        <v/>
      </c>
      <c r="AP278" s="111" t="str">
        <f>IFERROR(INDEX(TableWRMaster[Custom],MATCH(TableWRTECalcPts[[#This Row],[POSRef]],TableWRMaster[WRRef],0)),"")</f>
        <v/>
      </c>
    </row>
    <row r="279" spans="35:42" x14ac:dyDescent="0.2">
      <c r="AI279" s="60" t="s">
        <v>257</v>
      </c>
      <c r="AJ279" s="60" t="str">
        <f>IFERROR(RANK(TableWRTECalcPts[[#This Row],[Custom]],TableWRTECalcPts[Custom])+COUNTIF($AP$3:AP279,AP279)-1,"")</f>
        <v/>
      </c>
      <c r="AK279" s="113">
        <v>177</v>
      </c>
      <c r="AL279" s="113" t="str">
        <f>IFERROR(INDEX(TableWRMaster[Player],MATCH(TableWRTECalcPts[[#This Row],[POSRef]],TableWRMaster[WRRef],0)),"")</f>
        <v/>
      </c>
      <c r="AM279" s="113" t="str">
        <f>IFERROR(_xlfn.CONCAT(TableWRTECalcPts[[#This Row],[POS]],INDEX(TableWRRanks[RK],MATCH(TableWRTECalcPts[[#This Row],[PLAYER]],TableWRRanks[Player],0))),"")</f>
        <v>WR163</v>
      </c>
      <c r="AN279" s="113" t="str">
        <f>IFERROR(INDEX(TableWRMaster[TM],MATCH(TableWRTECalcPts[[#This Row],[POSRef]],TableWRMaster[WRRef],0)),"")</f>
        <v/>
      </c>
      <c r="AO279" s="113" t="str">
        <f>IFERROR(INDEX(TableWRMaster[BYE],MATCH(TableWRTECalcPts[[#This Row],[POSRef]],TableWRMaster[WRRef],0)),"")</f>
        <v/>
      </c>
      <c r="AP279" s="111" t="str">
        <f>IFERROR(INDEX(TableWRMaster[Custom],MATCH(TableWRTECalcPts[[#This Row],[POSRef]],TableWRMaster[WRRef],0)),"")</f>
        <v/>
      </c>
    </row>
    <row r="280" spans="35:42" x14ac:dyDescent="0.2">
      <c r="AI280" s="60" t="s">
        <v>257</v>
      </c>
      <c r="AJ280" s="60" t="str">
        <f>IFERROR(RANK(TableWRTECalcPts[[#This Row],[Custom]],TableWRTECalcPts[Custom])+COUNTIF($AP$3:AP280,AP280)-1,"")</f>
        <v/>
      </c>
      <c r="AK280" s="113">
        <v>178</v>
      </c>
      <c r="AL280" s="113" t="str">
        <f>IFERROR(INDEX(TableWRMaster[Player],MATCH(TableWRTECalcPts[[#This Row],[POSRef]],TableWRMaster[WRRef],0)),"")</f>
        <v/>
      </c>
      <c r="AM280" s="113" t="str">
        <f>IFERROR(_xlfn.CONCAT(TableWRTECalcPts[[#This Row],[POS]],INDEX(TableWRRanks[RK],MATCH(TableWRTECalcPts[[#This Row],[PLAYER]],TableWRRanks[Player],0))),"")</f>
        <v>WR163</v>
      </c>
      <c r="AN280" s="113" t="str">
        <f>IFERROR(INDEX(TableWRMaster[TM],MATCH(TableWRTECalcPts[[#This Row],[POSRef]],TableWRMaster[WRRef],0)),"")</f>
        <v/>
      </c>
      <c r="AO280" s="113" t="str">
        <f>IFERROR(INDEX(TableWRMaster[BYE],MATCH(TableWRTECalcPts[[#This Row],[POSRef]],TableWRMaster[WRRef],0)),"")</f>
        <v/>
      </c>
      <c r="AP280" s="111" t="str">
        <f>IFERROR(INDEX(TableWRMaster[Custom],MATCH(TableWRTECalcPts[[#This Row],[POSRef]],TableWRMaster[WRRef],0)),"")</f>
        <v/>
      </c>
    </row>
    <row r="281" spans="35:42" x14ac:dyDescent="0.2">
      <c r="AI281" s="60" t="s">
        <v>257</v>
      </c>
      <c r="AJ281" s="60" t="str">
        <f>IFERROR(RANK(TableWRTECalcPts[[#This Row],[Custom]],TableWRTECalcPts[Custom])+COUNTIF($AP$3:AP281,AP281)-1,"")</f>
        <v/>
      </c>
      <c r="AK281" s="113">
        <v>179</v>
      </c>
      <c r="AL281" s="113" t="str">
        <f>IFERROR(INDEX(TableWRMaster[Player],MATCH(TableWRTECalcPts[[#This Row],[POSRef]],TableWRMaster[WRRef],0)),"")</f>
        <v/>
      </c>
      <c r="AM281" s="113" t="str">
        <f>IFERROR(_xlfn.CONCAT(TableWRTECalcPts[[#This Row],[POS]],INDEX(TableWRRanks[RK],MATCH(TableWRTECalcPts[[#This Row],[PLAYER]],TableWRRanks[Player],0))),"")</f>
        <v>WR163</v>
      </c>
      <c r="AN281" s="113" t="str">
        <f>IFERROR(INDEX(TableWRMaster[TM],MATCH(TableWRTECalcPts[[#This Row],[POSRef]],TableWRMaster[WRRef],0)),"")</f>
        <v/>
      </c>
      <c r="AO281" s="113" t="str">
        <f>IFERROR(INDEX(TableWRMaster[BYE],MATCH(TableWRTECalcPts[[#This Row],[POSRef]],TableWRMaster[WRRef],0)),"")</f>
        <v/>
      </c>
      <c r="AP281" s="111" t="str">
        <f>IFERROR(INDEX(TableWRMaster[Custom],MATCH(TableWRTECalcPts[[#This Row],[POSRef]],TableWRMaster[WRRef],0)),"")</f>
        <v/>
      </c>
    </row>
    <row r="282" spans="35:42" x14ac:dyDescent="0.2">
      <c r="AI282" s="60" t="s">
        <v>257</v>
      </c>
      <c r="AJ282" s="60" t="str">
        <f>IFERROR(RANK(TableWRTECalcPts[[#This Row],[Custom]],TableWRTECalcPts[Custom])+COUNTIF($AP$3:AP282,AP282)-1,"")</f>
        <v/>
      </c>
      <c r="AK282" s="113">
        <v>180</v>
      </c>
      <c r="AL282" s="113" t="str">
        <f>IFERROR(INDEX(TableWRMaster[Player],MATCH(TableWRTECalcPts[[#This Row],[POSRef]],TableWRMaster[WRRef],0)),"")</f>
        <v/>
      </c>
      <c r="AM282" s="113" t="str">
        <f>IFERROR(_xlfn.CONCAT(TableWRTECalcPts[[#This Row],[POS]],INDEX(TableWRRanks[RK],MATCH(TableWRTECalcPts[[#This Row],[PLAYER]],TableWRRanks[Player],0))),"")</f>
        <v>WR163</v>
      </c>
      <c r="AN282" s="113" t="str">
        <f>IFERROR(INDEX(TableWRMaster[TM],MATCH(TableWRTECalcPts[[#This Row],[POSRef]],TableWRMaster[WRRef],0)),"")</f>
        <v/>
      </c>
      <c r="AO282" s="113" t="str">
        <f>IFERROR(INDEX(TableWRMaster[BYE],MATCH(TableWRTECalcPts[[#This Row],[POSRef]],TableWRMaster[WRRef],0)),"")</f>
        <v/>
      </c>
      <c r="AP282" s="111" t="str">
        <f>IFERROR(INDEX(TableWRMaster[Custom],MATCH(TableWRTECalcPts[[#This Row],[POSRef]],TableWRMaster[WRRef],0)),"")</f>
        <v/>
      </c>
    </row>
    <row r="283" spans="35:42" x14ac:dyDescent="0.2">
      <c r="AI283" s="60" t="s">
        <v>257</v>
      </c>
      <c r="AJ283" s="60" t="str">
        <f>IFERROR(RANK(TableWRTECalcPts[[#This Row],[Custom]],TableWRTECalcPts[Custom])+COUNTIF($AP$3:AP283,AP283)-1,"")</f>
        <v/>
      </c>
      <c r="AK283" s="113">
        <v>181</v>
      </c>
      <c r="AL283" s="113" t="str">
        <f>IFERROR(INDEX(TableWRMaster[Player],MATCH(TableWRTECalcPts[[#This Row],[POSRef]],TableWRMaster[WRRef],0)),"")</f>
        <v/>
      </c>
      <c r="AM283" s="113" t="str">
        <f>IFERROR(_xlfn.CONCAT(TableWRTECalcPts[[#This Row],[POS]],INDEX(TableWRRanks[RK],MATCH(TableWRTECalcPts[[#This Row],[PLAYER]],TableWRRanks[Player],0))),"")</f>
        <v>WR163</v>
      </c>
      <c r="AN283" s="113" t="str">
        <f>IFERROR(INDEX(TableWRMaster[TM],MATCH(TableWRTECalcPts[[#This Row],[POSRef]],TableWRMaster[WRRef],0)),"")</f>
        <v/>
      </c>
      <c r="AO283" s="113" t="str">
        <f>IFERROR(INDEX(TableWRMaster[BYE],MATCH(TableWRTECalcPts[[#This Row],[POSRef]],TableWRMaster[WRRef],0)),"")</f>
        <v/>
      </c>
      <c r="AP283" s="111" t="str">
        <f>IFERROR(INDEX(TableWRMaster[Custom],MATCH(TableWRTECalcPts[[#This Row],[POSRef]],TableWRMaster[WRRef],0)),"")</f>
        <v/>
      </c>
    </row>
    <row r="284" spans="35:42" x14ac:dyDescent="0.2">
      <c r="AI284" s="60" t="s">
        <v>257</v>
      </c>
      <c r="AJ284" s="60" t="str">
        <f>IFERROR(RANK(TableWRTECalcPts[[#This Row],[Custom]],TableWRTECalcPts[Custom])+COUNTIF($AP$3:AP284,AP284)-1,"")</f>
        <v/>
      </c>
      <c r="AK284" s="113">
        <v>182</v>
      </c>
      <c r="AL284" s="113" t="str">
        <f>IFERROR(INDEX(TableWRMaster[Player],MATCH(TableWRTECalcPts[[#This Row],[POSRef]],TableWRMaster[WRRef],0)),"")</f>
        <v/>
      </c>
      <c r="AM284" s="113" t="str">
        <f>IFERROR(_xlfn.CONCAT(TableWRTECalcPts[[#This Row],[POS]],INDEX(TableWRRanks[RK],MATCH(TableWRTECalcPts[[#This Row],[PLAYER]],TableWRRanks[Player],0))),"")</f>
        <v>WR163</v>
      </c>
      <c r="AN284" s="113" t="str">
        <f>IFERROR(INDEX(TableWRMaster[TM],MATCH(TableWRTECalcPts[[#This Row],[POSRef]],TableWRMaster[WRRef],0)),"")</f>
        <v/>
      </c>
      <c r="AO284" s="113" t="str">
        <f>IFERROR(INDEX(TableWRMaster[BYE],MATCH(TableWRTECalcPts[[#This Row],[POSRef]],TableWRMaster[WRRef],0)),"")</f>
        <v/>
      </c>
      <c r="AP284" s="111" t="str">
        <f>IFERROR(INDEX(TableWRMaster[Custom],MATCH(TableWRTECalcPts[[#This Row],[POSRef]],TableWRMaster[WRRef],0)),"")</f>
        <v/>
      </c>
    </row>
    <row r="285" spans="35:42" x14ac:dyDescent="0.2">
      <c r="AI285" s="60" t="s">
        <v>257</v>
      </c>
      <c r="AJ285" s="60" t="str">
        <f>IFERROR(RANK(TableWRTECalcPts[[#This Row],[Custom]],TableWRTECalcPts[Custom])+COUNTIF($AP$3:AP285,AP285)-1,"")</f>
        <v/>
      </c>
      <c r="AK285" s="113">
        <v>183</v>
      </c>
      <c r="AL285" s="113" t="str">
        <f>IFERROR(INDEX(TableWRMaster[Player],MATCH(TableWRTECalcPts[[#This Row],[POSRef]],TableWRMaster[WRRef],0)),"")</f>
        <v/>
      </c>
      <c r="AM285" s="113" t="str">
        <f>IFERROR(_xlfn.CONCAT(TableWRTECalcPts[[#This Row],[POS]],INDEX(TableWRRanks[RK],MATCH(TableWRTECalcPts[[#This Row],[PLAYER]],TableWRRanks[Player],0))),"")</f>
        <v>WR163</v>
      </c>
      <c r="AN285" s="113" t="str">
        <f>IFERROR(INDEX(TableWRMaster[TM],MATCH(TableWRTECalcPts[[#This Row],[POSRef]],TableWRMaster[WRRef],0)),"")</f>
        <v/>
      </c>
      <c r="AO285" s="113" t="str">
        <f>IFERROR(INDEX(TableWRMaster[BYE],MATCH(TableWRTECalcPts[[#This Row],[POSRef]],TableWRMaster[WRRef],0)),"")</f>
        <v/>
      </c>
      <c r="AP285" s="111" t="str">
        <f>IFERROR(INDEX(TableWRMaster[Custom],MATCH(TableWRTECalcPts[[#This Row],[POSRef]],TableWRMaster[WRRef],0)),"")</f>
        <v/>
      </c>
    </row>
    <row r="286" spans="35:42" x14ac:dyDescent="0.2">
      <c r="AI286" s="60" t="s">
        <v>257</v>
      </c>
      <c r="AJ286" s="60" t="str">
        <f>IFERROR(RANK(TableWRTECalcPts[[#This Row],[Custom]],TableWRTECalcPts[Custom])+COUNTIF($AP$3:AP286,AP286)-1,"")</f>
        <v/>
      </c>
      <c r="AK286" s="113">
        <v>184</v>
      </c>
      <c r="AL286" s="113" t="str">
        <f>IFERROR(INDEX(TableWRMaster[Player],MATCH(TableWRTECalcPts[[#This Row],[POSRef]],TableWRMaster[WRRef],0)),"")</f>
        <v/>
      </c>
      <c r="AM286" s="113" t="str">
        <f>IFERROR(_xlfn.CONCAT(TableWRTECalcPts[[#This Row],[POS]],INDEX(TableWRRanks[RK],MATCH(TableWRTECalcPts[[#This Row],[PLAYER]],TableWRRanks[Player],0))),"")</f>
        <v>WR163</v>
      </c>
      <c r="AN286" s="113" t="str">
        <f>IFERROR(INDEX(TableWRMaster[TM],MATCH(TableWRTECalcPts[[#This Row],[POSRef]],TableWRMaster[WRRef],0)),"")</f>
        <v/>
      </c>
      <c r="AO286" s="113" t="str">
        <f>IFERROR(INDEX(TableWRMaster[BYE],MATCH(TableWRTECalcPts[[#This Row],[POSRef]],TableWRMaster[WRRef],0)),"")</f>
        <v/>
      </c>
      <c r="AP286" s="111" t="str">
        <f>IFERROR(INDEX(TableWRMaster[Custom],MATCH(TableWRTECalcPts[[#This Row],[POSRef]],TableWRMaster[WRRef],0)),"")</f>
        <v/>
      </c>
    </row>
    <row r="287" spans="35:42" x14ac:dyDescent="0.2">
      <c r="AI287" s="60" t="s">
        <v>257</v>
      </c>
      <c r="AJ287" s="60" t="str">
        <f>IFERROR(RANK(TableWRTECalcPts[[#This Row],[Custom]],TableWRTECalcPts[Custom])+COUNTIF($AP$3:AP287,AP287)-1,"")</f>
        <v/>
      </c>
      <c r="AK287" s="113">
        <v>185</v>
      </c>
      <c r="AL287" s="113" t="str">
        <f>IFERROR(INDEX(TableWRMaster[Player],MATCH(TableWRTECalcPts[[#This Row],[POSRef]],TableWRMaster[WRRef],0)),"")</f>
        <v/>
      </c>
      <c r="AM287" s="113" t="str">
        <f>IFERROR(_xlfn.CONCAT(TableWRTECalcPts[[#This Row],[POS]],INDEX(TableWRRanks[RK],MATCH(TableWRTECalcPts[[#This Row],[PLAYER]],TableWRRanks[Player],0))),"")</f>
        <v>WR163</v>
      </c>
      <c r="AN287" s="113" t="str">
        <f>IFERROR(INDEX(TableWRMaster[TM],MATCH(TableWRTECalcPts[[#This Row],[POSRef]],TableWRMaster[WRRef],0)),"")</f>
        <v/>
      </c>
      <c r="AO287" s="113" t="str">
        <f>IFERROR(INDEX(TableWRMaster[BYE],MATCH(TableWRTECalcPts[[#This Row],[POSRef]],TableWRMaster[WRRef],0)),"")</f>
        <v/>
      </c>
      <c r="AP287" s="111" t="str">
        <f>IFERROR(INDEX(TableWRMaster[Custom],MATCH(TableWRTECalcPts[[#This Row],[POSRef]],TableWRMaster[WRRef],0)),"")</f>
        <v/>
      </c>
    </row>
    <row r="288" spans="35:42" x14ac:dyDescent="0.2">
      <c r="AI288" s="60" t="s">
        <v>257</v>
      </c>
      <c r="AJ288" s="60" t="str">
        <f>IFERROR(RANK(TableWRTECalcPts[[#This Row],[Custom]],TableWRTECalcPts[Custom])+COUNTIF($AP$3:AP288,AP288)-1,"")</f>
        <v/>
      </c>
      <c r="AK288" s="113">
        <v>186</v>
      </c>
      <c r="AL288" s="113" t="str">
        <f>IFERROR(INDEX(TableWRMaster[Player],MATCH(TableWRTECalcPts[[#This Row],[POSRef]],TableWRMaster[WRRef],0)),"")</f>
        <v/>
      </c>
      <c r="AM288" s="113" t="str">
        <f>IFERROR(_xlfn.CONCAT(TableWRTECalcPts[[#This Row],[POS]],INDEX(TableWRRanks[RK],MATCH(TableWRTECalcPts[[#This Row],[PLAYER]],TableWRRanks[Player],0))),"")</f>
        <v>WR163</v>
      </c>
      <c r="AN288" s="113" t="str">
        <f>IFERROR(INDEX(TableWRMaster[TM],MATCH(TableWRTECalcPts[[#This Row],[POSRef]],TableWRMaster[WRRef],0)),"")</f>
        <v/>
      </c>
      <c r="AO288" s="113" t="str">
        <f>IFERROR(INDEX(TableWRMaster[BYE],MATCH(TableWRTECalcPts[[#This Row],[POSRef]],TableWRMaster[WRRef],0)),"")</f>
        <v/>
      </c>
      <c r="AP288" s="111" t="str">
        <f>IFERROR(INDEX(TableWRMaster[Custom],MATCH(TableWRTECalcPts[[#This Row],[POSRef]],TableWRMaster[WRRef],0)),"")</f>
        <v/>
      </c>
    </row>
    <row r="289" spans="35:42" x14ac:dyDescent="0.2">
      <c r="AI289" s="60" t="s">
        <v>257</v>
      </c>
      <c r="AJ289" s="60" t="str">
        <f>IFERROR(RANK(TableWRTECalcPts[[#This Row],[Custom]],TableWRTECalcPts[Custom])+COUNTIF($AP$3:AP289,AP289)-1,"")</f>
        <v/>
      </c>
      <c r="AK289" s="113">
        <v>187</v>
      </c>
      <c r="AL289" s="113" t="str">
        <f>IFERROR(INDEX(TableWRMaster[Player],MATCH(TableWRTECalcPts[[#This Row],[POSRef]],TableWRMaster[WRRef],0)),"")</f>
        <v/>
      </c>
      <c r="AM289" s="113" t="str">
        <f>IFERROR(_xlfn.CONCAT(TableWRTECalcPts[[#This Row],[POS]],INDEX(TableWRRanks[RK],MATCH(TableWRTECalcPts[[#This Row],[PLAYER]],TableWRRanks[Player],0))),"")</f>
        <v>WR163</v>
      </c>
      <c r="AN289" s="113" t="str">
        <f>IFERROR(INDEX(TableWRMaster[TM],MATCH(TableWRTECalcPts[[#This Row],[POSRef]],TableWRMaster[WRRef],0)),"")</f>
        <v/>
      </c>
      <c r="AO289" s="113" t="str">
        <f>IFERROR(INDEX(TableWRMaster[BYE],MATCH(TableWRTECalcPts[[#This Row],[POSRef]],TableWRMaster[WRRef],0)),"")</f>
        <v/>
      </c>
      <c r="AP289" s="111" t="str">
        <f>IFERROR(INDEX(TableWRMaster[Custom],MATCH(TableWRTECalcPts[[#This Row],[POSRef]],TableWRMaster[WRRef],0)),"")</f>
        <v/>
      </c>
    </row>
    <row r="290" spans="35:42" x14ac:dyDescent="0.2">
      <c r="AI290" s="60" t="s">
        <v>257</v>
      </c>
      <c r="AJ290" s="60" t="str">
        <f>IFERROR(RANK(TableWRTECalcPts[[#This Row],[Custom]],TableWRTECalcPts[Custom])+COUNTIF($AP$3:AP290,AP290)-1,"")</f>
        <v/>
      </c>
      <c r="AK290" s="113">
        <v>188</v>
      </c>
      <c r="AL290" s="113" t="str">
        <f>IFERROR(INDEX(TableWRMaster[Player],MATCH(TableWRTECalcPts[[#This Row],[POSRef]],TableWRMaster[WRRef],0)),"")</f>
        <v/>
      </c>
      <c r="AM290" s="113" t="str">
        <f>IFERROR(_xlfn.CONCAT(TableWRTECalcPts[[#This Row],[POS]],INDEX(TableWRRanks[RK],MATCH(TableWRTECalcPts[[#This Row],[PLAYER]],TableWRRanks[Player],0))),"")</f>
        <v>WR163</v>
      </c>
      <c r="AN290" s="113" t="str">
        <f>IFERROR(INDEX(TableWRMaster[TM],MATCH(TableWRTECalcPts[[#This Row],[POSRef]],TableWRMaster[WRRef],0)),"")</f>
        <v/>
      </c>
      <c r="AO290" s="113" t="str">
        <f>IFERROR(INDEX(TableWRMaster[BYE],MATCH(TableWRTECalcPts[[#This Row],[POSRef]],TableWRMaster[WRRef],0)),"")</f>
        <v/>
      </c>
      <c r="AP290" s="111" t="str">
        <f>IFERROR(INDEX(TableWRMaster[Custom],MATCH(TableWRTECalcPts[[#This Row],[POSRef]],TableWRMaster[WRRef],0)),"")</f>
        <v/>
      </c>
    </row>
    <row r="291" spans="35:42" x14ac:dyDescent="0.2">
      <c r="AI291" s="60" t="s">
        <v>257</v>
      </c>
      <c r="AJ291" s="60" t="str">
        <f>IFERROR(RANK(TableWRTECalcPts[[#This Row],[Custom]],TableWRTECalcPts[Custom])+COUNTIF($AP$3:AP291,AP291)-1,"")</f>
        <v/>
      </c>
      <c r="AK291" s="113">
        <v>189</v>
      </c>
      <c r="AL291" s="113" t="str">
        <f>IFERROR(INDEX(TableWRMaster[Player],MATCH(TableWRTECalcPts[[#This Row],[POSRef]],TableWRMaster[WRRef],0)),"")</f>
        <v/>
      </c>
      <c r="AM291" s="113" t="str">
        <f>IFERROR(_xlfn.CONCAT(TableWRTECalcPts[[#This Row],[POS]],INDEX(TableWRRanks[RK],MATCH(TableWRTECalcPts[[#This Row],[PLAYER]],TableWRRanks[Player],0))),"")</f>
        <v>WR163</v>
      </c>
      <c r="AN291" s="113" t="str">
        <f>IFERROR(INDEX(TableWRMaster[TM],MATCH(TableWRTECalcPts[[#This Row],[POSRef]],TableWRMaster[WRRef],0)),"")</f>
        <v/>
      </c>
      <c r="AO291" s="113" t="str">
        <f>IFERROR(INDEX(TableWRMaster[BYE],MATCH(TableWRTECalcPts[[#This Row],[POSRef]],TableWRMaster[WRRef],0)),"")</f>
        <v/>
      </c>
      <c r="AP291" s="111" t="str">
        <f>IFERROR(INDEX(TableWRMaster[Custom],MATCH(TableWRTECalcPts[[#This Row],[POSRef]],TableWRMaster[WRRef],0)),"")</f>
        <v/>
      </c>
    </row>
    <row r="292" spans="35:42" x14ac:dyDescent="0.2">
      <c r="AI292" s="60" t="s">
        <v>257</v>
      </c>
      <c r="AJ292" s="60" t="str">
        <f>IFERROR(RANK(TableWRTECalcPts[[#This Row],[Custom]],TableWRTECalcPts[Custom])+COUNTIF($AP$3:AP292,AP292)-1,"")</f>
        <v/>
      </c>
      <c r="AK292" s="113">
        <v>190</v>
      </c>
      <c r="AL292" s="113" t="str">
        <f>IFERROR(INDEX(TableWRMaster[Player],MATCH(TableWRTECalcPts[[#This Row],[POSRef]],TableWRMaster[WRRef],0)),"")</f>
        <v/>
      </c>
      <c r="AM292" s="113" t="str">
        <f>IFERROR(_xlfn.CONCAT(TableWRTECalcPts[[#This Row],[POS]],INDEX(TableWRRanks[RK],MATCH(TableWRTECalcPts[[#This Row],[PLAYER]],TableWRRanks[Player],0))),"")</f>
        <v>WR163</v>
      </c>
      <c r="AN292" s="113" t="str">
        <f>IFERROR(INDEX(TableWRMaster[TM],MATCH(TableWRTECalcPts[[#This Row],[POSRef]],TableWRMaster[WRRef],0)),"")</f>
        <v/>
      </c>
      <c r="AO292" s="113" t="str">
        <f>IFERROR(INDEX(TableWRMaster[BYE],MATCH(TableWRTECalcPts[[#This Row],[POSRef]],TableWRMaster[WRRef],0)),"")</f>
        <v/>
      </c>
      <c r="AP292" s="111" t="str">
        <f>IFERROR(INDEX(TableWRMaster[Custom],MATCH(TableWRTECalcPts[[#This Row],[POSRef]],TableWRMaster[WRRef],0)),"")</f>
        <v/>
      </c>
    </row>
    <row r="293" spans="35:42" x14ac:dyDescent="0.2">
      <c r="AI293" s="60" t="s">
        <v>257</v>
      </c>
      <c r="AJ293" s="60" t="str">
        <f>IFERROR(RANK(TableWRTECalcPts[[#This Row],[Custom]],TableWRTECalcPts[Custom])+COUNTIF($AP$3:AP293,AP293)-1,"")</f>
        <v/>
      </c>
      <c r="AK293" s="113">
        <v>191</v>
      </c>
      <c r="AL293" s="113" t="str">
        <f>IFERROR(INDEX(TableWRMaster[Player],MATCH(TableWRTECalcPts[[#This Row],[POSRef]],TableWRMaster[WRRef],0)),"")</f>
        <v/>
      </c>
      <c r="AM293" s="113" t="str">
        <f>IFERROR(_xlfn.CONCAT(TableWRTECalcPts[[#This Row],[POS]],INDEX(TableWRRanks[RK],MATCH(TableWRTECalcPts[[#This Row],[PLAYER]],TableWRRanks[Player],0))),"")</f>
        <v>WR163</v>
      </c>
      <c r="AN293" s="113" t="str">
        <f>IFERROR(INDEX(TableWRMaster[TM],MATCH(TableWRTECalcPts[[#This Row],[POSRef]],TableWRMaster[WRRef],0)),"")</f>
        <v/>
      </c>
      <c r="AO293" s="113" t="str">
        <f>IFERROR(INDEX(TableWRMaster[BYE],MATCH(TableWRTECalcPts[[#This Row],[POSRef]],TableWRMaster[WRRef],0)),"")</f>
        <v/>
      </c>
      <c r="AP293" s="111" t="str">
        <f>IFERROR(INDEX(TableWRMaster[Custom],MATCH(TableWRTECalcPts[[#This Row],[POSRef]],TableWRMaster[WRRef],0)),"")</f>
        <v/>
      </c>
    </row>
    <row r="294" spans="35:42" x14ac:dyDescent="0.2">
      <c r="AI294" s="60" t="s">
        <v>257</v>
      </c>
      <c r="AJ294" s="60" t="str">
        <f>IFERROR(RANK(TableWRTECalcPts[[#This Row],[Custom]],TableWRTECalcPts[Custom])+COUNTIF($AP$3:AP294,AP294)-1,"")</f>
        <v/>
      </c>
      <c r="AK294" s="113">
        <v>192</v>
      </c>
      <c r="AL294" s="113" t="str">
        <f>IFERROR(INDEX(TableWRMaster[Player],MATCH(TableWRTECalcPts[[#This Row],[POSRef]],TableWRMaster[WRRef],0)),"")</f>
        <v/>
      </c>
      <c r="AM294" s="113" t="str">
        <f>IFERROR(_xlfn.CONCAT(TableWRTECalcPts[[#This Row],[POS]],INDEX(TableWRRanks[RK],MATCH(TableWRTECalcPts[[#This Row],[PLAYER]],TableWRRanks[Player],0))),"")</f>
        <v>WR163</v>
      </c>
      <c r="AN294" s="113" t="str">
        <f>IFERROR(INDEX(TableWRMaster[TM],MATCH(TableWRTECalcPts[[#This Row],[POSRef]],TableWRMaster[WRRef],0)),"")</f>
        <v/>
      </c>
      <c r="AO294" s="113" t="str">
        <f>IFERROR(INDEX(TableWRMaster[BYE],MATCH(TableWRTECalcPts[[#This Row],[POSRef]],TableWRMaster[WRRef],0)),"")</f>
        <v/>
      </c>
      <c r="AP294" s="111" t="str">
        <f>IFERROR(INDEX(TableWRMaster[Custom],MATCH(TableWRTECalcPts[[#This Row],[POSRef]],TableWRMaster[WRRef],0)),"")</f>
        <v/>
      </c>
    </row>
    <row r="295" spans="35:42" x14ac:dyDescent="0.2">
      <c r="AI295" s="60" t="s">
        <v>257</v>
      </c>
      <c r="AJ295" s="60" t="str">
        <f>IFERROR(RANK(TableWRTECalcPts[[#This Row],[Custom]],TableWRTECalcPts[Custom])+COUNTIF($AP$3:AP295,AP295)-1,"")</f>
        <v/>
      </c>
      <c r="AK295" s="113">
        <v>193</v>
      </c>
      <c r="AL295" s="113" t="str">
        <f>IFERROR(INDEX(TableWRMaster[Player],MATCH(TableWRTECalcPts[[#This Row],[POSRef]],TableWRMaster[WRRef],0)),"")</f>
        <v/>
      </c>
      <c r="AM295" s="113" t="str">
        <f>IFERROR(_xlfn.CONCAT(TableWRTECalcPts[[#This Row],[POS]],INDEX(TableWRRanks[RK],MATCH(TableWRTECalcPts[[#This Row],[PLAYER]],TableWRRanks[Player],0))),"")</f>
        <v>WR163</v>
      </c>
      <c r="AN295" s="113" t="str">
        <f>IFERROR(INDEX(TableWRMaster[TM],MATCH(TableWRTECalcPts[[#This Row],[POSRef]],TableWRMaster[WRRef],0)),"")</f>
        <v/>
      </c>
      <c r="AO295" s="113" t="str">
        <f>IFERROR(INDEX(TableWRMaster[BYE],MATCH(TableWRTECalcPts[[#This Row],[POSRef]],TableWRMaster[WRRef],0)),"")</f>
        <v/>
      </c>
      <c r="AP295" s="111" t="str">
        <f>IFERROR(INDEX(TableWRMaster[Custom],MATCH(TableWRTECalcPts[[#This Row],[POSRef]],TableWRMaster[WRRef],0)),"")</f>
        <v/>
      </c>
    </row>
    <row r="296" spans="35:42" x14ac:dyDescent="0.2">
      <c r="AI296" s="60" t="s">
        <v>257</v>
      </c>
      <c r="AJ296" s="60" t="str">
        <f>IFERROR(RANK(TableWRTECalcPts[[#This Row],[Custom]],TableWRTECalcPts[Custom])+COUNTIF($AP$3:AP296,AP296)-1,"")</f>
        <v/>
      </c>
      <c r="AK296" s="113">
        <v>194</v>
      </c>
      <c r="AL296" s="113" t="str">
        <f>IFERROR(INDEX(TableWRMaster[Player],MATCH(TableWRTECalcPts[[#This Row],[POSRef]],TableWRMaster[WRRef],0)),"")</f>
        <v/>
      </c>
      <c r="AM296" s="113" t="str">
        <f>IFERROR(_xlfn.CONCAT(TableWRTECalcPts[[#This Row],[POS]],INDEX(TableWRRanks[RK],MATCH(TableWRTECalcPts[[#This Row],[PLAYER]],TableWRRanks[Player],0))),"")</f>
        <v>WR163</v>
      </c>
      <c r="AN296" s="113" t="str">
        <f>IFERROR(INDEX(TableWRMaster[TM],MATCH(TableWRTECalcPts[[#This Row],[POSRef]],TableWRMaster[WRRef],0)),"")</f>
        <v/>
      </c>
      <c r="AO296" s="113" t="str">
        <f>IFERROR(INDEX(TableWRMaster[BYE],MATCH(TableWRTECalcPts[[#This Row],[POSRef]],TableWRMaster[WRRef],0)),"")</f>
        <v/>
      </c>
      <c r="AP296" s="111" t="str">
        <f>IFERROR(INDEX(TableWRMaster[Custom],MATCH(TableWRTECalcPts[[#This Row],[POSRef]],TableWRMaster[WRRef],0)),"")</f>
        <v/>
      </c>
    </row>
    <row r="297" spans="35:42" x14ac:dyDescent="0.2">
      <c r="AI297" s="60" t="s">
        <v>257</v>
      </c>
      <c r="AJ297" s="60" t="str">
        <f>IFERROR(RANK(TableWRTECalcPts[[#This Row],[Custom]],TableWRTECalcPts[Custom])+COUNTIF($AP$3:AP297,AP297)-1,"")</f>
        <v/>
      </c>
      <c r="AK297" s="113">
        <v>195</v>
      </c>
      <c r="AL297" s="113" t="str">
        <f>IFERROR(INDEX(TableWRMaster[Player],MATCH(TableWRTECalcPts[[#This Row],[POSRef]],TableWRMaster[WRRef],0)),"")</f>
        <v/>
      </c>
      <c r="AM297" s="113" t="str">
        <f>IFERROR(_xlfn.CONCAT(TableWRTECalcPts[[#This Row],[POS]],INDEX(TableWRRanks[RK],MATCH(TableWRTECalcPts[[#This Row],[PLAYER]],TableWRRanks[Player],0))),"")</f>
        <v>WR163</v>
      </c>
      <c r="AN297" s="113" t="str">
        <f>IFERROR(INDEX(TableWRMaster[TM],MATCH(TableWRTECalcPts[[#This Row],[POSRef]],TableWRMaster[WRRef],0)),"")</f>
        <v/>
      </c>
      <c r="AO297" s="113" t="str">
        <f>IFERROR(INDEX(TableWRMaster[BYE],MATCH(TableWRTECalcPts[[#This Row],[POSRef]],TableWRMaster[WRRef],0)),"")</f>
        <v/>
      </c>
      <c r="AP297" s="111" t="str">
        <f>IFERROR(INDEX(TableWRMaster[Custom],MATCH(TableWRTECalcPts[[#This Row],[POSRef]],TableWRMaster[WRRef],0)),"")</f>
        <v/>
      </c>
    </row>
    <row r="298" spans="35:42" x14ac:dyDescent="0.2">
      <c r="AI298" s="60" t="s">
        <v>257</v>
      </c>
      <c r="AJ298" s="60" t="str">
        <f>IFERROR(RANK(TableWRTECalcPts[[#This Row],[Custom]],TableWRTECalcPts[Custom])+COUNTIF($AP$3:AP298,AP298)-1,"")</f>
        <v/>
      </c>
      <c r="AK298" s="113">
        <v>196</v>
      </c>
      <c r="AL298" s="113" t="str">
        <f>IFERROR(INDEX(TableWRMaster[Player],MATCH(TableWRTECalcPts[[#This Row],[POSRef]],TableWRMaster[WRRef],0)),"")</f>
        <v/>
      </c>
      <c r="AM298" s="113" t="str">
        <f>IFERROR(_xlfn.CONCAT(TableWRTECalcPts[[#This Row],[POS]],INDEX(TableWRRanks[RK],MATCH(TableWRTECalcPts[[#This Row],[PLAYER]],TableWRRanks[Player],0))),"")</f>
        <v>WR163</v>
      </c>
      <c r="AN298" s="113" t="str">
        <f>IFERROR(INDEX(TableWRMaster[TM],MATCH(TableWRTECalcPts[[#This Row],[POSRef]],TableWRMaster[WRRef],0)),"")</f>
        <v/>
      </c>
      <c r="AO298" s="113" t="str">
        <f>IFERROR(INDEX(TableWRMaster[BYE],MATCH(TableWRTECalcPts[[#This Row],[POSRef]],TableWRMaster[WRRef],0)),"")</f>
        <v/>
      </c>
      <c r="AP298" s="111" t="str">
        <f>IFERROR(INDEX(TableWRMaster[Custom],MATCH(TableWRTECalcPts[[#This Row],[POSRef]],TableWRMaster[WRRef],0)),"")</f>
        <v/>
      </c>
    </row>
    <row r="299" spans="35:42" x14ac:dyDescent="0.2">
      <c r="AI299" s="60" t="s">
        <v>257</v>
      </c>
      <c r="AJ299" s="60" t="str">
        <f>IFERROR(RANK(TableWRTECalcPts[[#This Row],[Custom]],TableWRTECalcPts[Custom])+COUNTIF($AP$3:AP299,AP299)-1,"")</f>
        <v/>
      </c>
      <c r="AK299" s="113">
        <v>197</v>
      </c>
      <c r="AL299" s="113" t="str">
        <f>IFERROR(INDEX(TableWRMaster[Player],MATCH(TableWRTECalcPts[[#This Row],[POSRef]],TableWRMaster[WRRef],0)),"")</f>
        <v/>
      </c>
      <c r="AM299" s="113" t="str">
        <f>IFERROR(_xlfn.CONCAT(TableWRTECalcPts[[#This Row],[POS]],INDEX(TableWRRanks[RK],MATCH(TableWRTECalcPts[[#This Row],[PLAYER]],TableWRRanks[Player],0))),"")</f>
        <v>WR163</v>
      </c>
      <c r="AN299" s="113" t="str">
        <f>IFERROR(INDEX(TableWRMaster[TM],MATCH(TableWRTECalcPts[[#This Row],[POSRef]],TableWRMaster[WRRef],0)),"")</f>
        <v/>
      </c>
      <c r="AO299" s="113" t="str">
        <f>IFERROR(INDEX(TableWRMaster[BYE],MATCH(TableWRTECalcPts[[#This Row],[POSRef]],TableWRMaster[WRRef],0)),"")</f>
        <v/>
      </c>
      <c r="AP299" s="111" t="str">
        <f>IFERROR(INDEX(TableWRMaster[Custom],MATCH(TableWRTECalcPts[[#This Row],[POSRef]],TableWRMaster[WRRef],0)),"")</f>
        <v/>
      </c>
    </row>
    <row r="300" spans="35:42" x14ac:dyDescent="0.2">
      <c r="AI300" s="60" t="s">
        <v>257</v>
      </c>
      <c r="AJ300" s="60" t="str">
        <f>IFERROR(RANK(TableWRTECalcPts[[#This Row],[Custom]],TableWRTECalcPts[Custom])+COUNTIF($AP$3:AP300,AP300)-1,"")</f>
        <v/>
      </c>
      <c r="AK300" s="113">
        <v>198</v>
      </c>
      <c r="AL300" s="113" t="str">
        <f>IFERROR(INDEX(TableWRMaster[Player],MATCH(TableWRTECalcPts[[#This Row],[POSRef]],TableWRMaster[WRRef],0)),"")</f>
        <v/>
      </c>
      <c r="AM300" s="113" t="str">
        <f>IFERROR(_xlfn.CONCAT(TableWRTECalcPts[[#This Row],[POS]],INDEX(TableWRRanks[RK],MATCH(TableWRTECalcPts[[#This Row],[PLAYER]],TableWRRanks[Player],0))),"")</f>
        <v>WR163</v>
      </c>
      <c r="AN300" s="113" t="str">
        <f>IFERROR(INDEX(TableWRMaster[TM],MATCH(TableWRTECalcPts[[#This Row],[POSRef]],TableWRMaster[WRRef],0)),"")</f>
        <v/>
      </c>
      <c r="AO300" s="113" t="str">
        <f>IFERROR(INDEX(TableWRMaster[BYE],MATCH(TableWRTECalcPts[[#This Row],[POSRef]],TableWRMaster[WRRef],0)),"")</f>
        <v/>
      </c>
      <c r="AP300" s="111" t="str">
        <f>IFERROR(INDEX(TableWRMaster[Custom],MATCH(TableWRTECalcPts[[#This Row],[POSRef]],TableWRMaster[WRRef],0)),"")</f>
        <v/>
      </c>
    </row>
    <row r="301" spans="35:42" x14ac:dyDescent="0.2">
      <c r="AI301" s="60" t="s">
        <v>257</v>
      </c>
      <c r="AJ301" s="60" t="str">
        <f>IFERROR(RANK(TableWRTECalcPts[[#This Row],[Custom]],TableWRTECalcPts[Custom])+COUNTIF($AP$3:AP301,AP301)-1,"")</f>
        <v/>
      </c>
      <c r="AK301" s="113">
        <v>199</v>
      </c>
      <c r="AL301" s="113" t="str">
        <f>IFERROR(INDEX(TableWRMaster[Player],MATCH(TableWRTECalcPts[[#This Row],[POSRef]],TableWRMaster[WRRef],0)),"")</f>
        <v/>
      </c>
      <c r="AM301" s="113" t="str">
        <f>IFERROR(_xlfn.CONCAT(TableWRTECalcPts[[#This Row],[POS]],INDEX(TableWRRanks[RK],MATCH(TableWRTECalcPts[[#This Row],[PLAYER]],TableWRRanks[Player],0))),"")</f>
        <v>WR163</v>
      </c>
      <c r="AN301" s="113" t="str">
        <f>IFERROR(INDEX(TableWRMaster[TM],MATCH(TableWRTECalcPts[[#This Row],[POSRef]],TableWRMaster[WRRef],0)),"")</f>
        <v/>
      </c>
      <c r="AO301" s="113" t="str">
        <f>IFERROR(INDEX(TableWRMaster[BYE],MATCH(TableWRTECalcPts[[#This Row],[POSRef]],TableWRMaster[WRRef],0)),"")</f>
        <v/>
      </c>
      <c r="AP301" s="111" t="str">
        <f>IFERROR(INDEX(TableWRMaster[Custom],MATCH(TableWRTECalcPts[[#This Row],[POSRef]],TableWRMaster[WRRef],0)),"")</f>
        <v/>
      </c>
    </row>
    <row r="302" spans="35:42" x14ac:dyDescent="0.2">
      <c r="AI302" s="60" t="s">
        <v>257</v>
      </c>
      <c r="AJ302" s="60" t="str">
        <f>IFERROR(RANK(TableWRTECalcPts[[#This Row],[Custom]],TableWRTECalcPts[Custom])+COUNTIF($AP$3:AP302,AP302)-1,"")</f>
        <v/>
      </c>
      <c r="AK302" s="113">
        <v>200</v>
      </c>
      <c r="AL302" s="113" t="str">
        <f>IFERROR(INDEX(TableWRMaster[Player],MATCH(TableWRTECalcPts[[#This Row],[POSRef]],TableWRMaster[WRRef],0)),"")</f>
        <v/>
      </c>
      <c r="AM302" s="113" t="str">
        <f>IFERROR(_xlfn.CONCAT(TableWRTECalcPts[[#This Row],[POS]],INDEX(TableWRRanks[RK],MATCH(TableWRTECalcPts[[#This Row],[PLAYER]],TableWRRanks[Player],0))),"")</f>
        <v>WR163</v>
      </c>
      <c r="AN302" s="113" t="str">
        <f>IFERROR(INDEX(TableWRMaster[TM],MATCH(TableWRTECalcPts[[#This Row],[POSRef]],TableWRMaster[WRRef],0)),"")</f>
        <v/>
      </c>
      <c r="AO302" s="113" t="str">
        <f>IFERROR(INDEX(TableWRMaster[BYE],MATCH(TableWRTECalcPts[[#This Row],[POSRef]],TableWRMaster[WRRef],0)),"")</f>
        <v/>
      </c>
      <c r="AP302" s="111" t="str">
        <f>IFERROR(INDEX(TableWRMaster[Custom],MATCH(TableWRTECalcPts[[#This Row],[POSRef]],TableWRMaster[WRRef],0)),"")</f>
        <v/>
      </c>
    </row>
    <row r="303" spans="35:42" x14ac:dyDescent="0.2">
      <c r="AI303" s="60" t="s">
        <v>257</v>
      </c>
      <c r="AJ303" s="60" t="str">
        <f>IFERROR(RANK(TableWRTECalcPts[[#This Row],[Custom]],TableWRTECalcPts[Custom])+COUNTIF($AP$3:AP303,AP303)-1,"")</f>
        <v/>
      </c>
      <c r="AK303" s="113">
        <v>201</v>
      </c>
      <c r="AL303" s="113" t="str">
        <f>IFERROR(INDEX(TableWRMaster[Player],MATCH(TableWRTECalcPts[[#This Row],[POSRef]],TableWRMaster[WRRef],0)),"")</f>
        <v/>
      </c>
      <c r="AM303" s="113" t="str">
        <f>IFERROR(_xlfn.CONCAT(TableWRTECalcPts[[#This Row],[POS]],INDEX(TableWRRanks[RK],MATCH(TableWRTECalcPts[[#This Row],[PLAYER]],TableWRRanks[Player],0))),"")</f>
        <v>WR163</v>
      </c>
      <c r="AN303" s="113" t="str">
        <f>IFERROR(INDEX(TableWRMaster[TM],MATCH(TableWRTECalcPts[[#This Row],[POSRef]],TableWRMaster[WRRef],0)),"")</f>
        <v/>
      </c>
      <c r="AO303" s="113" t="str">
        <f>IFERROR(INDEX(TableWRMaster[BYE],MATCH(TableWRTECalcPts[[#This Row],[POSRef]],TableWRMaster[WRRef],0)),"")</f>
        <v/>
      </c>
      <c r="AP303" s="111" t="str">
        <f>IFERROR(INDEX(TableWRMaster[Custom],MATCH(TableWRTECalcPts[[#This Row],[POSRef]],TableWRMaster[WRRef],0)),"")</f>
        <v/>
      </c>
    </row>
    <row r="304" spans="35:42" x14ac:dyDescent="0.2">
      <c r="AI304" s="60" t="s">
        <v>257</v>
      </c>
      <c r="AJ304" s="60" t="str">
        <f>IFERROR(RANK(TableWRTECalcPts[[#This Row],[Custom]],TableWRTECalcPts[Custom])+COUNTIF($AP$3:AP304,AP304)-1,"")</f>
        <v/>
      </c>
      <c r="AK304" s="113">
        <v>202</v>
      </c>
      <c r="AL304" s="113" t="str">
        <f>IFERROR(INDEX(TableWRMaster[Player],MATCH(TableWRTECalcPts[[#This Row],[POSRef]],TableWRMaster[WRRef],0)),"")</f>
        <v/>
      </c>
      <c r="AM304" s="113" t="str">
        <f>IFERROR(_xlfn.CONCAT(TableWRTECalcPts[[#This Row],[POS]],INDEX(TableWRRanks[RK],MATCH(TableWRTECalcPts[[#This Row],[PLAYER]],TableWRRanks[Player],0))),"")</f>
        <v>WR163</v>
      </c>
      <c r="AN304" s="113" t="str">
        <f>IFERROR(INDEX(TableWRMaster[TM],MATCH(TableWRTECalcPts[[#This Row],[POSRef]],TableWRMaster[WRRef],0)),"")</f>
        <v/>
      </c>
      <c r="AO304" s="113" t="str">
        <f>IFERROR(INDEX(TableWRMaster[BYE],MATCH(TableWRTECalcPts[[#This Row],[POSRef]],TableWRMaster[WRRef],0)),"")</f>
        <v/>
      </c>
      <c r="AP304" s="111" t="str">
        <f>IFERROR(INDEX(TableWRMaster[Custom],MATCH(TableWRTECalcPts[[#This Row],[POSRef]],TableWRMaster[WRRef],0)),"")</f>
        <v/>
      </c>
    </row>
    <row r="305" spans="35:42" x14ac:dyDescent="0.2">
      <c r="AI305" s="60" t="s">
        <v>257</v>
      </c>
      <c r="AJ305" s="60" t="str">
        <f>IFERROR(RANK(TableWRTECalcPts[[#This Row],[Custom]],TableWRTECalcPts[Custom])+COUNTIF($AP$3:AP305,AP305)-1,"")</f>
        <v/>
      </c>
      <c r="AK305" s="113">
        <v>203</v>
      </c>
      <c r="AL305" s="113" t="str">
        <f>IFERROR(INDEX(TableWRMaster[Player],MATCH(TableWRTECalcPts[[#This Row],[POSRef]],TableWRMaster[WRRef],0)),"")</f>
        <v/>
      </c>
      <c r="AM305" s="113" t="str">
        <f>IFERROR(_xlfn.CONCAT(TableWRTECalcPts[[#This Row],[POS]],INDEX(TableWRRanks[RK],MATCH(TableWRTECalcPts[[#This Row],[PLAYER]],TableWRRanks[Player],0))),"")</f>
        <v>WR163</v>
      </c>
      <c r="AN305" s="113" t="str">
        <f>IFERROR(INDEX(TableWRMaster[TM],MATCH(TableWRTECalcPts[[#This Row],[POSRef]],TableWRMaster[WRRef],0)),"")</f>
        <v/>
      </c>
      <c r="AO305" s="113" t="str">
        <f>IFERROR(INDEX(TableWRMaster[BYE],MATCH(TableWRTECalcPts[[#This Row],[POSRef]],TableWRMaster[WRRef],0)),"")</f>
        <v/>
      </c>
      <c r="AP305" s="111" t="str">
        <f>IFERROR(INDEX(TableWRMaster[Custom],MATCH(TableWRTECalcPts[[#This Row],[POSRef]],TableWRMaster[WRRef],0)),"")</f>
        <v/>
      </c>
    </row>
    <row r="306" spans="35:42" x14ac:dyDescent="0.2">
      <c r="AI306" s="60" t="s">
        <v>257</v>
      </c>
      <c r="AJ306" s="60" t="str">
        <f>IFERROR(RANK(TableWRTECalcPts[[#This Row],[Custom]],TableWRTECalcPts[Custom])+COUNTIF($AP$3:AP306,AP306)-1,"")</f>
        <v/>
      </c>
      <c r="AK306" s="113">
        <v>204</v>
      </c>
      <c r="AL306" s="113" t="str">
        <f>IFERROR(INDEX(TableWRMaster[Player],MATCH(TableWRTECalcPts[[#This Row],[POSRef]],TableWRMaster[WRRef],0)),"")</f>
        <v/>
      </c>
      <c r="AM306" s="113" t="str">
        <f>IFERROR(_xlfn.CONCAT(TableWRTECalcPts[[#This Row],[POS]],INDEX(TableWRRanks[RK],MATCH(TableWRTECalcPts[[#This Row],[PLAYER]],TableWRRanks[Player],0))),"")</f>
        <v>WR163</v>
      </c>
      <c r="AN306" s="113" t="str">
        <f>IFERROR(INDEX(TableWRMaster[TM],MATCH(TableWRTECalcPts[[#This Row],[POSRef]],TableWRMaster[WRRef],0)),"")</f>
        <v/>
      </c>
      <c r="AO306" s="113" t="str">
        <f>IFERROR(INDEX(TableWRMaster[BYE],MATCH(TableWRTECalcPts[[#This Row],[POSRef]],TableWRMaster[WRRef],0)),"")</f>
        <v/>
      </c>
      <c r="AP306" s="111" t="str">
        <f>IFERROR(INDEX(TableWRMaster[Custom],MATCH(TableWRTECalcPts[[#This Row],[POSRef]],TableWRMaster[WRRef],0)),"")</f>
        <v/>
      </c>
    </row>
    <row r="307" spans="35:42" x14ac:dyDescent="0.2">
      <c r="AI307" s="60" t="s">
        <v>257</v>
      </c>
      <c r="AJ307" s="60" t="str">
        <f>IFERROR(RANK(TableWRTECalcPts[[#This Row],[Custom]],TableWRTECalcPts[Custom])+COUNTIF($AP$3:AP307,AP307)-1,"")</f>
        <v/>
      </c>
      <c r="AK307" s="113">
        <v>205</v>
      </c>
      <c r="AL307" s="113" t="str">
        <f>IFERROR(INDEX(TableWRMaster[Player],MATCH(TableWRTECalcPts[[#This Row],[POSRef]],TableWRMaster[WRRef],0)),"")</f>
        <v/>
      </c>
      <c r="AM307" s="113" t="str">
        <f>IFERROR(_xlfn.CONCAT(TableWRTECalcPts[[#This Row],[POS]],INDEX(TableWRRanks[RK],MATCH(TableWRTECalcPts[[#This Row],[PLAYER]],TableWRRanks[Player],0))),"")</f>
        <v>WR163</v>
      </c>
      <c r="AN307" s="113" t="str">
        <f>IFERROR(INDEX(TableWRMaster[TM],MATCH(TableWRTECalcPts[[#This Row],[POSRef]],TableWRMaster[WRRef],0)),"")</f>
        <v/>
      </c>
      <c r="AO307" s="113" t="str">
        <f>IFERROR(INDEX(TableWRMaster[BYE],MATCH(TableWRTECalcPts[[#This Row],[POSRef]],TableWRMaster[WRRef],0)),"")</f>
        <v/>
      </c>
      <c r="AP307" s="111" t="str">
        <f>IFERROR(INDEX(TableWRMaster[Custom],MATCH(TableWRTECalcPts[[#This Row],[POSRef]],TableWRMaster[WRRef],0)),"")</f>
        <v/>
      </c>
    </row>
    <row r="308" spans="35:42" x14ac:dyDescent="0.2">
      <c r="AI308" s="60" t="s">
        <v>257</v>
      </c>
      <c r="AJ308" s="60" t="str">
        <f>IFERROR(RANK(TableWRTECalcPts[[#This Row],[Custom]],TableWRTECalcPts[Custom])+COUNTIF($AP$3:AP308,AP308)-1,"")</f>
        <v/>
      </c>
      <c r="AK308" s="113">
        <v>206</v>
      </c>
      <c r="AL308" s="113" t="str">
        <f>IFERROR(INDEX(TableWRMaster[Player],MATCH(TableWRTECalcPts[[#This Row],[POSRef]],TableWRMaster[WRRef],0)),"")</f>
        <v/>
      </c>
      <c r="AM308" s="113" t="str">
        <f>IFERROR(_xlfn.CONCAT(TableWRTECalcPts[[#This Row],[POS]],INDEX(TableWRRanks[RK],MATCH(TableWRTECalcPts[[#This Row],[PLAYER]],TableWRRanks[Player],0))),"")</f>
        <v>WR163</v>
      </c>
      <c r="AN308" s="113" t="str">
        <f>IFERROR(INDEX(TableWRMaster[TM],MATCH(TableWRTECalcPts[[#This Row],[POSRef]],TableWRMaster[WRRef],0)),"")</f>
        <v/>
      </c>
      <c r="AO308" s="113" t="str">
        <f>IFERROR(INDEX(TableWRMaster[BYE],MATCH(TableWRTECalcPts[[#This Row],[POSRef]],TableWRMaster[WRRef],0)),"")</f>
        <v/>
      </c>
      <c r="AP308" s="111" t="str">
        <f>IFERROR(INDEX(TableWRMaster[Custom],MATCH(TableWRTECalcPts[[#This Row],[POSRef]],TableWRMaster[WRRef],0)),"")</f>
        <v/>
      </c>
    </row>
    <row r="309" spans="35:42" x14ac:dyDescent="0.2">
      <c r="AI309" s="60" t="s">
        <v>257</v>
      </c>
      <c r="AJ309" s="60" t="str">
        <f>IFERROR(RANK(TableWRTECalcPts[[#This Row],[Custom]],TableWRTECalcPts[Custom])+COUNTIF($AP$3:AP309,AP309)-1,"")</f>
        <v/>
      </c>
      <c r="AK309" s="113">
        <v>207</v>
      </c>
      <c r="AL309" s="113" t="str">
        <f>IFERROR(INDEX(TableWRMaster[Player],MATCH(TableWRTECalcPts[[#This Row],[POSRef]],TableWRMaster[WRRef],0)),"")</f>
        <v/>
      </c>
      <c r="AM309" s="113" t="str">
        <f>IFERROR(_xlfn.CONCAT(TableWRTECalcPts[[#This Row],[POS]],INDEX(TableWRRanks[RK],MATCH(TableWRTECalcPts[[#This Row],[PLAYER]],TableWRRanks[Player],0))),"")</f>
        <v>WR163</v>
      </c>
      <c r="AN309" s="113" t="str">
        <f>IFERROR(INDEX(TableWRMaster[TM],MATCH(TableWRTECalcPts[[#This Row],[POSRef]],TableWRMaster[WRRef],0)),"")</f>
        <v/>
      </c>
      <c r="AO309" s="113" t="str">
        <f>IFERROR(INDEX(TableWRMaster[BYE],MATCH(TableWRTECalcPts[[#This Row],[POSRef]],TableWRMaster[WRRef],0)),"")</f>
        <v/>
      </c>
      <c r="AP309" s="111" t="str">
        <f>IFERROR(INDEX(TableWRMaster[Custom],MATCH(TableWRTECalcPts[[#This Row],[POSRef]],TableWRMaster[WRRef],0)),"")</f>
        <v/>
      </c>
    </row>
    <row r="310" spans="35:42" x14ac:dyDescent="0.2">
      <c r="AI310" s="60" t="s">
        <v>257</v>
      </c>
      <c r="AJ310" s="60" t="str">
        <f>IFERROR(RANK(TableWRTECalcPts[[#This Row],[Custom]],TableWRTECalcPts[Custom])+COUNTIF($AP$3:AP310,AP310)-1,"")</f>
        <v/>
      </c>
      <c r="AK310" s="113">
        <v>208</v>
      </c>
      <c r="AL310" s="113" t="str">
        <f>IFERROR(INDEX(TableWRMaster[Player],MATCH(TableWRTECalcPts[[#This Row],[POSRef]],TableWRMaster[WRRef],0)),"")</f>
        <v/>
      </c>
      <c r="AM310" s="113" t="str">
        <f>IFERROR(_xlfn.CONCAT(TableWRTECalcPts[[#This Row],[POS]],INDEX(TableWRRanks[RK],MATCH(TableWRTECalcPts[[#This Row],[PLAYER]],TableWRRanks[Player],0))),"")</f>
        <v>WR163</v>
      </c>
      <c r="AN310" s="113" t="str">
        <f>IFERROR(INDEX(TableWRMaster[TM],MATCH(TableWRTECalcPts[[#This Row],[POSRef]],TableWRMaster[WRRef],0)),"")</f>
        <v/>
      </c>
      <c r="AO310" s="113" t="str">
        <f>IFERROR(INDEX(TableWRMaster[BYE],MATCH(TableWRTECalcPts[[#This Row],[POSRef]],TableWRMaster[WRRef],0)),"")</f>
        <v/>
      </c>
      <c r="AP310" s="111" t="str">
        <f>IFERROR(INDEX(TableWRMaster[Custom],MATCH(TableWRTECalcPts[[#This Row],[POSRef]],TableWRMaster[WRRef],0)),"")</f>
        <v/>
      </c>
    </row>
    <row r="311" spans="35:42" x14ac:dyDescent="0.2">
      <c r="AI311" s="60" t="s">
        <v>257</v>
      </c>
      <c r="AJ311" s="60" t="str">
        <f>IFERROR(RANK(TableWRTECalcPts[[#This Row],[Custom]],TableWRTECalcPts[Custom])+COUNTIF($AP$3:AP311,AP311)-1,"")</f>
        <v/>
      </c>
      <c r="AK311" s="113">
        <v>209</v>
      </c>
      <c r="AL311" s="113" t="str">
        <f>IFERROR(INDEX(TableWRMaster[Player],MATCH(TableWRTECalcPts[[#This Row],[POSRef]],TableWRMaster[WRRef],0)),"")</f>
        <v/>
      </c>
      <c r="AM311" s="113" t="str">
        <f>IFERROR(_xlfn.CONCAT(TableWRTECalcPts[[#This Row],[POS]],INDEX(TableWRRanks[RK],MATCH(TableWRTECalcPts[[#This Row],[PLAYER]],TableWRRanks[Player],0))),"")</f>
        <v>WR163</v>
      </c>
      <c r="AN311" s="113" t="str">
        <f>IFERROR(INDEX(TableWRMaster[TM],MATCH(TableWRTECalcPts[[#This Row],[POSRef]],TableWRMaster[WRRef],0)),"")</f>
        <v/>
      </c>
      <c r="AO311" s="113" t="str">
        <f>IFERROR(INDEX(TableWRMaster[BYE],MATCH(TableWRTECalcPts[[#This Row],[POSRef]],TableWRMaster[WRRef],0)),"")</f>
        <v/>
      </c>
      <c r="AP311" s="111" t="str">
        <f>IFERROR(INDEX(TableWRMaster[Custom],MATCH(TableWRTECalcPts[[#This Row],[POSRef]],TableWRMaster[WRRef],0)),"")</f>
        <v/>
      </c>
    </row>
    <row r="312" spans="35:42" x14ac:dyDescent="0.2">
      <c r="AI312" s="60" t="s">
        <v>257</v>
      </c>
      <c r="AJ312" s="60" t="str">
        <f>IFERROR(RANK(TableWRTECalcPts[[#This Row],[Custom]],TableWRTECalcPts[Custom])+COUNTIF($AP$3:AP312,AP312)-1,"")</f>
        <v/>
      </c>
      <c r="AK312" s="113">
        <v>210</v>
      </c>
      <c r="AL312" s="113" t="str">
        <f>IFERROR(INDEX(TableWRMaster[Player],MATCH(TableWRTECalcPts[[#This Row],[POSRef]],TableWRMaster[WRRef],0)),"")</f>
        <v/>
      </c>
      <c r="AM312" s="113" t="str">
        <f>IFERROR(_xlfn.CONCAT(TableWRTECalcPts[[#This Row],[POS]],INDEX(TableWRRanks[RK],MATCH(TableWRTECalcPts[[#This Row],[PLAYER]],TableWRRanks[Player],0))),"")</f>
        <v>WR163</v>
      </c>
      <c r="AN312" s="113" t="str">
        <f>IFERROR(INDEX(TableWRMaster[TM],MATCH(TableWRTECalcPts[[#This Row],[POSRef]],TableWRMaster[WRRef],0)),"")</f>
        <v/>
      </c>
      <c r="AO312" s="113" t="str">
        <f>IFERROR(INDEX(TableWRMaster[BYE],MATCH(TableWRTECalcPts[[#This Row],[POSRef]],TableWRMaster[WRRef],0)),"")</f>
        <v/>
      </c>
      <c r="AP312" s="111" t="str">
        <f>IFERROR(INDEX(TableWRMaster[Custom],MATCH(TableWRTECalcPts[[#This Row],[POSRef]],TableWRMaster[WRRef],0)),"")</f>
        <v/>
      </c>
    </row>
    <row r="313" spans="35:42" x14ac:dyDescent="0.2">
      <c r="AI313" s="60" t="s">
        <v>257</v>
      </c>
      <c r="AJ313" s="60" t="str">
        <f>IFERROR(RANK(TableWRTECalcPts[[#This Row],[Custom]],TableWRTECalcPts[Custom])+COUNTIF($AP$3:AP313,AP313)-1,"")</f>
        <v/>
      </c>
      <c r="AK313" s="113">
        <v>211</v>
      </c>
      <c r="AL313" s="113" t="str">
        <f>IFERROR(INDEX(TableWRMaster[Player],MATCH(TableWRTECalcPts[[#This Row],[POSRef]],TableWRMaster[WRRef],0)),"")</f>
        <v/>
      </c>
      <c r="AM313" s="113" t="str">
        <f>IFERROR(_xlfn.CONCAT(TableWRTECalcPts[[#This Row],[POS]],INDEX(TableWRRanks[RK],MATCH(TableWRTECalcPts[[#This Row],[PLAYER]],TableWRRanks[Player],0))),"")</f>
        <v>WR163</v>
      </c>
      <c r="AN313" s="113" t="str">
        <f>IFERROR(INDEX(TableWRMaster[TM],MATCH(TableWRTECalcPts[[#This Row],[POSRef]],TableWRMaster[WRRef],0)),"")</f>
        <v/>
      </c>
      <c r="AO313" s="113" t="str">
        <f>IFERROR(INDEX(TableWRMaster[BYE],MATCH(TableWRTECalcPts[[#This Row],[POSRef]],TableWRMaster[WRRef],0)),"")</f>
        <v/>
      </c>
      <c r="AP313" s="111" t="str">
        <f>IFERROR(INDEX(TableWRMaster[Custom],MATCH(TableWRTECalcPts[[#This Row],[POSRef]],TableWRMaster[WRRef],0)),"")</f>
        <v/>
      </c>
    </row>
    <row r="314" spans="35:42" x14ac:dyDescent="0.2">
      <c r="AI314" s="60" t="s">
        <v>257</v>
      </c>
      <c r="AJ314" s="60" t="str">
        <f>IFERROR(RANK(TableWRTECalcPts[[#This Row],[Custom]],TableWRTECalcPts[Custom])+COUNTIF($AP$3:AP314,AP314)-1,"")</f>
        <v/>
      </c>
      <c r="AK314" s="113">
        <v>212</v>
      </c>
      <c r="AL314" s="113" t="str">
        <f>IFERROR(INDEX(TableWRMaster[Player],MATCH(TableWRTECalcPts[[#This Row],[POSRef]],TableWRMaster[WRRef],0)),"")</f>
        <v/>
      </c>
      <c r="AM314" s="113" t="str">
        <f>IFERROR(_xlfn.CONCAT(TableWRTECalcPts[[#This Row],[POS]],INDEX(TableWRRanks[RK],MATCH(TableWRTECalcPts[[#This Row],[PLAYER]],TableWRRanks[Player],0))),"")</f>
        <v>WR163</v>
      </c>
      <c r="AN314" s="113" t="str">
        <f>IFERROR(INDEX(TableWRMaster[TM],MATCH(TableWRTECalcPts[[#This Row],[POSRef]],TableWRMaster[WRRef],0)),"")</f>
        <v/>
      </c>
      <c r="AO314" s="113" t="str">
        <f>IFERROR(INDEX(TableWRMaster[BYE],MATCH(TableWRTECalcPts[[#This Row],[POSRef]],TableWRMaster[WRRef],0)),"")</f>
        <v/>
      </c>
      <c r="AP314" s="111" t="str">
        <f>IFERROR(INDEX(TableWRMaster[Custom],MATCH(TableWRTECalcPts[[#This Row],[POSRef]],TableWRMaster[WRRef],0)),"")</f>
        <v/>
      </c>
    </row>
    <row r="315" spans="35:42" x14ac:dyDescent="0.2">
      <c r="AI315" s="60" t="s">
        <v>257</v>
      </c>
      <c r="AJ315" s="60" t="str">
        <f>IFERROR(RANK(TableWRTECalcPts[[#This Row],[Custom]],TableWRTECalcPts[Custom])+COUNTIF($AP$3:AP315,AP315)-1,"")</f>
        <v/>
      </c>
      <c r="AK315" s="113">
        <v>213</v>
      </c>
      <c r="AL315" s="113" t="str">
        <f>IFERROR(INDEX(TableWRMaster[Player],MATCH(TableWRTECalcPts[[#This Row],[POSRef]],TableWRMaster[WRRef],0)),"")</f>
        <v/>
      </c>
      <c r="AM315" s="113" t="str">
        <f>IFERROR(_xlfn.CONCAT(TableWRTECalcPts[[#This Row],[POS]],INDEX(TableWRRanks[RK],MATCH(TableWRTECalcPts[[#This Row],[PLAYER]],TableWRRanks[Player],0))),"")</f>
        <v>WR163</v>
      </c>
      <c r="AN315" s="113" t="str">
        <f>IFERROR(INDEX(TableWRMaster[TM],MATCH(TableWRTECalcPts[[#This Row],[POSRef]],TableWRMaster[WRRef],0)),"")</f>
        <v/>
      </c>
      <c r="AO315" s="113" t="str">
        <f>IFERROR(INDEX(TableWRMaster[BYE],MATCH(TableWRTECalcPts[[#This Row],[POSRef]],TableWRMaster[WRRef],0)),"")</f>
        <v/>
      </c>
      <c r="AP315" s="111" t="str">
        <f>IFERROR(INDEX(TableWRMaster[Custom],MATCH(TableWRTECalcPts[[#This Row],[POSRef]],TableWRMaster[WRRef],0)),"")</f>
        <v/>
      </c>
    </row>
    <row r="316" spans="35:42" x14ac:dyDescent="0.2">
      <c r="AI316" s="60" t="s">
        <v>257</v>
      </c>
      <c r="AJ316" s="60" t="str">
        <f>IFERROR(RANK(TableWRTECalcPts[[#This Row],[Custom]],TableWRTECalcPts[Custom])+COUNTIF($AP$3:AP316,AP316)-1,"")</f>
        <v/>
      </c>
      <c r="AK316" s="113">
        <v>214</v>
      </c>
      <c r="AL316" s="113" t="str">
        <f>IFERROR(INDEX(TableWRMaster[Player],MATCH(TableWRTECalcPts[[#This Row],[POSRef]],TableWRMaster[WRRef],0)),"")</f>
        <v/>
      </c>
      <c r="AM316" s="113" t="str">
        <f>IFERROR(_xlfn.CONCAT(TableWRTECalcPts[[#This Row],[POS]],INDEX(TableWRRanks[RK],MATCH(TableWRTECalcPts[[#This Row],[PLAYER]],TableWRRanks[Player],0))),"")</f>
        <v>WR163</v>
      </c>
      <c r="AN316" s="113" t="str">
        <f>IFERROR(INDEX(TableWRMaster[TM],MATCH(TableWRTECalcPts[[#This Row],[POSRef]],TableWRMaster[WRRef],0)),"")</f>
        <v/>
      </c>
      <c r="AO316" s="113" t="str">
        <f>IFERROR(INDEX(TableWRMaster[BYE],MATCH(TableWRTECalcPts[[#This Row],[POSRef]],TableWRMaster[WRRef],0)),"")</f>
        <v/>
      </c>
      <c r="AP316" s="111" t="str">
        <f>IFERROR(INDEX(TableWRMaster[Custom],MATCH(TableWRTECalcPts[[#This Row],[POSRef]],TableWRMaster[WRRef],0)),"")</f>
        <v/>
      </c>
    </row>
    <row r="317" spans="35:42" x14ac:dyDescent="0.2">
      <c r="AI317" s="60" t="s">
        <v>257</v>
      </c>
      <c r="AJ317" s="60" t="str">
        <f>IFERROR(RANK(TableWRTECalcPts[[#This Row],[Custom]],TableWRTECalcPts[Custom])+COUNTIF($AP$3:AP317,AP317)-1,"")</f>
        <v/>
      </c>
      <c r="AK317" s="113">
        <v>215</v>
      </c>
      <c r="AL317" s="113" t="str">
        <f>IFERROR(INDEX(TableWRMaster[Player],MATCH(TableWRTECalcPts[[#This Row],[POSRef]],TableWRMaster[WRRef],0)),"")</f>
        <v/>
      </c>
      <c r="AM317" s="113" t="str">
        <f>IFERROR(_xlfn.CONCAT(TableWRTECalcPts[[#This Row],[POS]],INDEX(TableWRRanks[RK],MATCH(TableWRTECalcPts[[#This Row],[PLAYER]],TableWRRanks[Player],0))),"")</f>
        <v>WR163</v>
      </c>
      <c r="AN317" s="113" t="str">
        <f>IFERROR(INDEX(TableWRMaster[TM],MATCH(TableWRTECalcPts[[#This Row],[POSRef]],TableWRMaster[WRRef],0)),"")</f>
        <v/>
      </c>
      <c r="AO317" s="113" t="str">
        <f>IFERROR(INDEX(TableWRMaster[BYE],MATCH(TableWRTECalcPts[[#This Row],[POSRef]],TableWRMaster[WRRef],0)),"")</f>
        <v/>
      </c>
      <c r="AP317" s="111" t="str">
        <f>IFERROR(INDEX(TableWRMaster[Custom],MATCH(TableWRTECalcPts[[#This Row],[POSRef]],TableWRMaster[WRRef],0)),"")</f>
        <v/>
      </c>
    </row>
    <row r="318" spans="35:42" x14ac:dyDescent="0.2">
      <c r="AI318" s="60" t="s">
        <v>257</v>
      </c>
      <c r="AJ318" s="60" t="str">
        <f>IFERROR(RANK(TableWRTECalcPts[[#This Row],[Custom]],TableWRTECalcPts[Custom])+COUNTIF($AP$3:AP318,AP318)-1,"")</f>
        <v/>
      </c>
      <c r="AK318" s="113">
        <v>216</v>
      </c>
      <c r="AL318" s="113" t="str">
        <f>IFERROR(INDEX(TableWRMaster[Player],MATCH(TableWRTECalcPts[[#This Row],[POSRef]],TableWRMaster[WRRef],0)),"")</f>
        <v/>
      </c>
      <c r="AM318" s="113" t="str">
        <f>IFERROR(_xlfn.CONCAT(TableWRTECalcPts[[#This Row],[POS]],INDEX(TableWRRanks[RK],MATCH(TableWRTECalcPts[[#This Row],[PLAYER]],TableWRRanks[Player],0))),"")</f>
        <v>WR163</v>
      </c>
      <c r="AN318" s="113" t="str">
        <f>IFERROR(INDEX(TableWRMaster[TM],MATCH(TableWRTECalcPts[[#This Row],[POSRef]],TableWRMaster[WRRef],0)),"")</f>
        <v/>
      </c>
      <c r="AO318" s="113" t="str">
        <f>IFERROR(INDEX(TableWRMaster[BYE],MATCH(TableWRTECalcPts[[#This Row],[POSRef]],TableWRMaster[WRRef],0)),"")</f>
        <v/>
      </c>
      <c r="AP318" s="111" t="str">
        <f>IFERROR(INDEX(TableWRMaster[Custom],MATCH(TableWRTECalcPts[[#This Row],[POSRef]],TableWRMaster[WRRef],0)),"")</f>
        <v/>
      </c>
    </row>
    <row r="319" spans="35:42" x14ac:dyDescent="0.2">
      <c r="AI319" s="60" t="s">
        <v>257</v>
      </c>
      <c r="AJ319" s="60" t="str">
        <f>IFERROR(RANK(TableWRTECalcPts[[#This Row],[Custom]],TableWRTECalcPts[Custom])+COUNTIF($AP$3:AP319,AP319)-1,"")</f>
        <v/>
      </c>
      <c r="AK319" s="113">
        <v>217</v>
      </c>
      <c r="AL319" s="113" t="str">
        <f>IFERROR(INDEX(TableWRMaster[Player],MATCH(TableWRTECalcPts[[#This Row],[POSRef]],TableWRMaster[WRRef],0)),"")</f>
        <v/>
      </c>
      <c r="AM319" s="113" t="str">
        <f>IFERROR(_xlfn.CONCAT(TableWRTECalcPts[[#This Row],[POS]],INDEX(TableWRRanks[RK],MATCH(TableWRTECalcPts[[#This Row],[PLAYER]],TableWRRanks[Player],0))),"")</f>
        <v>WR163</v>
      </c>
      <c r="AN319" s="113" t="str">
        <f>IFERROR(INDEX(TableWRMaster[TM],MATCH(TableWRTECalcPts[[#This Row],[POSRef]],TableWRMaster[WRRef],0)),"")</f>
        <v/>
      </c>
      <c r="AO319" s="113" t="str">
        <f>IFERROR(INDEX(TableWRMaster[BYE],MATCH(TableWRTECalcPts[[#This Row],[POSRef]],TableWRMaster[WRRef],0)),"")</f>
        <v/>
      </c>
      <c r="AP319" s="111" t="str">
        <f>IFERROR(INDEX(TableWRMaster[Custom],MATCH(TableWRTECalcPts[[#This Row],[POSRef]],TableWRMaster[WRRef],0)),"")</f>
        <v/>
      </c>
    </row>
    <row r="320" spans="35:42" x14ac:dyDescent="0.2">
      <c r="AI320" s="60" t="s">
        <v>257</v>
      </c>
      <c r="AJ320" s="60" t="str">
        <f>IFERROR(RANK(TableWRTECalcPts[[#This Row],[Custom]],TableWRTECalcPts[Custom])+COUNTIF($AP$3:AP320,AP320)-1,"")</f>
        <v/>
      </c>
      <c r="AK320" s="113">
        <v>218</v>
      </c>
      <c r="AL320" s="113" t="str">
        <f>IFERROR(INDEX(TableWRMaster[Player],MATCH(TableWRTECalcPts[[#This Row],[POSRef]],TableWRMaster[WRRef],0)),"")</f>
        <v/>
      </c>
      <c r="AM320" s="113" t="str">
        <f>IFERROR(_xlfn.CONCAT(TableWRTECalcPts[[#This Row],[POS]],INDEX(TableWRRanks[RK],MATCH(TableWRTECalcPts[[#This Row],[PLAYER]],TableWRRanks[Player],0))),"")</f>
        <v>WR163</v>
      </c>
      <c r="AN320" s="113" t="str">
        <f>IFERROR(INDEX(TableWRMaster[TM],MATCH(TableWRTECalcPts[[#This Row],[POSRef]],TableWRMaster[WRRef],0)),"")</f>
        <v/>
      </c>
      <c r="AO320" s="113" t="str">
        <f>IFERROR(INDEX(TableWRMaster[BYE],MATCH(TableWRTECalcPts[[#This Row],[POSRef]],TableWRMaster[WRRef],0)),"")</f>
        <v/>
      </c>
      <c r="AP320" s="111" t="str">
        <f>IFERROR(INDEX(TableWRMaster[Custom],MATCH(TableWRTECalcPts[[#This Row],[POSRef]],TableWRMaster[WRRef],0)),"")</f>
        <v/>
      </c>
    </row>
    <row r="321" spans="35:42" x14ac:dyDescent="0.2">
      <c r="AI321" s="60" t="s">
        <v>257</v>
      </c>
      <c r="AJ321" s="60" t="str">
        <f>IFERROR(RANK(TableWRTECalcPts[[#This Row],[Custom]],TableWRTECalcPts[Custom])+COUNTIF($AP$3:AP321,AP321)-1,"")</f>
        <v/>
      </c>
      <c r="AK321" s="113">
        <v>219</v>
      </c>
      <c r="AL321" s="113" t="str">
        <f>IFERROR(INDEX(TableWRMaster[Player],MATCH(TableWRTECalcPts[[#This Row],[POSRef]],TableWRMaster[WRRef],0)),"")</f>
        <v/>
      </c>
      <c r="AM321" s="113" t="str">
        <f>IFERROR(_xlfn.CONCAT(TableWRTECalcPts[[#This Row],[POS]],INDEX(TableWRRanks[RK],MATCH(TableWRTECalcPts[[#This Row],[PLAYER]],TableWRRanks[Player],0))),"")</f>
        <v>WR163</v>
      </c>
      <c r="AN321" s="113" t="str">
        <f>IFERROR(INDEX(TableWRMaster[TM],MATCH(TableWRTECalcPts[[#This Row],[POSRef]],TableWRMaster[WRRef],0)),"")</f>
        <v/>
      </c>
      <c r="AO321" s="113" t="str">
        <f>IFERROR(INDEX(TableWRMaster[BYE],MATCH(TableWRTECalcPts[[#This Row],[POSRef]],TableWRMaster[WRRef],0)),"")</f>
        <v/>
      </c>
      <c r="AP321" s="111" t="str">
        <f>IFERROR(INDEX(TableWRMaster[Custom],MATCH(TableWRTECalcPts[[#This Row],[POSRef]],TableWRMaster[WRRef],0)),"")</f>
        <v/>
      </c>
    </row>
    <row r="322" spans="35:42" x14ac:dyDescent="0.2">
      <c r="AI322" s="60" t="s">
        <v>257</v>
      </c>
      <c r="AJ322" s="60" t="str">
        <f>IFERROR(RANK(TableWRTECalcPts[[#This Row],[Custom]],TableWRTECalcPts[Custom])+COUNTIF($AP$3:AP322,AP322)-1,"")</f>
        <v/>
      </c>
      <c r="AK322" s="113">
        <v>220</v>
      </c>
      <c r="AL322" s="113" t="str">
        <f>IFERROR(INDEX(TableWRMaster[Player],MATCH(TableWRTECalcPts[[#This Row],[POSRef]],TableWRMaster[WRRef],0)),"")</f>
        <v/>
      </c>
      <c r="AM322" s="113" t="str">
        <f>IFERROR(_xlfn.CONCAT(TableWRTECalcPts[[#This Row],[POS]],INDEX(TableWRRanks[RK],MATCH(TableWRTECalcPts[[#This Row],[PLAYER]],TableWRRanks[Player],0))),"")</f>
        <v>WR163</v>
      </c>
      <c r="AN322" s="113" t="str">
        <f>IFERROR(INDEX(TableWRMaster[TM],MATCH(TableWRTECalcPts[[#This Row],[POSRef]],TableWRMaster[WRRef],0)),"")</f>
        <v/>
      </c>
      <c r="AO322" s="113" t="str">
        <f>IFERROR(INDEX(TableWRMaster[BYE],MATCH(TableWRTECalcPts[[#This Row],[POSRef]],TableWRMaster[WRRef],0)),"")</f>
        <v/>
      </c>
      <c r="AP322" s="111" t="str">
        <f>IFERROR(INDEX(TableWRMaster[Custom],MATCH(TableWRTECalcPts[[#This Row],[POSRef]],TableWRMaster[WRRef],0)),"")</f>
        <v/>
      </c>
    </row>
    <row r="323" spans="35:42" x14ac:dyDescent="0.2">
      <c r="AI323" s="60" t="s">
        <v>257</v>
      </c>
      <c r="AJ323" s="60" t="str">
        <f>IFERROR(RANK(TableWRTECalcPts[[#This Row],[Custom]],TableWRTECalcPts[Custom])+COUNTIF($AP$3:AP323,AP323)-1,"")</f>
        <v/>
      </c>
      <c r="AK323" s="113">
        <v>221</v>
      </c>
      <c r="AL323" s="113" t="str">
        <f>IFERROR(INDEX(TableWRMaster[Player],MATCH(TableWRTECalcPts[[#This Row],[POSRef]],TableWRMaster[WRRef],0)),"")</f>
        <v/>
      </c>
      <c r="AM323" s="113" t="str">
        <f>IFERROR(_xlfn.CONCAT(TableWRTECalcPts[[#This Row],[POS]],INDEX(TableWRRanks[RK],MATCH(TableWRTECalcPts[[#This Row],[PLAYER]],TableWRRanks[Player],0))),"")</f>
        <v>WR163</v>
      </c>
      <c r="AN323" s="113" t="str">
        <f>IFERROR(INDEX(TableWRMaster[TM],MATCH(TableWRTECalcPts[[#This Row],[POSRef]],TableWRMaster[WRRef],0)),"")</f>
        <v/>
      </c>
      <c r="AO323" s="113" t="str">
        <f>IFERROR(INDEX(TableWRMaster[BYE],MATCH(TableWRTECalcPts[[#This Row],[POSRef]],TableWRMaster[WRRef],0)),"")</f>
        <v/>
      </c>
      <c r="AP323" s="111" t="str">
        <f>IFERROR(INDEX(TableWRMaster[Custom],MATCH(TableWRTECalcPts[[#This Row],[POSRef]],TableWRMaster[WRRef],0)),"")</f>
        <v/>
      </c>
    </row>
    <row r="324" spans="35:42" x14ac:dyDescent="0.2">
      <c r="AI324" s="60" t="s">
        <v>257</v>
      </c>
      <c r="AJ324" s="60" t="str">
        <f>IFERROR(RANK(TableWRTECalcPts[[#This Row],[Custom]],TableWRTECalcPts[Custom])+COUNTIF($AP$3:AP324,AP324)-1,"")</f>
        <v/>
      </c>
      <c r="AK324" s="113">
        <v>222</v>
      </c>
      <c r="AL324" s="113" t="str">
        <f>IFERROR(INDEX(TableWRMaster[Player],MATCH(TableWRTECalcPts[[#This Row],[POSRef]],TableWRMaster[WRRef],0)),"")</f>
        <v/>
      </c>
      <c r="AM324" s="113" t="str">
        <f>IFERROR(_xlfn.CONCAT(TableWRTECalcPts[[#This Row],[POS]],INDEX(TableWRRanks[RK],MATCH(TableWRTECalcPts[[#This Row],[PLAYER]],TableWRRanks[Player],0))),"")</f>
        <v>WR163</v>
      </c>
      <c r="AN324" s="113" t="str">
        <f>IFERROR(INDEX(TableWRMaster[TM],MATCH(TableWRTECalcPts[[#This Row],[POSRef]],TableWRMaster[WRRef],0)),"")</f>
        <v/>
      </c>
      <c r="AO324" s="113" t="str">
        <f>IFERROR(INDEX(TableWRMaster[BYE],MATCH(TableWRTECalcPts[[#This Row],[POSRef]],TableWRMaster[WRRef],0)),"")</f>
        <v/>
      </c>
      <c r="AP324" s="111" t="str">
        <f>IFERROR(INDEX(TableWRMaster[Custom],MATCH(TableWRTECalcPts[[#This Row],[POSRef]],TableWRMaster[WRRef],0)),"")</f>
        <v/>
      </c>
    </row>
    <row r="325" spans="35:42" x14ac:dyDescent="0.2">
      <c r="AI325" s="60" t="s">
        <v>257</v>
      </c>
      <c r="AJ325" s="60" t="str">
        <f>IFERROR(RANK(TableWRTECalcPts[[#This Row],[Custom]],TableWRTECalcPts[Custom])+COUNTIF($AP$3:AP325,AP325)-1,"")</f>
        <v/>
      </c>
      <c r="AK325" s="113">
        <v>223</v>
      </c>
      <c r="AL325" s="113" t="str">
        <f>IFERROR(INDEX(TableWRMaster[Player],MATCH(TableWRTECalcPts[[#This Row],[POSRef]],TableWRMaster[WRRef],0)),"")</f>
        <v/>
      </c>
      <c r="AM325" s="113" t="str">
        <f>IFERROR(_xlfn.CONCAT(TableWRTECalcPts[[#This Row],[POS]],INDEX(TableWRRanks[RK],MATCH(TableWRTECalcPts[[#This Row],[PLAYER]],TableWRRanks[Player],0))),"")</f>
        <v>WR163</v>
      </c>
      <c r="AN325" s="113" t="str">
        <f>IFERROR(INDEX(TableWRMaster[TM],MATCH(TableWRTECalcPts[[#This Row],[POSRef]],TableWRMaster[WRRef],0)),"")</f>
        <v/>
      </c>
      <c r="AO325" s="113" t="str">
        <f>IFERROR(INDEX(TableWRMaster[BYE],MATCH(TableWRTECalcPts[[#This Row],[POSRef]],TableWRMaster[WRRef],0)),"")</f>
        <v/>
      </c>
      <c r="AP325" s="111" t="str">
        <f>IFERROR(INDEX(TableWRMaster[Custom],MATCH(TableWRTECalcPts[[#This Row],[POSRef]],TableWRMaster[WRRef],0)),"")</f>
        <v/>
      </c>
    </row>
    <row r="326" spans="35:42" x14ac:dyDescent="0.2">
      <c r="AI326" s="60" t="s">
        <v>257</v>
      </c>
      <c r="AJ326" s="60" t="str">
        <f>IFERROR(RANK(TableWRTECalcPts[[#This Row],[Custom]],TableWRTECalcPts[Custom])+COUNTIF($AP$3:AP326,AP326)-1,"")</f>
        <v/>
      </c>
      <c r="AK326" s="113">
        <v>224</v>
      </c>
      <c r="AL326" s="113" t="str">
        <f>IFERROR(INDEX(TableWRMaster[Player],MATCH(TableWRTECalcPts[[#This Row],[POSRef]],TableWRMaster[WRRef],0)),"")</f>
        <v/>
      </c>
      <c r="AM326" s="113" t="str">
        <f>IFERROR(_xlfn.CONCAT(TableWRTECalcPts[[#This Row],[POS]],INDEX(TableWRRanks[RK],MATCH(TableWRTECalcPts[[#This Row],[PLAYER]],TableWRRanks[Player],0))),"")</f>
        <v>WR163</v>
      </c>
      <c r="AN326" s="113" t="str">
        <f>IFERROR(INDEX(TableWRMaster[TM],MATCH(TableWRTECalcPts[[#This Row],[POSRef]],TableWRMaster[WRRef],0)),"")</f>
        <v/>
      </c>
      <c r="AO326" s="113" t="str">
        <f>IFERROR(INDEX(TableWRMaster[BYE],MATCH(TableWRTECalcPts[[#This Row],[POSRef]],TableWRMaster[WRRef],0)),"")</f>
        <v/>
      </c>
      <c r="AP326" s="111" t="str">
        <f>IFERROR(INDEX(TableWRMaster[Custom],MATCH(TableWRTECalcPts[[#This Row],[POSRef]],TableWRMaster[WRRef],0)),"")</f>
        <v/>
      </c>
    </row>
    <row r="327" spans="35:42" x14ac:dyDescent="0.2">
      <c r="AI327" s="60" t="s">
        <v>257</v>
      </c>
      <c r="AJ327" s="60" t="str">
        <f>IFERROR(RANK(TableWRTECalcPts[[#This Row],[Custom]],TableWRTECalcPts[Custom])+COUNTIF($AP$3:AP327,AP327)-1,"")</f>
        <v/>
      </c>
      <c r="AK327" s="113">
        <v>225</v>
      </c>
      <c r="AL327" s="113" t="str">
        <f>IFERROR(INDEX(TableWRMaster[Player],MATCH(TableWRTECalcPts[[#This Row],[POSRef]],TableWRMaster[WRRef],0)),"")</f>
        <v/>
      </c>
      <c r="AM327" s="113" t="str">
        <f>IFERROR(_xlfn.CONCAT(TableWRTECalcPts[[#This Row],[POS]],INDEX(TableWRRanks[RK],MATCH(TableWRTECalcPts[[#This Row],[PLAYER]],TableWRRanks[Player],0))),"")</f>
        <v>WR163</v>
      </c>
      <c r="AN327" s="113" t="str">
        <f>IFERROR(INDEX(TableWRMaster[TM],MATCH(TableWRTECalcPts[[#This Row],[POSRef]],TableWRMaster[WRRef],0)),"")</f>
        <v/>
      </c>
      <c r="AO327" s="113" t="str">
        <f>IFERROR(INDEX(TableWRMaster[BYE],MATCH(TableWRTECalcPts[[#This Row],[POSRef]],TableWRMaster[WRRef],0)),"")</f>
        <v/>
      </c>
      <c r="AP327" s="111" t="str">
        <f>IFERROR(INDEX(TableWRMaster[Custom],MATCH(TableWRTECalcPts[[#This Row],[POSRef]],TableWRMaster[WRRef],0)),"")</f>
        <v/>
      </c>
    </row>
  </sheetData>
  <pageMargins left="0.7" right="0.7" top="0.75" bottom="0.75" header="0.3" footer="0.3"/>
  <pageSetup orientation="portrait" horizontalDpi="90" verticalDpi="90" r:id="rId1"/>
  <ignoredErrors>
    <ignoredError sqref="AM3:AM327" calculatedColumn="1"/>
  </ignoredErrors>
  <tableParts count="6">
    <tablePart r:id="rId2"/>
    <tablePart r:id="rId3"/>
    <tablePart r:id="rId4"/>
    <tablePart r:id="rId5"/>
    <tablePart r:id="rId6"/>
    <tablePart r:id="rId7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1D904-1E5C-49A4-BE58-407A92F40514}">
  <dimension ref="A1:U187"/>
  <sheetViews>
    <sheetView zoomScale="85" zoomScaleNormal="85" workbookViewId="0">
      <selection activeCell="C3" sqref="C3:U289"/>
    </sheetView>
  </sheetViews>
  <sheetFormatPr baseColWidth="10" defaultColWidth="9" defaultRowHeight="14" x14ac:dyDescent="0.2"/>
  <cols>
    <col min="1" max="1" width="4.19921875" bestFit="1" customWidth="1"/>
    <col min="2" max="2" width="4.19921875" customWidth="1"/>
    <col min="3" max="3" width="16.19921875" bestFit="1" customWidth="1"/>
    <col min="4" max="4" width="5.59765625" bestFit="1" customWidth="1"/>
    <col min="5" max="5" width="7.796875" bestFit="1" customWidth="1"/>
    <col min="6" max="6" width="7.796875" customWidth="1"/>
    <col min="8" max="8" width="19.19921875" bestFit="1" customWidth="1"/>
    <col min="9" max="9" width="5.59765625" bestFit="1" customWidth="1"/>
    <col min="10" max="10" width="7.796875" bestFit="1" customWidth="1"/>
    <col min="11" max="11" width="7.796875" customWidth="1"/>
    <col min="13" max="13" width="22" bestFit="1" customWidth="1"/>
    <col min="14" max="14" width="5.59765625" bestFit="1" customWidth="1"/>
    <col min="15" max="15" width="7.796875" bestFit="1" customWidth="1"/>
    <col min="16" max="16" width="7.796875" customWidth="1"/>
    <col min="18" max="18" width="18.3984375" bestFit="1" customWidth="1"/>
    <col min="19" max="19" width="5.59765625" bestFit="1" customWidth="1"/>
    <col min="20" max="20" width="7.796875" bestFit="1" customWidth="1"/>
  </cols>
  <sheetData>
    <row r="1" spans="1:21" x14ac:dyDescent="0.2">
      <c r="A1" t="s">
        <v>158</v>
      </c>
      <c r="C1" t="s">
        <v>9</v>
      </c>
      <c r="H1" t="s">
        <v>256</v>
      </c>
      <c r="M1" t="s">
        <v>257</v>
      </c>
      <c r="R1" t="s">
        <v>10</v>
      </c>
    </row>
    <row r="2" spans="1:21" x14ac:dyDescent="0.2">
      <c r="C2" t="s">
        <v>568</v>
      </c>
      <c r="D2" t="s">
        <v>539</v>
      </c>
      <c r="E2" t="s">
        <v>569</v>
      </c>
      <c r="F2" t="s">
        <v>673</v>
      </c>
      <c r="H2" t="s">
        <v>568</v>
      </c>
      <c r="I2" t="s">
        <v>539</v>
      </c>
      <c r="J2" t="s">
        <v>569</v>
      </c>
      <c r="K2" t="s">
        <v>673</v>
      </c>
      <c r="M2" t="s">
        <v>568</v>
      </c>
      <c r="N2" t="s">
        <v>539</v>
      </c>
      <c r="O2" t="s">
        <v>569</v>
      </c>
      <c r="P2" t="s">
        <v>673</v>
      </c>
      <c r="R2" t="s">
        <v>568</v>
      </c>
      <c r="S2" t="s">
        <v>539</v>
      </c>
      <c r="T2" t="s">
        <v>569</v>
      </c>
      <c r="U2" t="s">
        <v>673</v>
      </c>
    </row>
    <row r="3" spans="1:21" x14ac:dyDescent="0.2">
      <c r="A3">
        <v>1</v>
      </c>
      <c r="C3" t="s">
        <v>53</v>
      </c>
      <c r="D3" t="s">
        <v>122</v>
      </c>
      <c r="E3" t="s">
        <v>9</v>
      </c>
      <c r="F3">
        <v>1</v>
      </c>
      <c r="H3" t="s">
        <v>5</v>
      </c>
      <c r="I3" t="s">
        <v>135</v>
      </c>
      <c r="J3" t="s">
        <v>256</v>
      </c>
      <c r="K3">
        <v>1</v>
      </c>
      <c r="M3" t="s">
        <v>179</v>
      </c>
      <c r="N3" t="s">
        <v>126</v>
      </c>
      <c r="O3" t="s">
        <v>257</v>
      </c>
      <c r="P3">
        <v>1</v>
      </c>
      <c r="R3" t="s">
        <v>56</v>
      </c>
      <c r="S3" t="s">
        <v>122</v>
      </c>
      <c r="T3" t="s">
        <v>10</v>
      </c>
      <c r="U3">
        <v>1</v>
      </c>
    </row>
    <row r="4" spans="1:21" x14ac:dyDescent="0.2">
      <c r="A4">
        <v>2</v>
      </c>
      <c r="C4" t="s">
        <v>27</v>
      </c>
      <c r="D4" t="s">
        <v>110</v>
      </c>
      <c r="E4" t="s">
        <v>9</v>
      </c>
      <c r="F4">
        <v>1</v>
      </c>
      <c r="H4" t="s">
        <v>15</v>
      </c>
      <c r="I4" t="s">
        <v>123</v>
      </c>
      <c r="J4" t="s">
        <v>256</v>
      </c>
      <c r="K4">
        <v>2</v>
      </c>
      <c r="M4" t="s">
        <v>54</v>
      </c>
      <c r="N4" t="s">
        <v>125</v>
      </c>
      <c r="O4" t="s">
        <v>257</v>
      </c>
      <c r="P4">
        <v>2</v>
      </c>
      <c r="R4" t="s">
        <v>23</v>
      </c>
      <c r="S4" t="s">
        <v>109</v>
      </c>
      <c r="T4" t="s">
        <v>10</v>
      </c>
      <c r="U4">
        <v>2</v>
      </c>
    </row>
    <row r="5" spans="1:21" x14ac:dyDescent="0.2">
      <c r="A5">
        <v>3</v>
      </c>
      <c r="C5" t="s">
        <v>181</v>
      </c>
      <c r="D5" t="s">
        <v>132</v>
      </c>
      <c r="E5" t="s">
        <v>9</v>
      </c>
      <c r="F5">
        <v>1</v>
      </c>
      <c r="H5" t="s">
        <v>91</v>
      </c>
      <c r="I5" t="s">
        <v>129</v>
      </c>
      <c r="J5" t="s">
        <v>256</v>
      </c>
      <c r="K5">
        <v>2</v>
      </c>
      <c r="M5" t="s">
        <v>240</v>
      </c>
      <c r="N5" t="s">
        <v>113</v>
      </c>
      <c r="O5" t="s">
        <v>257</v>
      </c>
      <c r="P5">
        <v>2</v>
      </c>
      <c r="R5" t="s">
        <v>45</v>
      </c>
      <c r="S5" t="s">
        <v>126</v>
      </c>
      <c r="T5" t="s">
        <v>10</v>
      </c>
      <c r="U5">
        <v>2</v>
      </c>
    </row>
    <row r="6" spans="1:21" x14ac:dyDescent="0.2">
      <c r="A6">
        <v>4</v>
      </c>
      <c r="C6" t="s">
        <v>20</v>
      </c>
      <c r="D6" t="s">
        <v>109</v>
      </c>
      <c r="E6" t="s">
        <v>9</v>
      </c>
      <c r="F6">
        <v>2</v>
      </c>
      <c r="H6" t="s">
        <v>35</v>
      </c>
      <c r="I6" t="s">
        <v>114</v>
      </c>
      <c r="J6" t="s">
        <v>256</v>
      </c>
      <c r="K6">
        <v>2</v>
      </c>
      <c r="M6" t="s">
        <v>102</v>
      </c>
      <c r="N6" t="s">
        <v>110</v>
      </c>
      <c r="O6" t="s">
        <v>257</v>
      </c>
      <c r="P6">
        <v>3</v>
      </c>
      <c r="R6" t="s">
        <v>84</v>
      </c>
      <c r="S6" t="s">
        <v>129</v>
      </c>
      <c r="T6" t="s">
        <v>10</v>
      </c>
      <c r="U6">
        <v>2</v>
      </c>
    </row>
    <row r="7" spans="1:21" x14ac:dyDescent="0.2">
      <c r="A7">
        <v>5</v>
      </c>
      <c r="C7" t="s">
        <v>165</v>
      </c>
      <c r="D7" t="s">
        <v>113</v>
      </c>
      <c r="E7" t="s">
        <v>9</v>
      </c>
      <c r="F7">
        <v>2</v>
      </c>
      <c r="H7" t="s">
        <v>598</v>
      </c>
      <c r="I7" t="s">
        <v>108</v>
      </c>
      <c r="J7" t="s">
        <v>256</v>
      </c>
      <c r="K7">
        <v>2</v>
      </c>
      <c r="M7" t="s">
        <v>242</v>
      </c>
      <c r="N7" t="s">
        <v>117</v>
      </c>
      <c r="O7" t="s">
        <v>257</v>
      </c>
      <c r="P7">
        <v>3</v>
      </c>
      <c r="R7" t="s">
        <v>14</v>
      </c>
      <c r="S7" t="s">
        <v>135</v>
      </c>
      <c r="T7" t="s">
        <v>10</v>
      </c>
      <c r="U7">
        <v>2</v>
      </c>
    </row>
    <row r="8" spans="1:21" x14ac:dyDescent="0.2">
      <c r="A8">
        <v>6</v>
      </c>
      <c r="C8" t="s">
        <v>206</v>
      </c>
      <c r="D8" t="s">
        <v>112</v>
      </c>
      <c r="E8" t="s">
        <v>9</v>
      </c>
      <c r="F8">
        <v>2</v>
      </c>
      <c r="H8" t="s">
        <v>67</v>
      </c>
      <c r="I8" t="s">
        <v>137</v>
      </c>
      <c r="J8" t="s">
        <v>256</v>
      </c>
      <c r="K8">
        <v>2</v>
      </c>
      <c r="M8" t="s">
        <v>49</v>
      </c>
      <c r="N8" t="s">
        <v>192</v>
      </c>
      <c r="O8" t="s">
        <v>257</v>
      </c>
      <c r="P8">
        <v>3</v>
      </c>
      <c r="R8" t="s">
        <v>215</v>
      </c>
      <c r="S8" t="s">
        <v>108</v>
      </c>
      <c r="T8" t="s">
        <v>10</v>
      </c>
      <c r="U8">
        <v>3</v>
      </c>
    </row>
    <row r="9" spans="1:21" x14ac:dyDescent="0.2">
      <c r="A9">
        <v>7</v>
      </c>
      <c r="C9" t="s">
        <v>208</v>
      </c>
      <c r="D9" t="s">
        <v>537</v>
      </c>
      <c r="E9" t="s">
        <v>9</v>
      </c>
      <c r="F9">
        <v>3</v>
      </c>
      <c r="H9" t="s">
        <v>41</v>
      </c>
      <c r="I9" t="s">
        <v>115</v>
      </c>
      <c r="J9" t="s">
        <v>256</v>
      </c>
      <c r="K9">
        <v>2</v>
      </c>
      <c r="M9" t="s">
        <v>167</v>
      </c>
      <c r="N9" t="s">
        <v>115</v>
      </c>
      <c r="O9" t="s">
        <v>257</v>
      </c>
      <c r="P9">
        <v>3</v>
      </c>
      <c r="R9" t="s">
        <v>82</v>
      </c>
      <c r="S9" t="s">
        <v>132</v>
      </c>
      <c r="T9" t="s">
        <v>10</v>
      </c>
      <c r="U9">
        <v>3</v>
      </c>
    </row>
    <row r="10" spans="1:21" x14ac:dyDescent="0.2">
      <c r="A10">
        <v>8</v>
      </c>
      <c r="C10" t="s">
        <v>175</v>
      </c>
      <c r="D10" t="s">
        <v>123</v>
      </c>
      <c r="E10" t="s">
        <v>9</v>
      </c>
      <c r="F10">
        <v>3</v>
      </c>
      <c r="H10" t="s">
        <v>86</v>
      </c>
      <c r="I10" t="s">
        <v>192</v>
      </c>
      <c r="J10" t="s">
        <v>256</v>
      </c>
      <c r="K10">
        <v>2</v>
      </c>
      <c r="M10" t="s">
        <v>247</v>
      </c>
      <c r="N10" t="s">
        <v>125</v>
      </c>
      <c r="O10" t="s">
        <v>257</v>
      </c>
      <c r="P10">
        <v>4</v>
      </c>
      <c r="R10" t="s">
        <v>88</v>
      </c>
      <c r="S10" t="s">
        <v>537</v>
      </c>
      <c r="T10" t="s">
        <v>10</v>
      </c>
      <c r="U10">
        <v>3</v>
      </c>
    </row>
    <row r="11" spans="1:21" x14ac:dyDescent="0.2">
      <c r="A11">
        <v>9</v>
      </c>
      <c r="C11" t="s">
        <v>177</v>
      </c>
      <c r="D11" t="s">
        <v>125</v>
      </c>
      <c r="E11" t="s">
        <v>9</v>
      </c>
      <c r="F11">
        <v>4</v>
      </c>
      <c r="H11" t="s">
        <v>231</v>
      </c>
      <c r="I11" t="s">
        <v>127</v>
      </c>
      <c r="J11" t="s">
        <v>256</v>
      </c>
      <c r="K11">
        <v>3</v>
      </c>
      <c r="M11" t="s">
        <v>492</v>
      </c>
      <c r="N11" t="s">
        <v>130</v>
      </c>
      <c r="O11" t="s">
        <v>257</v>
      </c>
      <c r="P11">
        <v>4</v>
      </c>
      <c r="R11" t="s">
        <v>58</v>
      </c>
      <c r="S11" t="s">
        <v>124</v>
      </c>
      <c r="T11" t="s">
        <v>10</v>
      </c>
      <c r="U11">
        <v>3</v>
      </c>
    </row>
    <row r="12" spans="1:21" x14ac:dyDescent="0.2">
      <c r="A12">
        <v>10</v>
      </c>
      <c r="C12" t="s">
        <v>92</v>
      </c>
      <c r="D12" t="s">
        <v>129</v>
      </c>
      <c r="E12" t="s">
        <v>9</v>
      </c>
      <c r="F12">
        <v>4</v>
      </c>
      <c r="H12" t="s">
        <v>33</v>
      </c>
      <c r="I12" t="s">
        <v>113</v>
      </c>
      <c r="J12" t="s">
        <v>256</v>
      </c>
      <c r="K12">
        <v>3</v>
      </c>
      <c r="M12" t="s">
        <v>68</v>
      </c>
      <c r="N12" t="s">
        <v>132</v>
      </c>
      <c r="O12" t="s">
        <v>257</v>
      </c>
      <c r="P12">
        <v>4</v>
      </c>
      <c r="R12" t="s">
        <v>222</v>
      </c>
      <c r="S12" t="s">
        <v>133</v>
      </c>
      <c r="T12" t="s">
        <v>10</v>
      </c>
      <c r="U12">
        <v>3</v>
      </c>
    </row>
    <row r="13" spans="1:21" x14ac:dyDescent="0.2">
      <c r="A13">
        <v>11</v>
      </c>
      <c r="C13" t="s">
        <v>622</v>
      </c>
      <c r="D13" t="s">
        <v>120</v>
      </c>
      <c r="E13" t="s">
        <v>9</v>
      </c>
      <c r="F13">
        <v>4</v>
      </c>
      <c r="H13" t="s">
        <v>233</v>
      </c>
      <c r="I13" t="s">
        <v>133</v>
      </c>
      <c r="J13" t="s">
        <v>256</v>
      </c>
      <c r="K13">
        <v>3</v>
      </c>
      <c r="M13" t="s">
        <v>61</v>
      </c>
      <c r="N13" t="s">
        <v>124</v>
      </c>
      <c r="O13" t="s">
        <v>257</v>
      </c>
      <c r="P13">
        <v>4</v>
      </c>
      <c r="R13" t="s">
        <v>36</v>
      </c>
      <c r="S13" t="s">
        <v>114</v>
      </c>
      <c r="T13" t="s">
        <v>10</v>
      </c>
      <c r="U13">
        <v>4</v>
      </c>
    </row>
    <row r="14" spans="1:21" x14ac:dyDescent="0.2">
      <c r="A14">
        <v>12</v>
      </c>
      <c r="C14" t="s">
        <v>213</v>
      </c>
      <c r="D14" t="s">
        <v>134</v>
      </c>
      <c r="E14" t="s">
        <v>9</v>
      </c>
      <c r="F14">
        <v>4</v>
      </c>
      <c r="H14" t="s">
        <v>613</v>
      </c>
      <c r="I14" t="s">
        <v>117</v>
      </c>
      <c r="J14" t="s">
        <v>256</v>
      </c>
      <c r="K14">
        <v>4</v>
      </c>
      <c r="M14" t="s">
        <v>493</v>
      </c>
      <c r="N14" t="s">
        <v>128</v>
      </c>
      <c r="O14" t="s">
        <v>257</v>
      </c>
      <c r="P14">
        <v>4</v>
      </c>
      <c r="R14" t="s">
        <v>552</v>
      </c>
      <c r="S14" t="s">
        <v>137</v>
      </c>
      <c r="T14" t="s">
        <v>10</v>
      </c>
      <c r="U14">
        <v>4</v>
      </c>
    </row>
    <row r="15" spans="1:21" x14ac:dyDescent="0.2">
      <c r="A15">
        <v>13</v>
      </c>
      <c r="C15" t="s">
        <v>51</v>
      </c>
      <c r="D15" t="s">
        <v>114</v>
      </c>
      <c r="E15" t="s">
        <v>9</v>
      </c>
      <c r="F15">
        <v>4</v>
      </c>
      <c r="H15" t="s">
        <v>503</v>
      </c>
      <c r="I15" t="s">
        <v>119</v>
      </c>
      <c r="J15" t="s">
        <v>256</v>
      </c>
      <c r="K15">
        <v>4</v>
      </c>
      <c r="M15" t="s">
        <v>586</v>
      </c>
      <c r="N15" t="s">
        <v>537</v>
      </c>
      <c r="O15" t="s">
        <v>257</v>
      </c>
      <c r="P15">
        <v>4</v>
      </c>
      <c r="R15" t="s">
        <v>164</v>
      </c>
      <c r="S15" t="s">
        <v>112</v>
      </c>
      <c r="T15" t="s">
        <v>10</v>
      </c>
      <c r="U15">
        <v>4</v>
      </c>
    </row>
    <row r="16" spans="1:21" x14ac:dyDescent="0.2">
      <c r="A16">
        <v>14</v>
      </c>
      <c r="C16" t="s">
        <v>47</v>
      </c>
      <c r="D16" t="s">
        <v>130</v>
      </c>
      <c r="E16" t="s">
        <v>9</v>
      </c>
      <c r="F16">
        <v>5</v>
      </c>
      <c r="H16" t="s">
        <v>481</v>
      </c>
      <c r="I16" t="s">
        <v>537</v>
      </c>
      <c r="J16" t="s">
        <v>256</v>
      </c>
      <c r="K16">
        <v>4</v>
      </c>
      <c r="M16" t="s">
        <v>250</v>
      </c>
      <c r="N16" t="s">
        <v>132</v>
      </c>
      <c r="O16" t="s">
        <v>257</v>
      </c>
      <c r="P16">
        <v>4</v>
      </c>
      <c r="R16" t="s">
        <v>603</v>
      </c>
      <c r="S16" t="s">
        <v>110</v>
      </c>
      <c r="T16" t="s">
        <v>10</v>
      </c>
      <c r="U16">
        <v>4</v>
      </c>
    </row>
    <row r="17" spans="1:21" x14ac:dyDescent="0.2">
      <c r="A17">
        <v>15</v>
      </c>
      <c r="C17" t="s">
        <v>42</v>
      </c>
      <c r="D17" t="s">
        <v>115</v>
      </c>
      <c r="E17" t="s">
        <v>9</v>
      </c>
      <c r="F17">
        <v>5</v>
      </c>
      <c r="H17" t="s">
        <v>516</v>
      </c>
      <c r="I17" t="s">
        <v>136</v>
      </c>
      <c r="J17" t="s">
        <v>256</v>
      </c>
      <c r="K17">
        <v>4</v>
      </c>
      <c r="M17" t="s">
        <v>166</v>
      </c>
      <c r="N17" t="s">
        <v>113</v>
      </c>
      <c r="O17" t="s">
        <v>257</v>
      </c>
      <c r="P17">
        <v>4</v>
      </c>
      <c r="R17" t="s">
        <v>157</v>
      </c>
      <c r="S17" t="s">
        <v>119</v>
      </c>
      <c r="T17" t="s">
        <v>10</v>
      </c>
      <c r="U17">
        <v>4</v>
      </c>
    </row>
    <row r="18" spans="1:21" x14ac:dyDescent="0.2">
      <c r="A18">
        <v>16</v>
      </c>
      <c r="C18" t="s">
        <v>98</v>
      </c>
      <c r="D18" t="s">
        <v>126</v>
      </c>
      <c r="E18" t="s">
        <v>9</v>
      </c>
      <c r="F18">
        <v>5</v>
      </c>
      <c r="H18" t="s">
        <v>48</v>
      </c>
      <c r="I18" t="s">
        <v>118</v>
      </c>
      <c r="J18" t="s">
        <v>256</v>
      </c>
      <c r="K18">
        <v>4</v>
      </c>
      <c r="M18" t="s">
        <v>201</v>
      </c>
      <c r="N18" t="s">
        <v>134</v>
      </c>
      <c r="O18" t="s">
        <v>257</v>
      </c>
      <c r="P18">
        <v>5</v>
      </c>
      <c r="R18" t="s">
        <v>81</v>
      </c>
      <c r="S18" t="s">
        <v>107</v>
      </c>
      <c r="T18" t="s">
        <v>10</v>
      </c>
      <c r="U18">
        <v>4</v>
      </c>
    </row>
    <row r="19" spans="1:21" x14ac:dyDescent="0.2">
      <c r="A19">
        <v>17</v>
      </c>
      <c r="C19" t="s">
        <v>604</v>
      </c>
      <c r="D19" t="s">
        <v>111</v>
      </c>
      <c r="E19" t="s">
        <v>9</v>
      </c>
      <c r="F19">
        <v>5</v>
      </c>
      <c r="H19" t="s">
        <v>79</v>
      </c>
      <c r="I19" t="s">
        <v>111</v>
      </c>
      <c r="J19" t="s">
        <v>256</v>
      </c>
      <c r="K19">
        <v>4</v>
      </c>
      <c r="M19" t="s">
        <v>196</v>
      </c>
      <c r="N19" t="s">
        <v>137</v>
      </c>
      <c r="O19" t="s">
        <v>257</v>
      </c>
      <c r="P19">
        <v>5</v>
      </c>
      <c r="R19" t="s">
        <v>18</v>
      </c>
      <c r="S19" t="s">
        <v>127</v>
      </c>
      <c r="T19" t="s">
        <v>10</v>
      </c>
      <c r="U19">
        <v>4</v>
      </c>
    </row>
    <row r="20" spans="1:21" x14ac:dyDescent="0.2">
      <c r="A20">
        <v>18</v>
      </c>
      <c r="C20" t="s">
        <v>73</v>
      </c>
      <c r="D20" t="s">
        <v>116</v>
      </c>
      <c r="E20" t="s">
        <v>9</v>
      </c>
      <c r="F20">
        <v>5</v>
      </c>
      <c r="H20" t="s">
        <v>483</v>
      </c>
      <c r="I20" t="s">
        <v>124</v>
      </c>
      <c r="J20" t="s">
        <v>256</v>
      </c>
      <c r="K20">
        <v>4</v>
      </c>
      <c r="M20" t="s">
        <v>16</v>
      </c>
      <c r="N20" t="s">
        <v>123</v>
      </c>
      <c r="O20" t="s">
        <v>257</v>
      </c>
      <c r="P20">
        <v>5</v>
      </c>
      <c r="R20" t="s">
        <v>501</v>
      </c>
      <c r="S20" t="s">
        <v>115</v>
      </c>
      <c r="T20" t="s">
        <v>10</v>
      </c>
      <c r="U20">
        <v>4</v>
      </c>
    </row>
    <row r="21" spans="1:21" x14ac:dyDescent="0.2">
      <c r="A21">
        <v>19</v>
      </c>
      <c r="C21" t="s">
        <v>46</v>
      </c>
      <c r="D21" t="s">
        <v>124</v>
      </c>
      <c r="E21" t="s">
        <v>9</v>
      </c>
      <c r="F21">
        <v>5</v>
      </c>
      <c r="H21" t="s">
        <v>78</v>
      </c>
      <c r="I21" t="s">
        <v>107</v>
      </c>
      <c r="J21" t="s">
        <v>256</v>
      </c>
      <c r="K21">
        <v>4</v>
      </c>
      <c r="M21" t="s">
        <v>524</v>
      </c>
      <c r="N21" t="s">
        <v>118</v>
      </c>
      <c r="O21" t="s">
        <v>257</v>
      </c>
      <c r="P21">
        <v>5</v>
      </c>
      <c r="R21" t="s">
        <v>57</v>
      </c>
      <c r="S21" t="s">
        <v>123</v>
      </c>
      <c r="T21" t="s">
        <v>10</v>
      </c>
      <c r="U21">
        <v>4</v>
      </c>
    </row>
    <row r="22" spans="1:21" x14ac:dyDescent="0.2">
      <c r="A22">
        <v>20</v>
      </c>
      <c r="C22" t="s">
        <v>171</v>
      </c>
      <c r="D22" t="s">
        <v>118</v>
      </c>
      <c r="E22" t="s">
        <v>9</v>
      </c>
      <c r="F22">
        <v>5</v>
      </c>
      <c r="H22" t="s">
        <v>94</v>
      </c>
      <c r="I22" t="s">
        <v>128</v>
      </c>
      <c r="J22" t="s">
        <v>256</v>
      </c>
      <c r="K22">
        <v>4</v>
      </c>
      <c r="M22" t="s">
        <v>37</v>
      </c>
      <c r="N22" t="s">
        <v>114</v>
      </c>
      <c r="O22" t="s">
        <v>257</v>
      </c>
      <c r="P22">
        <v>5</v>
      </c>
      <c r="R22" t="s">
        <v>468</v>
      </c>
      <c r="S22" t="s">
        <v>128</v>
      </c>
      <c r="T22" t="s">
        <v>10</v>
      </c>
      <c r="U22">
        <v>4</v>
      </c>
    </row>
    <row r="23" spans="1:21" x14ac:dyDescent="0.2">
      <c r="A23">
        <v>21</v>
      </c>
      <c r="C23" t="s">
        <v>511</v>
      </c>
      <c r="D23" t="s">
        <v>533</v>
      </c>
      <c r="E23" t="s">
        <v>9</v>
      </c>
      <c r="F23">
        <v>5</v>
      </c>
      <c r="H23" t="s">
        <v>474</v>
      </c>
      <c r="I23" t="s">
        <v>109</v>
      </c>
      <c r="J23" t="s">
        <v>256</v>
      </c>
      <c r="K23">
        <v>4</v>
      </c>
      <c r="M23" t="s">
        <v>238</v>
      </c>
      <c r="N23" t="s">
        <v>112</v>
      </c>
      <c r="O23" t="s">
        <v>257</v>
      </c>
      <c r="P23">
        <v>5</v>
      </c>
      <c r="R23" t="s">
        <v>525</v>
      </c>
      <c r="S23" t="s">
        <v>116</v>
      </c>
      <c r="T23" t="s">
        <v>10</v>
      </c>
      <c r="U23">
        <v>4</v>
      </c>
    </row>
    <row r="24" spans="1:21" x14ac:dyDescent="0.2">
      <c r="A24">
        <v>22</v>
      </c>
      <c r="C24" t="s">
        <v>63</v>
      </c>
      <c r="D24" t="s">
        <v>117</v>
      </c>
      <c r="E24" t="s">
        <v>9</v>
      </c>
      <c r="F24">
        <v>5</v>
      </c>
      <c r="H24" t="s">
        <v>100</v>
      </c>
      <c r="I24" t="s">
        <v>126</v>
      </c>
      <c r="J24" t="s">
        <v>256</v>
      </c>
      <c r="K24">
        <v>4</v>
      </c>
      <c r="M24" t="s">
        <v>489</v>
      </c>
      <c r="N24" t="s">
        <v>533</v>
      </c>
      <c r="O24" t="s">
        <v>257</v>
      </c>
      <c r="P24">
        <v>5</v>
      </c>
      <c r="R24" t="s">
        <v>615</v>
      </c>
      <c r="S24" t="s">
        <v>117</v>
      </c>
      <c r="T24" t="s">
        <v>10</v>
      </c>
      <c r="U24">
        <v>5</v>
      </c>
    </row>
    <row r="25" spans="1:21" x14ac:dyDescent="0.2">
      <c r="A25">
        <v>23</v>
      </c>
      <c r="C25" t="s">
        <v>588</v>
      </c>
      <c r="D25" t="s">
        <v>135</v>
      </c>
      <c r="E25" t="s">
        <v>9</v>
      </c>
      <c r="F25">
        <v>6</v>
      </c>
      <c r="H25" t="s">
        <v>227</v>
      </c>
      <c r="I25" t="s">
        <v>112</v>
      </c>
      <c r="J25" t="s">
        <v>256</v>
      </c>
      <c r="K25">
        <v>4</v>
      </c>
      <c r="M25" t="s">
        <v>13</v>
      </c>
      <c r="N25" t="s">
        <v>135</v>
      </c>
      <c r="O25" t="s">
        <v>257</v>
      </c>
      <c r="P25">
        <v>5</v>
      </c>
      <c r="R25" t="s">
        <v>487</v>
      </c>
      <c r="S25" t="s">
        <v>113</v>
      </c>
      <c r="T25" t="s">
        <v>10</v>
      </c>
      <c r="U25">
        <v>5</v>
      </c>
    </row>
    <row r="26" spans="1:21" x14ac:dyDescent="0.2">
      <c r="A26">
        <v>24</v>
      </c>
      <c r="C26" t="s">
        <v>491</v>
      </c>
      <c r="D26" t="s">
        <v>133</v>
      </c>
      <c r="E26" t="s">
        <v>9</v>
      </c>
      <c r="F26">
        <v>6</v>
      </c>
      <c r="H26" t="s">
        <v>230</v>
      </c>
      <c r="I26" t="s">
        <v>116</v>
      </c>
      <c r="J26" t="s">
        <v>256</v>
      </c>
      <c r="K26">
        <v>5</v>
      </c>
      <c r="M26" t="s">
        <v>72</v>
      </c>
      <c r="N26" t="s">
        <v>136</v>
      </c>
      <c r="O26" t="s">
        <v>257</v>
      </c>
      <c r="P26">
        <v>5</v>
      </c>
      <c r="R26" t="s">
        <v>618</v>
      </c>
      <c r="S26" t="s">
        <v>118</v>
      </c>
      <c r="T26" t="s">
        <v>10</v>
      </c>
      <c r="U26">
        <v>5</v>
      </c>
    </row>
    <row r="27" spans="1:21" x14ac:dyDescent="0.2">
      <c r="A27">
        <v>25</v>
      </c>
      <c r="C27" t="s">
        <v>83</v>
      </c>
      <c r="D27" t="s">
        <v>128</v>
      </c>
      <c r="E27" t="s">
        <v>9</v>
      </c>
      <c r="F27">
        <v>6</v>
      </c>
      <c r="H27" t="s">
        <v>507</v>
      </c>
      <c r="I27" t="s">
        <v>130</v>
      </c>
      <c r="J27" t="s">
        <v>256</v>
      </c>
      <c r="K27">
        <v>5</v>
      </c>
      <c r="M27" t="s">
        <v>66</v>
      </c>
      <c r="N27" t="s">
        <v>533</v>
      </c>
      <c r="O27" t="s">
        <v>257</v>
      </c>
      <c r="P27">
        <v>5</v>
      </c>
      <c r="R27" t="s">
        <v>44</v>
      </c>
      <c r="S27" t="s">
        <v>134</v>
      </c>
      <c r="T27" t="s">
        <v>10</v>
      </c>
      <c r="U27">
        <v>5</v>
      </c>
    </row>
    <row r="28" spans="1:21" x14ac:dyDescent="0.2">
      <c r="A28">
        <v>26</v>
      </c>
      <c r="C28" t="s">
        <v>620</v>
      </c>
      <c r="D28" t="s">
        <v>119</v>
      </c>
      <c r="E28" t="s">
        <v>9</v>
      </c>
      <c r="F28">
        <v>6</v>
      </c>
      <c r="H28" t="s">
        <v>573</v>
      </c>
      <c r="I28" t="s">
        <v>122</v>
      </c>
      <c r="J28" t="s">
        <v>256</v>
      </c>
      <c r="K28">
        <v>5</v>
      </c>
      <c r="M28" t="s">
        <v>17</v>
      </c>
      <c r="N28" t="s">
        <v>123</v>
      </c>
      <c r="O28" t="s">
        <v>257</v>
      </c>
      <c r="P28">
        <v>5</v>
      </c>
      <c r="R28" t="s">
        <v>25</v>
      </c>
      <c r="S28" t="s">
        <v>110</v>
      </c>
      <c r="T28" t="s">
        <v>10</v>
      </c>
      <c r="U28">
        <v>5</v>
      </c>
    </row>
    <row r="29" spans="1:21" x14ac:dyDescent="0.2">
      <c r="A29">
        <v>27</v>
      </c>
      <c r="C29" t="s">
        <v>145</v>
      </c>
      <c r="D29" t="s">
        <v>137</v>
      </c>
      <c r="E29" t="s">
        <v>9</v>
      </c>
      <c r="F29">
        <v>6</v>
      </c>
      <c r="H29" t="s">
        <v>655</v>
      </c>
      <c r="I29" t="s">
        <v>134</v>
      </c>
      <c r="J29" t="s">
        <v>256</v>
      </c>
      <c r="K29">
        <v>5</v>
      </c>
      <c r="M29" t="s">
        <v>75</v>
      </c>
      <c r="N29" t="s">
        <v>134</v>
      </c>
      <c r="O29" t="s">
        <v>257</v>
      </c>
      <c r="P29">
        <v>5</v>
      </c>
      <c r="R29" t="s">
        <v>556</v>
      </c>
      <c r="S29" t="s">
        <v>130</v>
      </c>
      <c r="T29" t="s">
        <v>10</v>
      </c>
      <c r="U29">
        <v>5</v>
      </c>
    </row>
    <row r="30" spans="1:21" x14ac:dyDescent="0.2">
      <c r="A30">
        <v>28</v>
      </c>
      <c r="C30" t="s">
        <v>11</v>
      </c>
      <c r="D30" t="s">
        <v>192</v>
      </c>
      <c r="E30" t="s">
        <v>9</v>
      </c>
      <c r="F30">
        <v>6</v>
      </c>
      <c r="H30" t="s">
        <v>529</v>
      </c>
      <c r="I30" t="s">
        <v>110</v>
      </c>
      <c r="J30" t="s">
        <v>256</v>
      </c>
      <c r="K30">
        <v>5</v>
      </c>
      <c r="M30" t="s">
        <v>509</v>
      </c>
      <c r="N30" t="s">
        <v>133</v>
      </c>
      <c r="O30" t="s">
        <v>257</v>
      </c>
      <c r="P30">
        <v>5</v>
      </c>
      <c r="R30" t="s">
        <v>632</v>
      </c>
      <c r="S30" t="s">
        <v>192</v>
      </c>
      <c r="T30" t="s">
        <v>10</v>
      </c>
      <c r="U30">
        <v>5</v>
      </c>
    </row>
    <row r="31" spans="1:21" x14ac:dyDescent="0.2">
      <c r="A31">
        <v>29</v>
      </c>
      <c r="C31" t="s">
        <v>530</v>
      </c>
      <c r="D31" t="s">
        <v>108</v>
      </c>
      <c r="E31" t="s">
        <v>9</v>
      </c>
      <c r="F31">
        <v>6</v>
      </c>
      <c r="H31" t="s">
        <v>28</v>
      </c>
      <c r="I31" t="s">
        <v>117</v>
      </c>
      <c r="J31" t="s">
        <v>256</v>
      </c>
      <c r="K31">
        <v>5</v>
      </c>
      <c r="M31" t="s">
        <v>471</v>
      </c>
      <c r="N31" t="s">
        <v>108</v>
      </c>
      <c r="O31" t="s">
        <v>257</v>
      </c>
      <c r="P31">
        <v>5</v>
      </c>
      <c r="R31" t="s">
        <v>515</v>
      </c>
      <c r="S31" t="s">
        <v>136</v>
      </c>
      <c r="T31" t="s">
        <v>10</v>
      </c>
      <c r="U31">
        <v>5</v>
      </c>
    </row>
    <row r="32" spans="1:21" x14ac:dyDescent="0.2">
      <c r="A32">
        <v>30</v>
      </c>
      <c r="C32" t="s">
        <v>210</v>
      </c>
      <c r="D32" t="s">
        <v>127</v>
      </c>
      <c r="E32" t="s">
        <v>9</v>
      </c>
      <c r="F32">
        <v>6</v>
      </c>
      <c r="H32" t="s">
        <v>186</v>
      </c>
      <c r="I32" t="s">
        <v>533</v>
      </c>
      <c r="J32" t="s">
        <v>256</v>
      </c>
      <c r="K32">
        <v>5</v>
      </c>
      <c r="M32" t="s">
        <v>184</v>
      </c>
      <c r="N32" t="s">
        <v>135</v>
      </c>
      <c r="O32" t="s">
        <v>257</v>
      </c>
      <c r="P32">
        <v>5</v>
      </c>
      <c r="R32" t="s">
        <v>559</v>
      </c>
      <c r="S32" t="s">
        <v>107</v>
      </c>
      <c r="T32" t="s">
        <v>10</v>
      </c>
      <c r="U32">
        <v>5</v>
      </c>
    </row>
    <row r="33" spans="1:21" x14ac:dyDescent="0.2">
      <c r="A33">
        <v>31</v>
      </c>
      <c r="C33" t="s">
        <v>572</v>
      </c>
      <c r="D33" t="s">
        <v>136</v>
      </c>
      <c r="E33" t="s">
        <v>9</v>
      </c>
      <c r="F33">
        <v>6</v>
      </c>
      <c r="H33" t="s">
        <v>194</v>
      </c>
      <c r="I33" t="s">
        <v>132</v>
      </c>
      <c r="J33" t="s">
        <v>256</v>
      </c>
      <c r="K33">
        <v>5</v>
      </c>
      <c r="M33" t="s">
        <v>22</v>
      </c>
      <c r="N33" t="s">
        <v>107</v>
      </c>
      <c r="O33" t="s">
        <v>257</v>
      </c>
      <c r="P33">
        <v>5</v>
      </c>
      <c r="R33" t="s">
        <v>24</v>
      </c>
      <c r="S33" t="s">
        <v>111</v>
      </c>
      <c r="T33" t="s">
        <v>10</v>
      </c>
      <c r="U33">
        <v>5</v>
      </c>
    </row>
    <row r="34" spans="1:21" x14ac:dyDescent="0.2">
      <c r="A34">
        <v>32</v>
      </c>
      <c r="C34" t="s">
        <v>538</v>
      </c>
      <c r="D34" t="s">
        <v>107</v>
      </c>
      <c r="E34" t="s">
        <v>9</v>
      </c>
      <c r="F34">
        <v>6</v>
      </c>
      <c r="H34" t="s">
        <v>228</v>
      </c>
      <c r="I34" t="s">
        <v>116</v>
      </c>
      <c r="J34" t="s">
        <v>256</v>
      </c>
      <c r="K34">
        <v>5</v>
      </c>
      <c r="M34" t="s">
        <v>103</v>
      </c>
      <c r="N34" t="s">
        <v>537</v>
      </c>
      <c r="O34" t="s">
        <v>257</v>
      </c>
      <c r="P34">
        <v>6</v>
      </c>
      <c r="R34" t="s">
        <v>65</v>
      </c>
      <c r="S34" t="s">
        <v>127</v>
      </c>
      <c r="T34" t="s">
        <v>10</v>
      </c>
      <c r="U34">
        <v>6</v>
      </c>
    </row>
    <row r="35" spans="1:21" x14ac:dyDescent="0.2">
      <c r="A35">
        <v>33</v>
      </c>
      <c r="C35" t="s">
        <v>105</v>
      </c>
      <c r="D35" t="s">
        <v>107</v>
      </c>
      <c r="E35" t="s">
        <v>9</v>
      </c>
      <c r="F35">
        <v>7</v>
      </c>
      <c r="H35" t="s">
        <v>512</v>
      </c>
      <c r="I35" t="s">
        <v>533</v>
      </c>
      <c r="J35" t="s">
        <v>256</v>
      </c>
      <c r="K35">
        <v>5</v>
      </c>
      <c r="M35" t="s">
        <v>155</v>
      </c>
      <c r="N35" t="s">
        <v>133</v>
      </c>
      <c r="O35" t="s">
        <v>257</v>
      </c>
      <c r="P35">
        <v>6</v>
      </c>
      <c r="R35" t="s">
        <v>93</v>
      </c>
      <c r="S35" t="s">
        <v>128</v>
      </c>
      <c r="T35" t="s">
        <v>10</v>
      </c>
      <c r="U35">
        <v>6</v>
      </c>
    </row>
    <row r="36" spans="1:21" x14ac:dyDescent="0.2">
      <c r="A36">
        <v>34</v>
      </c>
      <c r="C36" t="s">
        <v>534</v>
      </c>
      <c r="D36" t="s">
        <v>136</v>
      </c>
      <c r="E36" t="s">
        <v>9</v>
      </c>
      <c r="F36">
        <v>7</v>
      </c>
      <c r="H36" t="s">
        <v>99</v>
      </c>
      <c r="I36" t="s">
        <v>130</v>
      </c>
      <c r="J36" t="s">
        <v>256</v>
      </c>
      <c r="K36">
        <v>5</v>
      </c>
      <c r="M36" t="s">
        <v>95</v>
      </c>
      <c r="N36" t="s">
        <v>128</v>
      </c>
      <c r="O36" t="s">
        <v>257</v>
      </c>
      <c r="P36">
        <v>6</v>
      </c>
      <c r="R36" t="s">
        <v>19</v>
      </c>
      <c r="S36" t="s">
        <v>192</v>
      </c>
      <c r="T36" t="s">
        <v>10</v>
      </c>
      <c r="U36">
        <v>6</v>
      </c>
    </row>
    <row r="37" spans="1:21" x14ac:dyDescent="0.2">
      <c r="A37">
        <v>35</v>
      </c>
      <c r="C37" t="s">
        <v>214</v>
      </c>
      <c r="D37" t="s">
        <v>108</v>
      </c>
      <c r="E37" t="s">
        <v>9</v>
      </c>
      <c r="F37">
        <v>7</v>
      </c>
      <c r="H37" t="s">
        <v>153</v>
      </c>
      <c r="I37" t="s">
        <v>125</v>
      </c>
      <c r="J37" t="s">
        <v>256</v>
      </c>
      <c r="K37">
        <v>5</v>
      </c>
      <c r="M37" t="s">
        <v>520</v>
      </c>
      <c r="N37" t="s">
        <v>122</v>
      </c>
      <c r="O37" t="s">
        <v>257</v>
      </c>
      <c r="P37">
        <v>6</v>
      </c>
      <c r="R37" t="s">
        <v>187</v>
      </c>
      <c r="S37" t="s">
        <v>533</v>
      </c>
      <c r="T37" t="s">
        <v>10</v>
      </c>
      <c r="U37">
        <v>6</v>
      </c>
    </row>
    <row r="38" spans="1:21" x14ac:dyDescent="0.2">
      <c r="A38">
        <v>36</v>
      </c>
      <c r="C38" t="s">
        <v>462</v>
      </c>
      <c r="D38" t="s">
        <v>120</v>
      </c>
      <c r="E38" t="s">
        <v>9</v>
      </c>
      <c r="F38">
        <v>7</v>
      </c>
      <c r="H38" t="s">
        <v>195</v>
      </c>
      <c r="I38" t="s">
        <v>128</v>
      </c>
      <c r="J38" t="s">
        <v>256</v>
      </c>
      <c r="K38">
        <v>5</v>
      </c>
      <c r="M38" t="s">
        <v>71</v>
      </c>
      <c r="N38" t="s">
        <v>136</v>
      </c>
      <c r="O38" t="s">
        <v>257</v>
      </c>
      <c r="P38">
        <v>6</v>
      </c>
      <c r="R38" t="s">
        <v>180</v>
      </c>
      <c r="S38" t="s">
        <v>116</v>
      </c>
      <c r="T38" t="s">
        <v>10</v>
      </c>
      <c r="U38">
        <v>6</v>
      </c>
    </row>
    <row r="39" spans="1:21" x14ac:dyDescent="0.2">
      <c r="A39">
        <v>37</v>
      </c>
      <c r="C39" t="s">
        <v>535</v>
      </c>
      <c r="D39" t="s">
        <v>129</v>
      </c>
      <c r="E39" t="s">
        <v>9</v>
      </c>
      <c r="F39">
        <v>7</v>
      </c>
      <c r="H39" t="s">
        <v>645</v>
      </c>
      <c r="I39" t="s">
        <v>134</v>
      </c>
      <c r="J39" t="s">
        <v>256</v>
      </c>
      <c r="K39">
        <v>5</v>
      </c>
      <c r="M39" t="s">
        <v>638</v>
      </c>
      <c r="N39" t="s">
        <v>126</v>
      </c>
      <c r="O39" t="s">
        <v>257</v>
      </c>
      <c r="P39">
        <v>6</v>
      </c>
      <c r="R39" t="s">
        <v>498</v>
      </c>
      <c r="S39" t="s">
        <v>109</v>
      </c>
      <c r="T39" t="s">
        <v>10</v>
      </c>
      <c r="U39">
        <v>6</v>
      </c>
    </row>
    <row r="40" spans="1:21" x14ac:dyDescent="0.2">
      <c r="A40">
        <v>38</v>
      </c>
      <c r="C40" t="s">
        <v>144</v>
      </c>
      <c r="D40" t="s">
        <v>533</v>
      </c>
      <c r="E40" t="s">
        <v>9</v>
      </c>
      <c r="F40">
        <v>7</v>
      </c>
      <c r="H40" t="s">
        <v>570</v>
      </c>
      <c r="I40" t="s">
        <v>118</v>
      </c>
      <c r="J40" t="s">
        <v>256</v>
      </c>
      <c r="K40">
        <v>5</v>
      </c>
      <c r="M40" t="s">
        <v>601</v>
      </c>
      <c r="N40" t="s">
        <v>110</v>
      </c>
      <c r="O40" t="s">
        <v>257</v>
      </c>
      <c r="P40">
        <v>6</v>
      </c>
      <c r="R40" t="s">
        <v>669</v>
      </c>
      <c r="S40" t="s">
        <v>533</v>
      </c>
      <c r="T40" t="s">
        <v>10</v>
      </c>
      <c r="U40">
        <v>6</v>
      </c>
    </row>
    <row r="41" spans="1:21" x14ac:dyDescent="0.2">
      <c r="A41">
        <v>39</v>
      </c>
      <c r="C41" t="s">
        <v>495</v>
      </c>
      <c r="D41" t="s">
        <v>192</v>
      </c>
      <c r="E41" t="s">
        <v>9</v>
      </c>
      <c r="F41">
        <v>7</v>
      </c>
      <c r="H41" t="s">
        <v>40</v>
      </c>
      <c r="I41" t="s">
        <v>127</v>
      </c>
      <c r="J41" t="s">
        <v>256</v>
      </c>
      <c r="K41">
        <v>6</v>
      </c>
      <c r="M41" t="s">
        <v>43</v>
      </c>
      <c r="N41" t="s">
        <v>116</v>
      </c>
      <c r="O41" t="s">
        <v>257</v>
      </c>
      <c r="P41">
        <v>6</v>
      </c>
      <c r="R41" t="s">
        <v>218</v>
      </c>
      <c r="S41" t="s">
        <v>120</v>
      </c>
      <c r="T41" t="s">
        <v>10</v>
      </c>
      <c r="U41">
        <v>6</v>
      </c>
    </row>
    <row r="42" spans="1:21" x14ac:dyDescent="0.2">
      <c r="A42">
        <v>40</v>
      </c>
      <c r="C42" t="s">
        <v>596</v>
      </c>
      <c r="D42" t="s">
        <v>107</v>
      </c>
      <c r="E42" t="s">
        <v>9</v>
      </c>
      <c r="F42">
        <v>7</v>
      </c>
      <c r="H42" t="s">
        <v>574</v>
      </c>
      <c r="I42" t="s">
        <v>122</v>
      </c>
      <c r="J42" t="s">
        <v>256</v>
      </c>
      <c r="K42">
        <v>6</v>
      </c>
      <c r="M42" t="s">
        <v>169</v>
      </c>
      <c r="N42" t="s">
        <v>116</v>
      </c>
      <c r="O42" t="s">
        <v>257</v>
      </c>
      <c r="P42">
        <v>6</v>
      </c>
      <c r="R42" t="s">
        <v>522</v>
      </c>
      <c r="S42" t="s">
        <v>120</v>
      </c>
      <c r="T42" t="s">
        <v>10</v>
      </c>
      <c r="U42">
        <v>6</v>
      </c>
    </row>
    <row r="43" spans="1:21" x14ac:dyDescent="0.2">
      <c r="A43">
        <v>41</v>
      </c>
      <c r="C43" t="s">
        <v>473</v>
      </c>
      <c r="D43" t="s">
        <v>109</v>
      </c>
      <c r="E43" t="s">
        <v>9</v>
      </c>
      <c r="F43">
        <v>7</v>
      </c>
      <c r="H43" t="s">
        <v>74</v>
      </c>
      <c r="I43" t="s">
        <v>132</v>
      </c>
      <c r="J43" t="s">
        <v>256</v>
      </c>
      <c r="K43">
        <v>6</v>
      </c>
      <c r="M43" t="s">
        <v>170</v>
      </c>
      <c r="N43" t="s">
        <v>130</v>
      </c>
      <c r="O43" t="s">
        <v>257</v>
      </c>
      <c r="P43">
        <v>6</v>
      </c>
      <c r="R43" t="s">
        <v>178</v>
      </c>
      <c r="S43" t="s">
        <v>125</v>
      </c>
      <c r="T43" t="s">
        <v>10</v>
      </c>
      <c r="U43">
        <v>6</v>
      </c>
    </row>
    <row r="44" spans="1:21" x14ac:dyDescent="0.2">
      <c r="A44">
        <v>42</v>
      </c>
      <c r="C44" t="s">
        <v>514</v>
      </c>
      <c r="D44" t="s">
        <v>137</v>
      </c>
      <c r="E44" t="s">
        <v>9</v>
      </c>
      <c r="F44">
        <v>7</v>
      </c>
      <c r="H44" t="s">
        <v>575</v>
      </c>
      <c r="I44" t="s">
        <v>133</v>
      </c>
      <c r="J44" t="s">
        <v>256</v>
      </c>
      <c r="K44">
        <v>6</v>
      </c>
      <c r="M44" t="s">
        <v>59</v>
      </c>
      <c r="N44" t="s">
        <v>115</v>
      </c>
      <c r="O44" t="s">
        <v>257</v>
      </c>
      <c r="P44">
        <v>7</v>
      </c>
      <c r="R44" t="s">
        <v>121</v>
      </c>
      <c r="S44" t="s">
        <v>120</v>
      </c>
      <c r="T44" t="s">
        <v>10</v>
      </c>
      <c r="U44">
        <v>6</v>
      </c>
    </row>
    <row r="45" spans="1:21" x14ac:dyDescent="0.2">
      <c r="A45">
        <v>43</v>
      </c>
      <c r="C45" t="s">
        <v>34</v>
      </c>
      <c r="D45" t="s">
        <v>111</v>
      </c>
      <c r="E45" t="s">
        <v>9</v>
      </c>
      <c r="F45">
        <v>7</v>
      </c>
      <c r="H45" t="s">
        <v>173</v>
      </c>
      <c r="I45" t="s">
        <v>120</v>
      </c>
      <c r="J45" t="s">
        <v>256</v>
      </c>
      <c r="K45">
        <v>6</v>
      </c>
      <c r="M45" t="s">
        <v>550</v>
      </c>
      <c r="N45" t="s">
        <v>120</v>
      </c>
      <c r="O45" t="s">
        <v>257</v>
      </c>
      <c r="P45">
        <v>7</v>
      </c>
      <c r="R45" t="s">
        <v>69</v>
      </c>
      <c r="S45" t="s">
        <v>108</v>
      </c>
      <c r="T45" t="s">
        <v>10</v>
      </c>
      <c r="U45">
        <v>6</v>
      </c>
    </row>
    <row r="46" spans="1:21" x14ac:dyDescent="0.2">
      <c r="A46">
        <v>44</v>
      </c>
      <c r="C46" t="s">
        <v>87</v>
      </c>
      <c r="D46" t="s">
        <v>135</v>
      </c>
      <c r="E46" t="s">
        <v>9</v>
      </c>
      <c r="F46">
        <v>7</v>
      </c>
      <c r="H46" t="s">
        <v>654</v>
      </c>
      <c r="I46" t="s">
        <v>112</v>
      </c>
      <c r="J46" t="s">
        <v>256</v>
      </c>
      <c r="K46">
        <v>6</v>
      </c>
      <c r="M46" t="s">
        <v>605</v>
      </c>
      <c r="N46" t="s">
        <v>111</v>
      </c>
      <c r="O46" t="s">
        <v>257</v>
      </c>
      <c r="P46">
        <v>7</v>
      </c>
      <c r="R46" t="s">
        <v>76</v>
      </c>
      <c r="S46" t="s">
        <v>134</v>
      </c>
      <c r="T46" t="s">
        <v>10</v>
      </c>
      <c r="U46">
        <v>6</v>
      </c>
    </row>
    <row r="47" spans="1:21" x14ac:dyDescent="0.2">
      <c r="A47">
        <v>45</v>
      </c>
      <c r="C47" t="s">
        <v>691</v>
      </c>
      <c r="D47" t="s">
        <v>115</v>
      </c>
      <c r="E47" t="s">
        <v>9</v>
      </c>
      <c r="F47">
        <v>7</v>
      </c>
      <c r="H47" t="s">
        <v>659</v>
      </c>
      <c r="I47" t="s">
        <v>125</v>
      </c>
      <c r="J47" t="s">
        <v>256</v>
      </c>
      <c r="K47">
        <v>6</v>
      </c>
      <c r="M47" t="s">
        <v>599</v>
      </c>
      <c r="N47" t="s">
        <v>109</v>
      </c>
      <c r="O47" t="s">
        <v>257</v>
      </c>
      <c r="P47">
        <v>7</v>
      </c>
      <c r="R47" t="s">
        <v>30</v>
      </c>
      <c r="S47" t="s">
        <v>130</v>
      </c>
      <c r="T47" t="s">
        <v>10</v>
      </c>
      <c r="U47">
        <v>6</v>
      </c>
    </row>
    <row r="48" spans="1:21" x14ac:dyDescent="0.2">
      <c r="A48">
        <v>46</v>
      </c>
      <c r="C48" t="s">
        <v>650</v>
      </c>
      <c r="D48" t="s">
        <v>137</v>
      </c>
      <c r="E48" t="s">
        <v>9</v>
      </c>
      <c r="F48">
        <v>7</v>
      </c>
      <c r="H48" t="s">
        <v>626</v>
      </c>
      <c r="I48" t="s">
        <v>537</v>
      </c>
      <c r="J48" t="s">
        <v>256</v>
      </c>
      <c r="K48">
        <v>6</v>
      </c>
      <c r="M48" t="s">
        <v>101</v>
      </c>
      <c r="N48" t="s">
        <v>111</v>
      </c>
      <c r="O48" t="s">
        <v>257</v>
      </c>
      <c r="P48">
        <v>7</v>
      </c>
    </row>
    <row r="49" spans="1:16" x14ac:dyDescent="0.2">
      <c r="A49">
        <v>47</v>
      </c>
      <c r="C49" t="s">
        <v>168</v>
      </c>
      <c r="D49" t="s">
        <v>134</v>
      </c>
      <c r="E49" t="s">
        <v>9</v>
      </c>
      <c r="F49">
        <v>7</v>
      </c>
      <c r="H49" t="s">
        <v>686</v>
      </c>
      <c r="I49" t="s">
        <v>120</v>
      </c>
      <c r="J49" t="s">
        <v>256</v>
      </c>
      <c r="K49">
        <v>6</v>
      </c>
      <c r="M49" t="s">
        <v>243</v>
      </c>
      <c r="N49" t="s">
        <v>119</v>
      </c>
      <c r="O49" t="s">
        <v>257</v>
      </c>
      <c r="P49">
        <v>7</v>
      </c>
    </row>
    <row r="50" spans="1:16" x14ac:dyDescent="0.2">
      <c r="A50">
        <v>48</v>
      </c>
      <c r="C50" t="s">
        <v>635</v>
      </c>
      <c r="D50" t="s">
        <v>124</v>
      </c>
      <c r="E50" t="s">
        <v>9</v>
      </c>
      <c r="F50">
        <v>7</v>
      </c>
      <c r="H50" t="s">
        <v>542</v>
      </c>
      <c r="I50" t="s">
        <v>126</v>
      </c>
      <c r="J50" t="s">
        <v>256</v>
      </c>
      <c r="K50">
        <v>6</v>
      </c>
      <c r="M50" t="s">
        <v>490</v>
      </c>
      <c r="N50" t="s">
        <v>137</v>
      </c>
      <c r="O50" t="s">
        <v>257</v>
      </c>
      <c r="P50">
        <v>7</v>
      </c>
    </row>
    <row r="51" spans="1:16" x14ac:dyDescent="0.2">
      <c r="A51">
        <v>49</v>
      </c>
      <c r="C51" t="s">
        <v>674</v>
      </c>
      <c r="D51" t="s">
        <v>133</v>
      </c>
      <c r="E51" t="s">
        <v>9</v>
      </c>
      <c r="F51">
        <v>7</v>
      </c>
      <c r="H51" t="s">
        <v>480</v>
      </c>
      <c r="I51" t="s">
        <v>120</v>
      </c>
      <c r="J51" t="s">
        <v>256</v>
      </c>
      <c r="K51">
        <v>6</v>
      </c>
      <c r="M51" t="s">
        <v>203</v>
      </c>
      <c r="N51" t="s">
        <v>537</v>
      </c>
      <c r="O51" t="s">
        <v>257</v>
      </c>
      <c r="P51">
        <v>7</v>
      </c>
    </row>
    <row r="52" spans="1:16" x14ac:dyDescent="0.2">
      <c r="A52">
        <v>50</v>
      </c>
      <c r="C52" t="s">
        <v>211</v>
      </c>
      <c r="D52" t="s">
        <v>128</v>
      </c>
      <c r="E52" t="s">
        <v>9</v>
      </c>
      <c r="F52">
        <v>7</v>
      </c>
      <c r="H52" t="s">
        <v>610</v>
      </c>
      <c r="I52" t="s">
        <v>115</v>
      </c>
      <c r="J52" t="s">
        <v>256</v>
      </c>
      <c r="K52">
        <v>6</v>
      </c>
      <c r="M52" t="s">
        <v>592</v>
      </c>
      <c r="N52" t="s">
        <v>109</v>
      </c>
      <c r="O52" t="s">
        <v>257</v>
      </c>
      <c r="P52">
        <v>7</v>
      </c>
    </row>
    <row r="53" spans="1:16" x14ac:dyDescent="0.2">
      <c r="A53">
        <v>51</v>
      </c>
      <c r="H53" t="s">
        <v>21</v>
      </c>
      <c r="I53" t="s">
        <v>109</v>
      </c>
      <c r="J53" t="s">
        <v>256</v>
      </c>
      <c r="K53">
        <v>6</v>
      </c>
      <c r="M53" t="s">
        <v>77</v>
      </c>
      <c r="N53" t="s">
        <v>127</v>
      </c>
      <c r="O53" t="s">
        <v>257</v>
      </c>
      <c r="P53">
        <v>7</v>
      </c>
    </row>
    <row r="54" spans="1:16" x14ac:dyDescent="0.2">
      <c r="A54">
        <v>52</v>
      </c>
      <c r="H54" t="s">
        <v>235</v>
      </c>
      <c r="I54" t="s">
        <v>135</v>
      </c>
      <c r="J54" t="s">
        <v>256</v>
      </c>
      <c r="K54">
        <v>6</v>
      </c>
      <c r="M54" t="s">
        <v>50</v>
      </c>
      <c r="N54" t="s">
        <v>122</v>
      </c>
      <c r="O54" t="s">
        <v>257</v>
      </c>
      <c r="P54">
        <v>8</v>
      </c>
    </row>
    <row r="55" spans="1:16" x14ac:dyDescent="0.2">
      <c r="A55">
        <v>53</v>
      </c>
      <c r="H55" t="s">
        <v>496</v>
      </c>
      <c r="I55" t="s">
        <v>108</v>
      </c>
      <c r="J55" t="s">
        <v>256</v>
      </c>
      <c r="K55">
        <v>6</v>
      </c>
      <c r="M55" t="s">
        <v>612</v>
      </c>
      <c r="N55" t="s">
        <v>116</v>
      </c>
      <c r="O55" t="s">
        <v>257</v>
      </c>
      <c r="P55">
        <v>8</v>
      </c>
    </row>
    <row r="56" spans="1:16" x14ac:dyDescent="0.2">
      <c r="A56">
        <v>54</v>
      </c>
      <c r="H56" t="s">
        <v>97</v>
      </c>
      <c r="I56" t="s">
        <v>110</v>
      </c>
      <c r="J56" t="s">
        <v>256</v>
      </c>
      <c r="K56">
        <v>6</v>
      </c>
      <c r="M56" t="s">
        <v>646</v>
      </c>
      <c r="N56" t="s">
        <v>134</v>
      </c>
      <c r="O56" t="s">
        <v>257</v>
      </c>
      <c r="P56">
        <v>8</v>
      </c>
    </row>
    <row r="57" spans="1:16" x14ac:dyDescent="0.2">
      <c r="A57">
        <v>55</v>
      </c>
      <c r="H57" t="s">
        <v>544</v>
      </c>
      <c r="I57" t="s">
        <v>107</v>
      </c>
      <c r="J57" t="s">
        <v>256</v>
      </c>
      <c r="K57">
        <v>6</v>
      </c>
      <c r="M57" t="s">
        <v>154</v>
      </c>
      <c r="N57" t="s">
        <v>192</v>
      </c>
      <c r="O57" t="s">
        <v>257</v>
      </c>
      <c r="P57">
        <v>8</v>
      </c>
    </row>
    <row r="58" spans="1:16" x14ac:dyDescent="0.2">
      <c r="A58">
        <v>56</v>
      </c>
      <c r="H58" t="s">
        <v>29</v>
      </c>
      <c r="I58" t="s">
        <v>108</v>
      </c>
      <c r="J58" t="s">
        <v>256</v>
      </c>
      <c r="K58">
        <v>7</v>
      </c>
      <c r="M58" t="s">
        <v>32</v>
      </c>
      <c r="N58" t="s">
        <v>113</v>
      </c>
      <c r="O58" t="s">
        <v>257</v>
      </c>
      <c r="P58">
        <v>8</v>
      </c>
    </row>
    <row r="59" spans="1:16" x14ac:dyDescent="0.2">
      <c r="A59">
        <v>57</v>
      </c>
      <c r="H59" t="s">
        <v>519</v>
      </c>
      <c r="I59" t="s">
        <v>124</v>
      </c>
      <c r="J59" t="s">
        <v>256</v>
      </c>
      <c r="K59">
        <v>7</v>
      </c>
      <c r="M59" t="s">
        <v>633</v>
      </c>
      <c r="N59" t="s">
        <v>123</v>
      </c>
      <c r="O59" t="s">
        <v>257</v>
      </c>
      <c r="P59">
        <v>8</v>
      </c>
    </row>
    <row r="60" spans="1:16" x14ac:dyDescent="0.2">
      <c r="A60">
        <v>58</v>
      </c>
      <c r="H60" t="s">
        <v>541</v>
      </c>
      <c r="I60" t="s">
        <v>132</v>
      </c>
      <c r="J60" t="s">
        <v>256</v>
      </c>
      <c r="K60">
        <v>7</v>
      </c>
      <c r="M60" t="s">
        <v>237</v>
      </c>
      <c r="N60" t="s">
        <v>109</v>
      </c>
      <c r="O60" t="s">
        <v>257</v>
      </c>
      <c r="P60">
        <v>8</v>
      </c>
    </row>
    <row r="61" spans="1:16" x14ac:dyDescent="0.2">
      <c r="A61">
        <v>59</v>
      </c>
      <c r="H61" t="s">
        <v>190</v>
      </c>
      <c r="I61" t="s">
        <v>123</v>
      </c>
      <c r="J61" t="s">
        <v>256</v>
      </c>
      <c r="K61">
        <v>7</v>
      </c>
      <c r="M61" t="s">
        <v>189</v>
      </c>
      <c r="N61" t="s">
        <v>114</v>
      </c>
      <c r="O61" t="s">
        <v>257</v>
      </c>
      <c r="P61">
        <v>8</v>
      </c>
    </row>
    <row r="62" spans="1:16" x14ac:dyDescent="0.2">
      <c r="A62">
        <v>60</v>
      </c>
      <c r="H62" t="s">
        <v>651</v>
      </c>
      <c r="I62" t="s">
        <v>137</v>
      </c>
      <c r="J62" t="s">
        <v>256</v>
      </c>
      <c r="K62">
        <v>7</v>
      </c>
      <c r="M62" t="s">
        <v>502</v>
      </c>
      <c r="N62" t="s">
        <v>118</v>
      </c>
      <c r="O62" t="s">
        <v>257</v>
      </c>
      <c r="P62">
        <v>8</v>
      </c>
    </row>
    <row r="63" spans="1:16" x14ac:dyDescent="0.2">
      <c r="A63">
        <v>61</v>
      </c>
      <c r="H63" t="s">
        <v>26</v>
      </c>
      <c r="I63" t="s">
        <v>119</v>
      </c>
      <c r="J63" t="s">
        <v>256</v>
      </c>
      <c r="K63">
        <v>7</v>
      </c>
      <c r="M63" t="s">
        <v>176</v>
      </c>
      <c r="N63" t="s">
        <v>124</v>
      </c>
      <c r="O63" t="s">
        <v>257</v>
      </c>
      <c r="P63">
        <v>8</v>
      </c>
    </row>
    <row r="64" spans="1:16" x14ac:dyDescent="0.2">
      <c r="A64">
        <v>62</v>
      </c>
      <c r="H64" t="s">
        <v>396</v>
      </c>
      <c r="I64" t="s">
        <v>125</v>
      </c>
      <c r="J64" t="s">
        <v>256</v>
      </c>
      <c r="K64">
        <v>7</v>
      </c>
      <c r="M64" t="s">
        <v>617</v>
      </c>
      <c r="N64" t="s">
        <v>118</v>
      </c>
      <c r="O64" t="s">
        <v>257</v>
      </c>
      <c r="P64">
        <v>8</v>
      </c>
    </row>
    <row r="65" spans="1:16" x14ac:dyDescent="0.2">
      <c r="A65">
        <v>63</v>
      </c>
      <c r="H65" t="s">
        <v>505</v>
      </c>
      <c r="I65" t="s">
        <v>192</v>
      </c>
      <c r="J65" t="s">
        <v>256</v>
      </c>
      <c r="K65">
        <v>7</v>
      </c>
      <c r="M65" t="s">
        <v>6</v>
      </c>
      <c r="N65" t="s">
        <v>533</v>
      </c>
      <c r="O65" t="s">
        <v>257</v>
      </c>
      <c r="P65">
        <v>8</v>
      </c>
    </row>
    <row r="66" spans="1:16" x14ac:dyDescent="0.2">
      <c r="A66">
        <v>64</v>
      </c>
      <c r="H66" t="s">
        <v>226</v>
      </c>
      <c r="I66" t="s">
        <v>111</v>
      </c>
      <c r="J66" t="s">
        <v>256</v>
      </c>
      <c r="K66">
        <v>7</v>
      </c>
      <c r="M66" t="s">
        <v>90</v>
      </c>
      <c r="N66" t="s">
        <v>129</v>
      </c>
      <c r="O66" t="s">
        <v>257</v>
      </c>
      <c r="P66">
        <v>8</v>
      </c>
    </row>
    <row r="67" spans="1:16" x14ac:dyDescent="0.2">
      <c r="A67">
        <v>65</v>
      </c>
      <c r="H67" t="s">
        <v>668</v>
      </c>
      <c r="I67" t="s">
        <v>115</v>
      </c>
      <c r="J67" t="s">
        <v>256</v>
      </c>
      <c r="K67">
        <v>7</v>
      </c>
      <c r="M67" t="s">
        <v>597</v>
      </c>
      <c r="N67" t="s">
        <v>107</v>
      </c>
      <c r="O67" t="s">
        <v>257</v>
      </c>
      <c r="P67">
        <v>9</v>
      </c>
    </row>
    <row r="68" spans="1:16" x14ac:dyDescent="0.2">
      <c r="A68">
        <v>66</v>
      </c>
      <c r="H68" t="s">
        <v>229</v>
      </c>
      <c r="I68" t="s">
        <v>113</v>
      </c>
      <c r="J68" t="s">
        <v>256</v>
      </c>
      <c r="K68">
        <v>8</v>
      </c>
      <c r="M68" t="s">
        <v>249</v>
      </c>
      <c r="N68" t="s">
        <v>114</v>
      </c>
      <c r="O68" t="s">
        <v>257</v>
      </c>
      <c r="P68">
        <v>9</v>
      </c>
    </row>
    <row r="69" spans="1:16" x14ac:dyDescent="0.2">
      <c r="A69">
        <v>67</v>
      </c>
      <c r="H69" t="s">
        <v>506</v>
      </c>
      <c r="I69" t="s">
        <v>114</v>
      </c>
      <c r="J69" t="s">
        <v>256</v>
      </c>
      <c r="K69">
        <v>8</v>
      </c>
      <c r="M69" t="s">
        <v>248</v>
      </c>
      <c r="N69" t="s">
        <v>122</v>
      </c>
      <c r="O69" t="s">
        <v>257</v>
      </c>
      <c r="P69">
        <v>9</v>
      </c>
    </row>
    <row r="70" spans="1:16" x14ac:dyDescent="0.2">
      <c r="A70">
        <v>68</v>
      </c>
      <c r="H70" t="s">
        <v>174</v>
      </c>
      <c r="I70" t="s">
        <v>122</v>
      </c>
      <c r="J70" t="s">
        <v>256</v>
      </c>
      <c r="K70">
        <v>8</v>
      </c>
      <c r="M70" t="s">
        <v>469</v>
      </c>
      <c r="N70" t="s">
        <v>126</v>
      </c>
      <c r="O70" t="s">
        <v>257</v>
      </c>
      <c r="P70">
        <v>9</v>
      </c>
    </row>
    <row r="71" spans="1:16" x14ac:dyDescent="0.2">
      <c r="A71">
        <v>69</v>
      </c>
      <c r="H71" t="s">
        <v>582</v>
      </c>
      <c r="I71" t="s">
        <v>135</v>
      </c>
      <c r="J71" t="s">
        <v>256</v>
      </c>
      <c r="K71">
        <v>8</v>
      </c>
      <c r="M71" t="s">
        <v>236</v>
      </c>
      <c r="N71" t="s">
        <v>107</v>
      </c>
      <c r="O71" t="s">
        <v>257</v>
      </c>
      <c r="P71">
        <v>9</v>
      </c>
    </row>
    <row r="72" spans="1:16" x14ac:dyDescent="0.2">
      <c r="A72">
        <v>70</v>
      </c>
      <c r="H72" t="s">
        <v>666</v>
      </c>
      <c r="I72" t="s">
        <v>109</v>
      </c>
      <c r="J72" t="s">
        <v>256</v>
      </c>
      <c r="K72">
        <v>8</v>
      </c>
      <c r="M72" t="s">
        <v>624</v>
      </c>
      <c r="N72" t="s">
        <v>120</v>
      </c>
      <c r="O72" t="s">
        <v>257</v>
      </c>
      <c r="P72">
        <v>9</v>
      </c>
    </row>
    <row r="73" spans="1:16" x14ac:dyDescent="0.2">
      <c r="A73">
        <v>71</v>
      </c>
      <c r="H73" t="s">
        <v>12</v>
      </c>
      <c r="I73" t="s">
        <v>129</v>
      </c>
      <c r="J73" t="s">
        <v>256</v>
      </c>
      <c r="K73">
        <v>8</v>
      </c>
      <c r="M73" t="s">
        <v>64</v>
      </c>
      <c r="N73" t="s">
        <v>127</v>
      </c>
      <c r="O73" t="s">
        <v>257</v>
      </c>
      <c r="P73">
        <v>9</v>
      </c>
    </row>
    <row r="74" spans="1:16" x14ac:dyDescent="0.2">
      <c r="A74">
        <v>72</v>
      </c>
      <c r="H74" t="s">
        <v>500</v>
      </c>
      <c r="I74" t="s">
        <v>114</v>
      </c>
      <c r="J74" t="s">
        <v>256</v>
      </c>
      <c r="K74">
        <v>8</v>
      </c>
      <c r="M74" t="s">
        <v>239</v>
      </c>
      <c r="N74" t="s">
        <v>112</v>
      </c>
      <c r="O74" t="s">
        <v>257</v>
      </c>
      <c r="P74">
        <v>9</v>
      </c>
    </row>
    <row r="75" spans="1:16" x14ac:dyDescent="0.2">
      <c r="A75">
        <v>73</v>
      </c>
      <c r="H75" t="s">
        <v>104</v>
      </c>
      <c r="I75" t="s">
        <v>136</v>
      </c>
      <c r="J75" t="s">
        <v>256</v>
      </c>
      <c r="K75">
        <v>8</v>
      </c>
      <c r="M75" t="s">
        <v>52</v>
      </c>
      <c r="N75" t="s">
        <v>129</v>
      </c>
      <c r="O75" t="s">
        <v>257</v>
      </c>
      <c r="P75">
        <v>9</v>
      </c>
    </row>
    <row r="76" spans="1:16" x14ac:dyDescent="0.2">
      <c r="A76">
        <v>74</v>
      </c>
      <c r="H76" t="s">
        <v>647</v>
      </c>
      <c r="I76" t="s">
        <v>136</v>
      </c>
      <c r="J76" t="s">
        <v>256</v>
      </c>
      <c r="K76">
        <v>8</v>
      </c>
      <c r="M76" t="s">
        <v>477</v>
      </c>
      <c r="N76" t="s">
        <v>117</v>
      </c>
      <c r="O76" t="s">
        <v>257</v>
      </c>
      <c r="P76">
        <v>9</v>
      </c>
    </row>
    <row r="77" spans="1:16" x14ac:dyDescent="0.2">
      <c r="A77">
        <v>75</v>
      </c>
      <c r="H77" t="s">
        <v>639</v>
      </c>
      <c r="I77" t="s">
        <v>128</v>
      </c>
      <c r="J77" t="s">
        <v>256</v>
      </c>
      <c r="K77">
        <v>8</v>
      </c>
      <c r="M77" t="s">
        <v>571</v>
      </c>
      <c r="N77" t="s">
        <v>111</v>
      </c>
      <c r="O77" t="s">
        <v>257</v>
      </c>
      <c r="P77">
        <v>9</v>
      </c>
    </row>
    <row r="78" spans="1:16" x14ac:dyDescent="0.2">
      <c r="A78">
        <v>76</v>
      </c>
      <c r="H78" t="s">
        <v>623</v>
      </c>
      <c r="I78" t="s">
        <v>120</v>
      </c>
      <c r="J78" t="s">
        <v>256</v>
      </c>
      <c r="K78">
        <v>8</v>
      </c>
      <c r="M78" t="s">
        <v>636</v>
      </c>
      <c r="N78" t="s">
        <v>124</v>
      </c>
      <c r="O78" t="s">
        <v>257</v>
      </c>
      <c r="P78">
        <v>9</v>
      </c>
    </row>
    <row r="79" spans="1:16" x14ac:dyDescent="0.2">
      <c r="A79">
        <v>77</v>
      </c>
      <c r="H79" t="s">
        <v>543</v>
      </c>
      <c r="I79" t="s">
        <v>192</v>
      </c>
      <c r="J79" t="s">
        <v>256</v>
      </c>
      <c r="K79">
        <v>8</v>
      </c>
      <c r="M79" t="s">
        <v>521</v>
      </c>
      <c r="N79" t="s">
        <v>120</v>
      </c>
      <c r="O79" t="s">
        <v>257</v>
      </c>
      <c r="P79">
        <v>9</v>
      </c>
    </row>
    <row r="80" spans="1:16" x14ac:dyDescent="0.2">
      <c r="A80">
        <v>78</v>
      </c>
      <c r="H80" t="s">
        <v>584</v>
      </c>
      <c r="I80" t="s">
        <v>111</v>
      </c>
      <c r="J80" t="s">
        <v>256</v>
      </c>
      <c r="K80">
        <v>8</v>
      </c>
      <c r="M80" t="s">
        <v>38</v>
      </c>
      <c r="N80" t="s">
        <v>115</v>
      </c>
      <c r="O80" t="s">
        <v>257</v>
      </c>
      <c r="P80">
        <v>9</v>
      </c>
    </row>
    <row r="81" spans="1:16" x14ac:dyDescent="0.2">
      <c r="A81">
        <v>79</v>
      </c>
      <c r="H81" t="s">
        <v>504</v>
      </c>
      <c r="I81" t="s">
        <v>123</v>
      </c>
      <c r="J81" t="s">
        <v>256</v>
      </c>
      <c r="K81">
        <v>8</v>
      </c>
      <c r="M81" t="s">
        <v>561</v>
      </c>
      <c r="N81" t="s">
        <v>122</v>
      </c>
      <c r="O81" t="s">
        <v>257</v>
      </c>
      <c r="P81">
        <v>9</v>
      </c>
    </row>
    <row r="82" spans="1:16" x14ac:dyDescent="0.2">
      <c r="A82">
        <v>80</v>
      </c>
      <c r="H82" t="s">
        <v>185</v>
      </c>
      <c r="I82" t="s">
        <v>136</v>
      </c>
      <c r="J82" t="s">
        <v>256</v>
      </c>
      <c r="K82">
        <v>8</v>
      </c>
      <c r="M82" t="s">
        <v>60</v>
      </c>
      <c r="N82" t="s">
        <v>119</v>
      </c>
      <c r="O82" t="s">
        <v>257</v>
      </c>
      <c r="P82">
        <v>10</v>
      </c>
    </row>
    <row r="83" spans="1:16" x14ac:dyDescent="0.2">
      <c r="A83">
        <v>81</v>
      </c>
      <c r="H83" t="s">
        <v>600</v>
      </c>
      <c r="I83" t="s">
        <v>110</v>
      </c>
      <c r="J83" t="s">
        <v>256</v>
      </c>
      <c r="K83">
        <v>8</v>
      </c>
      <c r="M83" t="s">
        <v>484</v>
      </c>
      <c r="N83" t="s">
        <v>133</v>
      </c>
      <c r="O83" t="s">
        <v>257</v>
      </c>
      <c r="P83">
        <v>10</v>
      </c>
    </row>
    <row r="84" spans="1:16" x14ac:dyDescent="0.2">
      <c r="A84">
        <v>82</v>
      </c>
      <c r="H84" t="s">
        <v>607</v>
      </c>
      <c r="I84" t="s">
        <v>113</v>
      </c>
      <c r="J84" t="s">
        <v>256</v>
      </c>
      <c r="K84">
        <v>8</v>
      </c>
      <c r="M84" t="s">
        <v>549</v>
      </c>
      <c r="N84" t="s">
        <v>117</v>
      </c>
      <c r="O84" t="s">
        <v>257</v>
      </c>
      <c r="P84">
        <v>10</v>
      </c>
    </row>
    <row r="85" spans="1:16" x14ac:dyDescent="0.2">
      <c r="A85">
        <v>83</v>
      </c>
      <c r="H85" t="s">
        <v>232</v>
      </c>
      <c r="I85" t="s">
        <v>130</v>
      </c>
      <c r="J85" t="s">
        <v>256</v>
      </c>
      <c r="K85">
        <v>8</v>
      </c>
      <c r="M85" t="s">
        <v>476</v>
      </c>
      <c r="N85" t="s">
        <v>119</v>
      </c>
      <c r="O85" t="s">
        <v>257</v>
      </c>
      <c r="P85">
        <v>10</v>
      </c>
    </row>
    <row r="86" spans="1:16" x14ac:dyDescent="0.2">
      <c r="A86">
        <v>84</v>
      </c>
      <c r="H86" t="s">
        <v>641</v>
      </c>
      <c r="I86" t="s">
        <v>129</v>
      </c>
      <c r="J86" t="s">
        <v>256</v>
      </c>
      <c r="K86">
        <v>8</v>
      </c>
      <c r="M86" t="s">
        <v>55</v>
      </c>
      <c r="N86" t="s">
        <v>130</v>
      </c>
      <c r="O86" t="s">
        <v>257</v>
      </c>
      <c r="P86">
        <v>10</v>
      </c>
    </row>
    <row r="87" spans="1:16" x14ac:dyDescent="0.2">
      <c r="A87">
        <v>85</v>
      </c>
      <c r="H87" t="s">
        <v>662</v>
      </c>
      <c r="I87" t="s">
        <v>134</v>
      </c>
      <c r="J87" t="s">
        <v>256</v>
      </c>
      <c r="K87">
        <v>8</v>
      </c>
      <c r="M87" t="s">
        <v>548</v>
      </c>
      <c r="N87" t="s">
        <v>111</v>
      </c>
      <c r="O87" t="s">
        <v>257</v>
      </c>
      <c r="P87">
        <v>10</v>
      </c>
    </row>
    <row r="88" spans="1:16" x14ac:dyDescent="0.2">
      <c r="A88">
        <v>86</v>
      </c>
      <c r="H88" t="s">
        <v>677</v>
      </c>
      <c r="I88" t="s">
        <v>124</v>
      </c>
      <c r="J88" t="s">
        <v>256</v>
      </c>
      <c r="K88">
        <v>8</v>
      </c>
      <c r="M88" t="s">
        <v>589</v>
      </c>
      <c r="N88" t="s">
        <v>129</v>
      </c>
      <c r="O88" t="s">
        <v>257</v>
      </c>
      <c r="P88">
        <v>10</v>
      </c>
    </row>
    <row r="89" spans="1:16" x14ac:dyDescent="0.2">
      <c r="A89">
        <v>87</v>
      </c>
      <c r="H89" t="s">
        <v>652</v>
      </c>
      <c r="I89" t="s">
        <v>533</v>
      </c>
      <c r="J89" t="s">
        <v>256</v>
      </c>
      <c r="K89">
        <v>8</v>
      </c>
      <c r="M89" t="s">
        <v>648</v>
      </c>
      <c r="N89" t="s">
        <v>136</v>
      </c>
      <c r="O89" t="s">
        <v>257</v>
      </c>
      <c r="P89">
        <v>10</v>
      </c>
    </row>
    <row r="90" spans="1:16" x14ac:dyDescent="0.2">
      <c r="A90">
        <v>88</v>
      </c>
      <c r="H90" t="s">
        <v>664</v>
      </c>
      <c r="I90" t="s">
        <v>113</v>
      </c>
      <c r="J90" t="s">
        <v>256</v>
      </c>
      <c r="K90">
        <v>8</v>
      </c>
      <c r="M90" t="s">
        <v>590</v>
      </c>
      <c r="N90" t="s">
        <v>128</v>
      </c>
      <c r="O90" t="s">
        <v>257</v>
      </c>
      <c r="P90">
        <v>10</v>
      </c>
    </row>
    <row r="91" spans="1:16" x14ac:dyDescent="0.2">
      <c r="A91">
        <v>89</v>
      </c>
      <c r="H91" t="s">
        <v>475</v>
      </c>
      <c r="I91" t="s">
        <v>112</v>
      </c>
      <c r="J91" t="s">
        <v>256</v>
      </c>
      <c r="K91">
        <v>8</v>
      </c>
      <c r="M91" t="s">
        <v>532</v>
      </c>
      <c r="N91" t="s">
        <v>129</v>
      </c>
      <c r="O91" t="s">
        <v>257</v>
      </c>
      <c r="P91">
        <v>10</v>
      </c>
    </row>
    <row r="92" spans="1:16" x14ac:dyDescent="0.2">
      <c r="A92">
        <v>90</v>
      </c>
      <c r="H92" t="s">
        <v>675</v>
      </c>
      <c r="I92" t="s">
        <v>116</v>
      </c>
      <c r="J92" t="s">
        <v>256</v>
      </c>
      <c r="K92">
        <v>8</v>
      </c>
      <c r="M92" t="s">
        <v>630</v>
      </c>
      <c r="N92" t="s">
        <v>122</v>
      </c>
      <c r="O92" t="s">
        <v>257</v>
      </c>
      <c r="P92">
        <v>10</v>
      </c>
    </row>
    <row r="93" spans="1:16" x14ac:dyDescent="0.2">
      <c r="A93">
        <v>91</v>
      </c>
      <c r="M93" t="s">
        <v>156</v>
      </c>
      <c r="N93" t="s">
        <v>127</v>
      </c>
      <c r="O93" t="s">
        <v>257</v>
      </c>
      <c r="P93">
        <v>10</v>
      </c>
    </row>
    <row r="94" spans="1:16" x14ac:dyDescent="0.2">
      <c r="A94">
        <v>92</v>
      </c>
      <c r="M94" t="s">
        <v>131</v>
      </c>
      <c r="N94" t="s">
        <v>192</v>
      </c>
      <c r="O94" t="s">
        <v>257</v>
      </c>
      <c r="P94">
        <v>10</v>
      </c>
    </row>
    <row r="95" spans="1:16" x14ac:dyDescent="0.2">
      <c r="A95">
        <v>93</v>
      </c>
      <c r="M95" t="s">
        <v>551</v>
      </c>
      <c r="N95" t="s">
        <v>111</v>
      </c>
      <c r="O95" t="s">
        <v>257</v>
      </c>
      <c r="P95">
        <v>10</v>
      </c>
    </row>
    <row r="96" spans="1:16" x14ac:dyDescent="0.2">
      <c r="A96">
        <v>94</v>
      </c>
      <c r="M96" t="s">
        <v>183</v>
      </c>
      <c r="N96" t="s">
        <v>112</v>
      </c>
      <c r="O96" t="s">
        <v>257</v>
      </c>
      <c r="P96">
        <v>10</v>
      </c>
    </row>
    <row r="97" spans="1:16" x14ac:dyDescent="0.2">
      <c r="A97">
        <v>95</v>
      </c>
      <c r="M97" t="s">
        <v>470</v>
      </c>
      <c r="N97" t="s">
        <v>108</v>
      </c>
      <c r="O97" t="s">
        <v>257</v>
      </c>
      <c r="P97">
        <v>10</v>
      </c>
    </row>
    <row r="98" spans="1:16" x14ac:dyDescent="0.2">
      <c r="A98">
        <v>96</v>
      </c>
      <c r="M98" t="s">
        <v>523</v>
      </c>
      <c r="N98" t="s">
        <v>119</v>
      </c>
      <c r="O98" t="s">
        <v>257</v>
      </c>
      <c r="P98">
        <v>10</v>
      </c>
    </row>
    <row r="99" spans="1:16" x14ac:dyDescent="0.2">
      <c r="A99">
        <v>97</v>
      </c>
      <c r="M99" t="s">
        <v>39</v>
      </c>
      <c r="N99" t="s">
        <v>130</v>
      </c>
      <c r="O99" t="s">
        <v>257</v>
      </c>
      <c r="P99">
        <v>10</v>
      </c>
    </row>
    <row r="100" spans="1:16" x14ac:dyDescent="0.2">
      <c r="A100">
        <v>98</v>
      </c>
      <c r="M100" t="s">
        <v>252</v>
      </c>
      <c r="N100" t="s">
        <v>137</v>
      </c>
      <c r="O100" t="s">
        <v>257</v>
      </c>
      <c r="P100">
        <v>10</v>
      </c>
    </row>
    <row r="101" spans="1:16" x14ac:dyDescent="0.2">
      <c r="A101">
        <v>99</v>
      </c>
      <c r="M101" t="s">
        <v>62</v>
      </c>
      <c r="N101" t="s">
        <v>117</v>
      </c>
      <c r="O101" t="s">
        <v>257</v>
      </c>
      <c r="P101">
        <v>10</v>
      </c>
    </row>
    <row r="102" spans="1:16" x14ac:dyDescent="0.2">
      <c r="A102">
        <v>100</v>
      </c>
      <c r="M102" t="s">
        <v>663</v>
      </c>
      <c r="N102" t="s">
        <v>123</v>
      </c>
      <c r="O102" t="s">
        <v>257</v>
      </c>
      <c r="P102">
        <v>10</v>
      </c>
    </row>
    <row r="103" spans="1:16" x14ac:dyDescent="0.2">
      <c r="A103">
        <v>101</v>
      </c>
      <c r="M103" t="s">
        <v>245</v>
      </c>
      <c r="N103" t="s">
        <v>124</v>
      </c>
      <c r="O103" t="s">
        <v>257</v>
      </c>
      <c r="P103">
        <v>10</v>
      </c>
    </row>
    <row r="104" spans="1:16" x14ac:dyDescent="0.2">
      <c r="A104">
        <v>102</v>
      </c>
      <c r="M104" t="s">
        <v>255</v>
      </c>
      <c r="N104" t="s">
        <v>110</v>
      </c>
      <c r="O104" t="s">
        <v>257</v>
      </c>
      <c r="P104">
        <v>10</v>
      </c>
    </row>
    <row r="105" spans="1:16" x14ac:dyDescent="0.2">
      <c r="A105">
        <v>103</v>
      </c>
      <c r="M105" t="s">
        <v>657</v>
      </c>
      <c r="N105" t="s">
        <v>119</v>
      </c>
      <c r="O105" t="s">
        <v>257</v>
      </c>
      <c r="P105">
        <v>10</v>
      </c>
    </row>
    <row r="106" spans="1:16" x14ac:dyDescent="0.2">
      <c r="A106">
        <v>104</v>
      </c>
      <c r="M106" t="s">
        <v>241</v>
      </c>
      <c r="N106" t="s">
        <v>125</v>
      </c>
      <c r="O106" t="s">
        <v>257</v>
      </c>
      <c r="P106">
        <v>10</v>
      </c>
    </row>
    <row r="107" spans="1:16" x14ac:dyDescent="0.2">
      <c r="A107">
        <v>105</v>
      </c>
      <c r="M107" t="s">
        <v>494</v>
      </c>
      <c r="N107" t="s">
        <v>110</v>
      </c>
      <c r="O107" t="s">
        <v>257</v>
      </c>
      <c r="P107">
        <v>10</v>
      </c>
    </row>
    <row r="108" spans="1:16" x14ac:dyDescent="0.2">
      <c r="A108">
        <v>106</v>
      </c>
      <c r="M108" t="s">
        <v>205</v>
      </c>
      <c r="N108" t="s">
        <v>125</v>
      </c>
      <c r="O108" t="s">
        <v>257</v>
      </c>
      <c r="P108">
        <v>10</v>
      </c>
    </row>
    <row r="109" spans="1:16" x14ac:dyDescent="0.2">
      <c r="A109">
        <v>107</v>
      </c>
      <c r="M109" t="s">
        <v>246</v>
      </c>
      <c r="N109" t="s">
        <v>124</v>
      </c>
      <c r="O109" t="s">
        <v>257</v>
      </c>
      <c r="P109">
        <v>10</v>
      </c>
    </row>
    <row r="110" spans="1:16" x14ac:dyDescent="0.2">
      <c r="A110">
        <v>108</v>
      </c>
      <c r="M110" t="s">
        <v>562</v>
      </c>
      <c r="N110" t="s">
        <v>122</v>
      </c>
      <c r="O110" t="s">
        <v>257</v>
      </c>
      <c r="P110">
        <v>10</v>
      </c>
    </row>
    <row r="111" spans="1:16" x14ac:dyDescent="0.2">
      <c r="A111">
        <v>109</v>
      </c>
      <c r="M111" t="s">
        <v>671</v>
      </c>
      <c r="N111" t="s">
        <v>127</v>
      </c>
      <c r="O111" t="s">
        <v>257</v>
      </c>
      <c r="P111">
        <v>10</v>
      </c>
    </row>
    <row r="112" spans="1:16" x14ac:dyDescent="0.2">
      <c r="A112">
        <v>110</v>
      </c>
      <c r="M112" t="s">
        <v>472</v>
      </c>
      <c r="N112" t="s">
        <v>108</v>
      </c>
      <c r="O112" t="s">
        <v>257</v>
      </c>
      <c r="P112">
        <v>10</v>
      </c>
    </row>
    <row r="113" spans="1:16" x14ac:dyDescent="0.2">
      <c r="A113">
        <v>111</v>
      </c>
      <c r="M113" t="s">
        <v>251</v>
      </c>
      <c r="N113" t="s">
        <v>132</v>
      </c>
      <c r="O113" t="s">
        <v>257</v>
      </c>
      <c r="P113">
        <v>10</v>
      </c>
    </row>
    <row r="114" spans="1:16" x14ac:dyDescent="0.2">
      <c r="A114">
        <v>112</v>
      </c>
      <c r="M114" t="s">
        <v>466</v>
      </c>
      <c r="N114" t="s">
        <v>135</v>
      </c>
      <c r="O114" t="s">
        <v>257</v>
      </c>
      <c r="P114">
        <v>10</v>
      </c>
    </row>
    <row r="115" spans="1:16" x14ac:dyDescent="0.2">
      <c r="A115">
        <v>113</v>
      </c>
      <c r="M115" t="s">
        <v>198</v>
      </c>
      <c r="N115" t="s">
        <v>120</v>
      </c>
      <c r="O115" t="s">
        <v>257</v>
      </c>
      <c r="P115">
        <v>10</v>
      </c>
    </row>
    <row r="116" spans="1:16" x14ac:dyDescent="0.2">
      <c r="A116">
        <v>114</v>
      </c>
      <c r="M116" t="s">
        <v>642</v>
      </c>
      <c r="N116" t="s">
        <v>129</v>
      </c>
      <c r="O116" t="s">
        <v>257</v>
      </c>
      <c r="P116">
        <v>10</v>
      </c>
    </row>
    <row r="117" spans="1:16" x14ac:dyDescent="0.2">
      <c r="A117">
        <v>115</v>
      </c>
      <c r="M117" t="s">
        <v>499</v>
      </c>
      <c r="N117" t="s">
        <v>110</v>
      </c>
      <c r="O117" t="s">
        <v>257</v>
      </c>
      <c r="P117">
        <v>10</v>
      </c>
    </row>
    <row r="118" spans="1:16" x14ac:dyDescent="0.2">
      <c r="A118">
        <v>116</v>
      </c>
      <c r="M118" t="s">
        <v>660</v>
      </c>
      <c r="N118" t="s">
        <v>127</v>
      </c>
      <c r="O118" t="s">
        <v>257</v>
      </c>
      <c r="P118">
        <v>10</v>
      </c>
    </row>
    <row r="119" spans="1:16" x14ac:dyDescent="0.2">
      <c r="A119">
        <v>117</v>
      </c>
      <c r="M119" t="s">
        <v>513</v>
      </c>
      <c r="N119" t="s">
        <v>137</v>
      </c>
      <c r="O119" t="s">
        <v>257</v>
      </c>
      <c r="P119">
        <v>10</v>
      </c>
    </row>
    <row r="120" spans="1:16" x14ac:dyDescent="0.2">
      <c r="A120">
        <v>118</v>
      </c>
      <c r="M120" t="s">
        <v>89</v>
      </c>
      <c r="N120" t="s">
        <v>129</v>
      </c>
      <c r="O120" t="s">
        <v>257</v>
      </c>
      <c r="P120">
        <v>10</v>
      </c>
    </row>
    <row r="121" spans="1:16" x14ac:dyDescent="0.2">
      <c r="A121">
        <v>119</v>
      </c>
      <c r="M121" t="s">
        <v>608</v>
      </c>
      <c r="N121" t="s">
        <v>113</v>
      </c>
      <c r="O121" t="s">
        <v>257</v>
      </c>
      <c r="P121">
        <v>10</v>
      </c>
    </row>
    <row r="122" spans="1:16" x14ac:dyDescent="0.2">
      <c r="A122">
        <v>120</v>
      </c>
      <c r="M122" t="s">
        <v>614</v>
      </c>
      <c r="N122" t="s">
        <v>117</v>
      </c>
      <c r="O122" t="s">
        <v>257</v>
      </c>
      <c r="P122">
        <v>10</v>
      </c>
    </row>
    <row r="123" spans="1:16" x14ac:dyDescent="0.2">
      <c r="A123">
        <v>121</v>
      </c>
      <c r="M123" t="s">
        <v>698</v>
      </c>
      <c r="N123" t="s">
        <v>116</v>
      </c>
      <c r="O123" t="s">
        <v>257</v>
      </c>
      <c r="P123">
        <v>10</v>
      </c>
    </row>
    <row r="124" spans="1:16" x14ac:dyDescent="0.2">
      <c r="A124">
        <v>122</v>
      </c>
      <c r="M124" t="s">
        <v>667</v>
      </c>
      <c r="N124" t="s">
        <v>136</v>
      </c>
      <c r="O124" t="s">
        <v>257</v>
      </c>
      <c r="P124">
        <v>10</v>
      </c>
    </row>
    <row r="125" spans="1:16" x14ac:dyDescent="0.2">
      <c r="A125">
        <v>123</v>
      </c>
      <c r="M125" t="s">
        <v>609</v>
      </c>
      <c r="N125" t="s">
        <v>114</v>
      </c>
      <c r="O125" t="s">
        <v>257</v>
      </c>
      <c r="P125">
        <v>10</v>
      </c>
    </row>
    <row r="126" spans="1:16" x14ac:dyDescent="0.2">
      <c r="A126">
        <v>124</v>
      </c>
      <c r="M126" t="s">
        <v>583</v>
      </c>
      <c r="N126" t="s">
        <v>107</v>
      </c>
      <c r="O126" t="s">
        <v>257</v>
      </c>
      <c r="P126">
        <v>10</v>
      </c>
    </row>
    <row r="127" spans="1:16" x14ac:dyDescent="0.2">
      <c r="A127">
        <v>125</v>
      </c>
      <c r="M127" t="s">
        <v>244</v>
      </c>
      <c r="N127" t="s">
        <v>537</v>
      </c>
      <c r="O127" t="s">
        <v>257</v>
      </c>
      <c r="P127">
        <v>10</v>
      </c>
    </row>
    <row r="128" spans="1:16" x14ac:dyDescent="0.2">
      <c r="A128">
        <v>126</v>
      </c>
      <c r="M128" t="s">
        <v>681</v>
      </c>
      <c r="N128" t="s">
        <v>108</v>
      </c>
      <c r="O128" t="s">
        <v>257</v>
      </c>
      <c r="P128">
        <v>10</v>
      </c>
    </row>
    <row r="129" spans="1:16" x14ac:dyDescent="0.2">
      <c r="A129">
        <v>127</v>
      </c>
      <c r="M129" t="s">
        <v>526</v>
      </c>
      <c r="N129" t="s">
        <v>115</v>
      </c>
      <c r="O129" t="s">
        <v>257</v>
      </c>
      <c r="P129">
        <v>10</v>
      </c>
    </row>
    <row r="130" spans="1:16" x14ac:dyDescent="0.2">
      <c r="A130">
        <v>128</v>
      </c>
      <c r="M130" t="s">
        <v>546</v>
      </c>
      <c r="N130" t="s">
        <v>107</v>
      </c>
      <c r="O130" t="s">
        <v>257</v>
      </c>
      <c r="P130">
        <v>10</v>
      </c>
    </row>
    <row r="131" spans="1:16" x14ac:dyDescent="0.2">
      <c r="A131">
        <v>129</v>
      </c>
      <c r="M131" t="s">
        <v>672</v>
      </c>
      <c r="N131" t="s">
        <v>130</v>
      </c>
      <c r="O131" t="s">
        <v>257</v>
      </c>
      <c r="P131">
        <v>10</v>
      </c>
    </row>
    <row r="132" spans="1:16" x14ac:dyDescent="0.2">
      <c r="A132">
        <v>130</v>
      </c>
      <c r="M132" t="s">
        <v>640</v>
      </c>
      <c r="N132" t="s">
        <v>128</v>
      </c>
      <c r="O132" t="s">
        <v>257</v>
      </c>
      <c r="P132">
        <v>10</v>
      </c>
    </row>
    <row r="133" spans="1:16" x14ac:dyDescent="0.2">
      <c r="A133">
        <v>131</v>
      </c>
    </row>
    <row r="134" spans="1:16" x14ac:dyDescent="0.2">
      <c r="A134">
        <v>132</v>
      </c>
    </row>
    <row r="135" spans="1:16" x14ac:dyDescent="0.2">
      <c r="A135">
        <v>133</v>
      </c>
    </row>
    <row r="136" spans="1:16" x14ac:dyDescent="0.2">
      <c r="A136">
        <v>134</v>
      </c>
    </row>
    <row r="137" spans="1:16" x14ac:dyDescent="0.2">
      <c r="A137">
        <v>135</v>
      </c>
    </row>
    <row r="138" spans="1:16" x14ac:dyDescent="0.2">
      <c r="A138">
        <v>136</v>
      </c>
    </row>
    <row r="139" spans="1:16" x14ac:dyDescent="0.2">
      <c r="A139">
        <v>137</v>
      </c>
    </row>
    <row r="140" spans="1:16" x14ac:dyDescent="0.2">
      <c r="A140">
        <v>138</v>
      </c>
    </row>
    <row r="141" spans="1:16" x14ac:dyDescent="0.2">
      <c r="A141">
        <v>139</v>
      </c>
    </row>
    <row r="142" spans="1:16" x14ac:dyDescent="0.2">
      <c r="A142">
        <v>140</v>
      </c>
    </row>
    <row r="143" spans="1:16" x14ac:dyDescent="0.2">
      <c r="A143">
        <v>141</v>
      </c>
    </row>
    <row r="144" spans="1:16" x14ac:dyDescent="0.2">
      <c r="A144">
        <v>142</v>
      </c>
    </row>
    <row r="145" spans="1:1" x14ac:dyDescent="0.2">
      <c r="A145">
        <v>143</v>
      </c>
    </row>
    <row r="146" spans="1:1" x14ac:dyDescent="0.2">
      <c r="A146">
        <v>144</v>
      </c>
    </row>
    <row r="147" spans="1:1" x14ac:dyDescent="0.2">
      <c r="A147">
        <v>145</v>
      </c>
    </row>
    <row r="148" spans="1:1" x14ac:dyDescent="0.2">
      <c r="A148">
        <v>146</v>
      </c>
    </row>
    <row r="149" spans="1:1" x14ac:dyDescent="0.2">
      <c r="A149">
        <v>147</v>
      </c>
    </row>
    <row r="150" spans="1:1" x14ac:dyDescent="0.2">
      <c r="A150">
        <v>148</v>
      </c>
    </row>
    <row r="151" spans="1:1" x14ac:dyDescent="0.2">
      <c r="A151">
        <v>149</v>
      </c>
    </row>
    <row r="152" spans="1:1" x14ac:dyDescent="0.2">
      <c r="A152">
        <v>150</v>
      </c>
    </row>
    <row r="153" spans="1:1" x14ac:dyDescent="0.2">
      <c r="A153">
        <v>151</v>
      </c>
    </row>
    <row r="154" spans="1:1" x14ac:dyDescent="0.2">
      <c r="A154">
        <v>152</v>
      </c>
    </row>
    <row r="155" spans="1:1" x14ac:dyDescent="0.2">
      <c r="A155">
        <v>153</v>
      </c>
    </row>
    <row r="156" spans="1:1" x14ac:dyDescent="0.2">
      <c r="A156">
        <v>154</v>
      </c>
    </row>
    <row r="157" spans="1:1" x14ac:dyDescent="0.2">
      <c r="A157">
        <v>155</v>
      </c>
    </row>
    <row r="158" spans="1:1" x14ac:dyDescent="0.2">
      <c r="A158">
        <v>156</v>
      </c>
    </row>
    <row r="159" spans="1:1" x14ac:dyDescent="0.2">
      <c r="A159">
        <v>157</v>
      </c>
    </row>
    <row r="160" spans="1:1" x14ac:dyDescent="0.2">
      <c r="A160">
        <v>158</v>
      </c>
    </row>
    <row r="161" spans="1:1" x14ac:dyDescent="0.2">
      <c r="A161">
        <v>159</v>
      </c>
    </row>
    <row r="162" spans="1:1" x14ac:dyDescent="0.2">
      <c r="A162">
        <v>160</v>
      </c>
    </row>
    <row r="163" spans="1:1" x14ac:dyDescent="0.2">
      <c r="A163">
        <v>161</v>
      </c>
    </row>
    <row r="164" spans="1:1" x14ac:dyDescent="0.2">
      <c r="A164">
        <v>162</v>
      </c>
    </row>
    <row r="165" spans="1:1" x14ac:dyDescent="0.2">
      <c r="A165">
        <v>163</v>
      </c>
    </row>
    <row r="166" spans="1:1" x14ac:dyDescent="0.2">
      <c r="A166">
        <v>164</v>
      </c>
    </row>
    <row r="167" spans="1:1" x14ac:dyDescent="0.2">
      <c r="A167">
        <v>165</v>
      </c>
    </row>
    <row r="168" spans="1:1" x14ac:dyDescent="0.2">
      <c r="A168">
        <v>166</v>
      </c>
    </row>
    <row r="169" spans="1:1" x14ac:dyDescent="0.2">
      <c r="A169">
        <v>167</v>
      </c>
    </row>
    <row r="170" spans="1:1" x14ac:dyDescent="0.2">
      <c r="A170">
        <v>168</v>
      </c>
    </row>
    <row r="171" spans="1:1" x14ac:dyDescent="0.2">
      <c r="A171">
        <v>169</v>
      </c>
    </row>
    <row r="172" spans="1:1" x14ac:dyDescent="0.2">
      <c r="A172">
        <v>170</v>
      </c>
    </row>
    <row r="173" spans="1:1" x14ac:dyDescent="0.2">
      <c r="A173">
        <v>171</v>
      </c>
    </row>
    <row r="174" spans="1:1" x14ac:dyDescent="0.2">
      <c r="A174">
        <v>172</v>
      </c>
    </row>
    <row r="175" spans="1:1" x14ac:dyDescent="0.2">
      <c r="A175">
        <v>173</v>
      </c>
    </row>
    <row r="176" spans="1:1" x14ac:dyDescent="0.2">
      <c r="A176">
        <v>174</v>
      </c>
    </row>
    <row r="177" spans="1:1" x14ac:dyDescent="0.2">
      <c r="A177">
        <v>175</v>
      </c>
    </row>
    <row r="178" spans="1:1" x14ac:dyDescent="0.2">
      <c r="A178">
        <v>176</v>
      </c>
    </row>
    <row r="179" spans="1:1" x14ac:dyDescent="0.2">
      <c r="A179">
        <v>177</v>
      </c>
    </row>
    <row r="180" spans="1:1" x14ac:dyDescent="0.2">
      <c r="A180">
        <v>178</v>
      </c>
    </row>
    <row r="181" spans="1:1" x14ac:dyDescent="0.2">
      <c r="A181">
        <v>179</v>
      </c>
    </row>
    <row r="182" spans="1:1" x14ac:dyDescent="0.2">
      <c r="A182">
        <v>180</v>
      </c>
    </row>
    <row r="183" spans="1:1" x14ac:dyDescent="0.2">
      <c r="A183">
        <v>181</v>
      </c>
    </row>
    <row r="184" spans="1:1" x14ac:dyDescent="0.2">
      <c r="A184">
        <v>182</v>
      </c>
    </row>
    <row r="185" spans="1:1" x14ac:dyDescent="0.2">
      <c r="A185">
        <v>183</v>
      </c>
    </row>
    <row r="186" spans="1:1" x14ac:dyDescent="0.2">
      <c r="A186">
        <v>184</v>
      </c>
    </row>
    <row r="187" spans="1:1" x14ac:dyDescent="0.2">
      <c r="A187">
        <v>185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"/>
  <dimension ref="A1:O74"/>
  <sheetViews>
    <sheetView showGridLines="0" zoomScale="85" zoomScaleNormal="85" workbookViewId="0"/>
  </sheetViews>
  <sheetFormatPr baseColWidth="10" defaultColWidth="9.19921875" defaultRowHeight="15" x14ac:dyDescent="0.2"/>
  <cols>
    <col min="1" max="1" width="9.19921875" style="96" bestFit="1" customWidth="1"/>
    <col min="2" max="2" width="27.59765625" style="96" bestFit="1" customWidth="1"/>
    <col min="3" max="3" width="6.59765625" style="97" bestFit="1" customWidth="1"/>
    <col min="4" max="4" width="7" style="97" bestFit="1" customWidth="1"/>
    <col min="5" max="5" width="8" style="97" bestFit="1" customWidth="1"/>
    <col min="6" max="6" width="7.59765625" style="97" bestFit="1" customWidth="1"/>
    <col min="7" max="8" width="8.3984375" style="97" bestFit="1" customWidth="1"/>
    <col min="9" max="9" width="6.796875" style="97" bestFit="1" customWidth="1"/>
    <col min="10" max="10" width="8.59765625" style="97" bestFit="1" customWidth="1"/>
    <col min="11" max="12" width="8.796875" style="96" bestFit="1" customWidth="1"/>
    <col min="13" max="13" width="6.796875" style="96" bestFit="1" customWidth="1"/>
    <col min="14" max="14" width="10" style="96" bestFit="1" customWidth="1"/>
    <col min="15" max="15" width="8.3984375" style="96" bestFit="1" customWidth="1"/>
    <col min="16" max="16384" width="9.19921875" style="96"/>
  </cols>
  <sheetData>
    <row r="1" spans="1:15" s="94" customFormat="1" x14ac:dyDescent="0.2">
      <c r="A1" s="92" t="s">
        <v>440</v>
      </c>
      <c r="B1" s="93" t="s">
        <v>405</v>
      </c>
      <c r="C1" s="93" t="s">
        <v>106</v>
      </c>
      <c r="D1" s="93" t="s">
        <v>143</v>
      </c>
      <c r="E1" s="92" t="s">
        <v>146</v>
      </c>
      <c r="F1" s="92" t="s">
        <v>147</v>
      </c>
      <c r="G1" s="92" t="s">
        <v>148</v>
      </c>
      <c r="H1" s="92" t="s">
        <v>149</v>
      </c>
      <c r="I1" s="92" t="s">
        <v>2</v>
      </c>
      <c r="J1" s="92" t="s">
        <v>150</v>
      </c>
      <c r="K1" s="92" t="s">
        <v>151</v>
      </c>
      <c r="L1" s="92" t="s">
        <v>152</v>
      </c>
      <c r="M1" s="93" t="s">
        <v>138</v>
      </c>
      <c r="N1" s="92" t="s">
        <v>401</v>
      </c>
      <c r="O1" s="92" t="s">
        <v>375</v>
      </c>
    </row>
    <row r="2" spans="1:15" x14ac:dyDescent="0.2">
      <c r="A2" s="95">
        <v>1</v>
      </c>
      <c r="B2" s="96" t="str">
        <f>ARI!A$2</f>
        <v>Kyler Murray</v>
      </c>
      <c r="C2" s="96" t="s">
        <v>107</v>
      </c>
      <c r="D2" s="96">
        <f>ARI!C$2</f>
        <v>14</v>
      </c>
      <c r="E2" s="97">
        <f>ARI!D$2</f>
        <v>61.275000000000006</v>
      </c>
      <c r="F2" s="97">
        <f>ARI!E$2</f>
        <v>40.679512158260401</v>
      </c>
      <c r="G2" s="97">
        <f>ARI!F$2</f>
        <v>414.04910791167987</v>
      </c>
      <c r="H2" s="97">
        <f>ARI!G$2</f>
        <v>2.5790810708337095</v>
      </c>
      <c r="I2" s="97">
        <f>ARI!H$2</f>
        <v>1.3915388318386108</v>
      </c>
      <c r="J2" s="97">
        <f>ARI!I$2</f>
        <v>49.830550000000002</v>
      </c>
      <c r="K2" s="97">
        <f>ARI!J$2</f>
        <v>272.17146292976537</v>
      </c>
      <c r="L2" s="97">
        <f>ARI!K$2</f>
        <v>2.5413580499999999</v>
      </c>
      <c r="M2" s="97">
        <f t="shared" ref="M2:M35" si="0">(G2/25)+(H2*4)+(I2*-1.5)+(K2/10)+(L2*6)</f>
        <v>67.25627494502065</v>
      </c>
      <c r="N2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67.952044360939965</v>
      </c>
      <c r="O2" s="99">
        <v>18.908176323604344</v>
      </c>
    </row>
    <row r="3" spans="1:15" x14ac:dyDescent="0.2">
      <c r="A3" s="95">
        <f>IF(TableQBMaster[[#This Row],[Player]]&lt;&gt;0,A2+1,A2)</f>
        <v>2</v>
      </c>
      <c r="B3" s="96" t="str">
        <f>ARI!A$3</f>
        <v>Joshua Dobbs</v>
      </c>
      <c r="C3" s="96" t="s">
        <v>107</v>
      </c>
      <c r="D3" s="96">
        <f>ARI!C$3</f>
        <v>14</v>
      </c>
      <c r="E3" s="97">
        <f>ARI!D$3</f>
        <v>306.375</v>
      </c>
      <c r="F3" s="97">
        <f>ARI!E$3</f>
        <v>189.46229999999997</v>
      </c>
      <c r="G3" s="97">
        <f>ARI!F$3</f>
        <v>1993.1433959999997</v>
      </c>
      <c r="H3" s="97">
        <f>ARI!G$3</f>
        <v>10.799351099999999</v>
      </c>
      <c r="I3" s="97">
        <f>ARI!H$3</f>
        <v>8.7152657999999992</v>
      </c>
      <c r="J3" s="97">
        <f>ARI!I$3</f>
        <v>10.419115</v>
      </c>
      <c r="K3" s="97">
        <f>ARI!J$3</f>
        <v>55.221309499999997</v>
      </c>
      <c r="L3" s="97">
        <f>ARI!K$3</f>
        <v>0.19278088770034277</v>
      </c>
      <c r="M3" s="97">
        <f t="shared" si="0"/>
        <v>116.52905781620204</v>
      </c>
      <c r="N3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120.88669071620204</v>
      </c>
      <c r="O3" s="99">
        <v>0</v>
      </c>
    </row>
    <row r="4" spans="1:15" x14ac:dyDescent="0.2">
      <c r="A4" s="95">
        <f>IF(TableQBMaster[[#This Row],[Player]]&lt;&gt;0,A3+1,A3)</f>
        <v>3</v>
      </c>
      <c r="B4" s="96" t="str">
        <f>ARI!A$4</f>
        <v>Clayton Tune</v>
      </c>
      <c r="C4" s="96" t="s">
        <v>107</v>
      </c>
      <c r="D4" s="96">
        <f>ARI!C$3</f>
        <v>14</v>
      </c>
      <c r="E4" s="97">
        <f>ARI!D$4</f>
        <v>245.10000000000002</v>
      </c>
      <c r="F4" s="97">
        <f>ARI!E$4</f>
        <v>157.55028000000001</v>
      </c>
      <c r="G4" s="97">
        <f>ARI!F$4</f>
        <v>1583.3803140000002</v>
      </c>
      <c r="H4" s="97">
        <f>ARI!G$4</f>
        <v>9.1379162400000009</v>
      </c>
      <c r="I4" s="97">
        <f>ARI!H$4</f>
        <v>5.9869106400000005</v>
      </c>
      <c r="J4" s="97">
        <f>ARI!I$4</f>
        <v>8.1540900000000001</v>
      </c>
      <c r="K4" s="97">
        <f>ARI!J$4</f>
        <v>31.800950999999998</v>
      </c>
      <c r="L4" s="97">
        <f>ARI!K$4</f>
        <v>0.25277678999999997</v>
      </c>
      <c r="M4" s="97">
        <f t="shared" ref="M4" si="1">(G4/25)+(H4*4)+(I4*-1.5)+(K4/10)+(L4*6)</f>
        <v>95.603267400000021</v>
      </c>
      <c r="N4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98.596722720000017</v>
      </c>
      <c r="O4" s="99">
        <v>0</v>
      </c>
    </row>
    <row r="5" spans="1:15" x14ac:dyDescent="0.2">
      <c r="A5" s="95">
        <f>IF(TableQBMaster[[#This Row],[Player]]&lt;&gt;0,A4+1,A4)</f>
        <v>4</v>
      </c>
      <c r="B5" s="96" t="str">
        <f>ATL!A$2</f>
        <v>Desmond Ridder</v>
      </c>
      <c r="C5" s="96" t="s">
        <v>108</v>
      </c>
      <c r="D5" s="96">
        <f>ATL!C$2</f>
        <v>11</v>
      </c>
      <c r="E5" s="97">
        <f>ATL!D$2</f>
        <v>438.6816</v>
      </c>
      <c r="F5" s="97">
        <f>ATL!E$2</f>
        <v>275.58333306077373</v>
      </c>
      <c r="G5" s="97">
        <f>ATL!F$2</f>
        <v>3047.9516636521575</v>
      </c>
      <c r="H5" s="97">
        <f>ATL!G$2</f>
        <v>17.361749982828744</v>
      </c>
      <c r="I5" s="97">
        <f>ATL!H$2</f>
        <v>9.4269790618349205</v>
      </c>
      <c r="J5" s="97">
        <f>ATL!I$2</f>
        <v>36.154944000000008</v>
      </c>
      <c r="K5" s="97">
        <f>ATL!J$2</f>
        <v>197.47612660554105</v>
      </c>
      <c r="L5" s="97">
        <f>ATL!K$2</f>
        <v>1.6095480538669313</v>
      </c>
      <c r="M5" s="97">
        <f t="shared" si="0"/>
        <v>206.6294988684046</v>
      </c>
      <c r="N5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211.34298839932205</v>
      </c>
      <c r="O5" s="99">
        <v>4.1586617123562934</v>
      </c>
    </row>
    <row r="6" spans="1:15" x14ac:dyDescent="0.2">
      <c r="A6" s="95">
        <f>IF(TableQBMaster[[#This Row],[Player]]&lt;&gt;0,A5+1,A5)</f>
        <v>5</v>
      </c>
      <c r="B6" s="96" t="str">
        <f>ATL!A$3</f>
        <v>Taylor Heinicke</v>
      </c>
      <c r="C6" s="96" t="s">
        <v>108</v>
      </c>
      <c r="D6" s="96">
        <f>ATL!C$3</f>
        <v>11</v>
      </c>
      <c r="E6" s="97">
        <f>ATL!D$3</f>
        <v>77.414400000000015</v>
      </c>
      <c r="F6" s="97">
        <f>ATL!E$3</f>
        <v>48.824723480447872</v>
      </c>
      <c r="G6" s="97">
        <f>ATL!F$3</f>
        <v>543.0886332654585</v>
      </c>
      <c r="H6" s="97">
        <f>ATL!G$3</f>
        <v>3.1736070262291118</v>
      </c>
      <c r="I6" s="97">
        <f>ATL!H$3</f>
        <v>1.9158124982764142</v>
      </c>
      <c r="J6" s="97">
        <f>ATL!I$3</f>
        <v>8.6771865600000009</v>
      </c>
      <c r="K6" s="97">
        <f>ATL!J$3</f>
        <v>25.14662235711349</v>
      </c>
      <c r="L6" s="97">
        <f>ATL!K$3</f>
        <v>0.16055065404098945</v>
      </c>
      <c r="M6" s="97">
        <f t="shared" si="0"/>
        <v>35.022220848077453</v>
      </c>
      <c r="N6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35.980127097215657</v>
      </c>
      <c r="O6" s="99">
        <v>0</v>
      </c>
    </row>
    <row r="7" spans="1:15" x14ac:dyDescent="0.2">
      <c r="A7" s="95">
        <f>IF(TableQBMaster[[#This Row],[Player]]&lt;&gt;0,A6+1,A6)</f>
        <v>6</v>
      </c>
      <c r="B7" s="96" t="str">
        <f>BAL!A$2</f>
        <v>Lamar Jackson</v>
      </c>
      <c r="C7" s="96" t="s">
        <v>109</v>
      </c>
      <c r="D7" s="96">
        <f>BAL!C$2</f>
        <v>13</v>
      </c>
      <c r="E7" s="97">
        <f>BAL!D$2</f>
        <v>529.16604000000007</v>
      </c>
      <c r="F7" s="97">
        <f>BAL!E$2</f>
        <v>334.43293728000003</v>
      </c>
      <c r="G7" s="97">
        <f>BAL!F$2</f>
        <v>3800.6263447656765</v>
      </c>
      <c r="H7" s="97">
        <f>BAL!G$2</f>
        <v>25.483789820736003</v>
      </c>
      <c r="I7" s="97">
        <f>BAL!H$2</f>
        <v>11.440068825320637</v>
      </c>
      <c r="J7" s="97">
        <f>BAL!I$2</f>
        <v>145.56041920000001</v>
      </c>
      <c r="K7" s="97">
        <f>BAL!J$2</f>
        <v>802.03790979200005</v>
      </c>
      <c r="L7" s="97">
        <f>BAL!K$2</f>
        <v>6.4800678281624418</v>
      </c>
      <c r="M7" s="97">
        <f t="shared" si="0"/>
        <v>355.88430778376483</v>
      </c>
      <c r="N7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361.60434219642514</v>
      </c>
      <c r="O7" s="99">
        <v>14.529245789940152</v>
      </c>
    </row>
    <row r="8" spans="1:15" x14ac:dyDescent="0.2">
      <c r="A8" s="95">
        <f>IF(TableQBMaster[[#This Row],[Player]]&lt;&gt;0,A7+1,A7)</f>
        <v>7</v>
      </c>
      <c r="B8" s="96" t="str">
        <f>BAL!A$3</f>
        <v>Tyler Huntley</v>
      </c>
      <c r="C8" s="96" t="s">
        <v>109</v>
      </c>
      <c r="D8" s="96">
        <f>BAL!C$3</f>
        <v>13</v>
      </c>
      <c r="E8" s="97">
        <f>BAL!D$3</f>
        <v>16.365960000000015</v>
      </c>
      <c r="F8" s="97">
        <f>BAL!E$3</f>
        <v>10.398105236053643</v>
      </c>
      <c r="G8" s="97">
        <f>BAL!F$3</f>
        <v>102.94124183693107</v>
      </c>
      <c r="H8" s="97">
        <f>BAL!G$3</f>
        <v>0.41758955373935536</v>
      </c>
      <c r="I8" s="97">
        <f>BAL!H$3</f>
        <v>0.40800681600587857</v>
      </c>
      <c r="J8" s="97">
        <f>BAL!I$3</f>
        <v>5.1985863999999991</v>
      </c>
      <c r="K8" s="97">
        <f>BAL!J$3</f>
        <v>16.635476479999998</v>
      </c>
      <c r="L8" s="97">
        <f>BAL!K$3</f>
        <v>9.6187449795777188E-2</v>
      </c>
      <c r="M8" s="97">
        <f t="shared" si="0"/>
        <v>7.4166700112005097</v>
      </c>
      <c r="N8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7.6206734192034498</v>
      </c>
      <c r="O8" s="99">
        <v>0</v>
      </c>
    </row>
    <row r="9" spans="1:15" x14ac:dyDescent="0.2">
      <c r="A9" s="95">
        <f>IF(TableQBMaster[[#This Row],[Player]]&lt;&gt;0,A8+1,A8)</f>
        <v>8</v>
      </c>
      <c r="B9" s="96" t="str">
        <f>BUF!A$2</f>
        <v>Josh Allen</v>
      </c>
      <c r="C9" s="96" t="s">
        <v>110</v>
      </c>
      <c r="D9" s="96">
        <f>BUF!C$2</f>
        <v>13</v>
      </c>
      <c r="E9" s="97">
        <f>BUF!D$2</f>
        <v>647.95500000000004</v>
      </c>
      <c r="F9" s="97">
        <f>BUF!E$2</f>
        <v>413.06163771301863</v>
      </c>
      <c r="G9" s="97">
        <f>BUF!F$2</f>
        <v>4671.7271225342411</v>
      </c>
      <c r="H9" s="97">
        <f>BUF!G$2</f>
        <v>36.803791920229962</v>
      </c>
      <c r="I9" s="97">
        <f>BUF!H$2</f>
        <v>14.129749309292048</v>
      </c>
      <c r="J9" s="97">
        <f>BUF!I$2</f>
        <v>113.51340000000003</v>
      </c>
      <c r="K9" s="97">
        <f>BUF!J$2</f>
        <v>620.00335416991459</v>
      </c>
      <c r="L9" s="97">
        <f>BUF!K$2</f>
        <v>6.4702638000000023</v>
      </c>
      <c r="M9" s="97">
        <f t="shared" si="0"/>
        <v>413.71154683534292</v>
      </c>
      <c r="N9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420.77642148998893</v>
      </c>
      <c r="O9" s="99">
        <v>23.688618937110689</v>
      </c>
    </row>
    <row r="10" spans="1:15" x14ac:dyDescent="0.2">
      <c r="A10" s="95">
        <f>IF(TableQBMaster[[#This Row],[Player]]&lt;&gt;0,A9+1,A9)</f>
        <v>9</v>
      </c>
      <c r="B10" s="96" t="str">
        <f>BUF!A$3</f>
        <v>Kyle Allen</v>
      </c>
      <c r="C10" s="96" t="s">
        <v>110</v>
      </c>
      <c r="D10" s="96">
        <f>BUF!C$3</f>
        <v>13</v>
      </c>
      <c r="E10" s="97">
        <f>BUF!D$3</f>
        <v>6.5450000000000061</v>
      </c>
      <c r="F10" s="97">
        <f>BUF!E$3</f>
        <v>4.0644450000000036</v>
      </c>
      <c r="G10" s="97">
        <f>BUF!F$3</f>
        <v>43.083117000000037</v>
      </c>
      <c r="H10" s="97">
        <f>BUF!G$3</f>
        <v>0.19509336000000019</v>
      </c>
      <c r="I10" s="97">
        <f>BUF!H$3</f>
        <v>0.22760892000000021</v>
      </c>
      <c r="J10" s="97">
        <f>BUF!I$3</f>
        <v>0</v>
      </c>
      <c r="K10" s="97">
        <f>BUF!J$3</f>
        <v>0</v>
      </c>
      <c r="L10" s="97">
        <f>BUF!K$3</f>
        <v>0</v>
      </c>
      <c r="M10" s="97">
        <f t="shared" si="0"/>
        <v>2.1622847400000023</v>
      </c>
      <c r="N10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2.2760892000000021</v>
      </c>
      <c r="O10" s="99">
        <v>0</v>
      </c>
    </row>
    <row r="11" spans="1:15" x14ac:dyDescent="0.2">
      <c r="A11" s="95">
        <f>IF(TableQBMaster[[#This Row],[Player]]&lt;&gt;0,A10+1,A10)</f>
        <v>10</v>
      </c>
      <c r="B11" s="96" t="str">
        <f>CAR!A$2</f>
        <v>Bryce Young</v>
      </c>
      <c r="C11" s="96" t="s">
        <v>111</v>
      </c>
      <c r="D11" s="96">
        <f>CAR!C$2</f>
        <v>7</v>
      </c>
      <c r="E11" s="97">
        <f>CAR!D$2</f>
        <v>570.43034999999998</v>
      </c>
      <c r="F11" s="97">
        <f>CAR!E$2</f>
        <v>354.81103382308135</v>
      </c>
      <c r="G11" s="97">
        <f>CAR!F$2</f>
        <v>3966.7873581420495</v>
      </c>
      <c r="H11" s="97">
        <f>CAR!G$2</f>
        <v>23.45300933570568</v>
      </c>
      <c r="I11" s="97">
        <f>CAR!H$2</f>
        <v>12.1371497674011</v>
      </c>
      <c r="J11" s="97">
        <f>CAR!I$2</f>
        <v>62.912648400000016</v>
      </c>
      <c r="K11" s="97">
        <f>CAR!J$2</f>
        <v>316.45062145200012</v>
      </c>
      <c r="L11" s="97">
        <f>CAR!K$2</f>
        <v>3.7118462556000007</v>
      </c>
      <c r="M11" s="97">
        <f t="shared" si="0"/>
        <v>288.19394669620306</v>
      </c>
      <c r="N11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294.26252157990365</v>
      </c>
      <c r="O11" s="99">
        <v>0</v>
      </c>
    </row>
    <row r="12" spans="1:15" x14ac:dyDescent="0.2">
      <c r="A12" s="95">
        <f>IF(TableQBMaster[[#This Row],[Player]]&lt;&gt;0,A11+1,A11)</f>
        <v>11</v>
      </c>
      <c r="B12" s="96" t="str">
        <f>CAR!A$3</f>
        <v>Andy Dalton</v>
      </c>
      <c r="C12" s="96" t="s">
        <v>111</v>
      </c>
      <c r="D12" s="96">
        <f>CAR!C$3</f>
        <v>7</v>
      </c>
      <c r="E12" s="97">
        <f>CAR!D$3</f>
        <v>30.022649999999999</v>
      </c>
      <c r="F12" s="97">
        <f>CAR!E$3</f>
        <v>18.957690112213761</v>
      </c>
      <c r="G12" s="97">
        <f>CAR!F$3</f>
        <v>203.98474560742008</v>
      </c>
      <c r="H12" s="97">
        <f>CAR!G$3</f>
        <v>1.3858071472028259</v>
      </c>
      <c r="I12" s="97">
        <f>CAR!H$3</f>
        <v>0.74387271583779924</v>
      </c>
      <c r="J12" s="97">
        <f>CAR!I$3</f>
        <v>2.2468803000000004</v>
      </c>
      <c r="K12" s="97">
        <f>CAR!J$3</f>
        <v>6.5114942493224293</v>
      </c>
      <c r="L12" s="97">
        <f>CAR!K$3</f>
        <v>4.1573164207364309E-2</v>
      </c>
      <c r="M12" s="97">
        <f t="shared" si="0"/>
        <v>13.487397749527835</v>
      </c>
      <c r="N12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13.859334107446738</v>
      </c>
      <c r="O12" s="99">
        <v>0</v>
      </c>
    </row>
    <row r="13" spans="1:15" x14ac:dyDescent="0.2">
      <c r="A13" s="95">
        <f>IF(TableQBMaster[[#This Row],[Player]]&lt;&gt;0,A12+1,A12)</f>
        <v>11</v>
      </c>
      <c r="B13" s="96">
        <f>CAR!A$4</f>
        <v>0</v>
      </c>
      <c r="C13" s="96" t="s">
        <v>111</v>
      </c>
      <c r="D13" s="96">
        <f>CAR!C$3</f>
        <v>7</v>
      </c>
      <c r="E13" s="97">
        <f>CAR!D$3</f>
        <v>30.022649999999999</v>
      </c>
      <c r="F13" s="97">
        <f>CAR!E$3</f>
        <v>18.957690112213761</v>
      </c>
      <c r="G13" s="97">
        <f>CAR!F$3</f>
        <v>203.98474560742008</v>
      </c>
      <c r="H13" s="97">
        <f>CAR!G$3</f>
        <v>1.3858071472028259</v>
      </c>
      <c r="I13" s="97">
        <f>CAR!H$3</f>
        <v>0.74387271583779924</v>
      </c>
      <c r="J13" s="97">
        <f>CAR!I$3</f>
        <v>2.2468803000000004</v>
      </c>
      <c r="K13" s="97">
        <f>CAR!J$3</f>
        <v>6.5114942493224293</v>
      </c>
      <c r="L13" s="97">
        <f>CAR!K$3</f>
        <v>4.1573164207364309E-2</v>
      </c>
      <c r="M13" s="97">
        <f t="shared" ref="M13" si="2">(G13/25)+(H13*4)+(I13*-1.5)+(K13/10)+(L13*6)</f>
        <v>13.487397749527835</v>
      </c>
      <c r="N13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13.859334107446738</v>
      </c>
      <c r="O13" s="99">
        <v>1</v>
      </c>
    </row>
    <row r="14" spans="1:15" x14ac:dyDescent="0.2">
      <c r="A14" s="95">
        <f>IF(TableQBMaster[[#This Row],[Player]]&lt;&gt;0,A13+1,A13)</f>
        <v>12</v>
      </c>
      <c r="B14" s="96" t="str">
        <f>CHI!A$2</f>
        <v>Justin Fields</v>
      </c>
      <c r="C14" s="96" t="s">
        <v>112</v>
      </c>
      <c r="D14" s="96">
        <f>CHI!C$2</f>
        <v>13</v>
      </c>
      <c r="E14" s="97">
        <f>CHI!D$2</f>
        <v>454.26263999999992</v>
      </c>
      <c r="F14" s="97">
        <f>CHI!E$2</f>
        <v>283.00562471999996</v>
      </c>
      <c r="G14" s="97">
        <f>CHI!F$2</f>
        <v>3298.3833288393953</v>
      </c>
      <c r="H14" s="97">
        <f>CHI!G$2</f>
        <v>24.055478101199999</v>
      </c>
      <c r="I14" s="97">
        <f>CHI!H$2</f>
        <v>12.452247487679998</v>
      </c>
      <c r="J14" s="97">
        <f>CHI!I$2</f>
        <v>143.11168144000001</v>
      </c>
      <c r="K14" s="97">
        <f>CHI!J$2</f>
        <v>981.74613467840015</v>
      </c>
      <c r="L14" s="97">
        <f>CHI!K$2</f>
        <v>7.1555840720000008</v>
      </c>
      <c r="M14" s="97">
        <f t="shared" si="0"/>
        <v>350.58699222669583</v>
      </c>
      <c r="N14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356.81311597053582</v>
      </c>
      <c r="O14" s="99">
        <v>0</v>
      </c>
    </row>
    <row r="15" spans="1:15" x14ac:dyDescent="0.2">
      <c r="A15" s="95">
        <f>IF(TableQBMaster[[#This Row],[Player]]&lt;&gt;0,A14+1,A14)</f>
        <v>13</v>
      </c>
      <c r="B15" s="96" t="str">
        <f>CHI!A$3</f>
        <v>Tyson Bagent</v>
      </c>
      <c r="C15" s="96" t="s">
        <v>112</v>
      </c>
      <c r="D15" s="96">
        <f>CHI!C$3</f>
        <v>13</v>
      </c>
      <c r="E15" s="97">
        <f>CHI!D$3</f>
        <v>14.049360000000011</v>
      </c>
      <c r="F15" s="97">
        <f>CHI!E$3</f>
        <v>8.3340803520000062</v>
      </c>
      <c r="G15" s="97">
        <f>CHI!F$3</f>
        <v>90.25809021216007</v>
      </c>
      <c r="H15" s="97">
        <f>CHI!G$3</f>
        <v>0.61505512997760048</v>
      </c>
      <c r="I15" s="97">
        <f>CHI!H$3</f>
        <v>0.45837441936000034</v>
      </c>
      <c r="J15" s="97">
        <f>CHI!I$3</f>
        <v>2.5464712</v>
      </c>
      <c r="K15" s="97">
        <f>CHI!J$3</f>
        <v>7.9195254319999995</v>
      </c>
      <c r="L15" s="97">
        <f>CHI!K$3</f>
        <v>4.7116379696294466E-2</v>
      </c>
      <c r="M15" s="97">
        <f t="shared" si="0"/>
        <v>6.4576333207345709</v>
      </c>
      <c r="N15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6.6868205304145709</v>
      </c>
      <c r="O15" s="99">
        <v>0</v>
      </c>
    </row>
    <row r="16" spans="1:15" x14ac:dyDescent="0.2">
      <c r="A16" s="95">
        <f>IF(TableQBMaster[[#This Row],[Player]]&lt;&gt;0,A15+1,A15)</f>
        <v>14</v>
      </c>
      <c r="B16" s="96" t="str">
        <f>CIN!A$2</f>
        <v>Joe Burrow</v>
      </c>
      <c r="C16" s="96" t="s">
        <v>113</v>
      </c>
      <c r="D16" s="96">
        <f>CIN!C$2</f>
        <v>7</v>
      </c>
      <c r="E16" s="97">
        <f>CIN!D$2</f>
        <v>596.58764999999994</v>
      </c>
      <c r="F16" s="97">
        <f>CIN!E$2</f>
        <v>407.69404727119201</v>
      </c>
      <c r="G16" s="97">
        <f>CIN!F$2</f>
        <v>4588.4764989764508</v>
      </c>
      <c r="H16" s="97">
        <f>CIN!G$2</f>
        <v>34.001683542417418</v>
      </c>
      <c r="I16" s="97">
        <f>CIN!H$2</f>
        <v>12.65827113916224</v>
      </c>
      <c r="J16" s="97">
        <f>CIN!I$2</f>
        <v>59.134983600000012</v>
      </c>
      <c r="K16" s="97">
        <f>CIN!J$2</f>
        <v>214.29424620604701</v>
      </c>
      <c r="L16" s="97">
        <f>CIN!K$2</f>
        <v>3.5480990160000005</v>
      </c>
      <c r="M16" s="97">
        <f t="shared" si="0"/>
        <v>343.27640613658906</v>
      </c>
      <c r="N16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349.60554170617019</v>
      </c>
      <c r="O16" s="99">
        <v>11.000501619200461</v>
      </c>
    </row>
    <row r="17" spans="1:15" x14ac:dyDescent="0.2">
      <c r="A17" s="95">
        <f>IF(TableQBMaster[[#This Row],[Player]]&lt;&gt;0,A16+1,A16)</f>
        <v>15</v>
      </c>
      <c r="B17" s="96" t="str">
        <f>CIN!A$3</f>
        <v>Jake Browning</v>
      </c>
      <c r="C17" s="96" t="s">
        <v>113</v>
      </c>
      <c r="D17" s="96">
        <f>CIN!C$3</f>
        <v>7</v>
      </c>
      <c r="E17" s="97">
        <f>CIN!D$3</f>
        <v>31.399350000000027</v>
      </c>
      <c r="F17" s="97">
        <f>CIN!E$3</f>
        <v>19.954286925000016</v>
      </c>
      <c r="G17" s="97">
        <f>CIN!F$3</f>
        <v>217.93234099452044</v>
      </c>
      <c r="H17" s="97">
        <f>CIN!G$3</f>
        <v>1.3189783657425012</v>
      </c>
      <c r="I17" s="97">
        <f>CIN!H$3</f>
        <v>0.75434988357628374</v>
      </c>
      <c r="J17" s="97">
        <f>CIN!I$3</f>
        <v>0</v>
      </c>
      <c r="K17" s="97">
        <f>CIN!J$3</f>
        <v>0</v>
      </c>
      <c r="L17" s="97">
        <f>CIN!K$3</f>
        <v>0</v>
      </c>
      <c r="M17" s="97">
        <f t="shared" si="0"/>
        <v>12.861682277386397</v>
      </c>
      <c r="N17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13.238857219174539</v>
      </c>
      <c r="O17" s="99">
        <v>0</v>
      </c>
    </row>
    <row r="18" spans="1:15" x14ac:dyDescent="0.2">
      <c r="A18" s="95">
        <f>IF(TableQBMaster[[#This Row],[Player]]&lt;&gt;0,A17+1,A17)</f>
        <v>16</v>
      </c>
      <c r="B18" s="96" t="str">
        <f>CLE!A$2</f>
        <v>Deshaun Watson</v>
      </c>
      <c r="C18" s="96" t="s">
        <v>114</v>
      </c>
      <c r="D18" s="96">
        <f>CLE!C$2</f>
        <v>5</v>
      </c>
      <c r="E18" s="97">
        <f>CLE!D$2</f>
        <v>535.9914</v>
      </c>
      <c r="F18" s="97">
        <f>CLE!E$2</f>
        <v>350.3998126353959</v>
      </c>
      <c r="G18" s="97">
        <f>CLE!F$2</f>
        <v>4064.6378265705926</v>
      </c>
      <c r="H18" s="97">
        <f>CLE!G$2</f>
        <v>27.681585198196277</v>
      </c>
      <c r="I18" s="97">
        <f>CLE!H$2</f>
        <v>12.868455864832363</v>
      </c>
      <c r="J18" s="97">
        <f>CLE!I$2</f>
        <v>95.906033999999991</v>
      </c>
      <c r="K18" s="97">
        <f>CLE!J$2</f>
        <v>470.89862693999999</v>
      </c>
      <c r="L18" s="97">
        <f>CLE!K$2</f>
        <v>4.699395666</v>
      </c>
      <c r="M18" s="97">
        <f t="shared" si="0"/>
        <v>329.29540674836028</v>
      </c>
      <c r="N18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335.72963468077643</v>
      </c>
      <c r="O18" s="99">
        <v>0</v>
      </c>
    </row>
    <row r="19" spans="1:15" x14ac:dyDescent="0.2">
      <c r="A19" s="95">
        <f>IF(TableQBMaster[[#This Row],[Player]]&lt;&gt;0,A18+1,A18)</f>
        <v>17</v>
      </c>
      <c r="B19" s="96" t="str">
        <f>CLE!A$3</f>
        <v>Dorian Thompson-Robinson</v>
      </c>
      <c r="C19" s="96" t="s">
        <v>114</v>
      </c>
      <c r="D19" s="96">
        <f>CLE!C$3</f>
        <v>5</v>
      </c>
      <c r="E19" s="97">
        <f>CLE!D$3</f>
        <v>10.938600000000012</v>
      </c>
      <c r="F19" s="97">
        <f>CLE!E$3</f>
        <v>6.6397302000000069</v>
      </c>
      <c r="G19" s="97">
        <f>CLE!F$3</f>
        <v>70.181948214000073</v>
      </c>
      <c r="H19" s="97">
        <f>CLE!G$3</f>
        <v>0.38709627066000041</v>
      </c>
      <c r="I19" s="97">
        <f>CLE!H$3</f>
        <v>0.2921481288000003</v>
      </c>
      <c r="J19" s="97">
        <f>CLE!I$3</f>
        <v>5.0476859999999988</v>
      </c>
      <c r="K19" s="97">
        <f>CLE!J$3</f>
        <v>18.676438199999996</v>
      </c>
      <c r="L19" s="97">
        <f>CLE!K$3</f>
        <v>0.13123983599999997</v>
      </c>
      <c r="M19" s="97">
        <f t="shared" si="0"/>
        <v>6.5725236540000029</v>
      </c>
      <c r="N19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6.7185977184000034</v>
      </c>
      <c r="O19" s="99">
        <v>0</v>
      </c>
    </row>
    <row r="20" spans="1:15" x14ac:dyDescent="0.2">
      <c r="A20" s="95">
        <f>IF(TableQBMaster[[#This Row],[Player]]&lt;&gt;0,A19+1,A19)</f>
        <v>18</v>
      </c>
      <c r="B20" s="96" t="str">
        <f>DAL!A$2</f>
        <v>Dak Prescott</v>
      </c>
      <c r="C20" s="96" t="s">
        <v>115</v>
      </c>
      <c r="D20" s="96">
        <f>DAL!C$2</f>
        <v>7</v>
      </c>
      <c r="E20" s="97">
        <f>DAL!D$2</f>
        <v>571.25376000000006</v>
      </c>
      <c r="F20" s="97">
        <f>DAL!E$2</f>
        <v>378.92361453139858</v>
      </c>
      <c r="G20" s="97">
        <f>DAL!F$2</f>
        <v>4202.2628851532099</v>
      </c>
      <c r="H20" s="97">
        <f>DAL!G$2</f>
        <v>29.770406194613113</v>
      </c>
      <c r="I20" s="97">
        <f>DAL!H$2</f>
        <v>14.844459046545014</v>
      </c>
      <c r="J20" s="97">
        <f>DAL!I$2</f>
        <v>51.577290239999996</v>
      </c>
      <c r="K20" s="97">
        <f>DAL!J$2</f>
        <v>208.88802547199998</v>
      </c>
      <c r="L20" s="97">
        <f>DAL!K$2</f>
        <v>2.1662461900799999</v>
      </c>
      <c r="M20" s="97">
        <f t="shared" si="0"/>
        <v>298.79173130244328</v>
      </c>
      <c r="N20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306.21396082571579</v>
      </c>
      <c r="O20" s="99">
        <v>14.963176810803908</v>
      </c>
    </row>
    <row r="21" spans="1:15" x14ac:dyDescent="0.2">
      <c r="A21" s="95">
        <f>IF(TableQBMaster[[#This Row],[Player]]&lt;&gt;0,A20+1,A20)</f>
        <v>19</v>
      </c>
      <c r="B21" s="96" t="str">
        <f>DAL!A$3</f>
        <v>Trey Lance</v>
      </c>
      <c r="C21" s="96" t="s">
        <v>115</v>
      </c>
      <c r="D21" s="96">
        <f>DAL!C$3</f>
        <v>7</v>
      </c>
      <c r="E21" s="97">
        <f>DAL!D$3</f>
        <v>11.658240000000012</v>
      </c>
      <c r="F21" s="97">
        <f>DAL!E$3</f>
        <v>7.1915499065010247</v>
      </c>
      <c r="G21" s="97">
        <f>DAL!F$3</f>
        <v>83.421978915411884</v>
      </c>
      <c r="H21" s="97">
        <f>DAL!G$3</f>
        <v>0.54080455296887708</v>
      </c>
      <c r="I21" s="97">
        <f>DAL!H$3</f>
        <v>0.37396059513805324</v>
      </c>
      <c r="J21" s="97">
        <f>DAL!I$3</f>
        <v>6.1279948799999993</v>
      </c>
      <c r="K21" s="97">
        <f>DAL!J$3</f>
        <v>34.255491379199995</v>
      </c>
      <c r="L21" s="97">
        <f>DAL!K$3</f>
        <v>0.30639974399999997</v>
      </c>
      <c r="M21" s="97">
        <f t="shared" si="0"/>
        <v>10.203104077704904</v>
      </c>
      <c r="N21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10.390084375273929</v>
      </c>
      <c r="O21" s="99">
        <v>0</v>
      </c>
    </row>
    <row r="22" spans="1:15" x14ac:dyDescent="0.2">
      <c r="A22" s="95">
        <f>IF(TableQBMaster[[#This Row],[Player]]&lt;&gt;0,A21+1,A21)</f>
        <v>20</v>
      </c>
      <c r="B22" s="96" t="str">
        <f>DEN!A$2</f>
        <v>Russell Wilson</v>
      </c>
      <c r="C22" s="96" t="s">
        <v>116</v>
      </c>
      <c r="D22" s="96">
        <f>DEN!C$2</f>
        <v>9</v>
      </c>
      <c r="E22" s="97">
        <f>DEN!D$2</f>
        <v>567.2106</v>
      </c>
      <c r="F22" s="97">
        <f>DEN!E$2</f>
        <v>360.6066049805948</v>
      </c>
      <c r="G22" s="97">
        <f>DEN!F$2</f>
        <v>4197.4608819741234</v>
      </c>
      <c r="H22" s="97">
        <f>DEN!G$2</f>
        <v>27.346201667745099</v>
      </c>
      <c r="I22" s="97">
        <f>DEN!H$2</f>
        <v>12.995693147501363</v>
      </c>
      <c r="J22" s="97">
        <f>DEN!I$2</f>
        <v>40.655397999999998</v>
      </c>
      <c r="K22" s="97">
        <f>DEN!J$2</f>
        <v>196.21147612433944</v>
      </c>
      <c r="L22" s="97">
        <f>DEN!K$2</f>
        <v>2.1140806959999998</v>
      </c>
      <c r="M22" s="97">
        <f t="shared" si="0"/>
        <v>290.0953340171273</v>
      </c>
      <c r="N22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296.59318059087798</v>
      </c>
      <c r="O22" s="99">
        <v>0</v>
      </c>
    </row>
    <row r="23" spans="1:15" x14ac:dyDescent="0.2">
      <c r="A23" s="95">
        <f>IF(TableQBMaster[[#This Row],[Player]]&lt;&gt;0,A22+1,A22)</f>
        <v>21</v>
      </c>
      <c r="B23" s="96" t="str">
        <f>DEN!A$3</f>
        <v>Jarrett Stidham</v>
      </c>
      <c r="C23" s="96" t="s">
        <v>116</v>
      </c>
      <c r="D23" s="96">
        <f>DEN!C$3</f>
        <v>9</v>
      </c>
      <c r="E23" s="97">
        <f>DEN!D$3</f>
        <v>5.7294000000000054</v>
      </c>
      <c r="F23" s="97">
        <f>DEN!E$3</f>
        <v>3.4801658503855037</v>
      </c>
      <c r="G23" s="97">
        <f>DEN!F$3</f>
        <v>39.604287377387038</v>
      </c>
      <c r="H23" s="97">
        <f>DEN!G$3</f>
        <v>0.23520769516644732</v>
      </c>
      <c r="I23" s="97">
        <f>DEN!H$3</f>
        <v>0.16003897430075908</v>
      </c>
      <c r="J23" s="97">
        <f>DEN!I$3</f>
        <v>1.4348963999999997</v>
      </c>
      <c r="K23" s="97">
        <f>DEN!J$3</f>
        <v>5.520294089141121</v>
      </c>
      <c r="L23" s="97">
        <f>DEN!K$3</f>
        <v>2.5166225590146436E-2</v>
      </c>
      <c r="M23" s="97">
        <f t="shared" si="0"/>
        <v>2.987970576765123</v>
      </c>
      <c r="N23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3.0679900639155027</v>
      </c>
      <c r="O23" s="99">
        <v>0</v>
      </c>
    </row>
    <row r="24" spans="1:15" x14ac:dyDescent="0.2">
      <c r="A24" s="95">
        <f>IF(TableQBMaster[[#This Row],[Player]]&lt;&gt;0,A23+1,A23)</f>
        <v>22</v>
      </c>
      <c r="B24" s="96" t="str">
        <f>DET!A$2</f>
        <v>Jared Goff</v>
      </c>
      <c r="C24" s="96" t="s">
        <v>117</v>
      </c>
      <c r="D24" s="96">
        <f>DET!C$2</f>
        <v>9</v>
      </c>
      <c r="E24" s="97">
        <f>DET!D$2</f>
        <v>588.15483999999992</v>
      </c>
      <c r="F24" s="97">
        <f>DET!E$2</f>
        <v>387.59403955999994</v>
      </c>
      <c r="G24" s="97">
        <f>DET!F$2</f>
        <v>4290.6660179291994</v>
      </c>
      <c r="H24" s="97">
        <f>DET!G$2</f>
        <v>27.209101577111994</v>
      </c>
      <c r="I24" s="97">
        <f>DET!H$2</f>
        <v>9.7378920453390236</v>
      </c>
      <c r="J24" s="97">
        <f>DET!I$2</f>
        <v>31.043710880000006</v>
      </c>
      <c r="K24" s="97">
        <f>DET!J$2</f>
        <v>84.158756935074848</v>
      </c>
      <c r="L24" s="97">
        <f>DET!K$2</f>
        <v>1.1486173025600002</v>
      </c>
      <c r="M24" s="97">
        <f t="shared" si="0"/>
        <v>281.16378846647495</v>
      </c>
      <c r="N24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286.03273448914445</v>
      </c>
      <c r="O24" s="99">
        <v>0</v>
      </c>
    </row>
    <row r="25" spans="1:15" x14ac:dyDescent="0.2">
      <c r="A25" s="95">
        <f>IF(TableQBMaster[[#This Row],[Player]]&lt;&gt;0,A24+1,A24)</f>
        <v>23</v>
      </c>
      <c r="B25" s="96" t="str">
        <f>DET!A$3</f>
        <v>Teddy Bridgewater</v>
      </c>
      <c r="C25" s="96" t="s">
        <v>117</v>
      </c>
      <c r="D25" s="96">
        <f>DET!C$3</f>
        <v>9</v>
      </c>
      <c r="E25" s="97">
        <f>DET!D$3</f>
        <v>12.003160000000008</v>
      </c>
      <c r="F25" s="97">
        <f>DET!E$3</f>
        <v>7.4429029117483241</v>
      </c>
      <c r="G25" s="97">
        <f>DET!F$3</f>
        <v>77.257332223947614</v>
      </c>
      <c r="H25" s="97">
        <f>DET!G$3</f>
        <v>0.41754685334908098</v>
      </c>
      <c r="I25" s="97">
        <f>DET!H$3</f>
        <v>0.30919356117629848</v>
      </c>
      <c r="J25" s="97">
        <f>DET!I$3</f>
        <v>0.91305032000000008</v>
      </c>
      <c r="K25" s="97">
        <f>DET!J$3</f>
        <v>3.9530086865975296</v>
      </c>
      <c r="L25" s="97">
        <f>DET!K$3</f>
        <v>2.5982980679435799E-2</v>
      </c>
      <c r="M25" s="97">
        <f t="shared" si="0"/>
        <v>4.8478891133261488</v>
      </c>
      <c r="N25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5.0024858939142973</v>
      </c>
      <c r="O25" s="99">
        <v>0</v>
      </c>
    </row>
    <row r="26" spans="1:15" x14ac:dyDescent="0.2">
      <c r="A26" s="95">
        <f>IF(TableQBMaster[[#This Row],[Player]]&lt;&gt;0,A25+1,A25)</f>
        <v>24</v>
      </c>
      <c r="B26" s="96" t="str">
        <f>GB!A$2</f>
        <v>Jordan Love</v>
      </c>
      <c r="C26" s="96" t="s">
        <v>118</v>
      </c>
      <c r="D26" s="96">
        <f>GB!C$2</f>
        <v>6</v>
      </c>
      <c r="E26" s="97">
        <f>GB!D$2</f>
        <v>567.10764000000006</v>
      </c>
      <c r="F26" s="97">
        <f>GB!E$2</f>
        <v>357.27781320000003</v>
      </c>
      <c r="G26" s="97">
        <f>GB!F$2</f>
        <v>4030.0937328959999</v>
      </c>
      <c r="H26" s="97">
        <f>GB!G$2</f>
        <v>26.617197083400001</v>
      </c>
      <c r="I26" s="97">
        <f>GB!H$2</f>
        <v>13.900885172159247</v>
      </c>
      <c r="J26" s="97">
        <f>GB!I$2</f>
        <v>49.713479199999988</v>
      </c>
      <c r="K26" s="97">
        <f>GB!J$2</f>
        <v>182.87766554013086</v>
      </c>
      <c r="L26" s="97">
        <f>GB!K$2</f>
        <v>2.0382526471999998</v>
      </c>
      <c r="M26" s="97">
        <f t="shared" si="0"/>
        <v>277.33849232841419</v>
      </c>
      <c r="N26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284.28893491449384</v>
      </c>
      <c r="O26" s="99">
        <v>16.118099546479993</v>
      </c>
    </row>
    <row r="27" spans="1:15" x14ac:dyDescent="0.2">
      <c r="A27" s="95">
        <f>IF(TableQBMaster[[#This Row],[Player]]&lt;&gt;0,A26+1,A26)</f>
        <v>25</v>
      </c>
      <c r="B27" s="96" t="str">
        <f>GB!A$3</f>
        <v>Sean Clifford</v>
      </c>
      <c r="C27" s="96" t="s">
        <v>118</v>
      </c>
      <c r="D27" s="96">
        <f>GB!C$3</f>
        <v>6</v>
      </c>
      <c r="E27" s="97">
        <f>GB!D$3</f>
        <v>5.7283600000000048</v>
      </c>
      <c r="F27" s="97">
        <f>GB!E$3</f>
        <v>3.643236960000003</v>
      </c>
      <c r="G27" s="97">
        <f>GB!F$3</f>
        <v>40.075606560000033</v>
      </c>
      <c r="H27" s="97">
        <f>GB!G$3</f>
        <v>0.18835535083200017</v>
      </c>
      <c r="I27" s="97">
        <f>GB!H$3</f>
        <v>0.13479976752000011</v>
      </c>
      <c r="J27" s="97">
        <f>GB!I$3</f>
        <v>0</v>
      </c>
      <c r="K27" s="97">
        <f>GB!J$3</f>
        <v>0</v>
      </c>
      <c r="L27" s="97">
        <f>GB!K$3</f>
        <v>0</v>
      </c>
      <c r="M27" s="97">
        <f t="shared" si="0"/>
        <v>2.1542460144480016</v>
      </c>
      <c r="N27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2.2216458982080018</v>
      </c>
      <c r="O27" s="99">
        <v>0</v>
      </c>
    </row>
    <row r="28" spans="1:15" x14ac:dyDescent="0.2">
      <c r="A28" s="95">
        <f>IF(TableQBMaster[[#This Row],[Player]]&lt;&gt;0,A27+1,A27)</f>
        <v>26</v>
      </c>
      <c r="B28" s="96" t="str">
        <f>HOU!A$3</f>
        <v>Davis Mills</v>
      </c>
      <c r="C28" s="96" t="s">
        <v>119</v>
      </c>
      <c r="D28" s="96">
        <f>HOU!C$3</f>
        <v>7</v>
      </c>
      <c r="E28" s="97">
        <f>HOU!D$3</f>
        <v>17.247120000000017</v>
      </c>
      <c r="F28" s="97">
        <f>HOU!E$3</f>
        <v>10.692748815936689</v>
      </c>
      <c r="G28" s="97">
        <f>HOU!F$3</f>
        <v>111.71131622432495</v>
      </c>
      <c r="H28" s="97">
        <f>HOU!G$3</f>
        <v>0.53838066733964074</v>
      </c>
      <c r="I28" s="97">
        <f>HOU!H$3</f>
        <v>0.59540735857821636</v>
      </c>
      <c r="J28" s="97">
        <f>HOU!I$3</f>
        <v>0</v>
      </c>
      <c r="K28" s="97">
        <f>HOU!J$3</f>
        <v>0</v>
      </c>
      <c r="L28" s="97">
        <f>HOU!K$3</f>
        <v>0</v>
      </c>
      <c r="M28" s="97">
        <f t="shared" si="0"/>
        <v>5.7288642804642365</v>
      </c>
      <c r="N28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6.0265679597533444</v>
      </c>
      <c r="O28" s="99">
        <v>0</v>
      </c>
    </row>
    <row r="29" spans="1:15" x14ac:dyDescent="0.2">
      <c r="A29" s="95">
        <f>IF(TableQBMaster[[#This Row],[Player]]&lt;&gt;0,A28+1,A28)</f>
        <v>27</v>
      </c>
      <c r="B29" s="96" t="str">
        <f>HOU!A$2</f>
        <v>C.J. Stroud</v>
      </c>
      <c r="C29" s="96" t="s">
        <v>119</v>
      </c>
      <c r="D29" s="96">
        <f>HOU!C$2</f>
        <v>7</v>
      </c>
      <c r="E29" s="97">
        <f>HOU!D$2</f>
        <v>557.65688</v>
      </c>
      <c r="F29" s="97">
        <f>HOU!E$2</f>
        <v>346.49565326417127</v>
      </c>
      <c r="G29" s="97">
        <f>HOU!F$2</f>
        <v>3825.3120120364506</v>
      </c>
      <c r="H29" s="97">
        <f>HOU!G$2</f>
        <v>23.249858334025895</v>
      </c>
      <c r="I29" s="97">
        <f>HOU!H$2</f>
        <v>14.500165092478301</v>
      </c>
      <c r="J29" s="97">
        <f>HOU!I$2</f>
        <v>40.492267199999993</v>
      </c>
      <c r="K29" s="97">
        <f>HOU!J$2</f>
        <v>153.69788333470098</v>
      </c>
      <c r="L29" s="97">
        <f>HOU!K$2</f>
        <v>1.9031365583999997</v>
      </c>
      <c r="M29" s="97">
        <f t="shared" si="0"/>
        <v>251.05027386271425</v>
      </c>
      <c r="N29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258.30035640895341</v>
      </c>
      <c r="O29" s="99">
        <v>0</v>
      </c>
    </row>
    <row r="30" spans="1:15" x14ac:dyDescent="0.2">
      <c r="A30" s="95">
        <f>IF(TableQBMaster[[#This Row],[Player]]&lt;&gt;0,A29+1,A29)</f>
        <v>27</v>
      </c>
      <c r="B30" s="96">
        <f>HOU!A$4</f>
        <v>0</v>
      </c>
      <c r="C30" s="96" t="s">
        <v>119</v>
      </c>
      <c r="D30" s="96">
        <f>HOU!C$4</f>
        <v>7</v>
      </c>
      <c r="E30" s="97">
        <f>HOU!D$4</f>
        <v>0</v>
      </c>
      <c r="F30" s="97">
        <f>HOU!E$4</f>
        <v>0</v>
      </c>
      <c r="G30" s="97">
        <f>HOU!F$4</f>
        <v>0</v>
      </c>
      <c r="H30" s="97">
        <f>HOU!G$4</f>
        <v>0</v>
      </c>
      <c r="I30" s="97">
        <f>HOU!H$4</f>
        <v>0</v>
      </c>
      <c r="J30" s="97">
        <f>HOU!I$4</f>
        <v>0</v>
      </c>
      <c r="K30" s="97">
        <f>HOU!J$4</f>
        <v>0</v>
      </c>
      <c r="L30" s="97">
        <f>HOU!K$4</f>
        <v>0</v>
      </c>
      <c r="M30" s="97">
        <f t="shared" si="0"/>
        <v>0</v>
      </c>
      <c r="N30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30" s="99">
        <v>0</v>
      </c>
    </row>
    <row r="31" spans="1:15" x14ac:dyDescent="0.2">
      <c r="A31" s="95">
        <f>IF(TableQBMaster[[#This Row],[Player]]&lt;&gt;0,A30+1,A30)</f>
        <v>28</v>
      </c>
      <c r="B31" s="96" t="str">
        <f>IND!A$2</f>
        <v>Anthony Richardson</v>
      </c>
      <c r="C31" s="96" t="s">
        <v>120</v>
      </c>
      <c r="D31" s="96">
        <f>IND!C$2</f>
        <v>11</v>
      </c>
      <c r="E31" s="97">
        <f>IND!D$2</f>
        <v>518.21550000000002</v>
      </c>
      <c r="F31" s="97">
        <f>IND!E$2</f>
        <v>312.4839465</v>
      </c>
      <c r="G31" s="97">
        <f>IND!F$2</f>
        <v>3506.0698797300001</v>
      </c>
      <c r="H31" s="97">
        <f>IND!G$2</f>
        <v>19.498998261600001</v>
      </c>
      <c r="I31" s="97">
        <f>IND!H$2</f>
        <v>15.157748978709568</v>
      </c>
      <c r="J31" s="97">
        <f>IND!I$2</f>
        <v>121.4009104</v>
      </c>
      <c r="K31" s="97">
        <f>IND!J$2</f>
        <v>718.69338956800004</v>
      </c>
      <c r="L31" s="97">
        <f>IND!K$2</f>
        <v>7.0412528032000008</v>
      </c>
      <c r="M31" s="97">
        <f t="shared" si="0"/>
        <v>309.61902054353561</v>
      </c>
      <c r="N31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317.19789503289041</v>
      </c>
      <c r="O31" s="99">
        <v>0</v>
      </c>
    </row>
    <row r="32" spans="1:15" x14ac:dyDescent="0.2">
      <c r="A32" s="95">
        <f>IF(TableQBMaster[[#This Row],[Player]]&lt;&gt;0,A31+1,A31)</f>
        <v>29</v>
      </c>
      <c r="B32" s="96" t="str">
        <f>IND!A$3</f>
        <v>Gardner Minshew</v>
      </c>
      <c r="C32" s="96" t="s">
        <v>120</v>
      </c>
      <c r="D32" s="96">
        <f>IND!C$3</f>
        <v>11</v>
      </c>
      <c r="E32" s="97">
        <f>IND!D$3</f>
        <v>27.274500000000025</v>
      </c>
      <c r="F32" s="97">
        <f>IND!E$3</f>
        <v>17.380543915852233</v>
      </c>
      <c r="G32" s="97">
        <f>IND!F$3</f>
        <v>189.44792868278935</v>
      </c>
      <c r="H32" s="97">
        <f>IND!G$3</f>
        <v>1.0269939572373437</v>
      </c>
      <c r="I32" s="97">
        <f>IND!H$3</f>
        <v>0.63528105117521527</v>
      </c>
      <c r="J32" s="97">
        <f>IND!I$3</f>
        <v>3.9161583999999996</v>
      </c>
      <c r="K32" s="97">
        <f>IND!J$3</f>
        <v>16.750404114751259</v>
      </c>
      <c r="L32" s="97">
        <f>IND!K$3</f>
        <v>0.10601038092884311</v>
      </c>
      <c r="M32" s="97">
        <f t="shared" si="0"/>
        <v>13.044074096546311</v>
      </c>
      <c r="N32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13.361714622133919</v>
      </c>
      <c r="O32" s="99">
        <v>0</v>
      </c>
    </row>
    <row r="33" spans="1:15" x14ac:dyDescent="0.2">
      <c r="A33" s="95">
        <f>IF(TableQBMaster[[#This Row],[Player]]&lt;&gt;0,A32+1,A32)</f>
        <v>30</v>
      </c>
      <c r="B33" s="96" t="str">
        <f>JAX!A$2</f>
        <v>Trevor Lawrence</v>
      </c>
      <c r="C33" s="96" t="s">
        <v>139</v>
      </c>
      <c r="D33" s="96">
        <f>JAX!C$2</f>
        <v>9</v>
      </c>
      <c r="E33" s="97">
        <f>JAX!D$2</f>
        <v>624.40289999999993</v>
      </c>
      <c r="F33" s="97">
        <f>JAX!E$2</f>
        <v>408.98323722422987</v>
      </c>
      <c r="G33" s="97">
        <f>JAX!F$2</f>
        <v>4480.3963671244492</v>
      </c>
      <c r="H33" s="97">
        <f>JAX!G$2</f>
        <v>29.896674641091202</v>
      </c>
      <c r="I33" s="97">
        <f>JAX!H$2</f>
        <v>12.408233141275876</v>
      </c>
      <c r="J33" s="97">
        <f>JAX!I$2</f>
        <v>70.871493000000001</v>
      </c>
      <c r="K33" s="97">
        <f>JAX!J$2</f>
        <v>336.16586305667852</v>
      </c>
      <c r="L33" s="97">
        <f>JAX!K$2</f>
        <v>3.7631583657528882</v>
      </c>
      <c r="M33" s="97">
        <f t="shared" si="0"/>
        <v>336.38574003761414</v>
      </c>
      <c r="N33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342.58985660825209</v>
      </c>
      <c r="O33" s="99">
        <v>6.07799409151934</v>
      </c>
    </row>
    <row r="34" spans="1:15" x14ac:dyDescent="0.2">
      <c r="A34" s="95">
        <f>IF(TableQBMaster[[#This Row],[Player]]&lt;&gt;0,A33+1,A33)</f>
        <v>31</v>
      </c>
      <c r="B34" s="96" t="str">
        <f>JAX!A$3</f>
        <v>C.J. Beathard</v>
      </c>
      <c r="C34" s="96" t="s">
        <v>139</v>
      </c>
      <c r="D34" s="96">
        <f>JAX!C$3</f>
        <v>9</v>
      </c>
      <c r="E34" s="97">
        <f>JAX!D$3</f>
        <v>6.3071000000000046</v>
      </c>
      <c r="F34" s="97">
        <f>JAX!E$3</f>
        <v>3.8325650501358539</v>
      </c>
      <c r="G34" s="97">
        <f>JAX!F$3</f>
        <v>42.423822390540963</v>
      </c>
      <c r="H34" s="97">
        <f>JAX!G$3</f>
        <v>0.22292674849442606</v>
      </c>
      <c r="I34" s="97">
        <f>JAX!H$3</f>
        <v>0.20347278271423191</v>
      </c>
      <c r="J34" s="97">
        <f>JAX!I$3</f>
        <v>0</v>
      </c>
      <c r="K34" s="97">
        <f>JAX!J$3</f>
        <v>0</v>
      </c>
      <c r="L34" s="97">
        <f>JAX!K$3</f>
        <v>0</v>
      </c>
      <c r="M34" s="97">
        <f t="shared" si="0"/>
        <v>2.2834507155279944</v>
      </c>
      <c r="N34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2.3851871068851112</v>
      </c>
      <c r="O34" s="99">
        <v>0</v>
      </c>
    </row>
    <row r="35" spans="1:15" x14ac:dyDescent="0.2">
      <c r="A35" s="95">
        <f>IF(TableQBMaster[[#This Row],[Player]]&lt;&gt;0,A34+1,A34)</f>
        <v>32</v>
      </c>
      <c r="B35" s="96" t="str">
        <f>KC!A$2</f>
        <v>Patrick Mahomes</v>
      </c>
      <c r="C35" s="96" t="s">
        <v>122</v>
      </c>
      <c r="D35" s="96">
        <f>KC!C$2</f>
        <v>10</v>
      </c>
      <c r="E35" s="97">
        <f>KC!D$2</f>
        <v>660.53988000000004</v>
      </c>
      <c r="F35" s="97">
        <f>KC!E$2</f>
        <v>438.97811428608662</v>
      </c>
      <c r="G35" s="97">
        <f>KC!F$2</f>
        <v>5188.7213108615442</v>
      </c>
      <c r="H35" s="97">
        <f>KC!G$2</f>
        <v>42.317490217178751</v>
      </c>
      <c r="I35" s="97">
        <f>KC!H$2</f>
        <v>11.641744819906185</v>
      </c>
      <c r="J35" s="97">
        <f>KC!I$2</f>
        <v>58.280913600000005</v>
      </c>
      <c r="K35" s="97">
        <f>KC!J$2</f>
        <v>326.22201775695424</v>
      </c>
      <c r="L35" s="97">
        <f>KC!K$2</f>
        <v>2.9723265936000001</v>
      </c>
      <c r="M35" s="97">
        <f t="shared" si="0"/>
        <v>409.81235741061289</v>
      </c>
      <c r="N35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415.63322982056599</v>
      </c>
      <c r="O35" s="99">
        <v>24</v>
      </c>
    </row>
    <row r="36" spans="1:15" x14ac:dyDescent="0.2">
      <c r="A36" s="95">
        <f>IF(TableQBMaster[[#This Row],[Player]]&lt;&gt;0,A35+1,A35)</f>
        <v>33</v>
      </c>
      <c r="B36" s="96" t="str">
        <f>KC!A$3</f>
        <v>Blaine Gabbert</v>
      </c>
      <c r="C36" s="96" t="s">
        <v>122</v>
      </c>
      <c r="D36" s="96">
        <f>KC!C$3</f>
        <v>10</v>
      </c>
      <c r="E36" s="97">
        <f>KC!D$3</f>
        <v>6.6721200000000058</v>
      </c>
      <c r="F36" s="97">
        <f>KC!E$3</f>
        <v>4.0077092943128338</v>
      </c>
      <c r="G36" s="97">
        <f>KC!F$3</f>
        <v>45.314959961112272</v>
      </c>
      <c r="H36" s="97">
        <f>KC!G$3</f>
        <v>0.27026856818356987</v>
      </c>
      <c r="I36" s="97">
        <f>KC!H$3</f>
        <v>0.16408350361211849</v>
      </c>
      <c r="J36" s="97">
        <f>KC!I$3</f>
        <v>0</v>
      </c>
      <c r="K36" s="97">
        <f>KC!J$3</f>
        <v>0</v>
      </c>
      <c r="L36" s="97">
        <f>KC!K$3</f>
        <v>0</v>
      </c>
      <c r="M36" s="97">
        <f t="shared" ref="M36:M69" si="3">(G36/25)+(H36*4)+(I36*-1.5)+(K36/10)+(L36*6)</f>
        <v>2.6475474157605925</v>
      </c>
      <c r="N36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2.7295891675666519</v>
      </c>
      <c r="O36" s="99">
        <v>0</v>
      </c>
    </row>
    <row r="37" spans="1:15" x14ac:dyDescent="0.2">
      <c r="A37" s="95">
        <f>IF(TableQBMaster[[#This Row],[Player]]&lt;&gt;0,A36+1,A36)</f>
        <v>34</v>
      </c>
      <c r="B37" s="96" t="str">
        <f>LAC!A$2</f>
        <v>Justin Herbert</v>
      </c>
      <c r="C37" s="96" t="s">
        <v>123</v>
      </c>
      <c r="D37" s="96">
        <f>LAC!C$2</f>
        <v>5</v>
      </c>
      <c r="E37" s="97">
        <f>LAC!D$2</f>
        <v>667.03229999999996</v>
      </c>
      <c r="F37" s="97">
        <f>LAC!E$2</f>
        <v>445.5775764</v>
      </c>
      <c r="G37" s="97">
        <f>LAC!F$2</f>
        <v>4785.5031705359997</v>
      </c>
      <c r="H37" s="97">
        <f>LAC!G$2</f>
        <v>32.215258773720002</v>
      </c>
      <c r="I37" s="97">
        <f>LAC!H$2</f>
        <v>12.272600328966291</v>
      </c>
      <c r="J37" s="97">
        <f>LAC!I$2</f>
        <v>59.850756000000011</v>
      </c>
      <c r="K37" s="97">
        <f>LAC!J$2</f>
        <v>226.83436524000004</v>
      </c>
      <c r="L37" s="97">
        <f>LAC!K$2</f>
        <v>1.5955992236678396</v>
      </c>
      <c r="M37" s="97">
        <f t="shared" si="3"/>
        <v>334.12929328887759</v>
      </c>
      <c r="N37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340.26559345336074</v>
      </c>
      <c r="O37" s="99">
        <v>12.05655843904823</v>
      </c>
    </row>
    <row r="38" spans="1:15" x14ac:dyDescent="0.2">
      <c r="A38" s="95">
        <f>IF(TableQBMaster[[#This Row],[Player]]&lt;&gt;0,A37+1,A37)</f>
        <v>35</v>
      </c>
      <c r="B38" s="96" t="str">
        <f>LAC!A$3</f>
        <v>Easton Stick</v>
      </c>
      <c r="C38" s="96" t="s">
        <v>123</v>
      </c>
      <c r="D38" s="96">
        <f>LAC!C$3</f>
        <v>5</v>
      </c>
      <c r="E38" s="97">
        <f>LAC!D$3</f>
        <v>6.7377000000000056</v>
      </c>
      <c r="F38" s="97">
        <f>LAC!E$3</f>
        <v>4.0688821880684412</v>
      </c>
      <c r="G38" s="97">
        <f>LAC!F$3</f>
        <v>41.583975962059469</v>
      </c>
      <c r="H38" s="97">
        <f>LAC!G$3</f>
        <v>0.27352406176017979</v>
      </c>
      <c r="I38" s="97">
        <f>LAC!H$3</f>
        <v>0.17437897120395998</v>
      </c>
      <c r="J38" s="97">
        <f>LAC!I$3</f>
        <v>0</v>
      </c>
      <c r="K38" s="97">
        <f>LAC!J$3</f>
        <v>0</v>
      </c>
      <c r="L38" s="97">
        <f>LAC!K$3</f>
        <v>0</v>
      </c>
      <c r="M38" s="97">
        <f t="shared" si="3"/>
        <v>2.4958868287171576</v>
      </c>
      <c r="N38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2.583076314319138</v>
      </c>
      <c r="O38" s="99">
        <v>0</v>
      </c>
    </row>
    <row r="39" spans="1:15" x14ac:dyDescent="0.2">
      <c r="A39" s="95">
        <f>IF(TableQBMaster[[#This Row],[Player]]&lt;&gt;0,A38+1,A38)</f>
        <v>36</v>
      </c>
      <c r="B39" s="96" t="str">
        <f>LAR!A$2</f>
        <v>Matthew Stafford</v>
      </c>
      <c r="C39" s="96" t="s">
        <v>124</v>
      </c>
      <c r="D39" s="96">
        <f>LAR!C$2</f>
        <v>10</v>
      </c>
      <c r="E39" s="97">
        <f>LAR!D$2</f>
        <v>605.21471999999994</v>
      </c>
      <c r="F39" s="97">
        <f>LAR!E$2</f>
        <v>403.22042572745528</v>
      </c>
      <c r="G39" s="97">
        <f>LAR!F$2</f>
        <v>4520.7123721191228</v>
      </c>
      <c r="H39" s="97">
        <f>LAR!G$2</f>
        <v>28.144785715776379</v>
      </c>
      <c r="I39" s="97">
        <f>LAR!H$2</f>
        <v>16.334362899087708</v>
      </c>
      <c r="J39" s="97">
        <f>LAR!I$2</f>
        <v>25.023398400000001</v>
      </c>
      <c r="K39" s="97">
        <f>LAR!J$2</f>
        <v>55.022129781943526</v>
      </c>
      <c r="L39" s="97">
        <f>LAR!K$2</f>
        <v>0.80746585895939871</v>
      </c>
      <c r="M39" s="97">
        <f t="shared" si="3"/>
        <v>279.2531015311896</v>
      </c>
      <c r="N39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287.42028298073348</v>
      </c>
      <c r="O39" s="99">
        <v>1.8629292270178726</v>
      </c>
    </row>
    <row r="40" spans="1:15" x14ac:dyDescent="0.2">
      <c r="A40" s="95">
        <f>IF(TableQBMaster[[#This Row],[Player]]&lt;&gt;0,A39+1,A39)</f>
        <v>37</v>
      </c>
      <c r="B40" s="96" t="str">
        <f>LAR!A$3</f>
        <v>Stetson Bennett</v>
      </c>
      <c r="C40" s="96" t="s">
        <v>124</v>
      </c>
      <c r="D40" s="96">
        <f>LAR!C$3</f>
        <v>10</v>
      </c>
      <c r="E40" s="97">
        <f>LAR!D$3</f>
        <v>25.217280000000024</v>
      </c>
      <c r="F40" s="97">
        <f>LAR!E$3</f>
        <v>15.631473331449063</v>
      </c>
      <c r="G40" s="97">
        <f>LAR!F$3</f>
        <v>164.92402007411778</v>
      </c>
      <c r="H40" s="97">
        <f>LAR!G$3</f>
        <v>0.8632685331305876</v>
      </c>
      <c r="I40" s="97">
        <f>LAR!H$3</f>
        <v>0.65209895868144907</v>
      </c>
      <c r="J40" s="97">
        <f>LAR!I$3</f>
        <v>0</v>
      </c>
      <c r="K40" s="97">
        <f>LAR!J$3</f>
        <v>0</v>
      </c>
      <c r="L40" s="97">
        <f>LAR!K$3</f>
        <v>0</v>
      </c>
      <c r="M40" s="97">
        <f t="shared" si="3"/>
        <v>9.0718864974648881</v>
      </c>
      <c r="N40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9.3979359768056128</v>
      </c>
      <c r="O40" s="99">
        <v>0</v>
      </c>
    </row>
    <row r="41" spans="1:15" x14ac:dyDescent="0.2">
      <c r="A41" s="95">
        <f>IF(TableQBMaster[[#This Row],[Player]]&lt;&gt;0,A40+1,A40)</f>
        <v>38</v>
      </c>
      <c r="B41" s="96" t="str">
        <f>LV!A$2</f>
        <v>Jimmy Garoppolo</v>
      </c>
      <c r="C41" s="96" t="s">
        <v>192</v>
      </c>
      <c r="D41" s="96">
        <f>LV!C$2</f>
        <v>13</v>
      </c>
      <c r="E41" s="97">
        <f>LV!D$2</f>
        <v>542.29499999999996</v>
      </c>
      <c r="F41" s="97">
        <f>LV!E$2</f>
        <v>363.89972198767197</v>
      </c>
      <c r="G41" s="97">
        <f>LV!F$2</f>
        <v>4127.4649398998135</v>
      </c>
      <c r="H41" s="97">
        <f>LV!G$2</f>
        <v>25.109080817149369</v>
      </c>
      <c r="I41" s="97">
        <f>LV!H$2</f>
        <v>13.894698426490692</v>
      </c>
      <c r="J41" s="97">
        <f>LV!I$2</f>
        <v>30.579772999999999</v>
      </c>
      <c r="K41" s="97">
        <f>LV!J$2</f>
        <v>58.522448980284132</v>
      </c>
      <c r="L41" s="97">
        <f>LV!K$2</f>
        <v>1.652763725478072</v>
      </c>
      <c r="M41" s="97">
        <f t="shared" si="3"/>
        <v>260.46170047575083</v>
      </c>
      <c r="N41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267.40904968899622</v>
      </c>
      <c r="O41" s="99">
        <v>0</v>
      </c>
    </row>
    <row r="42" spans="1:15" x14ac:dyDescent="0.2">
      <c r="A42" s="95">
        <f>IF(TableQBMaster[[#This Row],[Player]]&lt;&gt;0,A41+1,A41)</f>
        <v>39</v>
      </c>
      <c r="B42" s="96" t="str">
        <f>LV!A$3</f>
        <v>Brian Hoyer</v>
      </c>
      <c r="C42" s="96" t="s">
        <v>192</v>
      </c>
      <c r="D42" s="96">
        <f>LV!C$3</f>
        <v>13</v>
      </c>
      <c r="E42" s="97">
        <f>LV!D$3</f>
        <v>60.254999999999981</v>
      </c>
      <c r="F42" s="97">
        <f>LV!E$3</f>
        <v>36.663003368804048</v>
      </c>
      <c r="G42" s="97">
        <f>LV!F$3</f>
        <v>407.71298044231008</v>
      </c>
      <c r="H42" s="97">
        <f>LV!G$3</f>
        <v>2.1866946563676231</v>
      </c>
      <c r="I42" s="97">
        <f>LV!H$3</f>
        <v>1.7163365407472921</v>
      </c>
      <c r="J42" s="97">
        <f>LV!I$3</f>
        <v>0</v>
      </c>
      <c r="K42" s="97">
        <f>LV!J$3</f>
        <v>0</v>
      </c>
      <c r="L42" s="97">
        <f>LV!K$3</f>
        <v>0</v>
      </c>
      <c r="M42" s="97">
        <f t="shared" si="3"/>
        <v>22.480793032041959</v>
      </c>
      <c r="N42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23.338961302415605</v>
      </c>
      <c r="O42" s="99">
        <v>0</v>
      </c>
    </row>
    <row r="43" spans="1:15" x14ac:dyDescent="0.2">
      <c r="A43" s="95">
        <f>IF(TableQBMaster[[#This Row],[Player]]&lt;&gt;0,A42+1,A42)</f>
        <v>40</v>
      </c>
      <c r="B43" s="96" t="str">
        <f>MIA!A$2</f>
        <v>Tua Tagovailoa</v>
      </c>
      <c r="C43" s="96" t="s">
        <v>125</v>
      </c>
      <c r="D43" s="96">
        <f>MIA!C$2</f>
        <v>10</v>
      </c>
      <c r="E43" s="97">
        <f>MIA!D$2</f>
        <v>596.04948000000002</v>
      </c>
      <c r="F43" s="97">
        <f>MIA!E$2</f>
        <v>395.77685472000002</v>
      </c>
      <c r="G43" s="97">
        <f>MIA!F$2</f>
        <v>4527.6872179968004</v>
      </c>
      <c r="H43" s="97">
        <f>MIA!G$2</f>
        <v>30.751861611744005</v>
      </c>
      <c r="I43" s="97">
        <f>MIA!H$2</f>
        <v>13.338919533595861</v>
      </c>
      <c r="J43" s="97">
        <f>MIA!I$2</f>
        <v>44.242401840000007</v>
      </c>
      <c r="K43" s="97">
        <f>MIA!J$2</f>
        <v>139.01369284484511</v>
      </c>
      <c r="L43" s="97">
        <f>MIA!K$2</f>
        <v>1.5714405338178845</v>
      </c>
      <c r="M43" s="97">
        <f t="shared" si="3"/>
        <v>307.43656835384604</v>
      </c>
      <c r="N43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314.106028120644</v>
      </c>
      <c r="O43" s="99">
        <v>0.7572092175449775</v>
      </c>
    </row>
    <row r="44" spans="1:15" x14ac:dyDescent="0.2">
      <c r="A44" s="95">
        <f>IF(TableQBMaster[[#This Row],[Player]]&lt;&gt;0,A43+1,A43)</f>
        <v>41</v>
      </c>
      <c r="B44" s="96" t="str">
        <f>MIA!A$3</f>
        <v>Mike White</v>
      </c>
      <c r="C44" s="96" t="s">
        <v>125</v>
      </c>
      <c r="D44" s="96">
        <f>MIA!C$3</f>
        <v>10</v>
      </c>
      <c r="E44" s="97">
        <f>MIA!D$3</f>
        <v>18.434520000000017</v>
      </c>
      <c r="F44" s="97">
        <f>MIA!E$3</f>
        <v>11.402074644199073</v>
      </c>
      <c r="G44" s="97">
        <f>MIA!F$3</f>
        <v>127.70323601502962</v>
      </c>
      <c r="H44" s="97">
        <f>MIA!G$3</f>
        <v>0.67604782611975667</v>
      </c>
      <c r="I44" s="97">
        <f>MIA!H$3</f>
        <v>0.63452742271405693</v>
      </c>
      <c r="J44" s="97">
        <f>MIA!I$3</f>
        <v>0</v>
      </c>
      <c r="K44" s="97">
        <f>MIA!J$3</f>
        <v>0</v>
      </c>
      <c r="L44" s="97">
        <f>MIA!K$3</f>
        <v>0</v>
      </c>
      <c r="M44" s="97">
        <f t="shared" si="3"/>
        <v>6.8605296110091256</v>
      </c>
      <c r="N44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7.1777933223661545</v>
      </c>
      <c r="O44" s="99">
        <v>0</v>
      </c>
    </row>
    <row r="45" spans="1:15" x14ac:dyDescent="0.2">
      <c r="A45" s="95">
        <f>IF(TableQBMaster[[#This Row],[Player]]&lt;&gt;0,A44+1,A44)</f>
        <v>42</v>
      </c>
      <c r="B45" s="96" t="str">
        <f>MIN!A$2</f>
        <v>Kirk Cousins</v>
      </c>
      <c r="C45" s="96" t="s">
        <v>126</v>
      </c>
      <c r="D45" s="96">
        <f>MIN!C$2</f>
        <v>13</v>
      </c>
      <c r="E45" s="97">
        <f>MIN!D$2</f>
        <v>646.21787999999992</v>
      </c>
      <c r="F45" s="97">
        <f>MIN!E$2</f>
        <v>425.9364473122526</v>
      </c>
      <c r="G45" s="97">
        <f>MIN!F$2</f>
        <v>4731.9508707950426</v>
      </c>
      <c r="H45" s="97">
        <f>MIN!G$2</f>
        <v>30.241487759169932</v>
      </c>
      <c r="I45" s="97">
        <f>MIN!H$2</f>
        <v>13.443975806147556</v>
      </c>
      <c r="J45" s="97">
        <f>MIN!I$2</f>
        <v>26.231405200000008</v>
      </c>
      <c r="K45" s="97">
        <f>MIN!J$2</f>
        <v>83.650231302493069</v>
      </c>
      <c r="L45" s="97">
        <f>MIN!K$2</f>
        <v>1.4164958808000003</v>
      </c>
      <c r="M45" s="97">
        <f t="shared" si="3"/>
        <v>306.94202057430942</v>
      </c>
      <c r="N45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313.66400847738322</v>
      </c>
      <c r="O45" s="99">
        <v>0</v>
      </c>
    </row>
    <row r="46" spans="1:15" x14ac:dyDescent="0.2">
      <c r="A46" s="95">
        <f>IF(TableQBMaster[[#This Row],[Player]]&lt;&gt;0,A45+1,A45)</f>
        <v>43</v>
      </c>
      <c r="B46" s="96" t="str">
        <f>MIN!A$3</f>
        <v>Nick Mullens</v>
      </c>
      <c r="C46" s="96" t="s">
        <v>126</v>
      </c>
      <c r="D46" s="96">
        <f>MIN!C$3</f>
        <v>13</v>
      </c>
      <c r="E46" s="97">
        <f>MIN!D$3</f>
        <v>19.986120000000017</v>
      </c>
      <c r="F46" s="97">
        <f>MIN!E$3</f>
        <v>12.591255600000011</v>
      </c>
      <c r="G46" s="97">
        <f>MIN!F$3</f>
        <v>133.46730936000012</v>
      </c>
      <c r="H46" s="97">
        <f>MIN!G$3</f>
        <v>0.73029282480000068</v>
      </c>
      <c r="I46" s="97">
        <f>MIN!H$3</f>
        <v>0.3777376680000003</v>
      </c>
      <c r="J46" s="97">
        <f>MIN!I$3</f>
        <v>0</v>
      </c>
      <c r="K46" s="97">
        <f>MIN!J$3</f>
        <v>0</v>
      </c>
      <c r="L46" s="97">
        <f>MIN!K$3</f>
        <v>0</v>
      </c>
      <c r="M46" s="97">
        <f t="shared" si="3"/>
        <v>7.6932571716000062</v>
      </c>
      <c r="N46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7.8821260056000071</v>
      </c>
      <c r="O46" s="99">
        <v>0</v>
      </c>
    </row>
    <row r="47" spans="1:15" x14ac:dyDescent="0.2">
      <c r="A47" s="95">
        <f>IF(TableQBMaster[[#This Row],[Player]]&lt;&gt;0,A46+1,A46)</f>
        <v>44</v>
      </c>
      <c r="B47" s="96" t="str">
        <f>NE!A$2</f>
        <v>Mac Jones</v>
      </c>
      <c r="C47" s="96" t="s">
        <v>127</v>
      </c>
      <c r="D47" s="96">
        <f>NE!C$2</f>
        <v>11</v>
      </c>
      <c r="E47" s="97">
        <f>NE!D$2</f>
        <v>540.86283999999989</v>
      </c>
      <c r="F47" s="97">
        <f>NE!E$2</f>
        <v>359.13292575999992</v>
      </c>
      <c r="G47" s="97">
        <f>NE!F$2</f>
        <v>3882.2269274655991</v>
      </c>
      <c r="H47" s="97">
        <f>NE!G$2</f>
        <v>22.697200908031999</v>
      </c>
      <c r="I47" s="97">
        <f>NE!H$2</f>
        <v>13.742540428491383</v>
      </c>
      <c r="J47" s="97">
        <f>NE!I$2</f>
        <v>31.51308384</v>
      </c>
      <c r="K47" s="97">
        <f>NE!J$2</f>
        <v>97.690559903999997</v>
      </c>
      <c r="L47" s="97">
        <f>NE!K$2</f>
        <v>1.0399317667200001</v>
      </c>
      <c r="M47" s="97">
        <f t="shared" si="3"/>
        <v>241.47271667873494</v>
      </c>
      <c r="N47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248.34398689298061</v>
      </c>
      <c r="O47" s="99">
        <v>0</v>
      </c>
    </row>
    <row r="48" spans="1:15" x14ac:dyDescent="0.2">
      <c r="A48" s="95">
        <f>IF(TableQBMaster[[#This Row],[Player]]&lt;&gt;0,A47+1,A47)</f>
        <v>44</v>
      </c>
      <c r="B48" s="96">
        <f>NE!A$3</f>
        <v>0</v>
      </c>
      <c r="C48" s="96" t="s">
        <v>127</v>
      </c>
      <c r="D48" s="96">
        <f>NE!C$3</f>
        <v>11</v>
      </c>
      <c r="E48" s="97">
        <f>NE!D$3</f>
        <v>34.523160000000026</v>
      </c>
      <c r="F48" s="97">
        <f>NE!E$3</f>
        <v>21.858979791172246</v>
      </c>
      <c r="G48" s="97">
        <f>NE!F$3</f>
        <v>246.35070224651119</v>
      </c>
      <c r="H48" s="97">
        <f>NE!G$3</f>
        <v>1.3596285430109136</v>
      </c>
      <c r="I48" s="97">
        <f>NE!H$3</f>
        <v>1.2989586546575671</v>
      </c>
      <c r="J48" s="97">
        <f>NE!I$3</f>
        <v>0</v>
      </c>
      <c r="K48" s="97">
        <f>NE!J$3</f>
        <v>0</v>
      </c>
      <c r="L48" s="97">
        <f>NE!K$3</f>
        <v>0</v>
      </c>
      <c r="M48" s="97">
        <f t="shared" si="3"/>
        <v>13.344104279917753</v>
      </c>
      <c r="N48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13.993583607246535</v>
      </c>
      <c r="O48" s="99">
        <v>0</v>
      </c>
    </row>
    <row r="49" spans="1:15" x14ac:dyDescent="0.2">
      <c r="A49" s="95">
        <f>IF(TableQBMaster[[#This Row],[Player]]&lt;&gt;0,A48+1,A48)</f>
        <v>45</v>
      </c>
      <c r="B49" s="96" t="str">
        <f>NO!A$2</f>
        <v>Derek Carr</v>
      </c>
      <c r="C49" s="96" t="s">
        <v>128</v>
      </c>
      <c r="D49" s="96">
        <f>NO!C$2</f>
        <v>11</v>
      </c>
      <c r="E49" s="97">
        <f>NO!D$2</f>
        <v>518.37239999999997</v>
      </c>
      <c r="F49" s="97">
        <f>NO!E$2</f>
        <v>345.75439080000001</v>
      </c>
      <c r="G49" s="97">
        <f>NO!F$2</f>
        <v>3941.6000551200004</v>
      </c>
      <c r="H49" s="97">
        <f>NO!G$2</f>
        <v>25.5858249192</v>
      </c>
      <c r="I49" s="97">
        <f>NO!H$2</f>
        <v>12.762952847056509</v>
      </c>
      <c r="J49" s="97">
        <f>NO!I$2</f>
        <v>27.411521199999999</v>
      </c>
      <c r="K49" s="97">
        <f>NO!J$2</f>
        <v>94.517947385877136</v>
      </c>
      <c r="L49" s="97">
        <f>NO!K$2</f>
        <v>0.497336619910278</v>
      </c>
      <c r="M49" s="97">
        <f t="shared" si="3"/>
        <v>253.29868706906464</v>
      </c>
      <c r="N49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259.6801634925929</v>
      </c>
      <c r="O49" s="99">
        <v>0</v>
      </c>
    </row>
    <row r="50" spans="1:15" x14ac:dyDescent="0.2">
      <c r="A50" s="95">
        <f>IF(TableQBMaster[[#This Row],[Player]]&lt;&gt;0,A49+1,A49)</f>
        <v>46</v>
      </c>
      <c r="B50" s="96" t="str">
        <f>NO!A$3</f>
        <v>Jameis Winston</v>
      </c>
      <c r="C50" s="96" t="s">
        <v>128</v>
      </c>
      <c r="D50" s="96">
        <f>NO!C$3</f>
        <v>11</v>
      </c>
      <c r="E50" s="97">
        <f>NO!D$3</f>
        <v>16.543800000000029</v>
      </c>
      <c r="F50" s="97">
        <f>NO!E$3</f>
        <v>10.406050200000019</v>
      </c>
      <c r="G50" s="97">
        <f>NO!F$3</f>
        <v>112.1772211560002</v>
      </c>
      <c r="H50" s="97">
        <f>NO!G$3</f>
        <v>0.63476906220000118</v>
      </c>
      <c r="I50" s="97">
        <f>NO!H$3</f>
        <v>0.44746015860000077</v>
      </c>
      <c r="J50" s="97">
        <f>NO!I$3</f>
        <v>2.2468459999999997</v>
      </c>
      <c r="K50" s="97">
        <f>NO!J$3</f>
        <v>8.5380147999999991</v>
      </c>
      <c r="L50" s="97">
        <f>NO!K$3</f>
        <v>6.7405379999999987E-2</v>
      </c>
      <c r="M50" s="97">
        <f t="shared" si="3"/>
        <v>7.6132086171400104</v>
      </c>
      <c r="N50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7.8369386964400114</v>
      </c>
      <c r="O50" s="99">
        <v>0</v>
      </c>
    </row>
    <row r="51" spans="1:15" x14ac:dyDescent="0.2">
      <c r="A51" s="95">
        <f>IF(TableQBMaster[[#This Row],[Player]]&lt;&gt;0,A50+1,A50)</f>
        <v>46</v>
      </c>
      <c r="B51" s="96">
        <f>NO!A$4</f>
        <v>0</v>
      </c>
      <c r="C51" s="96" t="s">
        <v>128</v>
      </c>
      <c r="D51" s="96">
        <f>NO!C$4</f>
        <v>11</v>
      </c>
      <c r="E51" s="97">
        <f>NO!D$4</f>
        <v>0</v>
      </c>
      <c r="F51" s="97">
        <f>NO!E$4</f>
        <v>0</v>
      </c>
      <c r="G51" s="97">
        <f>NO!F$4</f>
        <v>0</v>
      </c>
      <c r="H51" s="97">
        <f>NO!G$4</f>
        <v>0</v>
      </c>
      <c r="I51" s="97">
        <f>NO!H$4</f>
        <v>0</v>
      </c>
      <c r="J51" s="97">
        <f>NO!I$4</f>
        <v>0</v>
      </c>
      <c r="K51" s="97">
        <f>NO!J$4</f>
        <v>0</v>
      </c>
      <c r="L51" s="97">
        <f>NO!K$4</f>
        <v>0</v>
      </c>
      <c r="M51" s="97">
        <f t="shared" si="3"/>
        <v>0</v>
      </c>
      <c r="N51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51" s="99">
        <v>0</v>
      </c>
    </row>
    <row r="52" spans="1:15" x14ac:dyDescent="0.2">
      <c r="A52" s="95">
        <f>IF(TableQBMaster[[#This Row],[Player]]&lt;&gt;0,A51+1,A51)</f>
        <v>47</v>
      </c>
      <c r="B52" s="96" t="str">
        <f>NYG!A$2</f>
        <v>Daniel Jones</v>
      </c>
      <c r="C52" s="96" t="s">
        <v>129</v>
      </c>
      <c r="D52" s="96">
        <f>NYG!C$2</f>
        <v>13</v>
      </c>
      <c r="E52" s="97">
        <f>NYG!D$2</f>
        <v>526.15628000000004</v>
      </c>
      <c r="F52" s="97">
        <f>NYG!E$2</f>
        <v>351.47239504000004</v>
      </c>
      <c r="G52" s="97">
        <f>NYG!F$2</f>
        <v>3711.5484916224004</v>
      </c>
      <c r="H52" s="97">
        <f>NYG!G$2</f>
        <v>20.877460265376001</v>
      </c>
      <c r="I52" s="97">
        <f>NYG!H$2</f>
        <v>9.3890380988590607</v>
      </c>
      <c r="J52" s="97">
        <f>NYG!I$2</f>
        <v>101.65132025999999</v>
      </c>
      <c r="K52" s="97">
        <f>NYG!J$2</f>
        <v>576.21100381432632</v>
      </c>
      <c r="L52" s="97">
        <f>NYG!K$2</f>
        <v>5.5908226142999995</v>
      </c>
      <c r="M52" s="97">
        <f t="shared" si="3"/>
        <v>309.05425964534408</v>
      </c>
      <c r="N52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313.74877869477359</v>
      </c>
      <c r="O52" s="99">
        <v>2.2131778336992549</v>
      </c>
    </row>
    <row r="53" spans="1:15" x14ac:dyDescent="0.2">
      <c r="A53" s="95">
        <f>IF(TableQBMaster[[#This Row],[Player]]&lt;&gt;0,A52+1,A52)</f>
        <v>48</v>
      </c>
      <c r="B53" s="96" t="str">
        <f>NYG!A$3</f>
        <v>Tyrod Taylor</v>
      </c>
      <c r="C53" s="96" t="s">
        <v>129</v>
      </c>
      <c r="D53" s="96">
        <f>NYG!C$3</f>
        <v>13</v>
      </c>
      <c r="E53" s="97">
        <f>NYG!D$3</f>
        <v>45.752719999999975</v>
      </c>
      <c r="F53" s="97">
        <f>NYG!E$3</f>
        <v>30.654322399999984</v>
      </c>
      <c r="G53" s="97">
        <f>NYG!F$3</f>
        <v>305.62359432799985</v>
      </c>
      <c r="H53" s="97">
        <f>NYG!G$3</f>
        <v>2.3860886179279635</v>
      </c>
      <c r="I53" s="97">
        <f>NYG!H$3</f>
        <v>1.5044641111490982</v>
      </c>
      <c r="J53" s="97">
        <f>NYG!I$3</f>
        <v>4.9106918000000004</v>
      </c>
      <c r="K53" s="97">
        <f>NYG!J$3</f>
        <v>25.664546223179471</v>
      </c>
      <c r="L53" s="97">
        <f>NYG!K$3</f>
        <v>0.18660628840000001</v>
      </c>
      <c r="M53" s="97">
        <f t="shared" si="3"/>
        <v>23.198694430826151</v>
      </c>
      <c r="N53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23.9509264864007</v>
      </c>
      <c r="O53" s="99">
        <v>0</v>
      </c>
    </row>
    <row r="54" spans="1:15" x14ac:dyDescent="0.2">
      <c r="A54" s="95">
        <f>IF(TableQBMaster[[#This Row],[Player]]&lt;&gt;0,A53+1,A53)</f>
        <v>49</v>
      </c>
      <c r="B54" s="96" t="str">
        <f>NYJ!A$2</f>
        <v>Aaron Rodgers</v>
      </c>
      <c r="C54" s="96" t="s">
        <v>130</v>
      </c>
      <c r="D54" s="96">
        <f>NYJ!C$2</f>
        <v>7</v>
      </c>
      <c r="E54" s="97">
        <f>NYJ!D$2</f>
        <v>600.57854999999995</v>
      </c>
      <c r="F54" s="97">
        <f>NYJ!E$2</f>
        <v>388.72674360807815</v>
      </c>
      <c r="G54" s="97">
        <f>NYJ!F$2</f>
        <v>4352.7314809277532</v>
      </c>
      <c r="H54" s="97">
        <f>NYJ!G$2</f>
        <v>31.564611580975942</v>
      </c>
      <c r="I54" s="97">
        <f>NYJ!H$2</f>
        <v>12.050529051850422</v>
      </c>
      <c r="J54" s="97">
        <f>NYJ!I$2</f>
        <v>30.828272893401014</v>
      </c>
      <c r="K54" s="97">
        <f>NYJ!J$2</f>
        <v>97.745588056618487</v>
      </c>
      <c r="L54" s="97">
        <f>NYJ!K$2</f>
        <v>1.1988738482545129</v>
      </c>
      <c r="M54" s="97">
        <f t="shared" si="3"/>
        <v>299.25971387842719</v>
      </c>
      <c r="N54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305.28497840435239</v>
      </c>
      <c r="O54" s="99">
        <v>0</v>
      </c>
    </row>
    <row r="55" spans="1:15" x14ac:dyDescent="0.2">
      <c r="A55" s="95">
        <f>IF(TableQBMaster[[#This Row],[Player]]&lt;&gt;0,A54+1,A54)</f>
        <v>50</v>
      </c>
      <c r="B55" s="96" t="str">
        <f>NYJ!A$3</f>
        <v>Zach Wilson</v>
      </c>
      <c r="C55" s="96" t="s">
        <v>130</v>
      </c>
      <c r="D55" s="96">
        <f>NYJ!C$3</f>
        <v>7</v>
      </c>
      <c r="E55" s="97">
        <f>NYJ!D$3</f>
        <v>6.066450000000005</v>
      </c>
      <c r="F55" s="97">
        <f>NYJ!E$3</f>
        <v>3.4986110617712485</v>
      </c>
      <c r="G55" s="97">
        <f>NYJ!F$3</f>
        <v>38.3797633476306</v>
      </c>
      <c r="H55" s="97">
        <f>NYJ!G$3</f>
        <v>0.1903244417603559</v>
      </c>
      <c r="I55" s="97">
        <f>NYJ!H$3</f>
        <v>0.22325584841839186</v>
      </c>
      <c r="J55" s="97">
        <f>NYJ!I$3</f>
        <v>1.2845113705583757</v>
      </c>
      <c r="K55" s="97">
        <f>NYJ!J$3</f>
        <v>5.356335353023538</v>
      </c>
      <c r="L55" s="97">
        <f>NYJ!K$3</f>
        <v>3.8535341116751269E-2</v>
      </c>
      <c r="M55" s="97">
        <f t="shared" si="3"/>
        <v>2.7284501103219214</v>
      </c>
      <c r="N55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2.8400780345311172</v>
      </c>
      <c r="O55" s="99">
        <v>0</v>
      </c>
    </row>
    <row r="56" spans="1:15" x14ac:dyDescent="0.2">
      <c r="A56" s="95">
        <f>IF(TableQBMaster[[#This Row],[Player]]&lt;&gt;0,A55+1,A55)</f>
        <v>50</v>
      </c>
      <c r="B56" s="96">
        <f>NYJ!A$4</f>
        <v>0</v>
      </c>
      <c r="C56" s="96" t="s">
        <v>130</v>
      </c>
      <c r="D56" s="96">
        <f>NYJ!C$4</f>
        <v>7</v>
      </c>
      <c r="E56" s="97">
        <f>NYJ!D$4</f>
        <v>0</v>
      </c>
      <c r="F56" s="97">
        <f>NYJ!E$4</f>
        <v>0</v>
      </c>
      <c r="G56" s="97">
        <f>NYJ!F$4</f>
        <v>0</v>
      </c>
      <c r="H56" s="97">
        <f>NYJ!G$4</f>
        <v>0</v>
      </c>
      <c r="I56" s="97">
        <f>NYJ!H$4</f>
        <v>0</v>
      </c>
      <c r="J56" s="97">
        <f>NYJ!I$4</f>
        <v>0</v>
      </c>
      <c r="K56" s="97">
        <f>NYJ!J$4</f>
        <v>0</v>
      </c>
      <c r="L56" s="97">
        <f>NYJ!K$4</f>
        <v>0</v>
      </c>
      <c r="M56" s="97">
        <f t="shared" ref="M56" si="4">(G56/25)+(H56*4)+(I56*-1.5)+(K56/10)+(L56*6)</f>
        <v>0</v>
      </c>
      <c r="N56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56" s="99">
        <v>1</v>
      </c>
    </row>
    <row r="57" spans="1:15" x14ac:dyDescent="0.2">
      <c r="A57" s="95">
        <f>IF(TableQBMaster[[#This Row],[Player]]&lt;&gt;0,A56+1,A56)</f>
        <v>51</v>
      </c>
      <c r="B57" s="96" t="str">
        <f>PHI!A$2</f>
        <v>Jalen Hurts</v>
      </c>
      <c r="C57" s="96" t="s">
        <v>132</v>
      </c>
      <c r="D57" s="96">
        <f>PHI!C$2</f>
        <v>10</v>
      </c>
      <c r="E57" s="97">
        <f>PHI!D$2</f>
        <v>542.50644</v>
      </c>
      <c r="F57" s="97">
        <f>PHI!E$2</f>
        <v>357.51174395999999</v>
      </c>
      <c r="G57" s="97">
        <f>PHI!F$2</f>
        <v>4250.8146356843999</v>
      </c>
      <c r="H57" s="97">
        <f>PHI!G$2</f>
        <v>26.598873750623998</v>
      </c>
      <c r="I57" s="97">
        <f>PHI!H$2</f>
        <v>10.02798044533713</v>
      </c>
      <c r="J57" s="97">
        <f>PHI!I$2</f>
        <v>135.93269340000001</v>
      </c>
      <c r="K57" s="97">
        <f>PHI!J$2</f>
        <v>648.31768224345967</v>
      </c>
      <c r="L57" s="97">
        <f>PHI!K$2</f>
        <v>11.1464808588</v>
      </c>
      <c r="M57" s="97">
        <f t="shared" si="3"/>
        <v>393.0967631390123</v>
      </c>
      <c r="N57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398.11075336168085</v>
      </c>
      <c r="O57" s="99">
        <v>10.245470930481673</v>
      </c>
    </row>
    <row r="58" spans="1:15" x14ac:dyDescent="0.2">
      <c r="A58" s="95">
        <f>IF(TableQBMaster[[#This Row],[Player]]&lt;&gt;0,A57+1,A57)</f>
        <v>52</v>
      </c>
      <c r="B58" s="96" t="str">
        <f>PHI!A$3</f>
        <v>Marcus Mariota</v>
      </c>
      <c r="C58" s="96" t="s">
        <v>132</v>
      </c>
      <c r="D58" s="96">
        <f>PHI!C$3</f>
        <v>10</v>
      </c>
      <c r="E58" s="97">
        <f>PHI!D$3</f>
        <v>11.071560000000009</v>
      </c>
      <c r="F58" s="97">
        <f>PHI!E$3</f>
        <v>6.9721146541113743</v>
      </c>
      <c r="G58" s="97">
        <f>PHI!F$3</f>
        <v>81.234604014411815</v>
      </c>
      <c r="H58" s="97">
        <f>PHI!G$3</f>
        <v>0.47588012165131033</v>
      </c>
      <c r="I58" s="97">
        <f>PHI!H$3</f>
        <v>0.25925360145077642</v>
      </c>
      <c r="J58" s="97">
        <f>PHI!I$3</f>
        <v>5.1295356000000005</v>
      </c>
      <c r="K58" s="97">
        <f>PHI!J$3</f>
        <v>24.319219479754647</v>
      </c>
      <c r="L58" s="97">
        <f>PHI!K$3</f>
        <v>0.24299287419884444</v>
      </c>
      <c r="M58" s="97">
        <f t="shared" si="3"/>
        <v>8.6539034381740798</v>
      </c>
      <c r="N58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8.783530238899468</v>
      </c>
      <c r="O58" s="99">
        <v>0</v>
      </c>
    </row>
    <row r="59" spans="1:15" x14ac:dyDescent="0.2">
      <c r="A59" s="95">
        <f>IF(TableQBMaster[[#This Row],[Player]]&lt;&gt;0,A58+1,A58)</f>
        <v>53</v>
      </c>
      <c r="B59" s="96" t="str">
        <f>PIT!A$2</f>
        <v>Kenny Pickett</v>
      </c>
      <c r="C59" s="96" t="s">
        <v>133</v>
      </c>
      <c r="D59" s="96">
        <f>PIT!C$2</f>
        <v>6</v>
      </c>
      <c r="E59" s="97">
        <f>PIT!D$2</f>
        <v>559.49775</v>
      </c>
      <c r="F59" s="97">
        <f>PIT!E$2</f>
        <v>358.99556788353641</v>
      </c>
      <c r="G59" s="97">
        <f>PIT!F$2</f>
        <v>3760.0993396576532</v>
      </c>
      <c r="H59" s="97">
        <f>PIT!G$2</f>
        <v>20.10375180147804</v>
      </c>
      <c r="I59" s="97">
        <f>PIT!H$2</f>
        <v>11.702218747879131</v>
      </c>
      <c r="J59" s="97">
        <f>PIT!I$2</f>
        <v>60.182873099999995</v>
      </c>
      <c r="K59" s="97">
        <f>PIT!J$2</f>
        <v>247.95343717199998</v>
      </c>
      <c r="L59" s="97">
        <f>PIT!K$2</f>
        <v>3.3100580204999996</v>
      </c>
      <c r="M59" s="97">
        <f t="shared" si="3"/>
        <v>257.92134451059957</v>
      </c>
      <c r="N59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263.77245388453917</v>
      </c>
      <c r="O59" s="99">
        <v>0</v>
      </c>
    </row>
    <row r="60" spans="1:15" x14ac:dyDescent="0.2">
      <c r="A60" s="95">
        <f>IF(TableQBMaster[[#This Row],[Player]]&lt;&gt;0,A59+1,A59)</f>
        <v>54</v>
      </c>
      <c r="B60" s="96" t="str">
        <f>PIT!A$3</f>
        <v>Mitch Trubisky</v>
      </c>
      <c r="C60" s="96" t="s">
        <v>133</v>
      </c>
      <c r="D60" s="96">
        <f>PIT!C$3</f>
        <v>6</v>
      </c>
      <c r="E60" s="97">
        <f>PIT!D$3</f>
        <v>29.447250000000029</v>
      </c>
      <c r="F60" s="97">
        <f>PIT!E$3</f>
        <v>18.372576004164319</v>
      </c>
      <c r="G60" s="97">
        <f>PIT!F$3</f>
        <v>188.42991412868332</v>
      </c>
      <c r="H60" s="97">
        <f>PIT!G$3</f>
        <v>1.003018474001816</v>
      </c>
      <c r="I60" s="97">
        <f>PIT!H$3</f>
        <v>0.73235903843467198</v>
      </c>
      <c r="J60" s="97">
        <f>PIT!I$3</f>
        <v>0</v>
      </c>
      <c r="K60" s="97">
        <f>PIT!J$3</f>
        <v>0</v>
      </c>
      <c r="L60" s="97">
        <f>PIT!K$3</f>
        <v>0</v>
      </c>
      <c r="M60" s="97">
        <f t="shared" si="3"/>
        <v>10.450731903502589</v>
      </c>
      <c r="N60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10.816911422719926</v>
      </c>
      <c r="O60" s="99">
        <v>0</v>
      </c>
    </row>
    <row r="61" spans="1:15" x14ac:dyDescent="0.2">
      <c r="A61" s="95">
        <f>IF(TableQBMaster[[#This Row],[Player]]&lt;&gt;0,A60+1,A60)</f>
        <v>54</v>
      </c>
      <c r="B61" s="96">
        <f>PIT!A$4</f>
        <v>0</v>
      </c>
      <c r="C61" s="96" t="s">
        <v>133</v>
      </c>
      <c r="D61" s="96">
        <f>PIT!C$4</f>
        <v>6</v>
      </c>
      <c r="E61" s="97">
        <f>PIT!D$4</f>
        <v>0</v>
      </c>
      <c r="F61" s="97">
        <f>PIT!E$4</f>
        <v>0</v>
      </c>
      <c r="G61" s="97">
        <f>PIT!F$4</f>
        <v>0</v>
      </c>
      <c r="H61" s="97">
        <f>PIT!G$4</f>
        <v>0</v>
      </c>
      <c r="I61" s="97">
        <f>PIT!H$4</f>
        <v>0</v>
      </c>
      <c r="J61" s="97">
        <f>PIT!I$4</f>
        <v>0</v>
      </c>
      <c r="K61" s="97">
        <f>PIT!J$4</f>
        <v>0</v>
      </c>
      <c r="L61" s="97">
        <f>PIT!K$4</f>
        <v>0</v>
      </c>
      <c r="M61" s="97">
        <f t="shared" si="3"/>
        <v>0</v>
      </c>
      <c r="N61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61" s="99">
        <v>0</v>
      </c>
    </row>
    <row r="62" spans="1:15" x14ac:dyDescent="0.2">
      <c r="A62" s="95">
        <f>IF(TableQBMaster[[#This Row],[Player]]&lt;&gt;0,A61+1,A61)</f>
        <v>55</v>
      </c>
      <c r="B62" s="96" t="str">
        <f>SEA!A$2</f>
        <v>Geno Smith</v>
      </c>
      <c r="C62" s="96" t="s">
        <v>134</v>
      </c>
      <c r="D62" s="96">
        <f>SEA!C$2</f>
        <v>5</v>
      </c>
      <c r="E62" s="97">
        <f>SEA!D$2</f>
        <v>569.29319999999996</v>
      </c>
      <c r="F62" s="97">
        <f>SEA!E$2</f>
        <v>387.67187174223392</v>
      </c>
      <c r="G62" s="97">
        <f>SEA!F$2</f>
        <v>4186.8562148161263</v>
      </c>
      <c r="H62" s="97">
        <f>SEA!G$2</f>
        <v>30.393474744591138</v>
      </c>
      <c r="I62" s="97">
        <f>SEA!H$2</f>
        <v>11.740403702137638</v>
      </c>
      <c r="J62" s="97">
        <f>SEA!I$2</f>
        <v>48.815101439999999</v>
      </c>
      <c r="K62" s="97">
        <f>SEA!J$2</f>
        <v>244.19655701793263</v>
      </c>
      <c r="L62" s="97">
        <f>SEA!K$2</f>
        <v>1.12274733312</v>
      </c>
      <c r="M62" s="97">
        <f t="shared" si="3"/>
        <v>302.59368171831642</v>
      </c>
      <c r="N62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308.46388356938525</v>
      </c>
      <c r="O62" s="99">
        <v>12.340934137474003</v>
      </c>
    </row>
    <row r="63" spans="1:15" x14ac:dyDescent="0.2">
      <c r="A63" s="95">
        <f>IF(TableQBMaster[[#This Row],[Player]]&lt;&gt;0,A62+1,A62)</f>
        <v>56</v>
      </c>
      <c r="B63" s="96" t="str">
        <f>SEA!A$3</f>
        <v>Drew Lock</v>
      </c>
      <c r="C63" s="96" t="s">
        <v>134</v>
      </c>
      <c r="D63" s="96">
        <f>SEA!C$3</f>
        <v>5</v>
      </c>
      <c r="E63" s="97">
        <f>SEA!D$3</f>
        <v>29.962800000000026</v>
      </c>
      <c r="F63" s="97">
        <f>SEA!E$3</f>
        <v>17.807981955712137</v>
      </c>
      <c r="G63" s="97">
        <f>SEA!F$3</f>
        <v>201.40827591910428</v>
      </c>
      <c r="H63" s="97">
        <f>SEA!G$3</f>
        <v>1.0624822769847155</v>
      </c>
      <c r="I63" s="97">
        <f>SEA!H$3</f>
        <v>0.92026585190521337</v>
      </c>
      <c r="J63" s="97">
        <f>SEA!I$3</f>
        <v>0</v>
      </c>
      <c r="K63" s="97">
        <f>SEA!J$3</f>
        <v>0</v>
      </c>
      <c r="L63" s="97">
        <f>SEA!K$3</f>
        <v>0</v>
      </c>
      <c r="M63" s="97">
        <f t="shared" si="3"/>
        <v>10.925861366845211</v>
      </c>
      <c r="N63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11.385994292797822</v>
      </c>
      <c r="O63" s="99">
        <v>0</v>
      </c>
    </row>
    <row r="64" spans="1:15" x14ac:dyDescent="0.2">
      <c r="A64" s="95">
        <f>IF(TableQBMaster[[#This Row],[Player]]&lt;&gt;0,A63+1,A63)</f>
        <v>57</v>
      </c>
      <c r="B64" s="96" t="str">
        <f>SF!A$2</f>
        <v>Brock Purdy</v>
      </c>
      <c r="C64" s="96" t="s">
        <v>135</v>
      </c>
      <c r="D64" s="96">
        <f>SF!C$2</f>
        <v>9</v>
      </c>
      <c r="E64" s="97">
        <f>SF!D$2</f>
        <v>499.27154999999993</v>
      </c>
      <c r="F64" s="97">
        <f>SF!E$2</f>
        <v>331.41645488999995</v>
      </c>
      <c r="G64" s="97">
        <f>SF!F$2</f>
        <v>3831.0891816412814</v>
      </c>
      <c r="H64" s="97">
        <f>SF!G$2</f>
        <v>25.680823869983815</v>
      </c>
      <c r="I64" s="97">
        <f>SF!H$2</f>
        <v>11.439424053314205</v>
      </c>
      <c r="J64" s="97">
        <f>SF!I$2</f>
        <v>41.038558399999999</v>
      </c>
      <c r="K64" s="97">
        <f>SF!J$2</f>
        <v>109.572950928</v>
      </c>
      <c r="L64" s="97">
        <f>SF!K$2</f>
        <v>0.9028482847999999</v>
      </c>
      <c r="M64" s="97">
        <f t="shared" si="3"/>
        <v>255.18211146721521</v>
      </c>
      <c r="N64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260.90182349387231</v>
      </c>
      <c r="O64" s="99">
        <v>0</v>
      </c>
    </row>
    <row r="65" spans="1:15" x14ac:dyDescent="0.2">
      <c r="A65" s="95">
        <f>IF(TableQBMaster[[#This Row],[Player]]&lt;&gt;0,A64+1,A64)</f>
        <v>58</v>
      </c>
      <c r="B65" s="96" t="str">
        <f>SF!A$3</f>
        <v>Sam Darnold</v>
      </c>
      <c r="C65" s="96" t="s">
        <v>135</v>
      </c>
      <c r="D65" s="96">
        <f>SF!C$3</f>
        <v>9</v>
      </c>
      <c r="E65" s="97">
        <f>SF!D$3</f>
        <v>26.277450000000002</v>
      </c>
      <c r="F65" s="97">
        <f>SF!E$3</f>
        <v>15.76647</v>
      </c>
      <c r="G65" s="97">
        <f>SF!F$3</f>
        <v>167.124582</v>
      </c>
      <c r="H65" s="97">
        <f>SF!G$3</f>
        <v>0.81985643999999991</v>
      </c>
      <c r="I65" s="97">
        <f>SF!H$3</f>
        <v>0.85138937999999997</v>
      </c>
      <c r="J65" s="97">
        <f>SF!I$3</f>
        <v>7.1817477199999997</v>
      </c>
      <c r="K65" s="97">
        <f>SF!J$3</f>
        <v>21.545243159999998</v>
      </c>
      <c r="L65" s="97">
        <f>SF!K$3</f>
        <v>0.21545243159999999</v>
      </c>
      <c r="M65" s="97">
        <f t="shared" si="3"/>
        <v>12.134563875599998</v>
      </c>
      <c r="N65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12.560258565599998</v>
      </c>
      <c r="O65" s="99">
        <v>0</v>
      </c>
    </row>
    <row r="66" spans="1:15" x14ac:dyDescent="0.2">
      <c r="A66" s="95">
        <f>IF(TableQBMaster[[#This Row],[Player]]&lt;&gt;0,A65+1,A65)</f>
        <v>58</v>
      </c>
      <c r="B66" s="96">
        <f>SF!A$4</f>
        <v>0</v>
      </c>
      <c r="C66" s="96" t="s">
        <v>135</v>
      </c>
      <c r="D66" s="96">
        <f>SF!C$3</f>
        <v>9</v>
      </c>
      <c r="E66" s="97">
        <f>SF!D$4</f>
        <v>0</v>
      </c>
      <c r="F66" s="97">
        <f>SF!E$4</f>
        <v>0</v>
      </c>
      <c r="G66" s="97">
        <f>SF!F$4</f>
        <v>0</v>
      </c>
      <c r="H66" s="97">
        <f>SF!G$4</f>
        <v>0</v>
      </c>
      <c r="I66" s="97">
        <f>SF!H$4</f>
        <v>0</v>
      </c>
      <c r="J66" s="97">
        <f>SF!I$4</f>
        <v>0</v>
      </c>
      <c r="K66" s="97">
        <f>SF!J$4</f>
        <v>0</v>
      </c>
      <c r="L66" s="97">
        <f>SF!K$4</f>
        <v>0</v>
      </c>
      <c r="M66" s="97">
        <f t="shared" ref="M66" si="5">(G66/25)+(H66*4)+(I66*-1.5)+(K66/10)+(L66*6)</f>
        <v>0</v>
      </c>
      <c r="N66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66" s="99">
        <v>1</v>
      </c>
    </row>
    <row r="67" spans="1:15" x14ac:dyDescent="0.2">
      <c r="A67" s="95">
        <f>IF(TableQBMaster[[#This Row],[Player]]&lt;&gt;0,A66+1,A66)</f>
        <v>59</v>
      </c>
      <c r="B67" s="96" t="str">
        <f>TB!A$2</f>
        <v>Kyle Trask</v>
      </c>
      <c r="C67" s="96" t="s">
        <v>136</v>
      </c>
      <c r="D67" s="96">
        <f>TB!C$2</f>
        <v>5</v>
      </c>
      <c r="E67" s="97">
        <f>TB!D$2</f>
        <v>114.05439999999999</v>
      </c>
      <c r="F67" s="97">
        <f>TB!E$2</f>
        <v>70.749425965644164</v>
      </c>
      <c r="G67" s="97">
        <f>TB!F$2</f>
        <v>748.76121173459342</v>
      </c>
      <c r="H67" s="97">
        <f>TB!G$2</f>
        <v>4.3440147542905523</v>
      </c>
      <c r="I67" s="97">
        <f>TB!H$2</f>
        <v>2.8833490381884426</v>
      </c>
      <c r="J67" s="97">
        <f>TB!I$2</f>
        <v>5.9507481600000007</v>
      </c>
      <c r="K67" s="97">
        <f>TB!J$2</f>
        <v>15.483419985821053</v>
      </c>
      <c r="L67" s="97">
        <f>TB!K$2</f>
        <v>0.19637468928000004</v>
      </c>
      <c r="M67" s="97">
        <f t="shared" si="3"/>
        <v>45.728074063525391</v>
      </c>
      <c r="N67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47.169748582619611</v>
      </c>
      <c r="O67" s="99">
        <v>10.125962691548789</v>
      </c>
    </row>
    <row r="68" spans="1:15" x14ac:dyDescent="0.2">
      <c r="A68" s="95">
        <f>IF(TableQBMaster[[#This Row],[Player]]&lt;&gt;0,A67+1,A67)</f>
        <v>60</v>
      </c>
      <c r="B68" s="96" t="str">
        <f>TB!A$3</f>
        <v>Baker Mayfield</v>
      </c>
      <c r="C68" s="96" t="s">
        <v>136</v>
      </c>
      <c r="D68" s="96">
        <f>TB!C$3</f>
        <v>5</v>
      </c>
      <c r="E68" s="97">
        <f>TB!D$3</f>
        <v>456.21759999999995</v>
      </c>
      <c r="F68" s="97">
        <f>TB!E$3</f>
        <v>289.08781871504112</v>
      </c>
      <c r="G68" s="97">
        <f>TB!F$3</f>
        <v>3078.7852693151881</v>
      </c>
      <c r="H68" s="97">
        <f>TB!G$3</f>
        <v>17.952353542204055</v>
      </c>
      <c r="I68" s="97">
        <f>TB!H$3</f>
        <v>11.13476716499976</v>
      </c>
      <c r="J68" s="97">
        <f>TB!I$3</f>
        <v>27.203420160000004</v>
      </c>
      <c r="K68" s="97">
        <f>TB!J$3</f>
        <v>82.745715311845856</v>
      </c>
      <c r="L68" s="97">
        <f>TB!K$3</f>
        <v>0.95211970560000025</v>
      </c>
      <c r="M68" s="97">
        <f t="shared" si="3"/>
        <v>192.2459639587087</v>
      </c>
      <c r="N68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197.81334754120857</v>
      </c>
      <c r="O68" s="99">
        <v>0</v>
      </c>
    </row>
    <row r="69" spans="1:15" x14ac:dyDescent="0.2">
      <c r="A69" s="95">
        <f>IF(TableQBMaster[[#This Row],[Player]]&lt;&gt;0,A68+1,A68)</f>
        <v>61</v>
      </c>
      <c r="B69" s="96" t="str">
        <f>TEN!A$2</f>
        <v>Ryan Tannehill</v>
      </c>
      <c r="C69" s="96" t="s">
        <v>137</v>
      </c>
      <c r="D69" s="96">
        <f>TEN!C$2</f>
        <v>7</v>
      </c>
      <c r="E69" s="97">
        <f>TEN!D$2</f>
        <v>486.33640000000008</v>
      </c>
      <c r="F69" s="97">
        <f>TEN!E$2</f>
        <v>316.66163085390934</v>
      </c>
      <c r="G69" s="97">
        <f>TEN!F$2</f>
        <v>3638.4421385114183</v>
      </c>
      <c r="H69" s="97">
        <f>TEN!G$2</f>
        <v>20.899667636358018</v>
      </c>
      <c r="I69" s="97">
        <f>TEN!H$2</f>
        <v>11.769553831489979</v>
      </c>
      <c r="J69" s="97">
        <f>TEN!I$2</f>
        <v>41.424952799999993</v>
      </c>
      <c r="K69" s="97">
        <f>TEN!J$2</f>
        <v>163.21431403199998</v>
      </c>
      <c r="L69" s="97">
        <f>TEN!K$2</f>
        <v>3.1897213655999992</v>
      </c>
      <c r="M69" s="97">
        <f t="shared" si="3"/>
        <v>246.9417849354538</v>
      </c>
      <c r="N69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252.82656185119882</v>
      </c>
      <c r="O69" s="99">
        <v>4.8245524484709676</v>
      </c>
    </row>
    <row r="70" spans="1:15" x14ac:dyDescent="0.2">
      <c r="A70" s="95">
        <f>IF(TableQBMaster[[#This Row],[Player]]&lt;&gt;0,A69+1,A69)</f>
        <v>62</v>
      </c>
      <c r="B70" s="96" t="str">
        <f>TEN!A$3</f>
        <v>Malik Willis</v>
      </c>
      <c r="C70" s="96" t="s">
        <v>137</v>
      </c>
      <c r="D70" s="96">
        <f>TEN!C$3</f>
        <v>7</v>
      </c>
      <c r="E70" s="97">
        <f>TEN!D$3</f>
        <v>55.26550000000001</v>
      </c>
      <c r="F70" s="97">
        <f>TEN!E$3</f>
        <v>33.181406200000012</v>
      </c>
      <c r="G70" s="97">
        <f>TEN!F$3</f>
        <v>374.94989006000014</v>
      </c>
      <c r="H70" s="97">
        <f>TEN!G$3</f>
        <v>1.7320694036400008</v>
      </c>
      <c r="I70" s="97">
        <f>TEN!H$3</f>
        <v>2.3201453688328075</v>
      </c>
      <c r="J70" s="97">
        <f>TEN!I$3</f>
        <v>2.3536904999999999</v>
      </c>
      <c r="K70" s="97">
        <f>TEN!J$3</f>
        <v>8.7826011062850391</v>
      </c>
      <c r="L70" s="97">
        <f>TEN!K$3</f>
        <v>9.6501310500000007E-2</v>
      </c>
      <c r="M70" s="97">
        <f t="shared" ref="M70:M73" si="6">(G70/25)+(H70*4)+(I70*-1.5)+(K70/10)+(L70*6)</f>
        <v>19.903323137339303</v>
      </c>
      <c r="N70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21.063395821755705</v>
      </c>
      <c r="O70" s="99">
        <v>0</v>
      </c>
    </row>
    <row r="71" spans="1:15" x14ac:dyDescent="0.2">
      <c r="A71" s="95">
        <f>IF(TableQBMaster[[#This Row],[Player]]&lt;&gt;0,A70+1,A70)</f>
        <v>63</v>
      </c>
      <c r="B71" s="96" t="str">
        <f>TEN!A$4</f>
        <v>Will Levis</v>
      </c>
      <c r="C71" s="96" t="s">
        <v>137</v>
      </c>
      <c r="D71" s="96">
        <f>TEN!C$4</f>
        <v>7</v>
      </c>
      <c r="E71" s="97">
        <f>TEN!D$4</f>
        <v>11.053100000000002</v>
      </c>
      <c r="F71" s="97">
        <f>TEN!E$4</f>
        <v>6.7866034000000015</v>
      </c>
      <c r="G71" s="97">
        <f>TEN!F$4</f>
        <v>81.439240800000022</v>
      </c>
      <c r="H71" s="97">
        <f>TEN!G$4</f>
        <v>0.3746205076800001</v>
      </c>
      <c r="I71" s="97">
        <f>TEN!H$4</f>
        <v>0.30539715300000003</v>
      </c>
      <c r="J71" s="97">
        <f>TEN!I$4</f>
        <v>9.8855000999999998</v>
      </c>
      <c r="K71" s="97">
        <f>TEN!J$4</f>
        <v>30.941615313</v>
      </c>
      <c r="L71" s="97">
        <f>TEN!K$4</f>
        <v>0.59313000599999999</v>
      </c>
      <c r="M71" s="97">
        <f t="shared" si="6"/>
        <v>10.95089750052</v>
      </c>
      <c r="N71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11.103596077020001</v>
      </c>
      <c r="O71" s="99">
        <v>0</v>
      </c>
    </row>
    <row r="72" spans="1:15" x14ac:dyDescent="0.2">
      <c r="A72" s="95">
        <f>IF(TableQBMaster[[#This Row],[Player]]&lt;&gt;0,A71+1,A71)</f>
        <v>64</v>
      </c>
      <c r="B72" s="96" t="str">
        <f>WSH!A$2</f>
        <v>Sam Howell</v>
      </c>
      <c r="C72" s="96" t="s">
        <v>140</v>
      </c>
      <c r="D72" s="96">
        <f>WSH!C$2</f>
        <v>14</v>
      </c>
      <c r="E72" s="97">
        <f>WSH!D$2</f>
        <v>572.01115000000004</v>
      </c>
      <c r="F72" s="97">
        <f>WSH!E$2</f>
        <v>360.93903565000005</v>
      </c>
      <c r="G72" s="97">
        <f>WSH!F$2</f>
        <v>4031.6890282105005</v>
      </c>
      <c r="H72" s="97">
        <f>WSH!G$2</f>
        <v>24.110727581420004</v>
      </c>
      <c r="I72" s="97">
        <f>WSH!H$2</f>
        <v>16.206230066165517</v>
      </c>
      <c r="J72" s="97">
        <f>WSH!I$2</f>
        <v>41.298869919999994</v>
      </c>
      <c r="K72" s="97">
        <f>WSH!J$2</f>
        <v>190.80077903039998</v>
      </c>
      <c r="L72" s="97">
        <f>WSH!K$2</f>
        <v>2.2714378455999995</v>
      </c>
      <c r="M72" s="97">
        <f t="shared" si="6"/>
        <v>266.10983133149176</v>
      </c>
      <c r="N72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274.21294636457452</v>
      </c>
      <c r="O72" s="99">
        <v>0</v>
      </c>
    </row>
    <row r="73" spans="1:15" x14ac:dyDescent="0.2">
      <c r="A73" s="95">
        <f>IF(TableQBMaster[[#This Row],[Player]]&lt;&gt;0,A72+1,A72)</f>
        <v>65</v>
      </c>
      <c r="B73" s="96" t="str">
        <f>WSH!A$3</f>
        <v>Jacoby Brissett</v>
      </c>
      <c r="C73" s="96" t="s">
        <v>140</v>
      </c>
      <c r="D73" s="96">
        <f>WSH!C$3</f>
        <v>14</v>
      </c>
      <c r="E73" s="97">
        <f>WSH!D$3</f>
        <v>30.105850000000004</v>
      </c>
      <c r="F73" s="97">
        <f>WSH!E$3</f>
        <v>18.488002485000003</v>
      </c>
      <c r="G73" s="97">
        <f>WSH!F$3</f>
        <v>198.56114668890004</v>
      </c>
      <c r="H73" s="97">
        <f>WSH!G$3</f>
        <v>1.0538161416450003</v>
      </c>
      <c r="I73" s="97">
        <f>WSH!H$3</f>
        <v>0.55272380112159292</v>
      </c>
      <c r="J73" s="97">
        <f>WSH!I$3</f>
        <v>4.6930533999999993</v>
      </c>
      <c r="K73" s="97">
        <f>WSH!J$3</f>
        <v>18.790369071985328</v>
      </c>
      <c r="L73" s="97">
        <f>WSH!K$3</f>
        <v>0.12671244179999999</v>
      </c>
      <c r="M73" s="97">
        <f t="shared" si="6"/>
        <v>13.967936290452146</v>
      </c>
      <c r="N73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14.244298191012943</v>
      </c>
      <c r="O73" s="99">
        <v>0</v>
      </c>
    </row>
    <row r="74" spans="1:15" x14ac:dyDescent="0.2">
      <c r="A74" s="95">
        <f>IF(TableQBMaster[[#This Row],[Player]]&lt;&gt;0,A73+1,A73)</f>
        <v>65</v>
      </c>
      <c r="B74" s="96">
        <f>WSH!A$4</f>
        <v>0</v>
      </c>
      <c r="C74" s="96" t="s">
        <v>140</v>
      </c>
      <c r="D74" s="96">
        <f>WSH!C$4</f>
        <v>14</v>
      </c>
      <c r="E74" s="97">
        <f>WSH!D$4</f>
        <v>0</v>
      </c>
      <c r="F74" s="97">
        <f>WSH!E$4</f>
        <v>0</v>
      </c>
      <c r="G74" s="97">
        <f>WSH!F$4</f>
        <v>0</v>
      </c>
      <c r="H74" s="97">
        <f>WSH!G$4</f>
        <v>0</v>
      </c>
      <c r="I74" s="97">
        <f>WSH!H$4</f>
        <v>0</v>
      </c>
      <c r="J74" s="97">
        <f>WSH!I$4</f>
        <v>0</v>
      </c>
      <c r="K74" s="97">
        <f>WSH!J$4</f>
        <v>0</v>
      </c>
      <c r="L74" s="97">
        <f>WSH!K$4</f>
        <v>0</v>
      </c>
      <c r="M74" s="97">
        <f t="shared" ref="M74" si="7">(G74/25)+(H74*4)+(I74*-1.5)+(K74/10)+(L74*6)</f>
        <v>0</v>
      </c>
      <c r="N74" s="98">
        <f>(TableQBMaster[[#This Row],[PATT]]*PASS_ATTEMPTS)+(TableQBMaster[[#This Row],[CMP]]*COMPLETIONS)+(TableQBMaster[[#This Row],[PAYD]]*PASS_YARDS)+(TableQBMaster[[#This Row],[PATD]]*PASS_TDS)+(TableQBMaster[[#This Row],[INT]]*INTERCEPTIONS)+(TableQBMaster[[#This Row],[RUAT]]*RUSH_ATTEMPTS)+(TableQBMaster[[#This Row],[RUYD]]*RUSH_YARDS)+(TableQBMaster[[#This Row],[RUTD]]*RUSH_TDS)</f>
        <v>0</v>
      </c>
      <c r="O74" s="99">
        <v>1</v>
      </c>
    </row>
  </sheetData>
  <phoneticPr fontId="20" type="noConversion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"/>
  <dimension ref="A1:P161"/>
  <sheetViews>
    <sheetView showGridLines="0" zoomScale="85" zoomScaleNormal="85" workbookViewId="0">
      <selection activeCell="K101" sqref="K101:M101"/>
    </sheetView>
  </sheetViews>
  <sheetFormatPr baseColWidth="10" defaultColWidth="9.19921875" defaultRowHeight="15" x14ac:dyDescent="0.2"/>
  <cols>
    <col min="1" max="1" width="9" style="60" bestFit="1" customWidth="1"/>
    <col min="2" max="2" width="22.19921875" style="60" bestFit="1" customWidth="1"/>
    <col min="3" max="3" width="6.59765625" style="60" bestFit="1" customWidth="1"/>
    <col min="4" max="4" width="7" style="61" bestFit="1" customWidth="1"/>
    <col min="5" max="5" width="8.59765625" style="61" bestFit="1" customWidth="1"/>
    <col min="6" max="7" width="8.796875" style="61" bestFit="1" customWidth="1"/>
    <col min="8" max="8" width="7.19921875" style="61" bestFit="1" customWidth="1"/>
    <col min="9" max="9" width="7" style="61" bestFit="1" customWidth="1"/>
    <col min="10" max="10" width="8.3984375" style="61" bestFit="1" customWidth="1"/>
    <col min="11" max="11" width="8.3984375" style="60" bestFit="1" customWidth="1"/>
    <col min="12" max="12" width="6.796875" style="60" bestFit="1" customWidth="1"/>
    <col min="13" max="13" width="8.19921875" style="60" bestFit="1" customWidth="1"/>
    <col min="14" max="14" width="7" style="60" bestFit="1" customWidth="1"/>
    <col min="15" max="15" width="10" style="60" bestFit="1" customWidth="1"/>
    <col min="16" max="16" width="8.3984375" style="60" bestFit="1" customWidth="1"/>
    <col min="17" max="16384" width="9.19921875" style="60"/>
  </cols>
  <sheetData>
    <row r="1" spans="1:16" s="102" customFormat="1" x14ac:dyDescent="0.2">
      <c r="A1" s="93" t="s">
        <v>441</v>
      </c>
      <c r="B1" s="93" t="s">
        <v>405</v>
      </c>
      <c r="C1" s="93" t="s">
        <v>106</v>
      </c>
      <c r="D1" s="93" t="s">
        <v>143</v>
      </c>
      <c r="E1" s="92" t="s">
        <v>150</v>
      </c>
      <c r="F1" s="92" t="s">
        <v>151</v>
      </c>
      <c r="G1" s="92" t="s">
        <v>152</v>
      </c>
      <c r="H1" s="92" t="s">
        <v>3</v>
      </c>
      <c r="I1" s="92" t="s">
        <v>4</v>
      </c>
      <c r="J1" s="92" t="s">
        <v>160</v>
      </c>
      <c r="K1" s="92" t="s">
        <v>161</v>
      </c>
      <c r="L1" s="93" t="s">
        <v>138</v>
      </c>
      <c r="M1" s="93" t="s">
        <v>141</v>
      </c>
      <c r="N1" s="93" t="s">
        <v>142</v>
      </c>
      <c r="O1" s="93" t="s">
        <v>401</v>
      </c>
      <c r="P1" s="93" t="s">
        <v>375</v>
      </c>
    </row>
    <row r="2" spans="1:16" x14ac:dyDescent="0.2">
      <c r="A2" s="60">
        <v>1</v>
      </c>
      <c r="B2" s="60" t="str">
        <f>ARI!A7</f>
        <v>James Conner</v>
      </c>
      <c r="C2" s="60" t="s">
        <v>107</v>
      </c>
      <c r="D2" s="60">
        <f>ARI!C7</f>
        <v>14</v>
      </c>
      <c r="E2" s="61">
        <f>ARI!I7</f>
        <v>213.36535500000002</v>
      </c>
      <c r="F2" s="61">
        <f>ARI!J7</f>
        <v>879.0652626000001</v>
      </c>
      <c r="G2" s="61">
        <f>ARI!K7</f>
        <v>7.0410567150000007</v>
      </c>
      <c r="H2" s="61">
        <f>ARI!L7</f>
        <v>49.841085000000007</v>
      </c>
      <c r="I2" s="61">
        <f>ARI!M7</f>
        <v>38.776364130000005</v>
      </c>
      <c r="J2" s="61">
        <f>ARI!N7</f>
        <v>281.90416722510003</v>
      </c>
      <c r="K2" s="61">
        <f>ARI!O7</f>
        <v>1.3571727445500004</v>
      </c>
      <c r="L2" s="61">
        <f t="shared" ref="L2" si="0">(F2/10)+(G2*6)+(J2/10)+(K2*6)</f>
        <v>166.48631973981</v>
      </c>
      <c r="M2" s="61">
        <f t="shared" ref="M2" si="1">L2+(I2*0.5)</f>
        <v>185.87450180481</v>
      </c>
      <c r="N2" s="61">
        <f t="shared" ref="N2" si="2">L2+I2</f>
        <v>205.26268386981002</v>
      </c>
      <c r="O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185.87450180481002</v>
      </c>
      <c r="P2" s="101">
        <v>21.355435170779902</v>
      </c>
    </row>
    <row r="3" spans="1:16" x14ac:dyDescent="0.2">
      <c r="A3" s="60">
        <f>IF(TableRBMaster[[#This Row],[Player]]&lt;&gt;0,A2+1,A2)</f>
        <v>2</v>
      </c>
      <c r="B3" s="60" t="str">
        <f>ARI!A8</f>
        <v>Keaontay Ingram</v>
      </c>
      <c r="C3" s="60" t="s">
        <v>107</v>
      </c>
      <c r="D3" s="60">
        <f>ARI!C8</f>
        <v>14</v>
      </c>
      <c r="E3" s="61">
        <f>ARI!I8</f>
        <v>148.58564000000001</v>
      </c>
      <c r="F3" s="61">
        <f>ARI!J8</f>
        <v>595.82841640000004</v>
      </c>
      <c r="G3" s="61">
        <f>ARI!K8</f>
        <v>4.6061548400000003</v>
      </c>
      <c r="H3" s="61">
        <f>ARI!L8</f>
        <v>27.022275</v>
      </c>
      <c r="I3" s="61">
        <f>ARI!M8</f>
        <v>19.726260750000002</v>
      </c>
      <c r="J3" s="61">
        <f>ARI!N8</f>
        <v>143.0153904375</v>
      </c>
      <c r="K3" s="61">
        <f>ARI!O8</f>
        <v>0.49315651875000005</v>
      </c>
      <c r="L3" s="61">
        <f t="shared" ref="L3:L11" si="3">(F3/10)+(G3*6)+(J3/10)+(K3*6)</f>
        <v>104.48024883625001</v>
      </c>
      <c r="M3" s="61">
        <f t="shared" ref="M3:M11" si="4">L3+(I3*0.5)</f>
        <v>114.34337921125001</v>
      </c>
      <c r="N3" s="61">
        <f t="shared" ref="N3:N11" si="5">L3+I3</f>
        <v>124.20650958625001</v>
      </c>
      <c r="O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114.34337921125001</v>
      </c>
      <c r="P3" s="101">
        <v>13.809396324367668</v>
      </c>
    </row>
    <row r="4" spans="1:16" x14ac:dyDescent="0.2">
      <c r="A4" s="60">
        <f>IF(TableRBMaster[[#This Row],[Player]]&lt;&gt;0,A3+1,A3)</f>
        <v>3</v>
      </c>
      <c r="B4" s="60" t="str">
        <f>ARI!A9</f>
        <v>Emari Demercado</v>
      </c>
      <c r="C4" s="60" t="s">
        <v>107</v>
      </c>
      <c r="D4" s="60">
        <f>ARI!C9</f>
        <v>14</v>
      </c>
      <c r="E4" s="61">
        <f>ARI!I9</f>
        <v>9.0601000000000003</v>
      </c>
      <c r="F4" s="61">
        <f>ARI!J9</f>
        <v>36.132633134493688</v>
      </c>
      <c r="G4" s="61">
        <f>ARI!K9</f>
        <v>0.27180300000000002</v>
      </c>
      <c r="H4" s="61">
        <f>ARI!L9</f>
        <v>7.20594</v>
      </c>
      <c r="I4" s="61">
        <f>ARI!M9</f>
        <v>5.1738649199999998</v>
      </c>
      <c r="J4" s="61">
        <f>ARI!N9</f>
        <v>36.786179581200003</v>
      </c>
      <c r="K4" s="61">
        <f>ARI!O9</f>
        <v>0.12934662299999999</v>
      </c>
      <c r="L4" s="61">
        <f t="shared" si="3"/>
        <v>9.6987790095693693</v>
      </c>
      <c r="M4" s="61">
        <f t="shared" si="4"/>
        <v>12.285711469569369</v>
      </c>
      <c r="N4" s="61">
        <f t="shared" si="5"/>
        <v>14.872643929569369</v>
      </c>
      <c r="O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12.285711469569369</v>
      </c>
      <c r="P4" s="101">
        <v>0</v>
      </c>
    </row>
    <row r="5" spans="1:16" x14ac:dyDescent="0.2">
      <c r="A5" s="60">
        <f>IF(TableRBMaster[[#This Row],[Player]]&lt;&gt;0,A4+1,A4)</f>
        <v>3</v>
      </c>
      <c r="B5" s="60">
        <f>ARI!A10</f>
        <v>0</v>
      </c>
      <c r="C5" s="60" t="s">
        <v>107</v>
      </c>
      <c r="D5" s="60">
        <f>ARI!C10</f>
        <v>14</v>
      </c>
      <c r="E5" s="61">
        <f>ARI!I10</f>
        <v>0</v>
      </c>
      <c r="F5" s="61">
        <f>ARI!J10</f>
        <v>0</v>
      </c>
      <c r="G5" s="61">
        <f>ARI!K10</f>
        <v>0</v>
      </c>
      <c r="H5" s="61">
        <f>ARI!L10</f>
        <v>0</v>
      </c>
      <c r="I5" s="61">
        <f>ARI!M10</f>
        <v>0</v>
      </c>
      <c r="J5" s="61">
        <f>ARI!N10</f>
        <v>0</v>
      </c>
      <c r="K5" s="61">
        <f>ARI!O10</f>
        <v>0</v>
      </c>
      <c r="L5" s="61">
        <f t="shared" si="3"/>
        <v>0</v>
      </c>
      <c r="M5" s="61">
        <f t="shared" si="4"/>
        <v>0</v>
      </c>
      <c r="N5" s="61">
        <f t="shared" si="5"/>
        <v>0</v>
      </c>
      <c r="O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5" s="101">
        <v>0</v>
      </c>
    </row>
    <row r="6" spans="1:16" x14ac:dyDescent="0.2">
      <c r="A6" s="60">
        <f>IF(TableRBMaster[[#This Row],[Player]]&lt;&gt;0,A5+1,A5)</f>
        <v>3</v>
      </c>
      <c r="B6" s="60">
        <f>ARI!A11</f>
        <v>0</v>
      </c>
      <c r="C6" s="60" t="s">
        <v>107</v>
      </c>
      <c r="D6" s="60">
        <f>ARI!C11</f>
        <v>14</v>
      </c>
      <c r="E6" s="61">
        <f>ARI!I11</f>
        <v>0</v>
      </c>
      <c r="F6" s="61">
        <f>ARI!J11</f>
        <v>0</v>
      </c>
      <c r="G6" s="61">
        <f>ARI!K11</f>
        <v>0</v>
      </c>
      <c r="H6" s="61">
        <f>ARI!L11</f>
        <v>0</v>
      </c>
      <c r="I6" s="61">
        <f>ARI!M11</f>
        <v>0</v>
      </c>
      <c r="J6" s="61">
        <f>ARI!N11</f>
        <v>0</v>
      </c>
      <c r="K6" s="61">
        <f>ARI!O11</f>
        <v>0</v>
      </c>
      <c r="L6" s="111">
        <f>(F6/10)+(G6*6)+(J6/10)+(K6*6)</f>
        <v>0</v>
      </c>
      <c r="M6" s="111">
        <f>L6+(I6*0.5)</f>
        <v>0</v>
      </c>
      <c r="N6" s="111">
        <f>L6+I6</f>
        <v>0</v>
      </c>
      <c r="O6" s="112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6" s="101">
        <v>0</v>
      </c>
    </row>
    <row r="7" spans="1:16" x14ac:dyDescent="0.2">
      <c r="A7" s="60">
        <f>IF(TableRBMaster[[#This Row],[Player]]&lt;&gt;0,A6+1,A6)</f>
        <v>4</v>
      </c>
      <c r="B7" s="60" t="str">
        <f>ATL!A$7</f>
        <v>Bijan Robinson</v>
      </c>
      <c r="C7" s="60" t="s">
        <v>108</v>
      </c>
      <c r="D7" s="60">
        <f>ATL!C$7</f>
        <v>11</v>
      </c>
      <c r="E7" s="61">
        <f>ATL!I$7</f>
        <v>303.70152960000001</v>
      </c>
      <c r="F7" s="61">
        <f>ATL!J$7</f>
        <v>1369.693898496</v>
      </c>
      <c r="G7" s="61">
        <f>ATL!K$7</f>
        <v>11.337991951933537</v>
      </c>
      <c r="H7" s="61">
        <f>ATL!L$7</f>
        <v>40.461926399999989</v>
      </c>
      <c r="I7" s="61">
        <f>ATL!M$7</f>
        <v>32.628219304098906</v>
      </c>
      <c r="J7" s="61">
        <f>ATL!N$7</f>
        <v>249.43472973369643</v>
      </c>
      <c r="K7" s="61">
        <f>ATL!O$7</f>
        <v>1.3183118910747034</v>
      </c>
      <c r="L7" s="61">
        <f t="shared" si="3"/>
        <v>237.85068588101907</v>
      </c>
      <c r="M7" s="61">
        <f t="shared" si="4"/>
        <v>254.16479553306851</v>
      </c>
      <c r="N7" s="61">
        <f t="shared" si="5"/>
        <v>270.47890518511798</v>
      </c>
      <c r="O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254.16479553306854</v>
      </c>
      <c r="P7" s="101">
        <v>29.621674125076801</v>
      </c>
    </row>
    <row r="8" spans="1:16" x14ac:dyDescent="0.2">
      <c r="A8" s="60">
        <f>IF(TableRBMaster[[#This Row],[Player]]&lt;&gt;0,A7+1,A7)</f>
        <v>5</v>
      </c>
      <c r="B8" s="60" t="str">
        <f>ATL!A$8</f>
        <v>Tyler Allgeier</v>
      </c>
      <c r="C8" s="60" t="s">
        <v>108</v>
      </c>
      <c r="D8" s="60">
        <f>ATL!C$9</f>
        <v>11</v>
      </c>
      <c r="E8" s="61">
        <f>ATL!I$8</f>
        <v>89.18219520000001</v>
      </c>
      <c r="F8" s="61">
        <f>ATL!J$8</f>
        <v>391.50983692800003</v>
      </c>
      <c r="G8" s="61">
        <f>ATL!K$8</f>
        <v>2.9430124416000005</v>
      </c>
      <c r="H8" s="61">
        <f>ATL!L$8</f>
        <v>15.173222399999997</v>
      </c>
      <c r="I8" s="61">
        <f>ATL!M$8</f>
        <v>11.822863973427133</v>
      </c>
      <c r="J8" s="61">
        <f>ATL!N$8</f>
        <v>91.633656000557863</v>
      </c>
      <c r="K8" s="61">
        <f>ATL!O$8</f>
        <v>0.38138270882023007</v>
      </c>
      <c r="L8" s="61">
        <f t="shared" si="3"/>
        <v>68.260720195377175</v>
      </c>
      <c r="M8" s="61">
        <f t="shared" si="4"/>
        <v>74.172152182090741</v>
      </c>
      <c r="N8" s="61">
        <f t="shared" si="5"/>
        <v>80.083584168804308</v>
      </c>
      <c r="O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74.172152182090741</v>
      </c>
      <c r="P8" s="101">
        <v>0</v>
      </c>
    </row>
    <row r="9" spans="1:16" x14ac:dyDescent="0.2">
      <c r="A9" s="60">
        <f>IF(TableRBMaster[[#This Row],[Player]]&lt;&gt;0,A8+1,A8)</f>
        <v>6</v>
      </c>
      <c r="B9" s="60" t="str">
        <f>ATL!A$9</f>
        <v>Cordarrelle Patterson</v>
      </c>
      <c r="C9" s="60" t="s">
        <v>108</v>
      </c>
      <c r="D9" s="60">
        <f>ATL!C$8</f>
        <v>11</v>
      </c>
      <c r="E9" s="61">
        <f>ATL!I$9</f>
        <v>44.350064639999999</v>
      </c>
      <c r="F9" s="61">
        <f>ATL!J$9</f>
        <v>201.25286553045106</v>
      </c>
      <c r="G9" s="61">
        <f>ATL!K$9</f>
        <v>1.8627027148800002</v>
      </c>
      <c r="H9" s="61">
        <f>ATL!L$9</f>
        <v>42.485022719999996</v>
      </c>
      <c r="I9" s="61">
        <f>ATL!M$9</f>
        <v>32.252144408360678</v>
      </c>
      <c r="J9" s="61">
        <f>ATL!N$9</f>
        <v>228.40380607507731</v>
      </c>
      <c r="K9" s="61">
        <f>ATL!O$9</f>
        <v>0.80630361020901697</v>
      </c>
      <c r="L9" s="61">
        <f t="shared" si="3"/>
        <v>58.979705111086943</v>
      </c>
      <c r="M9" s="61">
        <f t="shared" si="4"/>
        <v>75.105777315267289</v>
      </c>
      <c r="N9" s="61">
        <f t="shared" si="5"/>
        <v>91.231849519447621</v>
      </c>
      <c r="O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75.105777315267275</v>
      </c>
      <c r="P9" s="101">
        <v>0</v>
      </c>
    </row>
    <row r="10" spans="1:16" x14ac:dyDescent="0.2">
      <c r="A10" s="60">
        <f>IF(TableRBMaster[[#This Row],[Player]]&lt;&gt;0,A9+1,A9)</f>
        <v>6</v>
      </c>
      <c r="B10" s="60">
        <f>ATL!A$10</f>
        <v>0</v>
      </c>
      <c r="C10" s="60" t="s">
        <v>108</v>
      </c>
      <c r="D10" s="60">
        <f>ATL!C$10</f>
        <v>11</v>
      </c>
      <c r="E10" s="61">
        <f>ATL!I$10</f>
        <v>0</v>
      </c>
      <c r="F10" s="61">
        <f>ATL!J$10</f>
        <v>0</v>
      </c>
      <c r="G10" s="61">
        <f>ATL!K$10</f>
        <v>0</v>
      </c>
      <c r="H10" s="61">
        <f>ATL!L$10</f>
        <v>0</v>
      </c>
      <c r="I10" s="61">
        <f>ATL!M$10</f>
        <v>0</v>
      </c>
      <c r="J10" s="61">
        <f>ATL!N$10</f>
        <v>0</v>
      </c>
      <c r="K10" s="61">
        <f>ATL!O$10</f>
        <v>0</v>
      </c>
      <c r="L10" s="61">
        <f t="shared" si="3"/>
        <v>0</v>
      </c>
      <c r="M10" s="61">
        <f t="shared" si="4"/>
        <v>0</v>
      </c>
      <c r="N10" s="61">
        <f t="shared" si="5"/>
        <v>0</v>
      </c>
      <c r="O1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0" s="101">
        <v>0</v>
      </c>
    </row>
    <row r="11" spans="1:16" x14ac:dyDescent="0.2">
      <c r="A11" s="60">
        <f>IF(TableRBMaster[[#This Row],[Player]]&lt;&gt;0,A10+1,A10)</f>
        <v>6</v>
      </c>
      <c r="B11" s="60">
        <f>ATL!A$11</f>
        <v>0</v>
      </c>
      <c r="C11" s="60" t="s">
        <v>108</v>
      </c>
      <c r="D11" s="60">
        <f>ATL!C$11</f>
        <v>11</v>
      </c>
      <c r="E11" s="61">
        <f>ATL!I$11</f>
        <v>0</v>
      </c>
      <c r="F11" s="61">
        <f>ATL!J$11</f>
        <v>0</v>
      </c>
      <c r="G11" s="61">
        <f>ATL!K$11</f>
        <v>0</v>
      </c>
      <c r="H11" s="61">
        <f>ATL!L$11</f>
        <v>0</v>
      </c>
      <c r="I11" s="61">
        <f>ATL!M$11</f>
        <v>0</v>
      </c>
      <c r="J11" s="61">
        <f>ATL!N$11</f>
        <v>0</v>
      </c>
      <c r="K11" s="61">
        <f>ATL!O$11</f>
        <v>0</v>
      </c>
      <c r="L11" s="61">
        <f t="shared" si="3"/>
        <v>0</v>
      </c>
      <c r="M11" s="61">
        <f t="shared" si="4"/>
        <v>0</v>
      </c>
      <c r="N11" s="61">
        <f t="shared" si="5"/>
        <v>0</v>
      </c>
      <c r="O1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1" s="101">
        <v>0</v>
      </c>
    </row>
    <row r="12" spans="1:16" x14ac:dyDescent="0.2">
      <c r="A12" s="60">
        <f>IF(TableRBMaster[[#This Row],[Player]]&lt;&gt;0,A11+1,A11)</f>
        <v>7</v>
      </c>
      <c r="B12" s="60" t="str">
        <f>BAL!A$7</f>
        <v>J.K. Dobbins</v>
      </c>
      <c r="C12" s="60" t="s">
        <v>109</v>
      </c>
      <c r="D12" s="60">
        <f>BAL!C$7</f>
        <v>13</v>
      </c>
      <c r="E12" s="61">
        <f>BAL!I$7</f>
        <v>203.26472823999998</v>
      </c>
      <c r="F12" s="61">
        <f>BAL!J$7</f>
        <v>1022.4215830472</v>
      </c>
      <c r="G12" s="61">
        <f>BAL!K$7</f>
        <v>9.5534422272799997</v>
      </c>
      <c r="H12" s="61">
        <f>BAL!L$7</f>
        <v>32.077281599999999</v>
      </c>
      <c r="I12" s="61">
        <f>BAL!M$7</f>
        <v>23.860068804751904</v>
      </c>
      <c r="J12" s="61">
        <f>BAL!N$7</f>
        <v>167.11783718776312</v>
      </c>
      <c r="K12" s="61">
        <f>BAL!O$7</f>
        <v>1.3765424310433791</v>
      </c>
      <c r="L12" s="61">
        <f t="shared" ref="L12:L16" si="6">(F12/10)+(G12*6)+(J12/10)+(K12*6)</f>
        <v>184.53384997343659</v>
      </c>
      <c r="M12" s="61">
        <f t="shared" ref="M12:M16" si="7">L12+(I12*0.5)</f>
        <v>196.46388437581254</v>
      </c>
      <c r="N12" s="61">
        <f t="shared" ref="N12:N16" si="8">L12+I12</f>
        <v>208.39391877818849</v>
      </c>
      <c r="O1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196.46388437581254</v>
      </c>
      <c r="P12" s="101">
        <v>31.804706892865251</v>
      </c>
    </row>
    <row r="13" spans="1:16" x14ac:dyDescent="0.2">
      <c r="A13" s="60">
        <f>IF(TableRBMaster[[#This Row],[Player]]&lt;&gt;0,A12+1,A12)</f>
        <v>8</v>
      </c>
      <c r="B13" s="60" t="str">
        <f>BAL!A$8</f>
        <v>Gus Edwards</v>
      </c>
      <c r="C13" s="60" t="s">
        <v>109</v>
      </c>
      <c r="D13" s="60">
        <f>BAL!C$9</f>
        <v>13</v>
      </c>
      <c r="E13" s="61">
        <f>BAL!I$8</f>
        <v>110.72989031999998</v>
      </c>
      <c r="F13" s="61">
        <f>BAL!J$8</f>
        <v>546.75708779792967</v>
      </c>
      <c r="G13" s="61">
        <f>BAL!K$8</f>
        <v>4.4783582283252725</v>
      </c>
      <c r="H13" s="61">
        <f>BAL!L$8</f>
        <v>5.3462136000000005</v>
      </c>
      <c r="I13" s="61">
        <f>BAL!M$8</f>
        <v>4.1569887408982078</v>
      </c>
      <c r="J13" s="61">
        <f>BAL!N$8</f>
        <v>28.724792199606618</v>
      </c>
      <c r="K13" s="61">
        <f>BAL!O$8</f>
        <v>0.12470966222694622</v>
      </c>
      <c r="L13" s="61">
        <f t="shared" si="6"/>
        <v>85.166595343066945</v>
      </c>
      <c r="M13" s="61">
        <f t="shared" si="7"/>
        <v>87.245089713516052</v>
      </c>
      <c r="N13" s="61">
        <f t="shared" si="8"/>
        <v>89.323584083965159</v>
      </c>
      <c r="O1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87.245089713516052</v>
      </c>
      <c r="P13" s="101">
        <v>6.63008926973718</v>
      </c>
    </row>
    <row r="14" spans="1:16" x14ac:dyDescent="0.2">
      <c r="A14" s="60">
        <f>IF(TableRBMaster[[#This Row],[Player]]&lt;&gt;0,A13+1,A13)</f>
        <v>9</v>
      </c>
      <c r="B14" s="60" t="str">
        <f>BAL!A$9</f>
        <v>Keaton Mitchell</v>
      </c>
      <c r="C14" s="60" t="s">
        <v>109</v>
      </c>
      <c r="D14" s="60">
        <f>BAL!C$8</f>
        <v>13</v>
      </c>
      <c r="E14" s="61">
        <f>BAL!I$9</f>
        <v>36.909963439999991</v>
      </c>
      <c r="F14" s="61">
        <f>BAL!J$9</f>
        <v>174.05672665855994</v>
      </c>
      <c r="G14" s="61">
        <f>BAL!K$9</f>
        <v>1.4394885741599996</v>
      </c>
      <c r="H14" s="61">
        <f>BAL!L$9</f>
        <v>16.0386408</v>
      </c>
      <c r="I14" s="61">
        <f>BAL!M$9</f>
        <v>12.444406156913702</v>
      </c>
      <c r="J14" s="61">
        <f>BAL!N$9</f>
        <v>87.608619344672462</v>
      </c>
      <c r="K14" s="61">
        <f>BAL!O$9</f>
        <v>0.52266505859037549</v>
      </c>
      <c r="L14" s="61">
        <f t="shared" si="6"/>
        <v>37.939456396825499</v>
      </c>
      <c r="M14" s="61">
        <f t="shared" si="7"/>
        <v>44.161659475282349</v>
      </c>
      <c r="N14" s="61">
        <f t="shared" si="8"/>
        <v>50.383862553739199</v>
      </c>
      <c r="O1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44.161659475282342</v>
      </c>
      <c r="P14" s="101">
        <v>0</v>
      </c>
    </row>
    <row r="15" spans="1:16" x14ac:dyDescent="0.2">
      <c r="A15" s="60">
        <f>IF(TableRBMaster[[#This Row],[Player]]&lt;&gt;0,A14+1,A14)</f>
        <v>10</v>
      </c>
      <c r="B15" s="60" t="str">
        <f>BAL!A$10</f>
        <v>Justice Hill</v>
      </c>
      <c r="C15" s="60" t="s">
        <v>109</v>
      </c>
      <c r="D15" s="60">
        <f>BAL!C$10</f>
        <v>13</v>
      </c>
      <c r="E15" s="61">
        <f>BAL!I$10</f>
        <v>18.195052400000002</v>
      </c>
      <c r="F15" s="61">
        <f>BAL!J$10</f>
        <v>83.333339992000006</v>
      </c>
      <c r="G15" s="61">
        <f>BAL!K$10</f>
        <v>0.74599714840000009</v>
      </c>
      <c r="H15" s="61">
        <f>BAL!L$10</f>
        <v>7.4846990400000006</v>
      </c>
      <c r="I15" s="61">
        <f>BAL!M$10</f>
        <v>5.8455499502400006</v>
      </c>
      <c r="J15" s="61">
        <f>BAL!N$10</f>
        <v>41.971048642723204</v>
      </c>
      <c r="K15" s="61">
        <f>BAL!O$10</f>
        <v>0.22213089810912001</v>
      </c>
      <c r="L15" s="61">
        <f t="shared" si="6"/>
        <v>18.339207142527044</v>
      </c>
      <c r="M15" s="61">
        <f t="shared" si="7"/>
        <v>21.261982117647044</v>
      </c>
      <c r="N15" s="61">
        <f t="shared" si="8"/>
        <v>24.184757092767043</v>
      </c>
      <c r="O1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21.261982117647044</v>
      </c>
      <c r="P15" s="101">
        <v>0</v>
      </c>
    </row>
    <row r="16" spans="1:16" x14ac:dyDescent="0.2">
      <c r="A16" s="60">
        <f>IF(TableRBMaster[[#This Row],[Player]]&lt;&gt;0,A15+1,A15)</f>
        <v>10</v>
      </c>
      <c r="B16" s="60">
        <f>BAL!A$11</f>
        <v>0</v>
      </c>
      <c r="C16" s="60" t="s">
        <v>109</v>
      </c>
      <c r="D16" s="60">
        <f>BAL!C$11</f>
        <v>13</v>
      </c>
      <c r="E16" s="61">
        <f>BAL!I$11</f>
        <v>0</v>
      </c>
      <c r="F16" s="61">
        <f>BAL!J$11</f>
        <v>0</v>
      </c>
      <c r="G16" s="61">
        <f>BAL!K$11</f>
        <v>0</v>
      </c>
      <c r="H16" s="61">
        <f>BAL!L$11</f>
        <v>0</v>
      </c>
      <c r="I16" s="61">
        <f>BAL!M$11</f>
        <v>0</v>
      </c>
      <c r="J16" s="61">
        <f>BAL!N$11</f>
        <v>0</v>
      </c>
      <c r="K16" s="61">
        <f>BAL!O$11</f>
        <v>0</v>
      </c>
      <c r="L16" s="61">
        <f t="shared" si="6"/>
        <v>0</v>
      </c>
      <c r="M16" s="61">
        <f t="shared" si="7"/>
        <v>0</v>
      </c>
      <c r="N16" s="61">
        <f t="shared" si="8"/>
        <v>0</v>
      </c>
      <c r="O1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6" s="101">
        <v>0</v>
      </c>
    </row>
    <row r="17" spans="1:16" x14ac:dyDescent="0.2">
      <c r="A17" s="60">
        <f>IF(TableRBMaster[[#This Row],[Player]]&lt;&gt;0,A16+1,A16)</f>
        <v>11</v>
      </c>
      <c r="B17" s="60" t="str">
        <f>BUF!A$7</f>
        <v>James Cook</v>
      </c>
      <c r="C17" s="60" t="s">
        <v>110</v>
      </c>
      <c r="D17" s="60">
        <f>BUF!C$7</f>
        <v>13</v>
      </c>
      <c r="E17" s="61">
        <f>BUF!I$7</f>
        <v>175.50918000000004</v>
      </c>
      <c r="F17" s="61">
        <f>BUF!J$7</f>
        <v>856.94493228699912</v>
      </c>
      <c r="G17" s="61">
        <f>BUF!K$7</f>
        <v>5.4407845800000016</v>
      </c>
      <c r="H17" s="61">
        <f>BUF!L$7</f>
        <v>56.44408</v>
      </c>
      <c r="I17" s="61">
        <f>BUF!M$7</f>
        <v>40.31128262375848</v>
      </c>
      <c r="J17" s="61">
        <f>BUF!N$7</f>
        <v>308.20688303593988</v>
      </c>
      <c r="K17" s="61">
        <f>BUF!O$7</f>
        <v>2.176809261682958</v>
      </c>
      <c r="L17" s="61">
        <f t="shared" ref="L17:L21" si="9">(F17/10)+(G17*6)+(J17/10)+(K17*6)</f>
        <v>162.22074458239166</v>
      </c>
      <c r="M17" s="61">
        <f t="shared" ref="M17:M21" si="10">L17+(I17*0.5)</f>
        <v>182.3763858942709</v>
      </c>
      <c r="N17" s="61">
        <f t="shared" ref="N17:N21" si="11">L17+I17</f>
        <v>202.53202720615013</v>
      </c>
      <c r="O1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182.3763858942709</v>
      </c>
      <c r="P17" s="101">
        <v>10.879633166263982</v>
      </c>
    </row>
    <row r="18" spans="1:16" x14ac:dyDescent="0.2">
      <c r="A18" s="60">
        <f>IF(TableRBMaster[[#This Row],[Player]]&lt;&gt;0,A17+1,A17)</f>
        <v>12</v>
      </c>
      <c r="B18" s="60" t="str">
        <f>BUF!A$8</f>
        <v>Damien Harris</v>
      </c>
      <c r="C18" s="60" t="s">
        <v>110</v>
      </c>
      <c r="D18" s="60">
        <f>BUF!C$9</f>
        <v>13</v>
      </c>
      <c r="E18" s="61">
        <f>BUF!I$8</f>
        <v>116.56953000000001</v>
      </c>
      <c r="F18" s="61">
        <f>BUF!J$8</f>
        <v>527.97929001540706</v>
      </c>
      <c r="G18" s="61">
        <f>BUF!K$8</f>
        <v>7.1107413300000006</v>
      </c>
      <c r="H18" s="61">
        <f>BUF!L$8</f>
        <v>10.262559999999999</v>
      </c>
      <c r="I18" s="61">
        <f>BUF!M$8</f>
        <v>7.3669138818888671</v>
      </c>
      <c r="J18" s="61">
        <f>BUF!N$8</f>
        <v>51.875474703584288</v>
      </c>
      <c r="K18" s="61">
        <f>BUF!O$8</f>
        <v>0.19153976092911054</v>
      </c>
      <c r="L18" s="61">
        <f t="shared" si="9"/>
        <v>101.7991630174738</v>
      </c>
      <c r="M18" s="61">
        <f t="shared" si="10"/>
        <v>105.48261995841824</v>
      </c>
      <c r="N18" s="61">
        <f t="shared" si="11"/>
        <v>109.16607689936266</v>
      </c>
      <c r="O1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105.48261995841824</v>
      </c>
      <c r="P18" s="101">
        <v>0.6085987694078856</v>
      </c>
    </row>
    <row r="19" spans="1:16" x14ac:dyDescent="0.2">
      <c r="A19" s="60">
        <f>IF(TableRBMaster[[#This Row],[Player]]&lt;&gt;0,A18+1,A18)</f>
        <v>13</v>
      </c>
      <c r="B19" s="60" t="str">
        <f>BUF!A$9</f>
        <v>Latavius Murray</v>
      </c>
      <c r="C19" s="60" t="s">
        <v>110</v>
      </c>
      <c r="D19" s="60">
        <f>BUF!C$8</f>
        <v>13</v>
      </c>
      <c r="E19" s="61">
        <f>BUF!I$9</f>
        <v>26.631990000000002</v>
      </c>
      <c r="F19" s="61">
        <f>BUF!J$9</f>
        <v>114.25123710000001</v>
      </c>
      <c r="G19" s="61">
        <f>BUF!K$9</f>
        <v>0.93211965000000019</v>
      </c>
      <c r="H19" s="61">
        <f>BUF!L$9</f>
        <v>19.883710000000001</v>
      </c>
      <c r="I19" s="61">
        <f>BUF!M$9</f>
        <v>15.418986100844407</v>
      </c>
      <c r="J19" s="61">
        <f>BUF!N$9</f>
        <v>109.6348210011146</v>
      </c>
      <c r="K19" s="61">
        <f>BUF!O$9</f>
        <v>0.50882654132786542</v>
      </c>
      <c r="L19" s="61">
        <f t="shared" si="9"/>
        <v>31.034282958078652</v>
      </c>
      <c r="M19" s="61">
        <f t="shared" si="10"/>
        <v>38.743776008500859</v>
      </c>
      <c r="N19" s="61">
        <f t="shared" si="11"/>
        <v>46.453269058923055</v>
      </c>
      <c r="O1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38.743776008500859</v>
      </c>
      <c r="P19" s="101">
        <v>0</v>
      </c>
    </row>
    <row r="20" spans="1:16" x14ac:dyDescent="0.2">
      <c r="A20" s="60">
        <f>IF(TableRBMaster[[#This Row],[Player]]&lt;&gt;0,A19+1,A19)</f>
        <v>13</v>
      </c>
      <c r="B20" s="60">
        <f>BUF!A$10</f>
        <v>0</v>
      </c>
      <c r="C20" s="60" t="s">
        <v>110</v>
      </c>
      <c r="D20" s="60">
        <f>BUF!C$10</f>
        <v>13</v>
      </c>
      <c r="E20" s="61">
        <f>BUF!I$10</f>
        <v>0</v>
      </c>
      <c r="F20" s="61">
        <f>BUF!J$10</f>
        <v>0</v>
      </c>
      <c r="G20" s="61">
        <f>BUF!K$10</f>
        <v>0</v>
      </c>
      <c r="H20" s="61">
        <f>BUF!L$10</f>
        <v>0</v>
      </c>
      <c r="I20" s="61">
        <f>BUF!M$10</f>
        <v>0</v>
      </c>
      <c r="J20" s="61">
        <f>BUF!N$10</f>
        <v>0</v>
      </c>
      <c r="K20" s="61">
        <f>BUF!O$10</f>
        <v>0</v>
      </c>
      <c r="L20" s="61">
        <f t="shared" si="9"/>
        <v>0</v>
      </c>
      <c r="M20" s="61">
        <f t="shared" si="10"/>
        <v>0</v>
      </c>
      <c r="N20" s="61">
        <f t="shared" si="11"/>
        <v>0</v>
      </c>
      <c r="O2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20" s="101">
        <v>0</v>
      </c>
    </row>
    <row r="21" spans="1:16" x14ac:dyDescent="0.2">
      <c r="A21" s="60">
        <f>IF(TableRBMaster[[#This Row],[Player]]&lt;&gt;0,A20+1,A20)</f>
        <v>13</v>
      </c>
      <c r="B21" s="60">
        <f>BUF!A$11</f>
        <v>0</v>
      </c>
      <c r="C21" s="60" t="s">
        <v>110</v>
      </c>
      <c r="D21" s="60">
        <f>BUF!C$11</f>
        <v>13</v>
      </c>
      <c r="E21" s="61">
        <f>BUF!I$11</f>
        <v>0</v>
      </c>
      <c r="F21" s="61">
        <f>BUF!J$11</f>
        <v>0</v>
      </c>
      <c r="G21" s="61">
        <f>BUF!K$11</f>
        <v>0</v>
      </c>
      <c r="H21" s="61">
        <f>BUF!L$11</f>
        <v>0</v>
      </c>
      <c r="I21" s="61">
        <f>BUF!M$11</f>
        <v>0</v>
      </c>
      <c r="J21" s="61">
        <f>BUF!N$11</f>
        <v>0</v>
      </c>
      <c r="K21" s="61">
        <f>BUF!O$11</f>
        <v>0</v>
      </c>
      <c r="L21" s="61">
        <f t="shared" si="9"/>
        <v>0</v>
      </c>
      <c r="M21" s="61">
        <f t="shared" si="10"/>
        <v>0</v>
      </c>
      <c r="N21" s="61">
        <f t="shared" si="11"/>
        <v>0</v>
      </c>
      <c r="O2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21" s="101">
        <v>0</v>
      </c>
    </row>
    <row r="22" spans="1:16" x14ac:dyDescent="0.2">
      <c r="A22" s="60">
        <f>IF(TableRBMaster[[#This Row],[Player]]&lt;&gt;0,A21+1,A21)</f>
        <v>14</v>
      </c>
      <c r="B22" s="60" t="str">
        <f>CAR!A$7</f>
        <v>Miles Sanders</v>
      </c>
      <c r="C22" s="60" t="s">
        <v>111</v>
      </c>
      <c r="D22" s="60">
        <f>CAR!C$7</f>
        <v>7</v>
      </c>
      <c r="E22" s="61">
        <f>CAR!I$7</f>
        <v>242.21369634000004</v>
      </c>
      <c r="F22" s="61">
        <f>CAR!J$7</f>
        <v>1073.0066747862002</v>
      </c>
      <c r="G22" s="61">
        <f>CAR!K$7</f>
        <v>7.0241971938600019</v>
      </c>
      <c r="H22" s="61">
        <f>CAR!L$7</f>
        <v>48.252403080000001</v>
      </c>
      <c r="I22" s="61">
        <f>CAR!M$7</f>
        <v>33.779714624507861</v>
      </c>
      <c r="J22" s="61">
        <f>CAR!N$7</f>
        <v>263.67834617161469</v>
      </c>
      <c r="K22" s="61">
        <f>CAR!O$7</f>
        <v>0.91205229486171224</v>
      </c>
      <c r="L22" s="61">
        <f t="shared" ref="L22:L26" si="12">(F22/10)+(G22*6)+(J22/10)+(K22*6)</f>
        <v>181.28599902811177</v>
      </c>
      <c r="M22" s="61">
        <f t="shared" ref="M22:M26" si="13">L22+(I22*0.5)</f>
        <v>198.1758563403657</v>
      </c>
      <c r="N22" s="61">
        <f t="shared" ref="N22:N26" si="14">L22+I22</f>
        <v>215.06571365261965</v>
      </c>
      <c r="O2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198.17585634036573</v>
      </c>
      <c r="P22" s="101">
        <v>60</v>
      </c>
    </row>
    <row r="23" spans="1:16" x14ac:dyDescent="0.2">
      <c r="A23" s="60">
        <f>IF(TableRBMaster[[#This Row],[Player]]&lt;&gt;0,A22+1,A22)</f>
        <v>15</v>
      </c>
      <c r="B23" s="60" t="str">
        <f>CAR!A$8</f>
        <v>Chuba Hubbard</v>
      </c>
      <c r="C23" s="60" t="s">
        <v>111</v>
      </c>
      <c r="D23" s="60">
        <f>CAR!C$9</f>
        <v>7</v>
      </c>
      <c r="E23" s="61">
        <f>CAR!I$8</f>
        <v>52.576999020000009</v>
      </c>
      <c r="F23" s="61">
        <f>CAR!J$8</f>
        <v>226.60686577620001</v>
      </c>
      <c r="G23" s="61">
        <f>CAR!K$8</f>
        <v>1.9453489637400003</v>
      </c>
      <c r="H23" s="61">
        <f>CAR!L$8</f>
        <v>41.1910758</v>
      </c>
      <c r="I23" s="61">
        <f>CAR!M$8</f>
        <v>28.255536884916104</v>
      </c>
      <c r="J23" s="61">
        <f>CAR!N$8</f>
        <v>246.3799652643273</v>
      </c>
      <c r="K23" s="61">
        <f>CAR!O$8</f>
        <v>1.073710401626812</v>
      </c>
      <c r="L23" s="61">
        <f t="shared" si="12"/>
        <v>65.413039296253601</v>
      </c>
      <c r="M23" s="61">
        <f t="shared" si="13"/>
        <v>79.540807738711649</v>
      </c>
      <c r="N23" s="61">
        <f t="shared" si="14"/>
        <v>93.668576181169698</v>
      </c>
      <c r="O2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79.540807738711649</v>
      </c>
      <c r="P23" s="101">
        <v>0</v>
      </c>
    </row>
    <row r="24" spans="1:16" x14ac:dyDescent="0.2">
      <c r="A24" s="60">
        <f>IF(TableRBMaster[[#This Row],[Player]]&lt;&gt;0,A23+1,A23)</f>
        <v>16</v>
      </c>
      <c r="B24" s="60" t="str">
        <f>CAR!A$9</f>
        <v>Raheem Blackshear</v>
      </c>
      <c r="C24" s="60" t="s">
        <v>111</v>
      </c>
      <c r="D24" s="60">
        <f>CAR!C$8</f>
        <v>7</v>
      </c>
      <c r="E24" s="61">
        <f>CAR!I$9</f>
        <v>41.342597520000005</v>
      </c>
      <c r="F24" s="61">
        <f>CAR!J$9</f>
        <v>166.42020620146423</v>
      </c>
      <c r="G24" s="61">
        <f>CAR!K$9</f>
        <v>1.4469909132000003</v>
      </c>
      <c r="H24" s="61">
        <f>CAR!L$9</f>
        <v>14.7110985</v>
      </c>
      <c r="I24" s="61">
        <f>CAR!M$9</f>
        <v>10.924447056799806</v>
      </c>
      <c r="J24" s="61">
        <f>CAR!N$9</f>
        <v>88.857166478736829</v>
      </c>
      <c r="K24" s="61">
        <f>CAR!O$9</f>
        <v>0.26218672936319537</v>
      </c>
      <c r="L24" s="61">
        <f t="shared" si="12"/>
        <v>35.782803123399269</v>
      </c>
      <c r="M24" s="61">
        <f t="shared" si="13"/>
        <v>41.245026651799172</v>
      </c>
      <c r="N24" s="61">
        <f t="shared" si="14"/>
        <v>46.707250180199075</v>
      </c>
      <c r="O2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41.245026651799179</v>
      </c>
      <c r="P24" s="101">
        <v>0</v>
      </c>
    </row>
    <row r="25" spans="1:16" x14ac:dyDescent="0.2">
      <c r="A25" s="60">
        <f>IF(TableRBMaster[[#This Row],[Player]]&lt;&gt;0,A24+1,A24)</f>
        <v>16</v>
      </c>
      <c r="B25" s="60">
        <f>CAR!A$10</f>
        <v>0</v>
      </c>
      <c r="C25" s="60" t="s">
        <v>111</v>
      </c>
      <c r="D25" s="60">
        <f>CAR!C$10</f>
        <v>7</v>
      </c>
      <c r="E25" s="61">
        <f>CAR!I$10</f>
        <v>0</v>
      </c>
      <c r="F25" s="61">
        <f>CAR!J$10</f>
        <v>0</v>
      </c>
      <c r="G25" s="61">
        <f>CAR!K$10</f>
        <v>0</v>
      </c>
      <c r="H25" s="61">
        <f>CAR!L$10</f>
        <v>0</v>
      </c>
      <c r="I25" s="61">
        <f>CAR!M$10</f>
        <v>0</v>
      </c>
      <c r="J25" s="61">
        <f>CAR!N$10</f>
        <v>0</v>
      </c>
      <c r="K25" s="61">
        <f>CAR!O$10</f>
        <v>0</v>
      </c>
      <c r="L25" s="61">
        <f t="shared" si="12"/>
        <v>0</v>
      </c>
      <c r="M25" s="61">
        <f t="shared" si="13"/>
        <v>0</v>
      </c>
      <c r="N25" s="61">
        <f t="shared" si="14"/>
        <v>0</v>
      </c>
      <c r="O2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25" s="101">
        <v>0</v>
      </c>
    </row>
    <row r="26" spans="1:16" x14ac:dyDescent="0.2">
      <c r="A26" s="60">
        <f>IF(TableRBMaster[[#This Row],[Player]]&lt;&gt;0,A25+1,A25)</f>
        <v>16</v>
      </c>
      <c r="B26" s="60">
        <f>CAR!A$11</f>
        <v>0</v>
      </c>
      <c r="C26" s="60" t="s">
        <v>111</v>
      </c>
      <c r="D26" s="60">
        <f>CAR!C$11</f>
        <v>7</v>
      </c>
      <c r="E26" s="61">
        <f>CAR!I$11</f>
        <v>0</v>
      </c>
      <c r="F26" s="61">
        <f>CAR!J$11</f>
        <v>0</v>
      </c>
      <c r="G26" s="61">
        <f>CAR!K$11</f>
        <v>0</v>
      </c>
      <c r="H26" s="61">
        <f>CAR!L$11</f>
        <v>0</v>
      </c>
      <c r="I26" s="61">
        <f>CAR!M$11</f>
        <v>0</v>
      </c>
      <c r="J26" s="61">
        <f>CAR!N$11</f>
        <v>0</v>
      </c>
      <c r="K26" s="61">
        <f>CAR!O$11</f>
        <v>0</v>
      </c>
      <c r="L26" s="61">
        <f t="shared" si="12"/>
        <v>0</v>
      </c>
      <c r="M26" s="61">
        <f t="shared" si="13"/>
        <v>0</v>
      </c>
      <c r="N26" s="61">
        <f t="shared" si="14"/>
        <v>0</v>
      </c>
      <c r="O2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26" s="101">
        <v>0</v>
      </c>
    </row>
    <row r="27" spans="1:16" x14ac:dyDescent="0.2">
      <c r="A27" s="60">
        <f>IF(TableRBMaster[[#This Row],[Player]]&lt;&gt;0,A26+1,A26)</f>
        <v>17</v>
      </c>
      <c r="B27" s="60" t="str">
        <f>CHI!A$7</f>
        <v>Khalil Herbert</v>
      </c>
      <c r="C27" s="60" t="s">
        <v>112</v>
      </c>
      <c r="D27" s="60">
        <f>CHI!C$7</f>
        <v>13</v>
      </c>
      <c r="E27" s="61">
        <f>CHI!I$7</f>
        <v>216.95934623999997</v>
      </c>
      <c r="F27" s="61">
        <f>CHI!J$7</f>
        <v>1008.8609600159999</v>
      </c>
      <c r="G27" s="61">
        <f>CHI!K$7</f>
        <v>8.8953331958399993</v>
      </c>
      <c r="H27" s="61">
        <f>CHI!L$7</f>
        <v>36.715660799999995</v>
      </c>
      <c r="I27" s="61">
        <f>CHI!M$7</f>
        <v>25.299428871841087</v>
      </c>
      <c r="J27" s="61">
        <f>CHI!N$7</f>
        <v>195.05859660189478</v>
      </c>
      <c r="K27" s="61">
        <f>CHI!O$7</f>
        <v>1.2649714435920545</v>
      </c>
      <c r="L27" s="61">
        <f t="shared" ref="L27:L31" si="15">(F27/10)+(G27*6)+(J27/10)+(K27*6)</f>
        <v>181.3537834983818</v>
      </c>
      <c r="M27" s="61">
        <f t="shared" ref="M27:M31" si="16">L27+(I27*0.5)</f>
        <v>194.00349793430235</v>
      </c>
      <c r="N27" s="61">
        <f t="shared" ref="N27:N31" si="17">L27+I27</f>
        <v>206.65321237022289</v>
      </c>
      <c r="O2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194.00349793430235</v>
      </c>
      <c r="P27" s="101">
        <v>25.021068661451302</v>
      </c>
    </row>
    <row r="28" spans="1:16" x14ac:dyDescent="0.2">
      <c r="A28" s="60">
        <f>IF(TableRBMaster[[#This Row],[Player]]&lt;&gt;0,A27+1,A27)</f>
        <v>18</v>
      </c>
      <c r="B28" s="60" t="str">
        <f>CHI!A$8</f>
        <v>D'Onta Foreman</v>
      </c>
      <c r="C28" s="60" t="s">
        <v>112</v>
      </c>
      <c r="D28" s="60">
        <f>CHI!C$9</f>
        <v>13</v>
      </c>
      <c r="E28" s="61">
        <f>CHI!I$8</f>
        <v>20.881063839999999</v>
      </c>
      <c r="F28" s="61">
        <f>CHI!J$8</f>
        <v>89.162142596799995</v>
      </c>
      <c r="G28" s="61">
        <f>CHI!K$8</f>
        <v>0.79348042592000001</v>
      </c>
      <c r="H28" s="61">
        <f>CHI!L$8</f>
        <v>13.768372799999998</v>
      </c>
      <c r="I28" s="61">
        <f>CHI!M$8</f>
        <v>9.2439438794031439</v>
      </c>
      <c r="J28" s="61">
        <f>CHI!N$8</f>
        <v>73.733399864192521</v>
      </c>
      <c r="K28" s="61">
        <f>CHI!O$8</f>
        <v>0.37900169905552894</v>
      </c>
      <c r="L28" s="61">
        <f t="shared" si="15"/>
        <v>23.324446995952425</v>
      </c>
      <c r="M28" s="61">
        <f t="shared" si="16"/>
        <v>27.946418935653995</v>
      </c>
      <c r="N28" s="61">
        <f t="shared" si="17"/>
        <v>32.568390875355568</v>
      </c>
      <c r="O2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27.946418935653998</v>
      </c>
      <c r="P28" s="101">
        <v>0</v>
      </c>
    </row>
    <row r="29" spans="1:16" x14ac:dyDescent="0.2">
      <c r="A29" s="60">
        <f>IF(TableRBMaster[[#This Row],[Player]]&lt;&gt;0,A28+1,A28)</f>
        <v>19</v>
      </c>
      <c r="B29" s="60" t="str">
        <f>CHI!A$9</f>
        <v>Roschon Johnson</v>
      </c>
      <c r="C29" s="60" t="s">
        <v>112</v>
      </c>
      <c r="D29" s="60">
        <f>CHI!C$8</f>
        <v>13</v>
      </c>
      <c r="E29" s="61">
        <f>CHI!I$9</f>
        <v>112.04473279999999</v>
      </c>
      <c r="F29" s="61">
        <f>CHI!J$9</f>
        <v>481.79235103999997</v>
      </c>
      <c r="G29" s="61">
        <f>CHI!K$9</f>
        <v>4.7058787775999997</v>
      </c>
      <c r="H29" s="61">
        <f>CHI!L$9</f>
        <v>33.044094719999997</v>
      </c>
      <c r="I29" s="61">
        <f>CHI!M$9</f>
        <v>23.094947501995961</v>
      </c>
      <c r="J29" s="61">
        <f>CHI!N$9</f>
        <v>183.66350045852619</v>
      </c>
      <c r="K29" s="61">
        <f>CHI!O$9</f>
        <v>1.1316524275978022</v>
      </c>
      <c r="L29" s="61">
        <f t="shared" si="15"/>
        <v>101.57077238103942</v>
      </c>
      <c r="M29" s="61">
        <f t="shared" si="16"/>
        <v>113.1182461320374</v>
      </c>
      <c r="N29" s="61">
        <f t="shared" si="17"/>
        <v>124.66571988303538</v>
      </c>
      <c r="O2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113.11824613203741</v>
      </c>
      <c r="P29" s="101">
        <v>0</v>
      </c>
    </row>
    <row r="30" spans="1:16" x14ac:dyDescent="0.2">
      <c r="A30" s="60">
        <f>IF(TableRBMaster[[#This Row],[Player]]&lt;&gt;0,A29+1,A29)</f>
        <v>20</v>
      </c>
      <c r="B30" s="60" t="str">
        <f>CHI!A$10</f>
        <v>Travis Homer</v>
      </c>
      <c r="C30" s="60" t="s">
        <v>112</v>
      </c>
      <c r="D30" s="60">
        <f>CHI!C$10</f>
        <v>13</v>
      </c>
      <c r="E30" s="61">
        <f>CHI!I$10</f>
        <v>8.658002080000001</v>
      </c>
      <c r="F30" s="61">
        <f>CHI!J$10</f>
        <v>35.497808528</v>
      </c>
      <c r="G30" s="61">
        <f>CHI!K$10</f>
        <v>0.30303007280000005</v>
      </c>
      <c r="H30" s="61">
        <f>CHI!L$10</f>
        <v>16.522047359999998</v>
      </c>
      <c r="I30" s="61">
        <f>CHI!M$10</f>
        <v>10.699367488484683</v>
      </c>
      <c r="J30" s="61">
        <f>CHI!N$10</f>
        <v>90.82547794791752</v>
      </c>
      <c r="K30" s="61">
        <f>CHI!O$10</f>
        <v>0.4600728020048413</v>
      </c>
      <c r="L30" s="61">
        <f t="shared" si="15"/>
        <v>17.2109458964208</v>
      </c>
      <c r="M30" s="61">
        <f t="shared" si="16"/>
        <v>22.560629640663141</v>
      </c>
      <c r="N30" s="61">
        <f t="shared" si="17"/>
        <v>27.910313384905482</v>
      </c>
      <c r="O3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22.560629640663144</v>
      </c>
      <c r="P30" s="101">
        <v>0</v>
      </c>
    </row>
    <row r="31" spans="1:16" x14ac:dyDescent="0.2">
      <c r="A31" s="60">
        <f>IF(TableRBMaster[[#This Row],[Player]]&lt;&gt;0,A30+1,A30)</f>
        <v>20</v>
      </c>
      <c r="B31" s="60">
        <f>CHI!A$11</f>
        <v>0</v>
      </c>
      <c r="C31" s="60" t="s">
        <v>112</v>
      </c>
      <c r="D31" s="60">
        <f>CHI!C$11</f>
        <v>13</v>
      </c>
      <c r="E31" s="61">
        <f>CHI!I$11</f>
        <v>0</v>
      </c>
      <c r="F31" s="61">
        <f>CHI!J$11</f>
        <v>0</v>
      </c>
      <c r="G31" s="61">
        <f>CHI!K$11</f>
        <v>0</v>
      </c>
      <c r="H31" s="61">
        <f>CHI!L$11</f>
        <v>0</v>
      </c>
      <c r="I31" s="61">
        <f>CHI!M$11</f>
        <v>0</v>
      </c>
      <c r="J31" s="61">
        <f>CHI!N$11</f>
        <v>0</v>
      </c>
      <c r="K31" s="61">
        <f>CHI!O$11</f>
        <v>0</v>
      </c>
      <c r="L31" s="61">
        <f t="shared" si="15"/>
        <v>0</v>
      </c>
      <c r="M31" s="61">
        <f t="shared" si="16"/>
        <v>0</v>
      </c>
      <c r="N31" s="61">
        <f t="shared" si="17"/>
        <v>0</v>
      </c>
      <c r="O3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31" s="101">
        <v>0</v>
      </c>
    </row>
    <row r="32" spans="1:16" x14ac:dyDescent="0.2">
      <c r="A32" s="60">
        <f>IF(TableRBMaster[[#This Row],[Player]]&lt;&gt;0,A31+1,A31)</f>
        <v>21</v>
      </c>
      <c r="B32" s="60" t="str">
        <f>CIN!A$7</f>
        <v>Joe Mixon</v>
      </c>
      <c r="C32" s="60" t="s">
        <v>113</v>
      </c>
      <c r="D32" s="60">
        <f>CIN!C$7</f>
        <v>7</v>
      </c>
      <c r="E32" s="61">
        <f>CIN!I$7</f>
        <v>250.90128756000001</v>
      </c>
      <c r="F32" s="61">
        <f>CIN!J$7</f>
        <v>1028.6952789960001</v>
      </c>
      <c r="G32" s="61">
        <f>CIN!K$7</f>
        <v>9.7851502148399998</v>
      </c>
      <c r="H32" s="61">
        <f>CIN!L$7</f>
        <v>49.234180799999997</v>
      </c>
      <c r="I32" s="61">
        <f>CIN!M$7</f>
        <v>39.402501507583622</v>
      </c>
      <c r="J32" s="61">
        <f>CIN!N$7</f>
        <v>280.58303736916434</v>
      </c>
      <c r="K32" s="61">
        <f>CIN!O$7</f>
        <v>1.5761000603033448</v>
      </c>
      <c r="L32" s="61">
        <f t="shared" ref="L32:L36" si="18">(F32/10)+(G32*6)+(J32/10)+(K32*6)</f>
        <v>199.09533328737649</v>
      </c>
      <c r="M32" s="61">
        <f t="shared" ref="M32:M36" si="19">L32+(I32*0.5)</f>
        <v>218.7965840411683</v>
      </c>
      <c r="N32" s="61">
        <f t="shared" ref="N32:N36" si="20">L32+I32</f>
        <v>238.49783479496011</v>
      </c>
      <c r="O3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218.79658404116833</v>
      </c>
      <c r="P32" s="101">
        <v>39.467218909506279</v>
      </c>
    </row>
    <row r="33" spans="1:16" x14ac:dyDescent="0.2">
      <c r="A33" s="60">
        <f>IF(TableRBMaster[[#This Row],[Player]]&lt;&gt;0,A32+1,A32)</f>
        <v>22</v>
      </c>
      <c r="B33" s="60" t="str">
        <f>CIN!A$8</f>
        <v>Chris Evans</v>
      </c>
      <c r="C33" s="60" t="s">
        <v>113</v>
      </c>
      <c r="D33" s="60">
        <f>CIN!C$9</f>
        <v>7</v>
      </c>
      <c r="E33" s="61">
        <f>CIN!I$8</f>
        <v>62.514125520000007</v>
      </c>
      <c r="F33" s="61">
        <f>CIN!J$8</f>
        <v>260.26257383011506</v>
      </c>
      <c r="G33" s="61">
        <f>CIN!K$8</f>
        <v>2.6255932718400006</v>
      </c>
      <c r="H33" s="61">
        <f>CIN!L$8</f>
        <v>24.617090399999999</v>
      </c>
      <c r="I33" s="61">
        <f>CIN!M$8</f>
        <v>17.885869044127826</v>
      </c>
      <c r="J33" s="61">
        <f>CIN!N$8</f>
        <v>147.97630579433516</v>
      </c>
      <c r="K33" s="61">
        <f>CIN!O$8</f>
        <v>0.93006519029464696</v>
      </c>
      <c r="L33" s="61">
        <f t="shared" si="18"/>
        <v>62.157838735252909</v>
      </c>
      <c r="M33" s="61">
        <f t="shared" si="19"/>
        <v>71.100773257316817</v>
      </c>
      <c r="N33" s="61">
        <f t="shared" si="20"/>
        <v>80.043707779380739</v>
      </c>
      <c r="O3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71.100773257316817</v>
      </c>
      <c r="P33" s="101">
        <v>0</v>
      </c>
    </row>
    <row r="34" spans="1:16" x14ac:dyDescent="0.2">
      <c r="A34" s="60">
        <f>IF(TableRBMaster[[#This Row],[Player]]&lt;&gt;0,A33+1,A33)</f>
        <v>23</v>
      </c>
      <c r="B34" s="60" t="str">
        <f>CIN!A$9</f>
        <v>Trayveon Williams</v>
      </c>
      <c r="C34" s="60" t="s">
        <v>113</v>
      </c>
      <c r="D34" s="60">
        <f>CIN!C$8</f>
        <v>7</v>
      </c>
      <c r="E34" s="61">
        <f>CIN!I$9</f>
        <v>27.877920840000002</v>
      </c>
      <c r="F34" s="61">
        <f>CIN!J$9</f>
        <v>116.80848831960002</v>
      </c>
      <c r="G34" s="61">
        <f>CIN!K$9</f>
        <v>1.1708726752800001</v>
      </c>
      <c r="H34" s="61">
        <f>CIN!L$9</f>
        <v>9.2314088999999999</v>
      </c>
      <c r="I34" s="61">
        <f>CIN!M$9</f>
        <v>6.9050938571999998</v>
      </c>
      <c r="J34" s="61">
        <f>CIN!N$9</f>
        <v>53.169222700440002</v>
      </c>
      <c r="K34" s="61">
        <f>CIN!O$9</f>
        <v>0.38668525600319997</v>
      </c>
      <c r="L34" s="61">
        <f t="shared" si="18"/>
        <v>26.343118689703203</v>
      </c>
      <c r="M34" s="61">
        <f t="shared" si="19"/>
        <v>29.795665618303204</v>
      </c>
      <c r="N34" s="61">
        <f t="shared" si="20"/>
        <v>33.248212546903204</v>
      </c>
      <c r="O3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29.795665618303204</v>
      </c>
      <c r="P34" s="101">
        <v>0</v>
      </c>
    </row>
    <row r="35" spans="1:16" x14ac:dyDescent="0.2">
      <c r="A35" s="60">
        <f>IF(TableRBMaster[[#This Row],[Player]]&lt;&gt;0,A34+1,A34)</f>
        <v>24</v>
      </c>
      <c r="B35" s="60" t="str">
        <f>CIN!A$10</f>
        <v>Chase Brown</v>
      </c>
      <c r="C35" s="60" t="s">
        <v>113</v>
      </c>
      <c r="D35" s="60">
        <f>CIN!C$10</f>
        <v>7</v>
      </c>
      <c r="E35" s="61">
        <f>CIN!I$10</f>
        <v>21.96442248</v>
      </c>
      <c r="F35" s="61">
        <f>CIN!J$10</f>
        <v>92.740063289791834</v>
      </c>
      <c r="G35" s="61">
        <f>CIN!K$10</f>
        <v>0.96643458911999991</v>
      </c>
      <c r="H35" s="61">
        <f>CIN!L$10</f>
        <v>18.4628178</v>
      </c>
      <c r="I35" s="61">
        <f>CIN!M$10</f>
        <v>14.579019378399861</v>
      </c>
      <c r="J35" s="61">
        <f>CIN!N$10</f>
        <v>109.28712806299094</v>
      </c>
      <c r="K35" s="61">
        <f>CIN!O$10</f>
        <v>0.77268802705519268</v>
      </c>
      <c r="L35" s="61">
        <f t="shared" si="18"/>
        <v>30.637454832329432</v>
      </c>
      <c r="M35" s="61">
        <f t="shared" si="19"/>
        <v>37.926964521529364</v>
      </c>
      <c r="N35" s="61">
        <f t="shared" si="20"/>
        <v>45.216474210729295</v>
      </c>
      <c r="O3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37.926964521529364</v>
      </c>
      <c r="P35" s="101">
        <v>0</v>
      </c>
    </row>
    <row r="36" spans="1:16" x14ac:dyDescent="0.2">
      <c r="A36" s="60">
        <f>IF(TableRBMaster[[#This Row],[Player]]&lt;&gt;0,A35+1,A35)</f>
        <v>24</v>
      </c>
      <c r="B36" s="60">
        <f>CIN!A$11</f>
        <v>0</v>
      </c>
      <c r="C36" s="60" t="s">
        <v>113</v>
      </c>
      <c r="D36" s="60">
        <f>CIN!C$11</f>
        <v>7</v>
      </c>
      <c r="E36" s="61">
        <f>CIN!I$11</f>
        <v>0</v>
      </c>
      <c r="F36" s="61">
        <f>CIN!J$11</f>
        <v>0</v>
      </c>
      <c r="G36" s="61">
        <f>CIN!K$11</f>
        <v>0</v>
      </c>
      <c r="H36" s="61">
        <f>CIN!L$11</f>
        <v>0</v>
      </c>
      <c r="I36" s="61">
        <f>CIN!M$11</f>
        <v>0</v>
      </c>
      <c r="J36" s="61">
        <f>CIN!N$11</f>
        <v>0</v>
      </c>
      <c r="K36" s="61">
        <f>CIN!O$11</f>
        <v>0</v>
      </c>
      <c r="L36" s="61">
        <f t="shared" si="18"/>
        <v>0</v>
      </c>
      <c r="M36" s="61">
        <f t="shared" si="19"/>
        <v>0</v>
      </c>
      <c r="N36" s="61">
        <f t="shared" si="20"/>
        <v>0</v>
      </c>
      <c r="O3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36" s="101">
        <v>0</v>
      </c>
    </row>
    <row r="37" spans="1:16" x14ac:dyDescent="0.2">
      <c r="A37" s="60">
        <f>IF(TableRBMaster[[#This Row],[Player]]&lt;&gt;0,A36+1,A36)</f>
        <v>25</v>
      </c>
      <c r="B37" s="60" t="str">
        <f>CLE!A$7</f>
        <v>Nick Chubb</v>
      </c>
      <c r="C37" s="60" t="s">
        <v>114</v>
      </c>
      <c r="D37" s="60">
        <f>CLE!C$7</f>
        <v>5</v>
      </c>
      <c r="E37" s="61">
        <f>CLE!I$7</f>
        <v>292.76578799999993</v>
      </c>
      <c r="F37" s="61">
        <f>CLE!J$7</f>
        <v>1425.7693875599996</v>
      </c>
      <c r="G37" s="61">
        <f>CLE!K$7</f>
        <v>12.296163095999997</v>
      </c>
      <c r="H37" s="61">
        <f>CLE!L$7</f>
        <v>39.127372199999996</v>
      </c>
      <c r="I37" s="61">
        <f>CLE!M$7</f>
        <v>28.482183767202592</v>
      </c>
      <c r="J37" s="61">
        <f>CLE!N$7</f>
        <v>236.11730343010947</v>
      </c>
      <c r="K37" s="61">
        <f>CLE!O$7</f>
        <v>1.8798241286353712</v>
      </c>
      <c r="L37" s="61">
        <f t="shared" ref="L37:L41" si="21">(F37/10)+(G37*6)+(J37/10)+(K37*6)</f>
        <v>251.24459244682311</v>
      </c>
      <c r="M37" s="61">
        <f t="shared" ref="M37:M41" si="22">L37+(I37*0.5)</f>
        <v>265.48568433042442</v>
      </c>
      <c r="N37" s="61">
        <f t="shared" ref="N37:N41" si="23">L37+I37</f>
        <v>279.72677621402568</v>
      </c>
      <c r="O3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265.48568433042442</v>
      </c>
      <c r="P37" s="101">
        <v>33.158464281356899</v>
      </c>
    </row>
    <row r="38" spans="1:16" x14ac:dyDescent="0.2">
      <c r="A38" s="60">
        <f>IF(TableRBMaster[[#This Row],[Player]]&lt;&gt;0,A37+1,A37)</f>
        <v>26</v>
      </c>
      <c r="B38" s="60" t="str">
        <f>CLE!A$8</f>
        <v>Jerome Ford</v>
      </c>
      <c r="C38" s="60" t="s">
        <v>114</v>
      </c>
      <c r="D38" s="60">
        <f>CLE!C$9</f>
        <v>5</v>
      </c>
      <c r="E38" s="61">
        <f>CLE!I$8</f>
        <v>55.019777399999995</v>
      </c>
      <c r="F38" s="61">
        <f>CLE!J$8</f>
        <v>234.28026901148419</v>
      </c>
      <c r="G38" s="61">
        <f>CLE!K$8</f>
        <v>2.2007910959999997</v>
      </c>
      <c r="H38" s="61">
        <f>CLE!L$8</f>
        <v>16.6157334</v>
      </c>
      <c r="I38" s="61">
        <f>CLE!M$8</f>
        <v>11.914477502714831</v>
      </c>
      <c r="J38" s="61">
        <f>CLE!N$8</f>
        <v>92.932924521175678</v>
      </c>
      <c r="K38" s="61">
        <f>CLE!O$8</f>
        <v>0.63146730764388603</v>
      </c>
      <c r="L38" s="61">
        <f t="shared" si="21"/>
        <v>49.714869775129301</v>
      </c>
      <c r="M38" s="61">
        <f t="shared" si="22"/>
        <v>55.672108526486717</v>
      </c>
      <c r="N38" s="61">
        <f t="shared" si="23"/>
        <v>61.629347277844133</v>
      </c>
      <c r="O3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55.672108526486717</v>
      </c>
      <c r="P38" s="101">
        <v>23.675137270027953</v>
      </c>
    </row>
    <row r="39" spans="1:16" x14ac:dyDescent="0.2">
      <c r="A39" s="60">
        <f>IF(TableRBMaster[[#This Row],[Player]]&lt;&gt;0,A38+1,A38)</f>
        <v>27</v>
      </c>
      <c r="B39" s="60" t="str">
        <f>CLE!A$9</f>
        <v>Pierre Strong</v>
      </c>
      <c r="C39" s="60" t="s">
        <v>114</v>
      </c>
      <c r="D39" s="60">
        <f>CLE!C$8</f>
        <v>5</v>
      </c>
      <c r="E39" s="61">
        <f>CLE!I$9</f>
        <v>56.029314599999992</v>
      </c>
      <c r="F39" s="61">
        <f>CLE!J$9</f>
        <v>244.84810480199997</v>
      </c>
      <c r="G39" s="61">
        <f>CLE!K$9</f>
        <v>2.2972018985999996</v>
      </c>
      <c r="H39" s="61">
        <f>CLE!L$9</f>
        <v>22.5116388</v>
      </c>
      <c r="I39" s="61">
        <f>CLE!M$9</f>
        <v>16.748659267200001</v>
      </c>
      <c r="J39" s="61">
        <f>CLE!N$9</f>
        <v>126.11740428201601</v>
      </c>
      <c r="K39" s="61">
        <f>CLE!O$9</f>
        <v>0.73694100775679994</v>
      </c>
      <c r="L39" s="61">
        <f t="shared" si="21"/>
        <v>55.301408346542395</v>
      </c>
      <c r="M39" s="61">
        <f t="shared" si="22"/>
        <v>63.675737980142394</v>
      </c>
      <c r="N39" s="61">
        <f t="shared" si="23"/>
        <v>72.050067613742399</v>
      </c>
      <c r="O3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63.675737980142394</v>
      </c>
      <c r="P39" s="101">
        <v>0</v>
      </c>
    </row>
    <row r="40" spans="1:16" x14ac:dyDescent="0.2">
      <c r="A40" s="60">
        <f>IF(TableRBMaster[[#This Row],[Player]]&lt;&gt;0,A39+1,A39)</f>
        <v>27</v>
      </c>
      <c r="B40" s="60">
        <f>CLE!A$10</f>
        <v>0</v>
      </c>
      <c r="C40" s="60" t="s">
        <v>114</v>
      </c>
      <c r="D40" s="60">
        <f>CLE!C$10</f>
        <v>5</v>
      </c>
      <c r="E40" s="61">
        <f>CLE!I$10</f>
        <v>0</v>
      </c>
      <c r="F40" s="61">
        <f>CLE!J$10</f>
        <v>0</v>
      </c>
      <c r="G40" s="61">
        <f>CLE!K$10</f>
        <v>0</v>
      </c>
      <c r="H40" s="61">
        <f>CLE!L$10</f>
        <v>0</v>
      </c>
      <c r="I40" s="61">
        <f>CLE!M$10</f>
        <v>0</v>
      </c>
      <c r="J40" s="61">
        <f>CLE!N$10</f>
        <v>0</v>
      </c>
      <c r="K40" s="61">
        <f>CLE!O$10</f>
        <v>0</v>
      </c>
      <c r="L40" s="61">
        <f t="shared" si="21"/>
        <v>0</v>
      </c>
      <c r="M40" s="61">
        <f t="shared" si="22"/>
        <v>0</v>
      </c>
      <c r="N40" s="61">
        <f t="shared" si="23"/>
        <v>0</v>
      </c>
      <c r="O4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40" s="101">
        <v>0</v>
      </c>
    </row>
    <row r="41" spans="1:16" x14ac:dyDescent="0.2">
      <c r="A41" s="60">
        <f>IF(TableRBMaster[[#This Row],[Player]]&lt;&gt;0,A40+1,A40)</f>
        <v>27</v>
      </c>
      <c r="B41" s="60">
        <f>CLE!A$11</f>
        <v>0</v>
      </c>
      <c r="C41" s="60" t="s">
        <v>114</v>
      </c>
      <c r="D41" s="60">
        <f>CLE!C$11</f>
        <v>5</v>
      </c>
      <c r="E41" s="61">
        <f>CLE!I$11</f>
        <v>0</v>
      </c>
      <c r="F41" s="61">
        <f>CLE!J$11</f>
        <v>0</v>
      </c>
      <c r="G41" s="61">
        <f>CLE!K$11</f>
        <v>0</v>
      </c>
      <c r="H41" s="61">
        <f>CLE!L$11</f>
        <v>0</v>
      </c>
      <c r="I41" s="61">
        <f>CLE!M$11</f>
        <v>0</v>
      </c>
      <c r="J41" s="61">
        <f>CLE!N$11</f>
        <v>0</v>
      </c>
      <c r="K41" s="61">
        <f>CLE!O$11</f>
        <v>0</v>
      </c>
      <c r="L41" s="61">
        <f t="shared" si="21"/>
        <v>0</v>
      </c>
      <c r="M41" s="61">
        <f t="shared" si="22"/>
        <v>0</v>
      </c>
      <c r="N41" s="61">
        <f t="shared" si="23"/>
        <v>0</v>
      </c>
      <c r="O4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41" s="101">
        <v>0</v>
      </c>
    </row>
    <row r="42" spans="1:16" x14ac:dyDescent="0.2">
      <c r="A42" s="60">
        <f>IF(TableRBMaster[[#This Row],[Player]]&lt;&gt;0,A41+1,A41)</f>
        <v>28</v>
      </c>
      <c r="B42" s="60" t="str">
        <f>DAL!A$7</f>
        <v>Tony Pollard</v>
      </c>
      <c r="C42" s="60" t="s">
        <v>115</v>
      </c>
      <c r="D42" s="60">
        <f>DAL!C$7</f>
        <v>7</v>
      </c>
      <c r="E42" s="61">
        <f>DAL!I$7</f>
        <v>259.92911615999998</v>
      </c>
      <c r="F42" s="61">
        <f>DAL!J$7</f>
        <v>1169.6810227199999</v>
      </c>
      <c r="G42" s="61">
        <f>DAL!K$7</f>
        <v>11.176951994879998</v>
      </c>
      <c r="H42" s="61">
        <f>DAL!L$7</f>
        <v>53.697853440000003</v>
      </c>
      <c r="I42" s="61">
        <f>DAL!M$7</f>
        <v>40.876432981688012</v>
      </c>
      <c r="J42" s="61">
        <f>DAL!N$7</f>
        <v>341.31821539709489</v>
      </c>
      <c r="K42" s="61">
        <f>DAL!O$7</f>
        <v>2.6978445767914088</v>
      </c>
      <c r="L42" s="61">
        <f t="shared" ref="L42:L46" si="24">(F42/10)+(G42*6)+(J42/10)+(K42*6)</f>
        <v>234.34870324173789</v>
      </c>
      <c r="M42" s="61">
        <f t="shared" ref="M42:M46" si="25">L42+(I42*0.5)</f>
        <v>254.78691973258191</v>
      </c>
      <c r="N42" s="61">
        <f t="shared" ref="N42:N46" si="26">L42+I42</f>
        <v>275.22513622342592</v>
      </c>
      <c r="O4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254.78691973258191</v>
      </c>
      <c r="P42" s="101">
        <v>44.776221588356584</v>
      </c>
    </row>
    <row r="43" spans="1:16" x14ac:dyDescent="0.2">
      <c r="A43" s="60">
        <f>IF(TableRBMaster[[#This Row],[Player]]&lt;&gt;0,A42+1,A42)</f>
        <v>29</v>
      </c>
      <c r="B43" s="60" t="str">
        <f>DAL!A$8</f>
        <v>Rico Dowdle</v>
      </c>
      <c r="C43" s="60" t="s">
        <v>115</v>
      </c>
      <c r="D43" s="60">
        <f>DAL!C$9</f>
        <v>7</v>
      </c>
      <c r="E43" s="61">
        <f>DAL!I$8</f>
        <v>91.919923199999999</v>
      </c>
      <c r="F43" s="61">
        <f>DAL!J$8</f>
        <v>393.41727129600002</v>
      </c>
      <c r="G43" s="61">
        <f>DAL!K$8</f>
        <v>3.6767969279999999</v>
      </c>
      <c r="H43" s="61">
        <f>DAL!L$8</f>
        <v>12.567582720000001</v>
      </c>
      <c r="I43" s="61">
        <f>DAL!M$8</f>
        <v>8.0515231862733678</v>
      </c>
      <c r="J43" s="61">
        <f>DAL!N$8</f>
        <v>55.641706395255021</v>
      </c>
      <c r="K43" s="61">
        <f>DAL!O$8</f>
        <v>0.24959721877447441</v>
      </c>
      <c r="L43" s="61">
        <f t="shared" si="24"/>
        <v>68.464262649772351</v>
      </c>
      <c r="M43" s="61">
        <f t="shared" si="25"/>
        <v>72.49002424290903</v>
      </c>
      <c r="N43" s="61">
        <f t="shared" si="26"/>
        <v>76.515785836045723</v>
      </c>
      <c r="O4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72.49002424290903</v>
      </c>
      <c r="P43" s="101">
        <v>0</v>
      </c>
    </row>
    <row r="44" spans="1:16" x14ac:dyDescent="0.2">
      <c r="A44" s="60">
        <f>IF(TableRBMaster[[#This Row],[Player]]&lt;&gt;0,A43+1,A43)</f>
        <v>30</v>
      </c>
      <c r="B44" s="60" t="str">
        <f>DAL!A$9</f>
        <v>Deuce Vaughn</v>
      </c>
      <c r="C44" s="60" t="s">
        <v>115</v>
      </c>
      <c r="D44" s="60">
        <f>DAL!C$8</f>
        <v>7</v>
      </c>
      <c r="E44" s="61">
        <f>DAL!I$9</f>
        <v>90.898590719999987</v>
      </c>
      <c r="F44" s="61">
        <f>DAL!J$9</f>
        <v>391.77292600319993</v>
      </c>
      <c r="G44" s="61">
        <f>DAL!K$9</f>
        <v>3.4541464473599994</v>
      </c>
      <c r="H44" s="61">
        <f>DAL!L$9</f>
        <v>57.125376000000003</v>
      </c>
      <c r="I44" s="61">
        <f>DAL!M$9</f>
        <v>37.92015152966178</v>
      </c>
      <c r="J44" s="61">
        <f>DAL!N$9</f>
        <v>315.42060300313875</v>
      </c>
      <c r="K44" s="61">
        <f>DAL!O$9</f>
        <v>2.0097680310720745</v>
      </c>
      <c r="L44" s="61">
        <f t="shared" si="24"/>
        <v>103.50283977122632</v>
      </c>
      <c r="M44" s="61">
        <f t="shared" si="25"/>
        <v>122.46291553605721</v>
      </c>
      <c r="N44" s="61">
        <f t="shared" si="26"/>
        <v>141.4229913008881</v>
      </c>
      <c r="O4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122.46291553605721</v>
      </c>
      <c r="P44" s="101">
        <v>0</v>
      </c>
    </row>
    <row r="45" spans="1:16" x14ac:dyDescent="0.2">
      <c r="A45" s="60">
        <f>IF(TableRBMaster[[#This Row],[Player]]&lt;&gt;0,A44+1,A44)</f>
        <v>30</v>
      </c>
      <c r="B45" s="60">
        <f>DAL!A$10</f>
        <v>0</v>
      </c>
      <c r="C45" s="60" t="s">
        <v>115</v>
      </c>
      <c r="D45" s="60">
        <f>DAL!C$10</f>
        <v>7</v>
      </c>
      <c r="E45" s="61">
        <f>DAL!I$10</f>
        <v>0</v>
      </c>
      <c r="F45" s="61">
        <f>DAL!J$10</f>
        <v>0</v>
      </c>
      <c r="G45" s="61">
        <f>DAL!K$10</f>
        <v>0</v>
      </c>
      <c r="H45" s="61">
        <f>DAL!L$10</f>
        <v>0</v>
      </c>
      <c r="I45" s="61">
        <f>DAL!M$10</f>
        <v>0</v>
      </c>
      <c r="J45" s="61">
        <f>DAL!N$10</f>
        <v>0</v>
      </c>
      <c r="K45" s="61">
        <f>DAL!O$10</f>
        <v>0</v>
      </c>
      <c r="L45" s="61">
        <f t="shared" si="24"/>
        <v>0</v>
      </c>
      <c r="M45" s="61">
        <f t="shared" si="25"/>
        <v>0</v>
      </c>
      <c r="N45" s="61">
        <f t="shared" si="26"/>
        <v>0</v>
      </c>
      <c r="O4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45" s="101">
        <v>0</v>
      </c>
    </row>
    <row r="46" spans="1:16" x14ac:dyDescent="0.2">
      <c r="A46" s="60">
        <f>IF(TableRBMaster[[#This Row],[Player]]&lt;&gt;0,A45+1,A45)</f>
        <v>30</v>
      </c>
      <c r="B46" s="60">
        <f>DAL!A$11</f>
        <v>0</v>
      </c>
      <c r="C46" s="60" t="s">
        <v>115</v>
      </c>
      <c r="D46" s="60">
        <f>DAL!C$11</f>
        <v>7</v>
      </c>
      <c r="E46" s="61">
        <f>DAL!I$11</f>
        <v>0</v>
      </c>
      <c r="F46" s="61">
        <f>DAL!J$11</f>
        <v>0</v>
      </c>
      <c r="G46" s="61">
        <f>DAL!K$11</f>
        <v>0</v>
      </c>
      <c r="H46" s="61">
        <f>DAL!L$11</f>
        <v>0</v>
      </c>
      <c r="I46" s="61">
        <f>DAL!M$11</f>
        <v>0</v>
      </c>
      <c r="J46" s="61">
        <f>DAL!N$11</f>
        <v>0</v>
      </c>
      <c r="K46" s="61">
        <f>DAL!O$11</f>
        <v>0</v>
      </c>
      <c r="L46" s="61">
        <f t="shared" si="24"/>
        <v>0</v>
      </c>
      <c r="M46" s="61">
        <f t="shared" si="25"/>
        <v>0</v>
      </c>
      <c r="N46" s="61">
        <f t="shared" si="26"/>
        <v>0</v>
      </c>
      <c r="O4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46" s="101">
        <v>0</v>
      </c>
    </row>
    <row r="47" spans="1:16" x14ac:dyDescent="0.2">
      <c r="A47" s="60">
        <f>IF(TableRBMaster[[#This Row],[Player]]&lt;&gt;0,A46+1,A46)</f>
        <v>31</v>
      </c>
      <c r="B47" s="60" t="str">
        <f>DEN!A$7</f>
        <v>Javonte Williams</v>
      </c>
      <c r="C47" s="60" t="s">
        <v>116</v>
      </c>
      <c r="D47" s="60">
        <f>DEN!C$7</f>
        <v>9</v>
      </c>
      <c r="E47" s="61">
        <f>DEN!I$7</f>
        <v>210.92977079999997</v>
      </c>
      <c r="F47" s="61">
        <f>DEN!J$7</f>
        <v>906.99801443999979</v>
      </c>
      <c r="G47" s="61">
        <f>DEN!K$7</f>
        <v>8.2262610611999989</v>
      </c>
      <c r="H47" s="61">
        <f>DEN!L$7</f>
        <v>43.234052400000003</v>
      </c>
      <c r="I47" s="61">
        <f>DEN!M$7</f>
        <v>32.857593009495929</v>
      </c>
      <c r="J47" s="61">
        <f>DEN!N$7</f>
        <v>239.20327710913037</v>
      </c>
      <c r="K47" s="61">
        <f>DEN!O$7</f>
        <v>1.4128764994083249</v>
      </c>
      <c r="L47" s="61">
        <f t="shared" ref="L47:L51" si="27">(F47/10)+(G47*6)+(J47/10)+(K47*6)</f>
        <v>172.45495451856297</v>
      </c>
      <c r="M47" s="61">
        <f t="shared" ref="M47:M51" si="28">L47+(I47*0.5)</f>
        <v>188.88375102331094</v>
      </c>
      <c r="N47" s="61">
        <f t="shared" ref="N47:N51" si="29">L47+I47</f>
        <v>205.3125475280589</v>
      </c>
      <c r="O4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188.88375102331094</v>
      </c>
      <c r="P47" s="101">
        <v>20.028772470953456</v>
      </c>
    </row>
    <row r="48" spans="1:16" x14ac:dyDescent="0.2">
      <c r="A48" s="60">
        <f>IF(TableRBMaster[[#This Row],[Player]]&lt;&gt;0,A47+1,A47)</f>
        <v>32</v>
      </c>
      <c r="B48" s="60" t="str">
        <f>DEN!A$8</f>
        <v>Samaje Perine</v>
      </c>
      <c r="C48" s="60" t="s">
        <v>116</v>
      </c>
      <c r="D48" s="60">
        <f>DEN!C$9</f>
        <v>9</v>
      </c>
      <c r="E48" s="61">
        <f>DEN!I$8</f>
        <v>205.66848399999998</v>
      </c>
      <c r="F48" s="61">
        <f>DEN!J$8</f>
        <v>904.94132960000002</v>
      </c>
      <c r="G48" s="61">
        <f>DEN!K$8</f>
        <v>7.8154023919999993</v>
      </c>
      <c r="H48" s="61">
        <f>DEN!L$8</f>
        <v>42.6725712</v>
      </c>
      <c r="I48" s="61">
        <f>DEN!M$8</f>
        <v>32.288758597727011</v>
      </c>
      <c r="J48" s="61">
        <f>DEN!N$8</f>
        <v>241.19702672502075</v>
      </c>
      <c r="K48" s="61">
        <f>DEN!O$8</f>
        <v>1.3884166197022614</v>
      </c>
      <c r="L48" s="61">
        <f t="shared" si="27"/>
        <v>169.83674970271565</v>
      </c>
      <c r="M48" s="61">
        <f t="shared" si="28"/>
        <v>185.98112900157915</v>
      </c>
      <c r="N48" s="61">
        <f t="shared" si="29"/>
        <v>202.12550830044268</v>
      </c>
      <c r="O4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185.98112900157915</v>
      </c>
      <c r="P48" s="101">
        <v>10.939920184371568</v>
      </c>
    </row>
    <row r="49" spans="1:16" x14ac:dyDescent="0.2">
      <c r="A49" s="60">
        <f>IF(TableRBMaster[[#This Row],[Player]]&lt;&gt;0,A48+1,A48)</f>
        <v>33</v>
      </c>
      <c r="B49" s="60" t="str">
        <f>DEN!A$9</f>
        <v>Jaleel McLaughlin</v>
      </c>
      <c r="C49" s="60" t="s">
        <v>116</v>
      </c>
      <c r="D49" s="60">
        <f>DEN!C$8</f>
        <v>9</v>
      </c>
      <c r="E49" s="61">
        <f>DEN!I$9</f>
        <v>19.610250799999999</v>
      </c>
      <c r="F49" s="61">
        <f>DEN!J$9</f>
        <v>81.774745835999994</v>
      </c>
      <c r="G49" s="61">
        <f>DEN!K$9</f>
        <v>0.58830752399999997</v>
      </c>
      <c r="H49" s="61">
        <f>DEN!L$9</f>
        <v>11.229624000000001</v>
      </c>
      <c r="I49" s="61">
        <f>DEN!M$9</f>
        <v>8.4895957440000007</v>
      </c>
      <c r="J49" s="61">
        <f>DEN!N$9</f>
        <v>61.125089356800004</v>
      </c>
      <c r="K49" s="61">
        <f>DEN!O$9</f>
        <v>0.33958382976000001</v>
      </c>
      <c r="L49" s="61">
        <f t="shared" si="27"/>
        <v>19.857331641839998</v>
      </c>
      <c r="M49" s="61">
        <f t="shared" si="28"/>
        <v>24.102129513839998</v>
      </c>
      <c r="N49" s="61">
        <f t="shared" si="29"/>
        <v>28.346927385839997</v>
      </c>
      <c r="O4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24.102129513840001</v>
      </c>
      <c r="P49" s="101">
        <v>0</v>
      </c>
    </row>
    <row r="50" spans="1:16" x14ac:dyDescent="0.2">
      <c r="A50" s="60">
        <f>IF(TableRBMaster[[#This Row],[Player]]&lt;&gt;0,A49+1,A49)</f>
        <v>33</v>
      </c>
      <c r="B50" s="60">
        <f>DEN!A$10</f>
        <v>0</v>
      </c>
      <c r="C50" s="60" t="s">
        <v>116</v>
      </c>
      <c r="D50" s="60">
        <f>DEN!C$10</f>
        <v>9</v>
      </c>
      <c r="E50" s="61">
        <f>DEN!I$10</f>
        <v>0</v>
      </c>
      <c r="F50" s="61">
        <f>DEN!J$10</f>
        <v>0</v>
      </c>
      <c r="G50" s="61">
        <f>DEN!K$10</f>
        <v>0</v>
      </c>
      <c r="H50" s="61">
        <f>DEN!L$10</f>
        <v>0</v>
      </c>
      <c r="I50" s="61">
        <f>DEN!M$10</f>
        <v>0</v>
      </c>
      <c r="J50" s="61">
        <f>DEN!N$10</f>
        <v>0</v>
      </c>
      <c r="K50" s="61">
        <f>DEN!O$10</f>
        <v>0</v>
      </c>
      <c r="L50" s="61">
        <f t="shared" si="27"/>
        <v>0</v>
      </c>
      <c r="M50" s="61">
        <f t="shared" si="28"/>
        <v>0</v>
      </c>
      <c r="N50" s="61">
        <f t="shared" si="29"/>
        <v>0</v>
      </c>
      <c r="O5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50" s="101">
        <v>0</v>
      </c>
    </row>
    <row r="51" spans="1:16" x14ac:dyDescent="0.2">
      <c r="A51" s="60">
        <f>IF(TableRBMaster[[#This Row],[Player]]&lt;&gt;0,A50+1,A50)</f>
        <v>33</v>
      </c>
      <c r="B51" s="60">
        <f>DEN!A$11</f>
        <v>0</v>
      </c>
      <c r="C51" s="60" t="s">
        <v>116</v>
      </c>
      <c r="D51" s="60">
        <f>DEN!C$11</f>
        <v>9</v>
      </c>
      <c r="E51" s="61">
        <f>DEN!I$11</f>
        <v>0</v>
      </c>
      <c r="F51" s="61">
        <f>DEN!J$11</f>
        <v>0</v>
      </c>
      <c r="G51" s="61">
        <f>DEN!K$11</f>
        <v>0</v>
      </c>
      <c r="H51" s="61">
        <f>DEN!L$11</f>
        <v>0</v>
      </c>
      <c r="I51" s="61">
        <f>DEN!M$11</f>
        <v>0</v>
      </c>
      <c r="J51" s="61">
        <f>DEN!N$11</f>
        <v>0</v>
      </c>
      <c r="K51" s="61">
        <f>DEN!O$11</f>
        <v>0</v>
      </c>
      <c r="L51" s="61">
        <f t="shared" si="27"/>
        <v>0</v>
      </c>
      <c r="M51" s="61">
        <f t="shared" si="28"/>
        <v>0</v>
      </c>
      <c r="N51" s="61">
        <f t="shared" si="29"/>
        <v>0</v>
      </c>
      <c r="O5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51" s="101">
        <v>0</v>
      </c>
    </row>
    <row r="52" spans="1:16" x14ac:dyDescent="0.2">
      <c r="A52" s="60">
        <f>IF(TableRBMaster[[#This Row],[Player]]&lt;&gt;0,A51+1,A51)</f>
        <v>34</v>
      </c>
      <c r="B52" s="60" t="str">
        <f>DET!A$7</f>
        <v>Jahmyr Gibbs</v>
      </c>
      <c r="C52" s="60" t="s">
        <v>117</v>
      </c>
      <c r="D52" s="60">
        <f>DET!C$7</f>
        <v>9</v>
      </c>
      <c r="E52" s="61">
        <f>DET!I$7</f>
        <v>197.21886912000002</v>
      </c>
      <c r="F52" s="61">
        <f>DET!J$7</f>
        <v>899.31804318720003</v>
      </c>
      <c r="G52" s="61">
        <f>DET!K$7</f>
        <v>7.0998792883200004</v>
      </c>
      <c r="H52" s="61">
        <f>DET!L$7</f>
        <v>74.107509839999977</v>
      </c>
      <c r="I52" s="61">
        <f>DET!M$7</f>
        <v>54.188982044519221</v>
      </c>
      <c r="J52" s="61">
        <f>DET!N$7</f>
        <v>435.33972414884522</v>
      </c>
      <c r="K52" s="61">
        <f>DET!O$7</f>
        <v>2.5468821560924035</v>
      </c>
      <c r="L52" s="61">
        <f t="shared" ref="L52:L56" si="30">(F52/10)+(G52*6)+(J52/10)+(K52*6)</f>
        <v>191.34634540007895</v>
      </c>
      <c r="M52" s="61">
        <f t="shared" ref="M52:M56" si="31">L52+(I52*0.5)</f>
        <v>218.44083642233855</v>
      </c>
      <c r="N52" s="61">
        <f t="shared" ref="N52:N56" si="32">L52+I52</f>
        <v>245.53532744459818</v>
      </c>
      <c r="O5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218.44083642233855</v>
      </c>
      <c r="P52" s="101">
        <v>29.543461763955655</v>
      </c>
    </row>
    <row r="53" spans="1:16" x14ac:dyDescent="0.2">
      <c r="A53" s="60">
        <f>IF(TableRBMaster[[#This Row],[Player]]&lt;&gt;0,A52+1,A52)</f>
        <v>35</v>
      </c>
      <c r="B53" s="60" t="str">
        <f>DET!A$8</f>
        <v>David Montgomery</v>
      </c>
      <c r="C53" s="60" t="s">
        <v>117</v>
      </c>
      <c r="D53" s="60">
        <f>DET!C$9</f>
        <v>9</v>
      </c>
      <c r="E53" s="61">
        <f>DET!I$8</f>
        <v>213.65377488000001</v>
      </c>
      <c r="F53" s="61">
        <f>DET!J$8</f>
        <v>897.34585449600013</v>
      </c>
      <c r="G53" s="61">
        <f>DET!K$8</f>
        <v>9.4007660947199998</v>
      </c>
      <c r="H53" s="61">
        <f>DET!L$8</f>
        <v>42.935303319999989</v>
      </c>
      <c r="I53" s="61">
        <f>DET!M$8</f>
        <v>31.530908994953407</v>
      </c>
      <c r="J53" s="61">
        <f>DET!N$8</f>
        <v>243.51341267988894</v>
      </c>
      <c r="K53" s="61">
        <f>DET!O$8</f>
        <v>0.97745817884355557</v>
      </c>
      <c r="L53" s="61">
        <f t="shared" si="30"/>
        <v>176.35527235897024</v>
      </c>
      <c r="M53" s="61">
        <f t="shared" si="31"/>
        <v>192.12072685644694</v>
      </c>
      <c r="N53" s="61">
        <f t="shared" si="32"/>
        <v>207.88618135392363</v>
      </c>
      <c r="O5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192.12072685644694</v>
      </c>
      <c r="P53" s="101">
        <v>8.7678044290027124</v>
      </c>
    </row>
    <row r="54" spans="1:16" x14ac:dyDescent="0.2">
      <c r="A54" s="60">
        <f>IF(TableRBMaster[[#This Row],[Player]]&lt;&gt;0,A53+1,A53)</f>
        <v>36</v>
      </c>
      <c r="B54" s="60" t="str">
        <f>DET!A$9</f>
        <v>Craig Reynolds</v>
      </c>
      <c r="C54" s="60" t="s">
        <v>117</v>
      </c>
      <c r="D54" s="60">
        <f>DET!C$8</f>
        <v>9</v>
      </c>
      <c r="E54" s="61">
        <f>DET!I$9</f>
        <v>0</v>
      </c>
      <c r="F54" s="61">
        <f>DET!J$9</f>
        <v>0</v>
      </c>
      <c r="G54" s="61">
        <f>DET!K$9</f>
        <v>0</v>
      </c>
      <c r="H54" s="61">
        <f>DET!L$9</f>
        <v>5.8815483999999989</v>
      </c>
      <c r="I54" s="61">
        <f>DET!M$9</f>
        <v>4.1288469767999993</v>
      </c>
      <c r="J54" s="61">
        <f>DET!N$9</f>
        <v>30.140582930639994</v>
      </c>
      <c r="K54" s="61">
        <f>DET!O$9</f>
        <v>0.10322117441999999</v>
      </c>
      <c r="L54" s="61">
        <f t="shared" si="30"/>
        <v>3.6333853395839992</v>
      </c>
      <c r="M54" s="61">
        <f t="shared" si="31"/>
        <v>5.6978088279839989</v>
      </c>
      <c r="N54" s="61">
        <f t="shared" si="32"/>
        <v>7.762232316383999</v>
      </c>
      <c r="O5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5.6978088279839989</v>
      </c>
      <c r="P54" s="101">
        <v>0</v>
      </c>
    </row>
    <row r="55" spans="1:16" x14ac:dyDescent="0.2">
      <c r="A55" s="60">
        <f>IF(TableRBMaster[[#This Row],[Player]]&lt;&gt;0,A54+1,A54)</f>
        <v>36</v>
      </c>
      <c r="B55" s="60">
        <f>DET!A$10</f>
        <v>0</v>
      </c>
      <c r="C55" s="60" t="s">
        <v>117</v>
      </c>
      <c r="D55" s="60">
        <f>DET!C$10</f>
        <v>9</v>
      </c>
      <c r="E55" s="61">
        <f>DET!I$10</f>
        <v>0</v>
      </c>
      <c r="F55" s="61">
        <f>DET!J$10</f>
        <v>0</v>
      </c>
      <c r="G55" s="61">
        <f>DET!K$10</f>
        <v>0</v>
      </c>
      <c r="H55" s="61">
        <f>DET!L$10</f>
        <v>0</v>
      </c>
      <c r="I55" s="61">
        <f>DET!M$10</f>
        <v>0</v>
      </c>
      <c r="J55" s="61">
        <f>DET!N$10</f>
        <v>0</v>
      </c>
      <c r="K55" s="61">
        <f>DET!O$10</f>
        <v>0</v>
      </c>
      <c r="L55" s="61">
        <f t="shared" si="30"/>
        <v>0</v>
      </c>
      <c r="M55" s="61">
        <f t="shared" si="31"/>
        <v>0</v>
      </c>
      <c r="N55" s="61">
        <f t="shared" si="32"/>
        <v>0</v>
      </c>
      <c r="O5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55" s="101">
        <v>0</v>
      </c>
    </row>
    <row r="56" spans="1:16" x14ac:dyDescent="0.2">
      <c r="A56" s="60">
        <f>IF(TableRBMaster[[#This Row],[Player]]&lt;&gt;0,A55+1,A55)</f>
        <v>36</v>
      </c>
      <c r="B56" s="60">
        <f>DET!A$11</f>
        <v>0</v>
      </c>
      <c r="C56" s="60" t="s">
        <v>117</v>
      </c>
      <c r="D56" s="60">
        <f>DET!C$11</f>
        <v>9</v>
      </c>
      <c r="E56" s="61">
        <f>DET!I$11</f>
        <v>0</v>
      </c>
      <c r="F56" s="61">
        <f>DET!J$11</f>
        <v>0</v>
      </c>
      <c r="G56" s="61">
        <f>DET!K$11</f>
        <v>0</v>
      </c>
      <c r="H56" s="61">
        <f>DET!L$11</f>
        <v>0</v>
      </c>
      <c r="I56" s="61">
        <f>DET!M$11</f>
        <v>0</v>
      </c>
      <c r="J56" s="61">
        <f>DET!N$11</f>
        <v>0</v>
      </c>
      <c r="K56" s="61">
        <f>DET!O$11</f>
        <v>0</v>
      </c>
      <c r="L56" s="61">
        <f t="shared" si="30"/>
        <v>0</v>
      </c>
      <c r="M56" s="61">
        <f t="shared" si="31"/>
        <v>0</v>
      </c>
      <c r="N56" s="61">
        <f t="shared" si="32"/>
        <v>0</v>
      </c>
      <c r="O5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56" s="101">
        <v>0</v>
      </c>
    </row>
    <row r="57" spans="1:16" x14ac:dyDescent="0.2">
      <c r="A57" s="60">
        <f>IF(TableRBMaster[[#This Row],[Player]]&lt;&gt;0,A56+1,A56)</f>
        <v>37</v>
      </c>
      <c r="B57" s="60" t="str">
        <f>GB!A$7</f>
        <v>Aaron Jones</v>
      </c>
      <c r="C57" s="60" t="s">
        <v>118</v>
      </c>
      <c r="D57" s="60">
        <f>GB!C$7</f>
        <v>6</v>
      </c>
      <c r="E57" s="61">
        <f>GB!I$7</f>
        <v>189.36316167999996</v>
      </c>
      <c r="F57" s="61">
        <f>GB!J$7</f>
        <v>900.76717084429811</v>
      </c>
      <c r="G57" s="61">
        <f>GB!K$7</f>
        <v>6.4383474971199988</v>
      </c>
      <c r="H57" s="61">
        <f>GB!L$7</f>
        <v>62.874479360000002</v>
      </c>
      <c r="I57" s="61">
        <f>GB!M$7</f>
        <v>47.153337694349538</v>
      </c>
      <c r="J57" s="61">
        <f>GB!N$7</f>
        <v>351.62871046425124</v>
      </c>
      <c r="K57" s="61">
        <f>GB!O$7</f>
        <v>2.7820469239666226</v>
      </c>
      <c r="L57" s="61">
        <f t="shared" ref="L57:L61" si="33">(F57/10)+(G57*6)+(J57/10)+(K57*6)</f>
        <v>180.56195465737466</v>
      </c>
      <c r="M57" s="61">
        <f t="shared" ref="M57:M61" si="34">L57+(I57*0.5)</f>
        <v>204.13862350454943</v>
      </c>
      <c r="N57" s="61">
        <f t="shared" ref="N57:N61" si="35">L57+I57</f>
        <v>227.7152923517242</v>
      </c>
      <c r="O5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204.13862350454943</v>
      </c>
      <c r="P57" s="101">
        <v>40.289314661508477</v>
      </c>
    </row>
    <row r="58" spans="1:16" x14ac:dyDescent="0.2">
      <c r="A58" s="60">
        <f>IF(TableRBMaster[[#This Row],[Player]]&lt;&gt;0,A57+1,A57)</f>
        <v>38</v>
      </c>
      <c r="B58" s="60" t="str">
        <f>GB!A$8</f>
        <v>AJ Dillon</v>
      </c>
      <c r="C58" s="60" t="s">
        <v>118</v>
      </c>
      <c r="D58" s="60">
        <f>GB!C$9</f>
        <v>6</v>
      </c>
      <c r="E58" s="61">
        <f>GB!I$8</f>
        <v>187.55539879999995</v>
      </c>
      <c r="F58" s="61">
        <f>GB!J$8</f>
        <v>804.48449024749721</v>
      </c>
      <c r="G58" s="61">
        <f>GB!K$8</f>
        <v>7.6897713507999983</v>
      </c>
      <c r="H58" s="61">
        <f>GB!L$8</f>
        <v>39.296549600000006</v>
      </c>
      <c r="I58" s="61">
        <f>GB!M$8</f>
        <v>27.391508066345079</v>
      </c>
      <c r="J58" s="61">
        <f>GB!N$8</f>
        <v>213.06022464029101</v>
      </c>
      <c r="K58" s="61">
        <f>GB!O$8</f>
        <v>1.0956603226538031</v>
      </c>
      <c r="L58" s="61">
        <f t="shared" si="33"/>
        <v>154.46706152950165</v>
      </c>
      <c r="M58" s="61">
        <f t="shared" si="34"/>
        <v>168.16281556267418</v>
      </c>
      <c r="N58" s="61">
        <f t="shared" si="35"/>
        <v>181.85856959584672</v>
      </c>
      <c r="O5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168.16281556267418</v>
      </c>
      <c r="P58" s="101">
        <v>2.090203818393999</v>
      </c>
    </row>
    <row r="59" spans="1:16" x14ac:dyDescent="0.2">
      <c r="A59" s="60">
        <f>IF(TableRBMaster[[#This Row],[Player]]&lt;&gt;0,A58+1,A58)</f>
        <v>39</v>
      </c>
      <c r="B59" s="60" t="str">
        <f>GB!A$9</f>
        <v>Emanuel Wilson</v>
      </c>
      <c r="C59" s="60" t="s">
        <v>118</v>
      </c>
      <c r="D59" s="60">
        <f>GB!C$8</f>
        <v>6</v>
      </c>
      <c r="E59" s="61">
        <f>GB!I$9</f>
        <v>14.010162319999997</v>
      </c>
      <c r="F59" s="61">
        <f>GB!J$9</f>
        <v>58.562478497599983</v>
      </c>
      <c r="G59" s="61">
        <f>GB!K$9</f>
        <v>0.51837600583999988</v>
      </c>
      <c r="H59" s="61">
        <f>GB!L$9</f>
        <v>6.73655136</v>
      </c>
      <c r="I59" s="61">
        <f>GB!M$9</f>
        <v>4.7762149142399997</v>
      </c>
      <c r="J59" s="61">
        <f>GB!N$9</f>
        <v>33.433504399679997</v>
      </c>
      <c r="K59" s="61">
        <f>GB!O$9</f>
        <v>0.14328644742719998</v>
      </c>
      <c r="L59" s="61">
        <f t="shared" si="33"/>
        <v>13.169573009331197</v>
      </c>
      <c r="M59" s="61">
        <f t="shared" si="34"/>
        <v>15.557680466451197</v>
      </c>
      <c r="N59" s="61">
        <f t="shared" si="35"/>
        <v>17.945787923571196</v>
      </c>
      <c r="O5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15.557680466451197</v>
      </c>
      <c r="P59" s="101">
        <v>0</v>
      </c>
    </row>
    <row r="60" spans="1:16" x14ac:dyDescent="0.2">
      <c r="A60" s="60">
        <f>IF(TableRBMaster[[#This Row],[Player]]&lt;&gt;0,A59+1,A59)</f>
        <v>39</v>
      </c>
      <c r="B60" s="60">
        <f>GB!A$10</f>
        <v>0</v>
      </c>
      <c r="C60" s="60" t="s">
        <v>118</v>
      </c>
      <c r="D60" s="60">
        <f>GB!C$10</f>
        <v>6</v>
      </c>
      <c r="E60" s="61">
        <f>GB!I$10</f>
        <v>0</v>
      </c>
      <c r="F60" s="61">
        <f>GB!J$10</f>
        <v>0</v>
      </c>
      <c r="G60" s="61">
        <f>GB!K$10</f>
        <v>0</v>
      </c>
      <c r="H60" s="61">
        <f>GB!L$10</f>
        <v>0</v>
      </c>
      <c r="I60" s="61">
        <f>GB!M$10</f>
        <v>0</v>
      </c>
      <c r="J60" s="61">
        <f>GB!N$10</f>
        <v>0</v>
      </c>
      <c r="K60" s="61">
        <f>GB!O$10</f>
        <v>0</v>
      </c>
      <c r="L60" s="61">
        <f t="shared" si="33"/>
        <v>0</v>
      </c>
      <c r="M60" s="61">
        <f t="shared" si="34"/>
        <v>0</v>
      </c>
      <c r="N60" s="61">
        <f t="shared" si="35"/>
        <v>0</v>
      </c>
      <c r="O6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60" s="101">
        <v>0</v>
      </c>
    </row>
    <row r="61" spans="1:16" x14ac:dyDescent="0.2">
      <c r="A61" s="60">
        <f>IF(TableRBMaster[[#This Row],[Player]]&lt;&gt;0,A60+1,A60)</f>
        <v>39</v>
      </c>
      <c r="B61" s="60">
        <f>GB!A$11</f>
        <v>0</v>
      </c>
      <c r="C61" s="60" t="s">
        <v>118</v>
      </c>
      <c r="D61" s="60">
        <f>GB!C$11</f>
        <v>6</v>
      </c>
      <c r="E61" s="61">
        <f>GB!I$11</f>
        <v>0</v>
      </c>
      <c r="F61" s="61">
        <f>GB!J$11</f>
        <v>0</v>
      </c>
      <c r="G61" s="61">
        <f>GB!K$11</f>
        <v>0</v>
      </c>
      <c r="H61" s="61">
        <f>GB!L$11</f>
        <v>0</v>
      </c>
      <c r="I61" s="61">
        <f>GB!M$11</f>
        <v>0</v>
      </c>
      <c r="J61" s="61">
        <f>GB!N$11</f>
        <v>0</v>
      </c>
      <c r="K61" s="61">
        <f>GB!O$11</f>
        <v>0</v>
      </c>
      <c r="L61" s="61">
        <f t="shared" si="33"/>
        <v>0</v>
      </c>
      <c r="M61" s="61">
        <f t="shared" si="34"/>
        <v>0</v>
      </c>
      <c r="N61" s="61">
        <f t="shared" si="35"/>
        <v>0</v>
      </c>
      <c r="O6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61" s="101">
        <v>0</v>
      </c>
    </row>
    <row r="62" spans="1:16" x14ac:dyDescent="0.2">
      <c r="A62" s="60">
        <f>IF(TableRBMaster[[#This Row],[Player]]&lt;&gt;0,A61+1,A61)</f>
        <v>40</v>
      </c>
      <c r="B62" s="60" t="str">
        <f>HOU!A$7</f>
        <v>Dameon Pierce</v>
      </c>
      <c r="C62" s="60" t="s">
        <v>119</v>
      </c>
      <c r="D62" s="60">
        <f>HOU!C$7</f>
        <v>7</v>
      </c>
      <c r="E62" s="61">
        <f>HOU!I$7</f>
        <v>272.64793247999995</v>
      </c>
      <c r="F62" s="61">
        <f>HOU!J$7</f>
        <v>1160.5043291467803</v>
      </c>
      <c r="G62" s="61">
        <f>HOU!K$7</f>
        <v>8.179437974399999</v>
      </c>
      <c r="H62" s="61">
        <f>HOU!L$7</f>
        <v>49.016315039999995</v>
      </c>
      <c r="I62" s="61">
        <f>HOU!M$7</f>
        <v>36.690119766097098</v>
      </c>
      <c r="J62" s="61">
        <f>HOU!N$7</f>
        <v>271.13998507145755</v>
      </c>
      <c r="K62" s="61">
        <f>HOU!O$7</f>
        <v>1.2474640720473014</v>
      </c>
      <c r="L62" s="61">
        <f t="shared" ref="L62:L66" si="36">(F62/10)+(G62*6)+(J62/10)+(K62*6)</f>
        <v>199.7258437005076</v>
      </c>
      <c r="M62" s="61">
        <f t="shared" ref="M62:M66" si="37">L62+(I62*0.5)</f>
        <v>218.07090358355615</v>
      </c>
      <c r="N62" s="61">
        <f t="shared" ref="N62:N66" si="38">L62+I62</f>
        <v>236.41596346660469</v>
      </c>
      <c r="O6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218.07090358355615</v>
      </c>
      <c r="P62" s="101">
        <v>12.571330568704457</v>
      </c>
    </row>
    <row r="63" spans="1:16" x14ac:dyDescent="0.2">
      <c r="A63" s="60">
        <f>IF(TableRBMaster[[#This Row],[Player]]&lt;&gt;0,A62+1,A62)</f>
        <v>41</v>
      </c>
      <c r="B63" s="60" t="str">
        <f>HOU!A$8</f>
        <v>Devin Singletary</v>
      </c>
      <c r="C63" s="60" t="s">
        <v>119</v>
      </c>
      <c r="D63" s="60">
        <f>HOU!C$9</f>
        <v>7</v>
      </c>
      <c r="E63" s="61">
        <f>HOU!I$8</f>
        <v>96.731527199999988</v>
      </c>
      <c r="F63" s="61">
        <f>HOU!J$8</f>
        <v>430.34655548075796</v>
      </c>
      <c r="G63" s="61">
        <f>HOU!K$8</f>
        <v>2.7084827615999996</v>
      </c>
      <c r="H63" s="61">
        <f>HOU!L$8</f>
        <v>24.226454559999997</v>
      </c>
      <c r="I63" s="61">
        <f>HOU!M$8</f>
        <v>16.724852452526708</v>
      </c>
      <c r="J63" s="61">
        <f>HOU!N$8</f>
        <v>123.76390814869764</v>
      </c>
      <c r="K63" s="61">
        <f>HOU!O$8</f>
        <v>0.63554439319601486</v>
      </c>
      <c r="L63" s="61">
        <f t="shared" si="36"/>
        <v>75.47520929172164</v>
      </c>
      <c r="M63" s="61">
        <f t="shared" si="37"/>
        <v>83.837635517984992</v>
      </c>
      <c r="N63" s="61">
        <f t="shared" si="38"/>
        <v>92.200061744248345</v>
      </c>
      <c r="O6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83.837635517984992</v>
      </c>
      <c r="P63" s="101">
        <v>0</v>
      </c>
    </row>
    <row r="64" spans="1:16" x14ac:dyDescent="0.2">
      <c r="A64" s="60">
        <f>IF(TableRBMaster[[#This Row],[Player]]&lt;&gt;0,A63+1,A63)</f>
        <v>42</v>
      </c>
      <c r="B64" s="60" t="str">
        <f>HOU!A$9</f>
        <v>Mike Boone</v>
      </c>
      <c r="C64" s="60" t="s">
        <v>119</v>
      </c>
      <c r="D64" s="60">
        <f>HOU!C$8</f>
        <v>7</v>
      </c>
      <c r="E64" s="61">
        <f>HOU!I$9</f>
        <v>17.096735039999995</v>
      </c>
      <c r="F64" s="61">
        <f>HOU!J$9</f>
        <v>76.803881847514418</v>
      </c>
      <c r="G64" s="61">
        <f>HOU!K$9</f>
        <v>0.49724953187603343</v>
      </c>
      <c r="H64" s="61">
        <f>HOU!L$9</f>
        <v>6.7608710399999996</v>
      </c>
      <c r="I64" s="61">
        <f>HOU!M$9</f>
        <v>4.9246526065857994</v>
      </c>
      <c r="J64" s="61">
        <f>HOU!N$9</f>
        <v>32.502707203466272</v>
      </c>
      <c r="K64" s="61">
        <f>HOU!O$9</f>
        <v>0.12804096777123078</v>
      </c>
      <c r="L64" s="61">
        <f t="shared" si="36"/>
        <v>14.682401902981653</v>
      </c>
      <c r="M64" s="61">
        <f t="shared" si="37"/>
        <v>17.144728206274554</v>
      </c>
      <c r="N64" s="61">
        <f t="shared" si="38"/>
        <v>19.607054509567451</v>
      </c>
      <c r="O6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17.144728206274554</v>
      </c>
      <c r="P64" s="101">
        <v>0</v>
      </c>
    </row>
    <row r="65" spans="1:16" x14ac:dyDescent="0.2">
      <c r="A65" s="60">
        <f>IF(TableRBMaster[[#This Row],[Player]]&lt;&gt;0,A64+1,A64)</f>
        <v>43</v>
      </c>
      <c r="B65" s="60" t="str">
        <f>HOU!A$10</f>
        <v>Dare Ogunbowale</v>
      </c>
      <c r="C65" s="60" t="s">
        <v>119</v>
      </c>
      <c r="D65" s="60">
        <f>HOU!C$10</f>
        <v>7</v>
      </c>
      <c r="E65" s="61">
        <f>HOU!I$10</f>
        <v>18.446477279999996</v>
      </c>
      <c r="F65" s="61">
        <f>HOU!J$10</f>
        <v>76.921810257599986</v>
      </c>
      <c r="G65" s="61">
        <f>HOU!K$10</f>
        <v>0.47960840927999987</v>
      </c>
      <c r="H65" s="61">
        <f>HOU!L$10</f>
        <v>18.592395360000001</v>
      </c>
      <c r="I65" s="61">
        <f>HOU!M$10</f>
        <v>13.6654105896</v>
      </c>
      <c r="J65" s="61">
        <f>HOU!N$10</f>
        <v>99.484189092288005</v>
      </c>
      <c r="K65" s="61">
        <f>HOU!O$10</f>
        <v>0.40996231768800001</v>
      </c>
      <c r="L65" s="61">
        <f t="shared" si="36"/>
        <v>22.978024296796796</v>
      </c>
      <c r="M65" s="61">
        <f t="shared" si="37"/>
        <v>29.810729591596797</v>
      </c>
      <c r="N65" s="61">
        <f t="shared" si="38"/>
        <v>36.643434886396797</v>
      </c>
      <c r="O6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29.810729591596797</v>
      </c>
      <c r="P65" s="101">
        <v>0</v>
      </c>
    </row>
    <row r="66" spans="1:16" x14ac:dyDescent="0.2">
      <c r="A66" s="60">
        <f>IF(TableRBMaster[[#This Row],[Player]]&lt;&gt;0,A65+1,A65)</f>
        <v>43</v>
      </c>
      <c r="B66" s="60">
        <f>HOU!A$11</f>
        <v>0</v>
      </c>
      <c r="C66" s="60" t="s">
        <v>119</v>
      </c>
      <c r="D66" s="60">
        <f>HOU!C$11</f>
        <v>7</v>
      </c>
      <c r="E66" s="61">
        <f>HOU!I$11</f>
        <v>0</v>
      </c>
      <c r="F66" s="61">
        <f>HOU!J$11</f>
        <v>0</v>
      </c>
      <c r="G66" s="61">
        <f>HOU!K$11</f>
        <v>0</v>
      </c>
      <c r="H66" s="61">
        <f>HOU!L$11</f>
        <v>0</v>
      </c>
      <c r="I66" s="61">
        <f>HOU!M$11</f>
        <v>0</v>
      </c>
      <c r="J66" s="61">
        <f>HOU!N$11</f>
        <v>0</v>
      </c>
      <c r="K66" s="61">
        <f>HOU!O$11</f>
        <v>0</v>
      </c>
      <c r="L66" s="61">
        <f t="shared" si="36"/>
        <v>0</v>
      </c>
      <c r="M66" s="61">
        <f t="shared" si="37"/>
        <v>0</v>
      </c>
      <c r="N66" s="61">
        <f t="shared" si="38"/>
        <v>0</v>
      </c>
      <c r="O6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66" s="101">
        <v>0</v>
      </c>
    </row>
    <row r="67" spans="1:16" x14ac:dyDescent="0.2">
      <c r="A67" s="60">
        <f>IF(TableRBMaster[[#This Row],[Player]]&lt;&gt;0,A66+1,A66)</f>
        <v>44</v>
      </c>
      <c r="B67" s="60" t="str">
        <f>IND!A$7</f>
        <v>Jonathan Taylor</v>
      </c>
      <c r="C67" s="60" t="s">
        <v>120</v>
      </c>
      <c r="D67" s="60">
        <f>IND!C$7</f>
        <v>11</v>
      </c>
      <c r="E67" s="61">
        <f>IND!I$7</f>
        <v>161.54153400000001</v>
      </c>
      <c r="F67" s="61">
        <f>IND!J$7</f>
        <v>743.09105639999996</v>
      </c>
      <c r="G67" s="61">
        <f>IND!K$7</f>
        <v>5.9770367580000006</v>
      </c>
      <c r="H67" s="61">
        <f>IND!L$7</f>
        <v>22.452368400000005</v>
      </c>
      <c r="I67" s="61">
        <f>IND!M$7</f>
        <v>16.143252879600002</v>
      </c>
      <c r="J67" s="61">
        <f>IND!N$7</f>
        <v>122.02092464884409</v>
      </c>
      <c r="K67" s="61">
        <f>IND!O$7</f>
        <v>0.48429758638800002</v>
      </c>
      <c r="L67" s="61">
        <f t="shared" ref="L67:L71" si="39">(F67/10)+(G67*6)+(J67/10)+(K67*6)</f>
        <v>125.2792041712124</v>
      </c>
      <c r="M67" s="61">
        <f t="shared" ref="M67:M71" si="40">L67+(I67*0.5)</f>
        <v>133.35083061101241</v>
      </c>
      <c r="N67" s="61">
        <f t="shared" ref="N67:N71" si="41">L67+I67</f>
        <v>141.4224570508124</v>
      </c>
      <c r="O6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133.35083061101241</v>
      </c>
      <c r="P67" s="101">
        <v>38.399399452045216</v>
      </c>
    </row>
    <row r="68" spans="1:16" x14ac:dyDescent="0.2">
      <c r="A68" s="60">
        <f>IF(TableRBMaster[[#This Row],[Player]]&lt;&gt;0,A67+1,A67)</f>
        <v>45</v>
      </c>
      <c r="B68" s="60" t="str">
        <f>IND!A$8</f>
        <v>Deon Jackson</v>
      </c>
      <c r="C68" s="60" t="s">
        <v>120</v>
      </c>
      <c r="D68" s="60">
        <f>IND!C$9</f>
        <v>11</v>
      </c>
      <c r="E68" s="61">
        <f>IND!I$8</f>
        <v>80.281247199999996</v>
      </c>
      <c r="F68" s="61">
        <f>IND!J$8</f>
        <v>351.63186273599996</v>
      </c>
      <c r="G68" s="61">
        <f>IND!K$8</f>
        <v>2.9704061463999998</v>
      </c>
      <c r="H68" s="61">
        <f>IND!L$8</f>
        <v>17.106566400000002</v>
      </c>
      <c r="I68" s="61">
        <f>IND!M$8</f>
        <v>12.487793472000002</v>
      </c>
      <c r="J68" s="61">
        <f>IND!N$8</f>
        <v>95.281864191360015</v>
      </c>
      <c r="K68" s="61">
        <f>IND!O$8</f>
        <v>0.37463380416000003</v>
      </c>
      <c r="L68" s="61">
        <f t="shared" si="39"/>
        <v>64.761612396095998</v>
      </c>
      <c r="M68" s="61">
        <f t="shared" si="40"/>
        <v>71.005509132095995</v>
      </c>
      <c r="N68" s="61">
        <f t="shared" si="41"/>
        <v>77.249405868096005</v>
      </c>
      <c r="O6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71.005509132096009</v>
      </c>
      <c r="P68" s="101">
        <v>3.3686105886370039</v>
      </c>
    </row>
    <row r="69" spans="1:16" x14ac:dyDescent="0.2">
      <c r="A69" s="60">
        <f>IF(TableRBMaster[[#This Row],[Player]]&lt;&gt;0,A68+1,A68)</f>
        <v>46</v>
      </c>
      <c r="B69" s="60" t="str">
        <f>IND!A$9</f>
        <v>Evan Hull</v>
      </c>
      <c r="C69" s="60" t="s">
        <v>120</v>
      </c>
      <c r="D69" s="60">
        <f>IND!C$8</f>
        <v>11</v>
      </c>
      <c r="E69" s="61">
        <f>IND!I$9</f>
        <v>39.161583999999998</v>
      </c>
      <c r="F69" s="61">
        <f>IND!J$9</f>
        <v>169.56965872000001</v>
      </c>
      <c r="G69" s="61">
        <f>IND!K$9</f>
        <v>1.3706554399999999</v>
      </c>
      <c r="H69" s="61">
        <f>IND!L$9</f>
        <v>14.433665400000002</v>
      </c>
      <c r="I69" s="61">
        <f>IND!M$9</f>
        <v>9.5978783655315034</v>
      </c>
      <c r="J69" s="61">
        <f>IND!N$9</f>
        <v>79.568530181425103</v>
      </c>
      <c r="K69" s="61">
        <f>IND!O$9</f>
        <v>0.33592574279360266</v>
      </c>
      <c r="L69" s="61">
        <f t="shared" si="39"/>
        <v>35.153305986904122</v>
      </c>
      <c r="M69" s="61">
        <f t="shared" si="40"/>
        <v>39.952245169669872</v>
      </c>
      <c r="N69" s="61">
        <f t="shared" si="41"/>
        <v>44.751184352435629</v>
      </c>
      <c r="O6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39.952245169669872</v>
      </c>
      <c r="P69" s="101">
        <v>0</v>
      </c>
    </row>
    <row r="70" spans="1:16" x14ac:dyDescent="0.2">
      <c r="A70" s="60">
        <f>IF(TableRBMaster[[#This Row],[Player]]&lt;&gt;0,A69+1,A69)</f>
        <v>47</v>
      </c>
      <c r="B70" s="60" t="str">
        <f>IND!A$10</f>
        <v>Zack Moss</v>
      </c>
      <c r="C70" s="60" t="s">
        <v>120</v>
      </c>
      <c r="D70" s="60">
        <f>IND!C$10</f>
        <v>11</v>
      </c>
      <c r="E70" s="61">
        <f>IND!I$10</f>
        <v>83.218366000000003</v>
      </c>
      <c r="F70" s="61">
        <f>IND!J$10</f>
        <v>354.51023915999997</v>
      </c>
      <c r="G70" s="61">
        <f>IND!K$10</f>
        <v>2.995861176</v>
      </c>
      <c r="H70" s="61">
        <f>IND!L$10</f>
        <v>13.364505000000003</v>
      </c>
      <c r="I70" s="61">
        <f>IND!M$10</f>
        <v>9.0744988950000032</v>
      </c>
      <c r="J70" s="61">
        <f>IND!N$10</f>
        <v>66.062351955600022</v>
      </c>
      <c r="K70" s="61">
        <f>IND!O$10</f>
        <v>0.27223496685000009</v>
      </c>
      <c r="L70" s="61">
        <f t="shared" si="39"/>
        <v>61.665835968660005</v>
      </c>
      <c r="M70" s="61">
        <f t="shared" si="40"/>
        <v>66.203085416160008</v>
      </c>
      <c r="N70" s="61">
        <f t="shared" si="41"/>
        <v>70.74033486366001</v>
      </c>
      <c r="O7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66.203085416160008</v>
      </c>
      <c r="P70" s="101">
        <v>0</v>
      </c>
    </row>
    <row r="71" spans="1:16" x14ac:dyDescent="0.2">
      <c r="A71" s="60">
        <f>IF(TableRBMaster[[#This Row],[Player]]&lt;&gt;0,A70+1,A70)</f>
        <v>47</v>
      </c>
      <c r="B71" s="60">
        <f>IND!A$11</f>
        <v>0</v>
      </c>
      <c r="C71" s="60" t="s">
        <v>120</v>
      </c>
      <c r="D71" s="60">
        <f>IND!C$11</f>
        <v>11</v>
      </c>
      <c r="E71" s="61">
        <f>IND!I$11</f>
        <v>0</v>
      </c>
      <c r="F71" s="61">
        <f>IND!J$11</f>
        <v>0</v>
      </c>
      <c r="G71" s="61">
        <f>IND!K$11</f>
        <v>0</v>
      </c>
      <c r="H71" s="61">
        <f>IND!L$11</f>
        <v>0</v>
      </c>
      <c r="I71" s="61">
        <f>IND!M$11</f>
        <v>0</v>
      </c>
      <c r="J71" s="61">
        <f>IND!N$11</f>
        <v>0</v>
      </c>
      <c r="K71" s="61">
        <f>IND!O$11</f>
        <v>0</v>
      </c>
      <c r="L71" s="61">
        <f t="shared" si="39"/>
        <v>0</v>
      </c>
      <c r="M71" s="61">
        <f t="shared" si="40"/>
        <v>0</v>
      </c>
      <c r="N71" s="61">
        <f t="shared" si="41"/>
        <v>0</v>
      </c>
      <c r="O7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71" s="101">
        <v>23.386905058570072</v>
      </c>
    </row>
    <row r="72" spans="1:16" x14ac:dyDescent="0.2">
      <c r="A72" s="60">
        <f>IF(TableRBMaster[[#This Row],[Player]]&lt;&gt;0,A71+1,A71)</f>
        <v>48</v>
      </c>
      <c r="B72" s="60" t="str">
        <f>JAX!A$7</f>
        <v>Travis Etienne</v>
      </c>
      <c r="C72" s="60" t="s">
        <v>139</v>
      </c>
      <c r="D72" s="60">
        <f>JAX!C$7</f>
        <v>9</v>
      </c>
      <c r="E72" s="61">
        <f>JAX!I$7</f>
        <v>202.7354224</v>
      </c>
      <c r="F72" s="61">
        <f>JAX!J$7</f>
        <v>954.88383950399998</v>
      </c>
      <c r="G72" s="61">
        <f>JAX!K$7</f>
        <v>6.4875335168000001</v>
      </c>
      <c r="H72" s="61">
        <f>JAX!L$7</f>
        <v>45.739089199999995</v>
      </c>
      <c r="I72" s="61">
        <f>JAX!M$7</f>
        <v>35.23341853337844</v>
      </c>
      <c r="J72" s="61">
        <f>JAX!N$7</f>
        <v>288.56169778836943</v>
      </c>
      <c r="K72" s="61">
        <f>JAX!O$7</f>
        <v>1.4445701598685161</v>
      </c>
      <c r="L72" s="61">
        <f t="shared" ref="L72:L76" si="42">(F72/10)+(G72*6)+(J72/10)+(K72*6)</f>
        <v>171.93717578924802</v>
      </c>
      <c r="M72" s="61">
        <f t="shared" ref="M72:M76" si="43">L72+(I72*0.5)</f>
        <v>189.55388505593723</v>
      </c>
      <c r="N72" s="61">
        <f t="shared" ref="N72:N76" si="44">L72+I72</f>
        <v>207.17059432262647</v>
      </c>
      <c r="O7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189.55388505593726</v>
      </c>
      <c r="P72" s="101">
        <v>11.255396975211928</v>
      </c>
    </row>
    <row r="73" spans="1:16" x14ac:dyDescent="0.2">
      <c r="A73" s="60">
        <f>IF(TableRBMaster[[#This Row],[Player]]&lt;&gt;0,A72+1,A72)</f>
        <v>49</v>
      </c>
      <c r="B73" s="60" t="str">
        <f>JAX!A$8</f>
        <v>Tank Bigsby</v>
      </c>
      <c r="C73" s="60" t="s">
        <v>139</v>
      </c>
      <c r="D73" s="60">
        <f>JAX!C$9</f>
        <v>9</v>
      </c>
      <c r="E73" s="61">
        <f>JAX!I$8</f>
        <v>131.86392940000002</v>
      </c>
      <c r="F73" s="61">
        <f>JAX!J$8</f>
        <v>573.60809289000008</v>
      </c>
      <c r="G73" s="61">
        <f>JAX!K$8</f>
        <v>5.0108293172000007</v>
      </c>
      <c r="H73" s="61">
        <f>JAX!L$8</f>
        <v>20.397161399999998</v>
      </c>
      <c r="I73" s="61">
        <f>JAX!M$8</f>
        <v>15.109531036107557</v>
      </c>
      <c r="J73" s="61">
        <f>JAX!N$8</f>
        <v>117.23737698493431</v>
      </c>
      <c r="K73" s="61">
        <f>JAX!O$8</f>
        <v>0.55905264833597956</v>
      </c>
      <c r="L73" s="61">
        <f t="shared" si="42"/>
        <v>102.50383878070933</v>
      </c>
      <c r="M73" s="61">
        <f t="shared" si="43"/>
        <v>110.05860429876311</v>
      </c>
      <c r="N73" s="61">
        <f t="shared" si="44"/>
        <v>117.61336981681688</v>
      </c>
      <c r="O7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110.05860429876311</v>
      </c>
      <c r="P73" s="101">
        <v>0</v>
      </c>
    </row>
    <row r="74" spans="1:16" x14ac:dyDescent="0.2">
      <c r="A74" s="60">
        <f>IF(TableRBMaster[[#This Row],[Player]]&lt;&gt;0,A73+1,A73)</f>
        <v>50</v>
      </c>
      <c r="B74" s="60" t="str">
        <f>JAX!A$9</f>
        <v>D'Ernest Johnson</v>
      </c>
      <c r="C74" s="60" t="s">
        <v>139</v>
      </c>
      <c r="D74" s="60">
        <f>JAX!C$8</f>
        <v>9</v>
      </c>
      <c r="E74" s="61">
        <f>JAX!I$9</f>
        <v>17.610492199999999</v>
      </c>
      <c r="F74" s="61">
        <f>JAX!J$9</f>
        <v>73.051263821083509</v>
      </c>
      <c r="G74" s="61">
        <f>JAX!K$9</f>
        <v>0.61636722700000002</v>
      </c>
      <c r="H74" s="61">
        <f>JAX!L$9</f>
        <v>7.4171495999999992</v>
      </c>
      <c r="I74" s="61">
        <f>JAX!M$9</f>
        <v>5.1994218695999992</v>
      </c>
      <c r="J74" s="61">
        <f>JAX!N$9</f>
        <v>40.83669505263326</v>
      </c>
      <c r="K74" s="61">
        <f>JAX!O$9</f>
        <v>0.13518496860959997</v>
      </c>
      <c r="L74" s="61">
        <f t="shared" si="42"/>
        <v>15.898109061029276</v>
      </c>
      <c r="M74" s="61">
        <f t="shared" si="43"/>
        <v>18.497819995829275</v>
      </c>
      <c r="N74" s="61">
        <f t="shared" si="44"/>
        <v>21.097530930629276</v>
      </c>
      <c r="O7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18.497819995829275</v>
      </c>
      <c r="P74" s="101">
        <v>0</v>
      </c>
    </row>
    <row r="75" spans="1:16" x14ac:dyDescent="0.2">
      <c r="A75" s="60">
        <f>IF(TableRBMaster[[#This Row],[Player]]&lt;&gt;0,A74+1,A74)</f>
        <v>50</v>
      </c>
      <c r="B75" s="60">
        <f>JAX!A$10</f>
        <v>0</v>
      </c>
      <c r="C75" s="60" t="s">
        <v>139</v>
      </c>
      <c r="D75" s="60">
        <f>JAX!C$10</f>
        <v>9</v>
      </c>
      <c r="E75" s="61">
        <f>JAX!I$10</f>
        <v>0</v>
      </c>
      <c r="F75" s="61">
        <f>JAX!J$10</f>
        <v>0</v>
      </c>
      <c r="G75" s="61">
        <f>JAX!K$10</f>
        <v>0</v>
      </c>
      <c r="H75" s="61">
        <f>JAX!L$10</f>
        <v>0</v>
      </c>
      <c r="I75" s="61">
        <f>JAX!M$10</f>
        <v>0</v>
      </c>
      <c r="J75" s="61">
        <f>JAX!N$10</f>
        <v>0</v>
      </c>
      <c r="K75" s="61">
        <f>JAX!O$10</f>
        <v>0</v>
      </c>
      <c r="L75" s="61">
        <f t="shared" si="42"/>
        <v>0</v>
      </c>
      <c r="M75" s="61">
        <f t="shared" si="43"/>
        <v>0</v>
      </c>
      <c r="N75" s="61">
        <f t="shared" si="44"/>
        <v>0</v>
      </c>
      <c r="O7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75" s="101">
        <v>0</v>
      </c>
    </row>
    <row r="76" spans="1:16" x14ac:dyDescent="0.2">
      <c r="A76" s="60">
        <f>IF(TableRBMaster[[#This Row],[Player]]&lt;&gt;0,A75+1,A75)</f>
        <v>50</v>
      </c>
      <c r="B76" s="60">
        <f>JAX!A$11</f>
        <v>0</v>
      </c>
      <c r="C76" s="60" t="s">
        <v>139</v>
      </c>
      <c r="D76" s="60">
        <f>JAX!C$11</f>
        <v>9</v>
      </c>
      <c r="E76" s="61">
        <f>JAX!I$11</f>
        <v>0</v>
      </c>
      <c r="F76" s="61">
        <f>JAX!J$11</f>
        <v>0</v>
      </c>
      <c r="G76" s="61">
        <f>JAX!K$11</f>
        <v>0</v>
      </c>
      <c r="H76" s="61">
        <f>JAX!L$11</f>
        <v>0</v>
      </c>
      <c r="I76" s="61">
        <f>JAX!M$11</f>
        <v>0</v>
      </c>
      <c r="J76" s="61">
        <f>JAX!N$11</f>
        <v>0</v>
      </c>
      <c r="K76" s="61">
        <f>JAX!O$11</f>
        <v>0</v>
      </c>
      <c r="L76" s="61">
        <f t="shared" si="42"/>
        <v>0</v>
      </c>
      <c r="M76" s="61">
        <f t="shared" si="43"/>
        <v>0</v>
      </c>
      <c r="N76" s="61">
        <f t="shared" si="44"/>
        <v>0</v>
      </c>
      <c r="O7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76" s="101">
        <v>0</v>
      </c>
    </row>
    <row r="77" spans="1:16" x14ac:dyDescent="0.2">
      <c r="A77" s="60">
        <f>IF(TableRBMaster[[#This Row],[Player]]&lt;&gt;0,A76+1,A76)</f>
        <v>51</v>
      </c>
      <c r="B77" s="60" t="str">
        <f>KC!A$7</f>
        <v>Isiah Pacheco</v>
      </c>
      <c r="C77" s="60" t="s">
        <v>122</v>
      </c>
      <c r="D77" s="60">
        <f>KC!C$7</f>
        <v>10</v>
      </c>
      <c r="E77" s="61">
        <f>KC!I$7</f>
        <v>205.64836656</v>
      </c>
      <c r="F77" s="61">
        <f>KC!J$7</f>
        <v>958.1256582082076</v>
      </c>
      <c r="G77" s="61">
        <f>KC!K$7</f>
        <v>8.0202862958400001</v>
      </c>
      <c r="H77" s="61">
        <f>KC!L$7</f>
        <v>18.962165039999999</v>
      </c>
      <c r="I77" s="61">
        <f>KC!M$7</f>
        <v>14.938583102731767</v>
      </c>
      <c r="J77" s="61">
        <f>KC!N$7</f>
        <v>124.79251505220481</v>
      </c>
      <c r="K77" s="61">
        <f>KC!O$7</f>
        <v>0.89631498616390604</v>
      </c>
      <c r="L77" s="61">
        <f t="shared" ref="L77:L140" si="45">(F77/10)+(G77*6)+(J77/10)+(K77*6)</f>
        <v>161.79142501806467</v>
      </c>
      <c r="M77" s="61">
        <f t="shared" ref="M77:M140" si="46">L77+(I77*0.5)</f>
        <v>169.26071656943054</v>
      </c>
      <c r="N77" s="61">
        <f t="shared" ref="N77:N140" si="47">L77+I77</f>
        <v>176.73000812079644</v>
      </c>
      <c r="O7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169.26071656943054</v>
      </c>
      <c r="P77" s="101">
        <v>28.211098127412054</v>
      </c>
    </row>
    <row r="78" spans="1:16" x14ac:dyDescent="0.2">
      <c r="A78" s="60">
        <f>IF(TableRBMaster[[#This Row],[Player]]&lt;&gt;0,A77+1,A77)</f>
        <v>52</v>
      </c>
      <c r="B78" s="60" t="str">
        <f>KC!A$8</f>
        <v>Jerick McKinnon</v>
      </c>
      <c r="C78" s="60" t="s">
        <v>122</v>
      </c>
      <c r="D78" s="60">
        <f>KC!C$9</f>
        <v>10</v>
      </c>
      <c r="E78" s="61">
        <f>KC!I$8</f>
        <v>77.014064399999995</v>
      </c>
      <c r="F78" s="61">
        <f>KC!J$8</f>
        <v>312.50759336215913</v>
      </c>
      <c r="G78" s="61">
        <f>KC!K$8</f>
        <v>3.1575766403999999</v>
      </c>
      <c r="H78" s="61">
        <f>KC!L$8</f>
        <v>50.34781752</v>
      </c>
      <c r="I78" s="61">
        <f>KC!M$8</f>
        <v>38.524417361453523</v>
      </c>
      <c r="J78" s="61">
        <f>KC!N$8</f>
        <v>346.7197562530817</v>
      </c>
      <c r="K78" s="61">
        <f>KC!O$8</f>
        <v>3.9680149882297124</v>
      </c>
      <c r="L78" s="61">
        <f t="shared" si="45"/>
        <v>108.67628473330237</v>
      </c>
      <c r="M78" s="61">
        <f t="shared" si="46"/>
        <v>127.93849341402913</v>
      </c>
      <c r="N78" s="61">
        <f t="shared" si="47"/>
        <v>147.20070209475588</v>
      </c>
      <c r="O7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127.93849341402913</v>
      </c>
      <c r="P78" s="101">
        <v>0</v>
      </c>
    </row>
    <row r="79" spans="1:16" x14ac:dyDescent="0.2">
      <c r="A79" s="60">
        <f>IF(TableRBMaster[[#This Row],[Player]]&lt;&gt;0,A78+1,A78)</f>
        <v>53</v>
      </c>
      <c r="B79" s="60" t="str">
        <f>KC!A$9</f>
        <v>Clyde Edwards-Helaire</v>
      </c>
      <c r="C79" s="60" t="s">
        <v>122</v>
      </c>
      <c r="D79" s="60">
        <f>KC!C$8</f>
        <v>10</v>
      </c>
      <c r="E79" s="61">
        <f>KC!I$9</f>
        <v>60.778667039999995</v>
      </c>
      <c r="F79" s="61">
        <f>KC!J$9</f>
        <v>259.06507361475451</v>
      </c>
      <c r="G79" s="61">
        <f>KC!K$9</f>
        <v>2.1272533463999999</v>
      </c>
      <c r="H79" s="61">
        <f>KC!L$9</f>
        <v>17.654429520000001</v>
      </c>
      <c r="I79" s="61">
        <f>KC!M$9</f>
        <v>14.044362895595675</v>
      </c>
      <c r="J79" s="61">
        <f>KC!N$9</f>
        <v>115.50399797945147</v>
      </c>
      <c r="K79" s="61">
        <f>KC!O$9</f>
        <v>0.70221814477978384</v>
      </c>
      <c r="L79" s="61">
        <f t="shared" si="45"/>
        <v>54.433736106499303</v>
      </c>
      <c r="M79" s="61">
        <f t="shared" si="46"/>
        <v>61.455917554297145</v>
      </c>
      <c r="N79" s="61">
        <f t="shared" si="47"/>
        <v>68.478099002094979</v>
      </c>
      <c r="O7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61.455917554297137</v>
      </c>
      <c r="P79" s="101">
        <v>0</v>
      </c>
    </row>
    <row r="80" spans="1:16" x14ac:dyDescent="0.2">
      <c r="A80" s="60">
        <f>IF(TableRBMaster[[#This Row],[Player]]&lt;&gt;0,A79+1,A79)</f>
        <v>53</v>
      </c>
      <c r="B80" s="60">
        <f>KC!A$10</f>
        <v>0</v>
      </c>
      <c r="C80" s="60" t="s">
        <v>122</v>
      </c>
      <c r="D80" s="60">
        <f>KC!C$10</f>
        <v>10</v>
      </c>
      <c r="E80" s="61">
        <f>KC!I$10</f>
        <v>0</v>
      </c>
      <c r="F80" s="61">
        <f>KC!J$10</f>
        <v>0</v>
      </c>
      <c r="G80" s="61">
        <f>KC!K$10</f>
        <v>0</v>
      </c>
      <c r="H80" s="61">
        <f>KC!L$10</f>
        <v>0</v>
      </c>
      <c r="I80" s="61">
        <f>KC!M$10</f>
        <v>0</v>
      </c>
      <c r="J80" s="61">
        <f>KC!N$10</f>
        <v>0</v>
      </c>
      <c r="K80" s="61">
        <f>KC!O$10</f>
        <v>0</v>
      </c>
      <c r="L80" s="61">
        <f t="shared" si="45"/>
        <v>0</v>
      </c>
      <c r="M80" s="61">
        <f t="shared" si="46"/>
        <v>0</v>
      </c>
      <c r="N80" s="61">
        <f t="shared" si="47"/>
        <v>0</v>
      </c>
      <c r="O8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80" s="101">
        <v>0</v>
      </c>
    </row>
    <row r="81" spans="1:16" x14ac:dyDescent="0.2">
      <c r="A81" s="60">
        <f>IF(TableRBMaster[[#This Row],[Player]]&lt;&gt;0,A80+1,A80)</f>
        <v>53</v>
      </c>
      <c r="B81" s="60">
        <f>KC!A$11</f>
        <v>0</v>
      </c>
      <c r="C81" s="60" t="s">
        <v>122</v>
      </c>
      <c r="D81" s="60">
        <f>KC!C$11</f>
        <v>10</v>
      </c>
      <c r="E81" s="61">
        <f>KC!I$11</f>
        <v>0</v>
      </c>
      <c r="F81" s="61">
        <f>KC!J$11</f>
        <v>0</v>
      </c>
      <c r="G81" s="61">
        <f>KC!K$11</f>
        <v>0</v>
      </c>
      <c r="H81" s="61">
        <f>KC!L$11</f>
        <v>0</v>
      </c>
      <c r="I81" s="61">
        <f>KC!M$11</f>
        <v>0</v>
      </c>
      <c r="J81" s="61">
        <f>KC!N$11</f>
        <v>0</v>
      </c>
      <c r="K81" s="61">
        <f>KC!O$11</f>
        <v>0</v>
      </c>
      <c r="L81" s="61">
        <f t="shared" si="45"/>
        <v>0</v>
      </c>
      <c r="M81" s="61">
        <f t="shared" si="46"/>
        <v>0</v>
      </c>
      <c r="N81" s="61">
        <f t="shared" si="47"/>
        <v>0</v>
      </c>
      <c r="O8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81" s="101">
        <v>0</v>
      </c>
    </row>
    <row r="82" spans="1:16" x14ac:dyDescent="0.2">
      <c r="A82" s="60">
        <f>IF(TableRBMaster[[#This Row],[Player]]&lt;&gt;0,A81+1,A81)</f>
        <v>54</v>
      </c>
      <c r="B82" s="60" t="str">
        <f>LAC!A$7</f>
        <v>Austin Ekeler</v>
      </c>
      <c r="C82" s="60" t="s">
        <v>123</v>
      </c>
      <c r="D82" s="60">
        <f>LAC!C$7</f>
        <v>5</v>
      </c>
      <c r="E82" s="61">
        <f>LAC!I$7</f>
        <v>214.18020540000001</v>
      </c>
      <c r="F82" s="61">
        <f>LAC!J$7</f>
        <v>965.95272635399999</v>
      </c>
      <c r="G82" s="61">
        <f>LAC!K$7</f>
        <v>10.70901027</v>
      </c>
      <c r="H82" s="61">
        <f>LAC!L$7</f>
        <v>86.498592599999995</v>
      </c>
      <c r="I82" s="61">
        <f>LAC!M$7</f>
        <v>71.847002291877516</v>
      </c>
      <c r="J82" s="61">
        <f>LAC!N$7</f>
        <v>540.59903372044425</v>
      </c>
      <c r="K82" s="61">
        <f>LAC!O$7</f>
        <v>3.7567060021896741</v>
      </c>
      <c r="L82" s="61">
        <f t="shared" si="45"/>
        <v>237.44947364058245</v>
      </c>
      <c r="M82" s="61">
        <f t="shared" si="46"/>
        <v>273.37297478652124</v>
      </c>
      <c r="N82" s="61">
        <f t="shared" si="47"/>
        <v>309.29647593246</v>
      </c>
      <c r="O8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273.37297478652124</v>
      </c>
      <c r="P82" s="101">
        <v>40.577336371080563</v>
      </c>
    </row>
    <row r="83" spans="1:16" x14ac:dyDescent="0.2">
      <c r="A83" s="60">
        <f>IF(TableRBMaster[[#This Row],[Player]]&lt;&gt;0,A82+1,A82)</f>
        <v>55</v>
      </c>
      <c r="B83" s="60" t="str">
        <f>LAC!A$8</f>
        <v>Isaiah Spiller</v>
      </c>
      <c r="C83" s="60" t="s">
        <v>123</v>
      </c>
      <c r="D83" s="60">
        <f>LAC!C$9</f>
        <v>5</v>
      </c>
      <c r="E83" s="61">
        <f>LAC!I$8</f>
        <v>34.627937400000008</v>
      </c>
      <c r="F83" s="61">
        <f>LAC!J$8</f>
        <v>145.09047328492619</v>
      </c>
      <c r="G83" s="61">
        <f>LAC!K$8</f>
        <v>1.0388381220000003</v>
      </c>
      <c r="H83" s="61">
        <f>LAC!L$8</f>
        <v>13.205891999999999</v>
      </c>
      <c r="I83" s="61">
        <f>LAC!M$8</f>
        <v>9.8825858576512271</v>
      </c>
      <c r="J83" s="61">
        <f>LAC!N$8</f>
        <v>66.055292511883863</v>
      </c>
      <c r="K83" s="61">
        <f>LAC!O$8</f>
        <v>0.29647757572953681</v>
      </c>
      <c r="L83" s="61">
        <f t="shared" si="45"/>
        <v>29.12647076605823</v>
      </c>
      <c r="M83" s="61">
        <f t="shared" si="46"/>
        <v>34.067763694883844</v>
      </c>
      <c r="N83" s="61">
        <f t="shared" si="47"/>
        <v>39.009056623709455</v>
      </c>
      <c r="O8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34.067763694883844</v>
      </c>
      <c r="P83" s="101">
        <v>0</v>
      </c>
    </row>
    <row r="84" spans="1:16" x14ac:dyDescent="0.2">
      <c r="A84" s="60">
        <f>IF(TableRBMaster[[#This Row],[Player]]&lt;&gt;0,A83+1,A83)</f>
        <v>56</v>
      </c>
      <c r="B84" s="60" t="str">
        <f>LAC!A$9</f>
        <v>Joshua Kelley</v>
      </c>
      <c r="C84" s="60" t="s">
        <v>123</v>
      </c>
      <c r="D84" s="60">
        <f>LAC!C$8</f>
        <v>5</v>
      </c>
      <c r="E84" s="61">
        <f>LAC!I$9</f>
        <v>110.29639320000001</v>
      </c>
      <c r="F84" s="61">
        <f>LAC!J$9</f>
        <v>474.27449076000005</v>
      </c>
      <c r="G84" s="61">
        <f>LAC!K$9</f>
        <v>3.6397809756000004</v>
      </c>
      <c r="H84" s="61">
        <f>LAC!L$9</f>
        <v>27.072078600000001</v>
      </c>
      <c r="I84" s="61">
        <f>LAC!M$9</f>
        <v>19.9521219282</v>
      </c>
      <c r="J84" s="61">
        <f>LAC!N$9</f>
        <v>143.4184040946781</v>
      </c>
      <c r="K84" s="61">
        <f>LAC!O$9</f>
        <v>0.6783721455588001</v>
      </c>
      <c r="L84" s="61">
        <f t="shared" si="45"/>
        <v>87.6782082124206</v>
      </c>
      <c r="M84" s="61">
        <f t="shared" si="46"/>
        <v>97.6542691765206</v>
      </c>
      <c r="N84" s="61">
        <f t="shared" si="47"/>
        <v>107.6303301406206</v>
      </c>
      <c r="O8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97.654269176520614</v>
      </c>
      <c r="P84" s="101">
        <v>0</v>
      </c>
    </row>
    <row r="85" spans="1:16" x14ac:dyDescent="0.2">
      <c r="A85" s="60">
        <f>IF(TableRBMaster[[#This Row],[Player]]&lt;&gt;0,A84+1,A84)</f>
        <v>56</v>
      </c>
      <c r="B85" s="60">
        <f>LAC!A$10</f>
        <v>0</v>
      </c>
      <c r="C85" s="60" t="s">
        <v>123</v>
      </c>
      <c r="D85" s="60">
        <f>LAC!C$10</f>
        <v>5</v>
      </c>
      <c r="E85" s="61">
        <f>LAC!I$10</f>
        <v>0</v>
      </c>
      <c r="F85" s="61">
        <f>LAC!J$10</f>
        <v>0</v>
      </c>
      <c r="G85" s="61">
        <f>LAC!K$10</f>
        <v>0</v>
      </c>
      <c r="H85" s="61">
        <f>LAC!L$10</f>
        <v>0</v>
      </c>
      <c r="I85" s="61">
        <f>LAC!M$10</f>
        <v>0</v>
      </c>
      <c r="J85" s="61">
        <f>LAC!N$10</f>
        <v>0</v>
      </c>
      <c r="K85" s="61">
        <f>LAC!O$10</f>
        <v>0</v>
      </c>
      <c r="L85" s="61">
        <f t="shared" si="45"/>
        <v>0</v>
      </c>
      <c r="M85" s="61">
        <f t="shared" si="46"/>
        <v>0</v>
      </c>
      <c r="N85" s="61">
        <f t="shared" si="47"/>
        <v>0</v>
      </c>
      <c r="O8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85" s="101">
        <v>0</v>
      </c>
    </row>
    <row r="86" spans="1:16" x14ac:dyDescent="0.2">
      <c r="A86" s="60">
        <f>IF(TableRBMaster[[#This Row],[Player]]&lt;&gt;0,A85+1,A85)</f>
        <v>56</v>
      </c>
      <c r="B86" s="60">
        <f>LAC!A$11</f>
        <v>0</v>
      </c>
      <c r="C86" s="60" t="s">
        <v>123</v>
      </c>
      <c r="D86" s="60">
        <f>LAC!C$11</f>
        <v>5</v>
      </c>
      <c r="E86" s="61">
        <f>LAC!I$11</f>
        <v>0</v>
      </c>
      <c r="F86" s="61">
        <f>LAC!J$11</f>
        <v>0</v>
      </c>
      <c r="G86" s="61">
        <f>LAC!K$11</f>
        <v>0</v>
      </c>
      <c r="H86" s="61">
        <f>LAC!L$11</f>
        <v>0</v>
      </c>
      <c r="I86" s="61">
        <f>LAC!M$11</f>
        <v>0</v>
      </c>
      <c r="J86" s="61">
        <f>LAC!N$11</f>
        <v>0</v>
      </c>
      <c r="K86" s="61">
        <f>LAC!O$11</f>
        <v>0</v>
      </c>
      <c r="L86" s="61">
        <f t="shared" si="45"/>
        <v>0</v>
      </c>
      <c r="M86" s="61">
        <f t="shared" si="46"/>
        <v>0</v>
      </c>
      <c r="N86" s="61">
        <f t="shared" si="47"/>
        <v>0</v>
      </c>
      <c r="O8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86" s="101">
        <v>0</v>
      </c>
    </row>
    <row r="87" spans="1:16" x14ac:dyDescent="0.2">
      <c r="A87" s="60">
        <f>IF(TableRBMaster[[#This Row],[Player]]&lt;&gt;0,A86+1,A86)</f>
        <v>57</v>
      </c>
      <c r="B87" s="60" t="str">
        <f>LAR!A$7</f>
        <v>Cam Akers</v>
      </c>
      <c r="C87" s="60" t="s">
        <v>124</v>
      </c>
      <c r="D87" s="60">
        <f>LAR!C$7</f>
        <v>10</v>
      </c>
      <c r="E87" s="61">
        <f>LAR!I$7</f>
        <v>237.72228480000001</v>
      </c>
      <c r="F87" s="61">
        <f>LAR!J$7</f>
        <v>1007.9424875520001</v>
      </c>
      <c r="G87" s="61">
        <f>LAR!K$7</f>
        <v>7.6071131136000005</v>
      </c>
      <c r="H87" s="61">
        <f>LAR!L$7</f>
        <v>45.718928640000001</v>
      </c>
      <c r="I87" s="61">
        <f>LAR!M$7</f>
        <v>33.237661121279999</v>
      </c>
      <c r="J87" s="61">
        <f>LAR!N$7</f>
        <v>271.5516913608576</v>
      </c>
      <c r="K87" s="61">
        <f>LAR!O$7</f>
        <v>1.3295064448512</v>
      </c>
      <c r="L87" s="61">
        <f t="shared" si="45"/>
        <v>181.569135241993</v>
      </c>
      <c r="M87" s="61">
        <f t="shared" si="46"/>
        <v>198.18796580263299</v>
      </c>
      <c r="N87" s="61">
        <f t="shared" si="47"/>
        <v>214.80679636327301</v>
      </c>
      <c r="O8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198.18796580263299</v>
      </c>
      <c r="P87" s="101">
        <v>36.440729570389564</v>
      </c>
    </row>
    <row r="88" spans="1:16" x14ac:dyDescent="0.2">
      <c r="A88" s="60">
        <f>IF(TableRBMaster[[#This Row],[Player]]&lt;&gt;0,A87+1,A87)</f>
        <v>58</v>
      </c>
      <c r="B88" s="60" t="str">
        <f>LAR!A$8</f>
        <v>Kyren Williams</v>
      </c>
      <c r="C88" s="60" t="s">
        <v>124</v>
      </c>
      <c r="D88" s="60">
        <f>LAR!C$9</f>
        <v>10</v>
      </c>
      <c r="E88" s="61">
        <f>LAR!I$8</f>
        <v>117.19291584000001</v>
      </c>
      <c r="F88" s="61">
        <f>LAR!J$8</f>
        <v>480.49095494400001</v>
      </c>
      <c r="G88" s="61">
        <f>LAR!K$8</f>
        <v>3.6329803910400003</v>
      </c>
      <c r="H88" s="61">
        <f>LAR!L$8</f>
        <v>30.273344640000001</v>
      </c>
      <c r="I88" s="61">
        <f>LAR!M$8</f>
        <v>21.818445873841096</v>
      </c>
      <c r="J88" s="61">
        <f>LAR!N$8</f>
        <v>169.3111399810069</v>
      </c>
      <c r="K88" s="61">
        <f>LAR!O$8</f>
        <v>0.67637182208907398</v>
      </c>
      <c r="L88" s="61">
        <f t="shared" si="45"/>
        <v>90.836322771275135</v>
      </c>
      <c r="M88" s="61">
        <f t="shared" si="46"/>
        <v>101.74554570819568</v>
      </c>
      <c r="N88" s="61">
        <f t="shared" si="47"/>
        <v>112.65476864511623</v>
      </c>
      <c r="O8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101.74554570819568</v>
      </c>
      <c r="P88" s="101">
        <v>0</v>
      </c>
    </row>
    <row r="89" spans="1:16" x14ac:dyDescent="0.2">
      <c r="A89" s="60">
        <f>IF(TableRBMaster[[#This Row],[Player]]&lt;&gt;0,A88+1,A88)</f>
        <v>59</v>
      </c>
      <c r="B89" s="60" t="str">
        <f>LAR!A$9</f>
        <v>Ronnie Rivers</v>
      </c>
      <c r="C89" s="60" t="s">
        <v>124</v>
      </c>
      <c r="D89" s="60">
        <f>LAR!C$8</f>
        <v>10</v>
      </c>
      <c r="E89" s="61">
        <f>LAR!I$9</f>
        <v>20.435775360000001</v>
      </c>
      <c r="F89" s="61">
        <f>LAR!J$9</f>
        <v>84.308252000166959</v>
      </c>
      <c r="G89" s="61">
        <f>LAR!K$9</f>
        <v>0.65394481152000006</v>
      </c>
      <c r="H89" s="61">
        <f>LAR!L$9</f>
        <v>21.623817600000002</v>
      </c>
      <c r="I89" s="61">
        <f>LAR!M$9</f>
        <v>15.027952863108744</v>
      </c>
      <c r="J89" s="61">
        <f>LAR!N$9</f>
        <v>117.81381505200257</v>
      </c>
      <c r="K89" s="61">
        <f>LAR!O$9</f>
        <v>0.52597835020880612</v>
      </c>
      <c r="L89" s="61">
        <f t="shared" si="45"/>
        <v>27.291745675589787</v>
      </c>
      <c r="M89" s="61">
        <f t="shared" si="46"/>
        <v>34.805722107144163</v>
      </c>
      <c r="N89" s="61">
        <f t="shared" si="47"/>
        <v>42.319698538698532</v>
      </c>
      <c r="O8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34.805722107144163</v>
      </c>
      <c r="P89" s="101">
        <v>0</v>
      </c>
    </row>
    <row r="90" spans="1:16" x14ac:dyDescent="0.2">
      <c r="A90" s="60">
        <f>IF(TableRBMaster[[#This Row],[Player]]&lt;&gt;0,A89+1,A89)</f>
        <v>59</v>
      </c>
      <c r="B90" s="60">
        <f>LAR!A$10</f>
        <v>0</v>
      </c>
      <c r="C90" s="60" t="s">
        <v>124</v>
      </c>
      <c r="D90" s="60">
        <f>LAR!C$10</f>
        <v>10</v>
      </c>
      <c r="E90" s="61">
        <f>LAR!I$10</f>
        <v>0</v>
      </c>
      <c r="F90" s="61">
        <f>LAR!J$10</f>
        <v>0</v>
      </c>
      <c r="G90" s="61">
        <f>LAR!K$10</f>
        <v>0</v>
      </c>
      <c r="H90" s="61">
        <f>LAR!L$10</f>
        <v>0</v>
      </c>
      <c r="I90" s="61">
        <f>LAR!M$10</f>
        <v>0</v>
      </c>
      <c r="J90" s="61">
        <f>LAR!N$10</f>
        <v>0</v>
      </c>
      <c r="K90" s="61">
        <f>LAR!O$10</f>
        <v>0</v>
      </c>
      <c r="L90" s="61">
        <f t="shared" si="45"/>
        <v>0</v>
      </c>
      <c r="M90" s="61">
        <f t="shared" si="46"/>
        <v>0</v>
      </c>
      <c r="N90" s="61">
        <f t="shared" si="47"/>
        <v>0</v>
      </c>
      <c r="O9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90" s="101">
        <v>0</v>
      </c>
    </row>
    <row r="91" spans="1:16" x14ac:dyDescent="0.2">
      <c r="A91" s="60">
        <f>IF(TableRBMaster[[#This Row],[Player]]&lt;&gt;0,A90+1,A90)</f>
        <v>59</v>
      </c>
      <c r="B91" s="60">
        <f>LAR!A$11</f>
        <v>0</v>
      </c>
      <c r="C91" s="60" t="s">
        <v>124</v>
      </c>
      <c r="D91" s="60">
        <f>LAR!C$11</f>
        <v>10</v>
      </c>
      <c r="E91" s="61">
        <f>LAR!I$11</f>
        <v>0</v>
      </c>
      <c r="F91" s="61">
        <f>LAR!J$11</f>
        <v>0</v>
      </c>
      <c r="G91" s="61">
        <f>LAR!K$11</f>
        <v>0</v>
      </c>
      <c r="H91" s="61">
        <f>LAR!L$11</f>
        <v>0</v>
      </c>
      <c r="I91" s="61">
        <f>LAR!M$11</f>
        <v>0</v>
      </c>
      <c r="J91" s="61">
        <f>LAR!N$11</f>
        <v>0</v>
      </c>
      <c r="K91" s="61">
        <f>LAR!O$11</f>
        <v>0</v>
      </c>
      <c r="L91" s="61">
        <f t="shared" si="45"/>
        <v>0</v>
      </c>
      <c r="M91" s="61">
        <f t="shared" si="46"/>
        <v>0</v>
      </c>
      <c r="N91" s="61">
        <f t="shared" si="47"/>
        <v>0</v>
      </c>
      <c r="O9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91" s="101">
        <v>0</v>
      </c>
    </row>
    <row r="92" spans="1:16" x14ac:dyDescent="0.2">
      <c r="A92" s="60">
        <f>IF(TableRBMaster[[#This Row],[Player]]&lt;&gt;0,A91+1,A91)</f>
        <v>60</v>
      </c>
      <c r="B92" s="60" t="str">
        <f>LV!A$7</f>
        <v>Josh Jacobs</v>
      </c>
      <c r="C92" s="60" t="s">
        <v>192</v>
      </c>
      <c r="D92" s="60">
        <f>LV!C$7</f>
        <v>13</v>
      </c>
      <c r="E92" s="61">
        <f>LV!I$7</f>
        <v>260.556422</v>
      </c>
      <c r="F92" s="61">
        <f>LV!J$7</f>
        <v>1156.8705136800002</v>
      </c>
      <c r="G92" s="61">
        <f>LV!K$7</f>
        <v>9.3591640216440837</v>
      </c>
      <c r="H92" s="61">
        <f>LV!L$7</f>
        <v>49.011417000000002</v>
      </c>
      <c r="I92" s="61">
        <f>LV!M$7</f>
        <v>38.390217826885419</v>
      </c>
      <c r="J92" s="61">
        <f>LV!N$7</f>
        <v>291.76565548432916</v>
      </c>
      <c r="K92" s="61">
        <f>LV!O$7</f>
        <v>1.3052674061141043</v>
      </c>
      <c r="L92" s="61">
        <f t="shared" si="45"/>
        <v>208.85020548298203</v>
      </c>
      <c r="M92" s="61">
        <f t="shared" si="46"/>
        <v>228.04531439642474</v>
      </c>
      <c r="N92" s="61">
        <f t="shared" si="47"/>
        <v>247.24042330986745</v>
      </c>
      <c r="O9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228.04531439642474</v>
      </c>
      <c r="P92" s="101">
        <v>26.712974459123956</v>
      </c>
    </row>
    <row r="93" spans="1:16" x14ac:dyDescent="0.2">
      <c r="A93" s="60">
        <f>IF(TableRBMaster[[#This Row],[Player]]&lt;&gt;0,A92+1,A92)</f>
        <v>61</v>
      </c>
      <c r="B93" s="60" t="str">
        <f>LV!A$8</f>
        <v>Brandon Bolden</v>
      </c>
      <c r="C93" s="60" t="s">
        <v>192</v>
      </c>
      <c r="D93" s="60">
        <f>LV!C$9</f>
        <v>13</v>
      </c>
      <c r="E93" s="61">
        <f>LV!I$8</f>
        <v>11.310327000000001</v>
      </c>
      <c r="F93" s="61">
        <f>LV!J$8</f>
        <v>45.241308000000004</v>
      </c>
      <c r="G93" s="61">
        <f>LV!K$8</f>
        <v>0.31668915600000003</v>
      </c>
      <c r="H93" s="61">
        <f>LV!L$8</f>
        <v>14.171975999999999</v>
      </c>
      <c r="I93" s="61">
        <f>LV!M$8</f>
        <v>11.450956608</v>
      </c>
      <c r="J93" s="61">
        <f>LV!N$8</f>
        <v>81.301791916799999</v>
      </c>
      <c r="K93" s="61">
        <f>LV!O$8</f>
        <v>0.34352869823999999</v>
      </c>
      <c r="L93" s="61">
        <f t="shared" si="45"/>
        <v>16.615617117119999</v>
      </c>
      <c r="M93" s="61">
        <f t="shared" si="46"/>
        <v>22.341095421119999</v>
      </c>
      <c r="N93" s="61">
        <f t="shared" si="47"/>
        <v>28.066573725120001</v>
      </c>
      <c r="O9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22.341095421120002</v>
      </c>
      <c r="P93" s="101">
        <v>10.012353442884301</v>
      </c>
    </row>
    <row r="94" spans="1:16" x14ac:dyDescent="0.2">
      <c r="A94" s="60">
        <f>IF(TableRBMaster[[#This Row],[Player]]&lt;&gt;0,A93+1,A93)</f>
        <v>62</v>
      </c>
      <c r="B94" s="60" t="str">
        <f>LV!A$9</f>
        <v>Zamir White</v>
      </c>
      <c r="C94" s="60" t="s">
        <v>192</v>
      </c>
      <c r="D94" s="60">
        <f>LV!C$8</f>
        <v>13</v>
      </c>
      <c r="E94" s="61">
        <f>LV!I$9</f>
        <v>103.46854700000002</v>
      </c>
      <c r="F94" s="61">
        <f>LV!J$9</f>
        <v>445.58861597607017</v>
      </c>
      <c r="G94" s="61">
        <f>LV!K$9</f>
        <v>3.8283362390000004</v>
      </c>
      <c r="H94" s="61">
        <f>LV!L$9</f>
        <v>15.352973999999998</v>
      </c>
      <c r="I94" s="61">
        <f>LV!M$9</f>
        <v>9.5465221125711928</v>
      </c>
      <c r="J94" s="61">
        <f>LV!N$9</f>
        <v>71.598915844283951</v>
      </c>
      <c r="K94" s="61">
        <f>LV!O$9</f>
        <v>0.28639566337713579</v>
      </c>
      <c r="L94" s="61">
        <f t="shared" si="45"/>
        <v>76.407144596298224</v>
      </c>
      <c r="M94" s="61">
        <f t="shared" si="46"/>
        <v>81.180405652583815</v>
      </c>
      <c r="N94" s="61">
        <f t="shared" si="47"/>
        <v>85.95366670886942</v>
      </c>
      <c r="O9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81.180405652583815</v>
      </c>
      <c r="P94" s="101">
        <v>0</v>
      </c>
    </row>
    <row r="95" spans="1:16" x14ac:dyDescent="0.2">
      <c r="A95" s="60">
        <f>IF(TableRBMaster[[#This Row],[Player]]&lt;&gt;0,A94+1,A94)</f>
        <v>63</v>
      </c>
      <c r="B95" s="60" t="str">
        <f>LV!A$10</f>
        <v>Ameer Abdullah</v>
      </c>
      <c r="C95" s="60" t="s">
        <v>192</v>
      </c>
      <c r="D95" s="60">
        <f>LV!C$10</f>
        <v>13</v>
      </c>
      <c r="E95" s="61">
        <f>LV!I$10</f>
        <v>8.7969210000000011</v>
      </c>
      <c r="F95" s="61">
        <f>LV!J$10</f>
        <v>36.790341960662985</v>
      </c>
      <c r="G95" s="61">
        <f>LV!K$10</f>
        <v>0.21112610400000004</v>
      </c>
      <c r="H95" s="61">
        <f>LV!L$10</f>
        <v>33.658442999999998</v>
      </c>
      <c r="I95" s="61">
        <f>LV!M$10</f>
        <v>24.706825341141354</v>
      </c>
      <c r="J95" s="61">
        <f>LV!N$10</f>
        <v>191.23082814043408</v>
      </c>
      <c r="K95" s="61">
        <f>LV!O$10</f>
        <v>0.98827301364565412</v>
      </c>
      <c r="L95" s="61">
        <f t="shared" si="45"/>
        <v>29.998511715983632</v>
      </c>
      <c r="M95" s="61">
        <f t="shared" si="46"/>
        <v>42.351924386554309</v>
      </c>
      <c r="N95" s="61">
        <f t="shared" si="47"/>
        <v>54.705337057124986</v>
      </c>
      <c r="O9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42.351924386554309</v>
      </c>
      <c r="P95" s="101">
        <v>0</v>
      </c>
    </row>
    <row r="96" spans="1:16" x14ac:dyDescent="0.2">
      <c r="A96" s="60">
        <f>IF(TableRBMaster[[#This Row],[Player]]&lt;&gt;0,A95+1,A95)</f>
        <v>63</v>
      </c>
      <c r="B96" s="60">
        <f>LV!A$11</f>
        <v>0</v>
      </c>
      <c r="C96" s="60" t="s">
        <v>192</v>
      </c>
      <c r="D96" s="60">
        <f>LV!C$11</f>
        <v>13</v>
      </c>
      <c r="E96" s="61">
        <f>LV!I$11</f>
        <v>0</v>
      </c>
      <c r="F96" s="61">
        <f>LV!J$11</f>
        <v>0</v>
      </c>
      <c r="G96" s="61">
        <f>LV!K$11</f>
        <v>0</v>
      </c>
      <c r="H96" s="61">
        <f>LV!L$11</f>
        <v>0</v>
      </c>
      <c r="I96" s="61">
        <f>LV!M$11</f>
        <v>0</v>
      </c>
      <c r="J96" s="61">
        <f>LV!N$11</f>
        <v>0</v>
      </c>
      <c r="K96" s="61">
        <f>LV!O$11</f>
        <v>0</v>
      </c>
      <c r="L96" s="61">
        <f t="shared" si="45"/>
        <v>0</v>
      </c>
      <c r="M96" s="61">
        <f t="shared" si="46"/>
        <v>0</v>
      </c>
      <c r="N96" s="61">
        <f t="shared" si="47"/>
        <v>0</v>
      </c>
      <c r="O9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96" s="101">
        <v>0</v>
      </c>
    </row>
    <row r="97" spans="1:16" x14ac:dyDescent="0.2">
      <c r="A97" s="60">
        <f>IF(TableRBMaster[[#This Row],[Player]]&lt;&gt;0,A96+1,A96)</f>
        <v>64</v>
      </c>
      <c r="B97" s="60" t="str">
        <f>MIA!A$7</f>
        <v>Raheem Mostert</v>
      </c>
      <c r="C97" s="60" t="s">
        <v>125</v>
      </c>
      <c r="D97" s="60">
        <f>MIA!C$7</f>
        <v>10</v>
      </c>
      <c r="E97" s="61">
        <f>MIA!I$7</f>
        <v>146.82213000000002</v>
      </c>
      <c r="F97" s="61">
        <f>MIA!J$7</f>
        <v>675.381798</v>
      </c>
      <c r="G97" s="61">
        <f>MIA!K$7</f>
        <v>6.019707330000001</v>
      </c>
      <c r="H97" s="61">
        <f>MIA!L$7</f>
        <v>37.938242160000009</v>
      </c>
      <c r="I97" s="61">
        <f>MIA!M$7</f>
        <v>28.196252740937506</v>
      </c>
      <c r="J97" s="61">
        <f>MIA!N$7</f>
        <v>211.4718955570313</v>
      </c>
      <c r="K97" s="61">
        <f>MIA!O$7</f>
        <v>1.5507939007515628</v>
      </c>
      <c r="L97" s="61">
        <f t="shared" si="45"/>
        <v>134.10837674021249</v>
      </c>
      <c r="M97" s="61">
        <f t="shared" si="46"/>
        <v>148.20650311068124</v>
      </c>
      <c r="N97" s="61">
        <f t="shared" si="47"/>
        <v>162.30462948114999</v>
      </c>
      <c r="O9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148.20650311068127</v>
      </c>
      <c r="P97" s="101">
        <v>21.962355357853792</v>
      </c>
    </row>
    <row r="98" spans="1:16" x14ac:dyDescent="0.2">
      <c r="A98" s="60">
        <f>IF(TableRBMaster[[#This Row],[Player]]&lt;&gt;0,A97+1,A97)</f>
        <v>65</v>
      </c>
      <c r="B98" s="60" t="str">
        <f>MIA!A$8</f>
        <v>Jeff Wilson</v>
      </c>
      <c r="C98" s="60" t="s">
        <v>125</v>
      </c>
      <c r="D98" s="60">
        <f>MIA!C$9</f>
        <v>10</v>
      </c>
      <c r="E98" s="61">
        <f>MIA!I$8</f>
        <v>92.791586160000008</v>
      </c>
      <c r="F98" s="61">
        <f>MIA!J$8</f>
        <v>405.21146863299469</v>
      </c>
      <c r="G98" s="61">
        <f>MIA!K$8</f>
        <v>3.8044550325600004</v>
      </c>
      <c r="H98" s="61">
        <f>MIA!L$8</f>
        <v>31.916298960000006</v>
      </c>
      <c r="I98" s="61">
        <f>MIA!M$8</f>
        <v>20.639984373688989</v>
      </c>
      <c r="J98" s="61">
        <f>MIA!N$8</f>
        <v>173.27123117974887</v>
      </c>
      <c r="K98" s="61">
        <f>MIA!O$8</f>
        <v>1.3415989842897844</v>
      </c>
      <c r="L98" s="61">
        <f t="shared" si="45"/>
        <v>88.724594082373073</v>
      </c>
      <c r="M98" s="61">
        <f t="shared" si="46"/>
        <v>99.044586269217575</v>
      </c>
      <c r="N98" s="61">
        <f t="shared" si="47"/>
        <v>109.36457845606206</v>
      </c>
      <c r="O9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99.044586269217561</v>
      </c>
      <c r="P98" s="101">
        <v>0</v>
      </c>
    </row>
    <row r="99" spans="1:16" x14ac:dyDescent="0.2">
      <c r="A99" s="60">
        <f>IF(TableRBMaster[[#This Row],[Player]]&lt;&gt;0,A98+1,A98)</f>
        <v>66</v>
      </c>
      <c r="B99" s="60" t="str">
        <f>MIA!A$9</f>
        <v>Salvon Ahmed</v>
      </c>
      <c r="C99" s="60" t="s">
        <v>125</v>
      </c>
      <c r="D99" s="60">
        <f>MIA!C$8</f>
        <v>10</v>
      </c>
      <c r="E99" s="61">
        <f>MIA!I$9</f>
        <v>22.708489440000001</v>
      </c>
      <c r="F99" s="61">
        <f>MIA!J$9</f>
        <v>89.244363499200006</v>
      </c>
      <c r="G99" s="61">
        <f>MIA!K$9</f>
        <v>0.84021410927999995</v>
      </c>
      <c r="H99" s="61">
        <f>MIA!L$9</f>
        <v>9.0329148000000021</v>
      </c>
      <c r="I99" s="61">
        <f>MIA!M$9</f>
        <v>6.0249541716000019</v>
      </c>
      <c r="J99" s="61">
        <f>MIA!N$9</f>
        <v>42.174679201200014</v>
      </c>
      <c r="K99" s="61">
        <f>MIA!O$9</f>
        <v>0.20484844183440007</v>
      </c>
      <c r="L99" s="61">
        <f t="shared" si="45"/>
        <v>19.412279576726405</v>
      </c>
      <c r="M99" s="61">
        <f t="shared" si="46"/>
        <v>22.424756662526406</v>
      </c>
      <c r="N99" s="61">
        <f t="shared" si="47"/>
        <v>25.437233748326406</v>
      </c>
      <c r="O9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22.424756662526406</v>
      </c>
      <c r="P99" s="101">
        <v>0</v>
      </c>
    </row>
    <row r="100" spans="1:16" x14ac:dyDescent="0.2">
      <c r="A100" s="60">
        <f>IF(TableRBMaster[[#This Row],[Player]]&lt;&gt;0,A99+1,A99)</f>
        <v>67</v>
      </c>
      <c r="B100" s="60" t="str">
        <f>MIA!A$10</f>
        <v>De'Von Achane</v>
      </c>
      <c r="C100" s="60" t="s">
        <v>125</v>
      </c>
      <c r="D100" s="60">
        <f>MIA!C$10</f>
        <v>10</v>
      </c>
      <c r="E100" s="61">
        <f>MIA!I$10</f>
        <v>71.257673760000003</v>
      </c>
      <c r="F100" s="61">
        <f>MIA!J$10</f>
        <v>315.22424771534526</v>
      </c>
      <c r="G100" s="61">
        <f>MIA!K$10</f>
        <v>2.8503069504000003</v>
      </c>
      <c r="H100" s="61">
        <f>MIA!L$10</f>
        <v>64.434792240000007</v>
      </c>
      <c r="I100" s="61">
        <f>MIA!M$10</f>
        <v>45.8946691012233</v>
      </c>
      <c r="J100" s="61">
        <f>MIA!N$10</f>
        <v>376.33628663003105</v>
      </c>
      <c r="K100" s="61">
        <f>MIA!O$10</f>
        <v>2.6618908078709516</v>
      </c>
      <c r="L100" s="61">
        <f t="shared" si="45"/>
        <v>102.22923998416334</v>
      </c>
      <c r="M100" s="61">
        <f t="shared" si="46"/>
        <v>125.176574534775</v>
      </c>
      <c r="N100" s="61">
        <f t="shared" si="47"/>
        <v>148.12390908538663</v>
      </c>
      <c r="O10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125.17657453477499</v>
      </c>
      <c r="P100" s="101">
        <v>0</v>
      </c>
    </row>
    <row r="101" spans="1:16" x14ac:dyDescent="0.2">
      <c r="A101" s="60">
        <f>IF(TableRBMaster[[#This Row],[Player]]&lt;&gt;0,A100+1,A100)</f>
        <v>67</v>
      </c>
      <c r="B101" s="60">
        <f>MIA!A$11</f>
        <v>0</v>
      </c>
      <c r="C101" s="60" t="s">
        <v>125</v>
      </c>
      <c r="D101" s="60">
        <f>MIA!C$11</f>
        <v>10</v>
      </c>
      <c r="E101" s="61">
        <f>MIA!I$11</f>
        <v>0</v>
      </c>
      <c r="F101" s="61">
        <f>MIA!J$11</f>
        <v>0</v>
      </c>
      <c r="G101" s="61">
        <f>MIA!K$11</f>
        <v>0</v>
      </c>
      <c r="H101" s="61">
        <f>MIA!L$11</f>
        <v>0</v>
      </c>
      <c r="I101" s="61">
        <f>MIA!M$11</f>
        <v>0</v>
      </c>
      <c r="J101" s="61">
        <f>MIA!N$11</f>
        <v>0</v>
      </c>
      <c r="K101" s="61">
        <f>MIA!O$11</f>
        <v>0</v>
      </c>
      <c r="L101" s="61">
        <f t="shared" si="45"/>
        <v>0</v>
      </c>
      <c r="M101" s="61">
        <f t="shared" si="46"/>
        <v>0</v>
      </c>
      <c r="N101" s="61">
        <f t="shared" si="47"/>
        <v>0</v>
      </c>
      <c r="O10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01" s="101">
        <v>0</v>
      </c>
    </row>
    <row r="102" spans="1:16" x14ac:dyDescent="0.2">
      <c r="A102" s="60">
        <f>IF(TableRBMaster[[#This Row],[Player]]&lt;&gt;0,A101+1,A101)</f>
        <v>68</v>
      </c>
      <c r="B102" s="60" t="str">
        <f>MIN!A$7</f>
        <v>Alexander Mattison</v>
      </c>
      <c r="C102" s="60" t="s">
        <v>126</v>
      </c>
      <c r="D102" s="60">
        <f>MIN!C$7</f>
        <v>13</v>
      </c>
      <c r="E102" s="61">
        <f>MIN!I$7</f>
        <v>227.20432503999999</v>
      </c>
      <c r="F102" s="61">
        <f>MIN!J$7</f>
        <v>938.35386241519996</v>
      </c>
      <c r="G102" s="61">
        <f>MIN!K$7</f>
        <v>9.0881730015999995</v>
      </c>
      <c r="H102" s="61">
        <f>MIN!L$7</f>
        <v>39.172795199999989</v>
      </c>
      <c r="I102" s="61">
        <f>MIN!M$7</f>
        <v>30.281067668428712</v>
      </c>
      <c r="J102" s="61">
        <f>MIN!N$7</f>
        <v>208.62430165368994</v>
      </c>
      <c r="K102" s="61">
        <f>MIN!O$7</f>
        <v>1.271804842074006</v>
      </c>
      <c r="L102" s="61">
        <f t="shared" si="45"/>
        <v>176.85768346893303</v>
      </c>
      <c r="M102" s="61">
        <f t="shared" si="46"/>
        <v>191.99821730314738</v>
      </c>
      <c r="N102" s="61">
        <f t="shared" si="47"/>
        <v>207.13875113736174</v>
      </c>
      <c r="O10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191.99821730314738</v>
      </c>
      <c r="P102" s="101">
        <v>52.319014609527478</v>
      </c>
    </row>
    <row r="103" spans="1:16" x14ac:dyDescent="0.2">
      <c r="A103" s="60">
        <f>IF(TableRBMaster[[#This Row],[Player]]&lt;&gt;0,A102+1,A102)</f>
        <v>69</v>
      </c>
      <c r="B103" s="60" t="str">
        <f>MIN!A$8</f>
        <v>Ty Chandler</v>
      </c>
      <c r="C103" s="60" t="s">
        <v>126</v>
      </c>
      <c r="D103" s="60">
        <f>MIN!C$9</f>
        <v>13</v>
      </c>
      <c r="E103" s="61">
        <f>MIN!I$8</f>
        <v>117.43598328000002</v>
      </c>
      <c r="F103" s="61">
        <f>MIN!J$8</f>
        <v>484.14447840238842</v>
      </c>
      <c r="G103" s="61">
        <f>MIN!K$8</f>
        <v>4.5800033479200009</v>
      </c>
      <c r="H103" s="61">
        <f>MIN!L$8</f>
        <v>31.338236159999987</v>
      </c>
      <c r="I103" s="61">
        <f>MIN!M$8</f>
        <v>21.372677061119994</v>
      </c>
      <c r="J103" s="61">
        <f>MIN!N$8</f>
        <v>168.20296847101434</v>
      </c>
      <c r="K103" s="61">
        <f>MIN!O$8</f>
        <v>0.6198076347724798</v>
      </c>
      <c r="L103" s="61">
        <f t="shared" si="45"/>
        <v>96.433610583495167</v>
      </c>
      <c r="M103" s="61">
        <f t="shared" si="46"/>
        <v>107.11994911405516</v>
      </c>
      <c r="N103" s="61">
        <f t="shared" si="47"/>
        <v>117.80628764461517</v>
      </c>
      <c r="O10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107.11994911405516</v>
      </c>
      <c r="P103" s="101">
        <v>0</v>
      </c>
    </row>
    <row r="104" spans="1:16" x14ac:dyDescent="0.2">
      <c r="A104" s="60">
        <f>IF(TableRBMaster[[#This Row],[Player]]&lt;&gt;0,A103+1,A103)</f>
        <v>70</v>
      </c>
      <c r="B104" s="60" t="str">
        <f>MIN!A$9</f>
        <v>Kene Nwangwu</v>
      </c>
      <c r="C104" s="60" t="s">
        <v>126</v>
      </c>
      <c r="D104" s="60">
        <f>MIN!C$8</f>
        <v>13</v>
      </c>
      <c r="E104" s="61">
        <f>MIN!I$9</f>
        <v>28.652765680000002</v>
      </c>
      <c r="F104" s="61">
        <f>MIN!J$9</f>
        <v>113.75147974960001</v>
      </c>
      <c r="G104" s="61">
        <f>MIN!K$9</f>
        <v>1.03149956448</v>
      </c>
      <c r="H104" s="61">
        <f>MIN!L$9</f>
        <v>15.016238159999997</v>
      </c>
      <c r="I104" s="61">
        <f>MIN!M$9</f>
        <v>11.021918809439997</v>
      </c>
      <c r="J104" s="61">
        <f>MIN!N$9</f>
        <v>81.562199189855988</v>
      </c>
      <c r="K104" s="61">
        <f>MIN!O$9</f>
        <v>0.2865698890454399</v>
      </c>
      <c r="L104" s="61">
        <f t="shared" si="45"/>
        <v>27.43978461509824</v>
      </c>
      <c r="M104" s="61">
        <f t="shared" si="46"/>
        <v>32.950744019818238</v>
      </c>
      <c r="N104" s="61">
        <f t="shared" si="47"/>
        <v>38.461703424538236</v>
      </c>
      <c r="O10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32.950744019818238</v>
      </c>
      <c r="P104" s="101">
        <v>0</v>
      </c>
    </row>
    <row r="105" spans="1:16" x14ac:dyDescent="0.2">
      <c r="A105" s="60">
        <f>IF(TableRBMaster[[#This Row],[Player]]&lt;&gt;0,A104+1,A104)</f>
        <v>71</v>
      </c>
      <c r="B105" s="60" t="str">
        <f>MIN!A$10</f>
        <v>Myles Gaskin</v>
      </c>
      <c r="C105" s="60" t="s">
        <v>126</v>
      </c>
      <c r="D105" s="60">
        <f>MIN!C$10</f>
        <v>13</v>
      </c>
      <c r="E105" s="61">
        <f>MIN!I$10</f>
        <v>0</v>
      </c>
      <c r="F105" s="61">
        <f>MIN!J$10</f>
        <v>0</v>
      </c>
      <c r="G105" s="61">
        <f>MIN!K$10</f>
        <v>0</v>
      </c>
      <c r="H105" s="61">
        <f>MIN!L$10</f>
        <v>0</v>
      </c>
      <c r="I105" s="61">
        <f>MIN!M$10</f>
        <v>0</v>
      </c>
      <c r="J105" s="61">
        <f>MIN!N$10</f>
        <v>0</v>
      </c>
      <c r="K105" s="61">
        <f>MIN!O$10</f>
        <v>0</v>
      </c>
      <c r="L105" s="61">
        <f t="shared" si="45"/>
        <v>0</v>
      </c>
      <c r="M105" s="61">
        <f t="shared" si="46"/>
        <v>0</v>
      </c>
      <c r="N105" s="61">
        <f t="shared" si="47"/>
        <v>0</v>
      </c>
      <c r="O10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05" s="101">
        <v>0</v>
      </c>
    </row>
    <row r="106" spans="1:16" x14ac:dyDescent="0.2">
      <c r="A106" s="60">
        <f>IF(TableRBMaster[[#This Row],[Player]]&lt;&gt;0,A105+1,A105)</f>
        <v>71</v>
      </c>
      <c r="B106" s="60">
        <f>MIN!A$11</f>
        <v>0</v>
      </c>
      <c r="C106" s="60" t="s">
        <v>126</v>
      </c>
      <c r="D106" s="60">
        <f>MIN!C$11</f>
        <v>13</v>
      </c>
      <c r="E106" s="61">
        <f>MIN!I$11</f>
        <v>0</v>
      </c>
      <c r="F106" s="61">
        <f>MIN!J$11</f>
        <v>0</v>
      </c>
      <c r="G106" s="61">
        <f>MIN!K$11</f>
        <v>0</v>
      </c>
      <c r="H106" s="61">
        <f>MIN!L$11</f>
        <v>0</v>
      </c>
      <c r="I106" s="61">
        <f>MIN!M$11</f>
        <v>0</v>
      </c>
      <c r="J106" s="61">
        <f>MIN!N$11</f>
        <v>0</v>
      </c>
      <c r="K106" s="61">
        <f>MIN!O$11</f>
        <v>0</v>
      </c>
      <c r="L106" s="61">
        <f t="shared" si="45"/>
        <v>0</v>
      </c>
      <c r="M106" s="61">
        <f t="shared" si="46"/>
        <v>0</v>
      </c>
      <c r="N106" s="61">
        <f t="shared" si="47"/>
        <v>0</v>
      </c>
      <c r="O10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06" s="101">
        <v>0</v>
      </c>
    </row>
    <row r="107" spans="1:16" x14ac:dyDescent="0.2">
      <c r="A107" s="60">
        <f>IF(TableRBMaster[[#This Row],[Player]]&lt;&gt;0,A106+1,A106)</f>
        <v>72</v>
      </c>
      <c r="B107" s="60" t="str">
        <f>NE!A$7</f>
        <v>Rhamondre Stevenson</v>
      </c>
      <c r="C107" s="60" t="s">
        <v>127</v>
      </c>
      <c r="D107" s="60">
        <f>NE!C$7</f>
        <v>11</v>
      </c>
      <c r="E107" s="61">
        <f>NE!I$7</f>
        <v>226.28144924000003</v>
      </c>
      <c r="F107" s="61">
        <f>NE!J$7</f>
        <v>1055.3703652018612</v>
      </c>
      <c r="G107" s="61">
        <f>NE!K$7</f>
        <v>5.430754781760001</v>
      </c>
      <c r="H107" s="61">
        <f>NE!L$7</f>
        <v>72.740298119999977</v>
      </c>
      <c r="I107" s="61">
        <f>NE!M$7</f>
        <v>56.354145229868308</v>
      </c>
      <c r="J107" s="61">
        <f>NE!N$7</f>
        <v>405.18630420275315</v>
      </c>
      <c r="K107" s="61">
        <f>NE!O$7</f>
        <v>2.1414575187349958</v>
      </c>
      <c r="L107" s="61">
        <f t="shared" si="45"/>
        <v>191.48894074343141</v>
      </c>
      <c r="M107" s="61">
        <f t="shared" si="46"/>
        <v>219.66601335836557</v>
      </c>
      <c r="N107" s="61">
        <f t="shared" si="47"/>
        <v>247.84308597329971</v>
      </c>
      <c r="O10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219.66601335836557</v>
      </c>
      <c r="P107" s="101">
        <v>16.241836919688957</v>
      </c>
    </row>
    <row r="108" spans="1:16" x14ac:dyDescent="0.2">
      <c r="A108" s="60">
        <f>IF(TableRBMaster[[#This Row],[Player]]&lt;&gt;0,A107+1,A107)</f>
        <v>73</v>
      </c>
      <c r="B108" s="60" t="str">
        <f>NE!A$8</f>
        <v>Ezekiel Elliott</v>
      </c>
      <c r="C108" s="60" t="s">
        <v>127</v>
      </c>
      <c r="D108" s="60">
        <f>NE!C$9</f>
        <v>11</v>
      </c>
      <c r="E108" s="61">
        <f>NE!I$8</f>
        <v>143.55960416000002</v>
      </c>
      <c r="F108" s="61">
        <f>NE!J$8</f>
        <v>610.12831768000012</v>
      </c>
      <c r="G108" s="61">
        <f>NE!K$8</f>
        <v>7.177980208000001</v>
      </c>
      <c r="H108" s="61">
        <f>NE!L$8</f>
        <v>24.246766039999994</v>
      </c>
      <c r="I108" s="61">
        <f>NE!M$8</f>
        <v>18.621516318719994</v>
      </c>
      <c r="J108" s="61">
        <f>NE!N$8</f>
        <v>124.76415933542397</v>
      </c>
      <c r="K108" s="61">
        <f>NE!O$8</f>
        <v>0.55864548956159976</v>
      </c>
      <c r="L108" s="61">
        <f t="shared" si="45"/>
        <v>119.90900188691201</v>
      </c>
      <c r="M108" s="61">
        <f t="shared" si="46"/>
        <v>129.219760046272</v>
      </c>
      <c r="N108" s="61">
        <f t="shared" si="47"/>
        <v>138.53051820563201</v>
      </c>
      <c r="O10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129.219760046272</v>
      </c>
      <c r="P108" s="101">
        <v>0.42055879671300284</v>
      </c>
    </row>
    <row r="109" spans="1:16" x14ac:dyDescent="0.2">
      <c r="A109" s="60">
        <f>IF(TableRBMaster[[#This Row],[Player]]&lt;&gt;0,A108+1,A108)</f>
        <v>74</v>
      </c>
      <c r="B109" s="60" t="str">
        <f>NE!A$9</f>
        <v>J.J. Taylor</v>
      </c>
      <c r="C109" s="60" t="s">
        <v>127</v>
      </c>
      <c r="D109" s="60">
        <f>NE!C$8</f>
        <v>11</v>
      </c>
      <c r="E109" s="61">
        <f>NE!I$9</f>
        <v>27.573948359999999</v>
      </c>
      <c r="F109" s="61">
        <f>NE!J$9</f>
        <v>114.9833646612</v>
      </c>
      <c r="G109" s="61">
        <f>NE!K$9</f>
        <v>0.93751424424000007</v>
      </c>
      <c r="H109" s="61">
        <f>NE!L$9</f>
        <v>5.6387827999999987</v>
      </c>
      <c r="I109" s="61">
        <f>NE!M$9</f>
        <v>4.3644178871999992</v>
      </c>
      <c r="J109" s="61">
        <f>NE!N$9</f>
        <v>33.169575942719995</v>
      </c>
      <c r="K109" s="61">
        <f>NE!O$9</f>
        <v>8.292393985679998E-2</v>
      </c>
      <c r="L109" s="61">
        <f t="shared" si="45"/>
        <v>20.937923164972801</v>
      </c>
      <c r="M109" s="61">
        <f t="shared" si="46"/>
        <v>23.1201321085728</v>
      </c>
      <c r="N109" s="61">
        <f t="shared" si="47"/>
        <v>25.3023410521728</v>
      </c>
      <c r="O10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23.120132108572804</v>
      </c>
      <c r="P109" s="101">
        <v>0</v>
      </c>
    </row>
    <row r="110" spans="1:16" x14ac:dyDescent="0.2">
      <c r="A110" s="60">
        <f>IF(TableRBMaster[[#This Row],[Player]]&lt;&gt;0,A109+1,A109)</f>
        <v>75</v>
      </c>
      <c r="B110" s="60" t="str">
        <f>NE!A$10</f>
        <v>Ty Montgomery</v>
      </c>
      <c r="C110" s="60" t="s">
        <v>127</v>
      </c>
      <c r="D110" s="60">
        <f>NE!C$10</f>
        <v>11</v>
      </c>
      <c r="E110" s="61">
        <f>NE!I$10</f>
        <v>8.753634400000001</v>
      </c>
      <c r="F110" s="61">
        <f>NE!J$10</f>
        <v>37.465555232000007</v>
      </c>
      <c r="G110" s="61">
        <f>NE!K$10</f>
        <v>0.33263810720000003</v>
      </c>
      <c r="H110" s="61">
        <f>NE!L$10</f>
        <v>18.044104959999995</v>
      </c>
      <c r="I110" s="61">
        <f>NE!M$10</f>
        <v>14.182666498559996</v>
      </c>
      <c r="J110" s="61">
        <f>NE!N$10</f>
        <v>109.20653203891197</v>
      </c>
      <c r="K110" s="61">
        <f>NE!O$10</f>
        <v>0.36874932896255991</v>
      </c>
      <c r="L110" s="61">
        <f t="shared" si="45"/>
        <v>18.875533344066561</v>
      </c>
      <c r="M110" s="61">
        <f t="shared" si="46"/>
        <v>25.966866593346559</v>
      </c>
      <c r="N110" s="61">
        <f t="shared" si="47"/>
        <v>33.058199842626557</v>
      </c>
      <c r="O11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25.966866593346559</v>
      </c>
      <c r="P110" s="101">
        <v>0</v>
      </c>
    </row>
    <row r="111" spans="1:16" x14ac:dyDescent="0.2">
      <c r="A111" s="60">
        <f>IF(TableRBMaster[[#This Row],[Player]]&lt;&gt;0,A110+1,A110)</f>
        <v>75</v>
      </c>
      <c r="B111" s="60">
        <f>NE!A$11</f>
        <v>0</v>
      </c>
      <c r="C111" s="60" t="s">
        <v>127</v>
      </c>
      <c r="D111" s="60">
        <f>NE!C$11</f>
        <v>11</v>
      </c>
      <c r="E111" s="61">
        <f>NE!I$11</f>
        <v>0</v>
      </c>
      <c r="F111" s="61">
        <f>NE!J$11</f>
        <v>0</v>
      </c>
      <c r="G111" s="61">
        <f>NE!K$11</f>
        <v>0</v>
      </c>
      <c r="H111" s="61">
        <f>NE!L$11</f>
        <v>0</v>
      </c>
      <c r="I111" s="61">
        <f>NE!M$11</f>
        <v>0</v>
      </c>
      <c r="J111" s="61">
        <f>NE!N$11</f>
        <v>0</v>
      </c>
      <c r="K111" s="61">
        <f>NE!O$11</f>
        <v>0</v>
      </c>
      <c r="L111" s="61">
        <f t="shared" si="45"/>
        <v>0</v>
      </c>
      <c r="M111" s="61">
        <f t="shared" si="46"/>
        <v>0</v>
      </c>
      <c r="N111" s="61">
        <f t="shared" si="47"/>
        <v>0</v>
      </c>
      <c r="O11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11" s="101">
        <v>0</v>
      </c>
    </row>
    <row r="112" spans="1:16" x14ac:dyDescent="0.2">
      <c r="A112" s="60">
        <f>IF(TableRBMaster[[#This Row],[Player]]&lt;&gt;0,A111+1,A111)</f>
        <v>76</v>
      </c>
      <c r="B112" s="60" t="str">
        <f>NO!A$7</f>
        <v>Alvin Kamara</v>
      </c>
      <c r="C112" s="60" t="s">
        <v>128</v>
      </c>
      <c r="D112" s="60">
        <f>NO!C$7</f>
        <v>11</v>
      </c>
      <c r="E112" s="61">
        <f>NO!I$7</f>
        <v>173.45651119999999</v>
      </c>
      <c r="F112" s="61">
        <f>NO!J$7</f>
        <v>735.45560748800006</v>
      </c>
      <c r="G112" s="61">
        <f>NO!K$7</f>
        <v>5.3771518471999995</v>
      </c>
      <c r="H112" s="61">
        <f>NO!L$7</f>
        <v>63.430362995999992</v>
      </c>
      <c r="I112" s="61">
        <f>NO!M$7</f>
        <v>47.150199389255086</v>
      </c>
      <c r="J112" s="61">
        <f>NO!N$7</f>
        <v>391.8181569247098</v>
      </c>
      <c r="K112" s="61">
        <f>NO!O$7</f>
        <v>2.1217589725164787</v>
      </c>
      <c r="L112" s="61">
        <f t="shared" si="45"/>
        <v>157.72084135956985</v>
      </c>
      <c r="M112" s="61">
        <f t="shared" si="46"/>
        <v>181.29594105419739</v>
      </c>
      <c r="N112" s="61">
        <f t="shared" si="47"/>
        <v>204.87104074882492</v>
      </c>
      <c r="O11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181.29594105419741</v>
      </c>
      <c r="P112" s="101">
        <v>46.235196286398271</v>
      </c>
    </row>
    <row r="113" spans="1:16" x14ac:dyDescent="0.2">
      <c r="A113" s="60">
        <f>IF(TableRBMaster[[#This Row],[Player]]&lt;&gt;0,A112+1,A112)</f>
        <v>77</v>
      </c>
      <c r="B113" s="60" t="str">
        <f>NO!A$8</f>
        <v>Jamaal Williams</v>
      </c>
      <c r="C113" s="60" t="s">
        <v>128</v>
      </c>
      <c r="D113" s="60">
        <f>NO!C$9</f>
        <v>11</v>
      </c>
      <c r="E113" s="61">
        <f>NO!I$8</f>
        <v>157.27921999999998</v>
      </c>
      <c r="F113" s="61">
        <f>NO!J$8</f>
        <v>655.85434739999994</v>
      </c>
      <c r="G113" s="61">
        <f>NO!K$8</f>
        <v>7.0775648999999987</v>
      </c>
      <c r="H113" s="61">
        <f>NO!L$8</f>
        <v>23.58980442</v>
      </c>
      <c r="I113" s="61">
        <f>NO!M$8</f>
        <v>17.384137221835349</v>
      </c>
      <c r="J113" s="61">
        <f>NO!N$8</f>
        <v>112.42315134765735</v>
      </c>
      <c r="K113" s="61">
        <f>NO!O$8</f>
        <v>0.62582893998607247</v>
      </c>
      <c r="L113" s="61">
        <f t="shared" si="45"/>
        <v>123.04811291468215</v>
      </c>
      <c r="M113" s="61">
        <f t="shared" si="46"/>
        <v>131.74018152559984</v>
      </c>
      <c r="N113" s="61">
        <f t="shared" si="47"/>
        <v>140.4322501365175</v>
      </c>
      <c r="O11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131.74018152559984</v>
      </c>
      <c r="P113" s="101">
        <v>5.4452613993322192</v>
      </c>
    </row>
    <row r="114" spans="1:16" x14ac:dyDescent="0.2">
      <c r="A114" s="60">
        <f>IF(TableRBMaster[[#This Row],[Player]]&lt;&gt;0,A113+1,A113)</f>
        <v>78</v>
      </c>
      <c r="B114" s="60" t="str">
        <f>NO!A$9</f>
        <v>Kendre Miller</v>
      </c>
      <c r="C114" s="60" t="s">
        <v>128</v>
      </c>
      <c r="D114" s="60">
        <f>NO!C$8</f>
        <v>11</v>
      </c>
      <c r="E114" s="61">
        <f>NO!I$9</f>
        <v>46.734396799999992</v>
      </c>
      <c r="F114" s="61">
        <f>NO!J$9</f>
        <v>200.10175478939502</v>
      </c>
      <c r="G114" s="61">
        <f>NO!K$9</f>
        <v>1.7291726815999997</v>
      </c>
      <c r="H114" s="61">
        <f>NO!L$9</f>
        <v>16.250754155999999</v>
      </c>
      <c r="I114" s="61">
        <f>NO!M$9</f>
        <v>12.91719083697425</v>
      </c>
      <c r="J114" s="61">
        <f>NO!N$9</f>
        <v>94.605998571977992</v>
      </c>
      <c r="K114" s="61">
        <f>NO!O$9</f>
        <v>0.41335010678317602</v>
      </c>
      <c r="L114" s="61">
        <f t="shared" si="45"/>
        <v>42.325912066436352</v>
      </c>
      <c r="M114" s="61">
        <f t="shared" si="46"/>
        <v>48.784507484923481</v>
      </c>
      <c r="N114" s="61">
        <f t="shared" si="47"/>
        <v>55.243102903410602</v>
      </c>
      <c r="O11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48.784507484923481</v>
      </c>
      <c r="P114" s="101">
        <v>0</v>
      </c>
    </row>
    <row r="115" spans="1:16" x14ac:dyDescent="0.2">
      <c r="A115" s="60">
        <f>IF(TableRBMaster[[#This Row],[Player]]&lt;&gt;0,A114+1,A114)</f>
        <v>78</v>
      </c>
      <c r="B115" s="60">
        <f>NO!A$10</f>
        <v>0</v>
      </c>
      <c r="C115" s="60" t="s">
        <v>128</v>
      </c>
      <c r="D115" s="60">
        <f>NO!C$10</f>
        <v>11</v>
      </c>
      <c r="E115" s="61">
        <f>NO!I$10</f>
        <v>0</v>
      </c>
      <c r="F115" s="61">
        <f>NO!J$10</f>
        <v>0</v>
      </c>
      <c r="G115" s="61">
        <f>NO!K$10</f>
        <v>0</v>
      </c>
      <c r="H115" s="61">
        <f>NO!L$10</f>
        <v>0</v>
      </c>
      <c r="I115" s="61">
        <f>NO!M$10</f>
        <v>0</v>
      </c>
      <c r="J115" s="61">
        <f>NO!N$10</f>
        <v>0</v>
      </c>
      <c r="K115" s="61">
        <f>NO!O$10</f>
        <v>0</v>
      </c>
      <c r="L115" s="61">
        <f t="shared" si="45"/>
        <v>0</v>
      </c>
      <c r="M115" s="61">
        <f t="shared" si="46"/>
        <v>0</v>
      </c>
      <c r="N115" s="61">
        <f t="shared" si="47"/>
        <v>0</v>
      </c>
      <c r="O11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15" s="101">
        <v>0</v>
      </c>
    </row>
    <row r="116" spans="1:16" x14ac:dyDescent="0.2">
      <c r="A116" s="60">
        <f>IF(TableRBMaster[[#This Row],[Player]]&lt;&gt;0,A115+1,A115)</f>
        <v>78</v>
      </c>
      <c r="B116" s="60">
        <f>NO!A$11</f>
        <v>0</v>
      </c>
      <c r="C116" s="60" t="s">
        <v>128</v>
      </c>
      <c r="D116" s="60">
        <f>NO!C$11</f>
        <v>11</v>
      </c>
      <c r="E116" s="61">
        <f>NO!I$11</f>
        <v>0</v>
      </c>
      <c r="F116" s="61">
        <f>NO!J$11</f>
        <v>0</v>
      </c>
      <c r="G116" s="61">
        <f>NO!K$11</f>
        <v>0</v>
      </c>
      <c r="H116" s="61">
        <f>NO!L$11</f>
        <v>0</v>
      </c>
      <c r="I116" s="61">
        <f>NO!M$11</f>
        <v>0</v>
      </c>
      <c r="J116" s="61">
        <f>NO!N$11</f>
        <v>0</v>
      </c>
      <c r="K116" s="61">
        <f>NO!O$11</f>
        <v>0</v>
      </c>
      <c r="L116" s="61">
        <f t="shared" si="45"/>
        <v>0</v>
      </c>
      <c r="M116" s="61">
        <f t="shared" si="46"/>
        <v>0</v>
      </c>
      <c r="N116" s="61">
        <f t="shared" si="47"/>
        <v>0</v>
      </c>
      <c r="O11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16" s="101">
        <v>0</v>
      </c>
    </row>
    <row r="117" spans="1:16" x14ac:dyDescent="0.2">
      <c r="A117" s="60">
        <f>IF(TableRBMaster[[#This Row],[Player]]&lt;&gt;0,A116+1,A116)</f>
        <v>79</v>
      </c>
      <c r="B117" s="60" t="str">
        <f>NYG!A$7</f>
        <v>Saquon Barkley</v>
      </c>
      <c r="C117" s="60" t="s">
        <v>129</v>
      </c>
      <c r="D117" s="60">
        <f>NYG!C$7</f>
        <v>13</v>
      </c>
      <c r="E117" s="61">
        <f>NYG!I$7</f>
        <v>280.40050178000001</v>
      </c>
      <c r="F117" s="61">
        <f>NYG!J$7</f>
        <v>1222.2939505946047</v>
      </c>
      <c r="G117" s="61">
        <f>NYG!K$7</f>
        <v>9.7591637255991657</v>
      </c>
      <c r="H117" s="61">
        <f>NYG!L$7</f>
        <v>76.224031520000011</v>
      </c>
      <c r="I117" s="61">
        <f>NYG!M$7</f>
        <v>55.988812987558781</v>
      </c>
      <c r="J117" s="61">
        <f>NYG!N$7</f>
        <v>379.09228897605504</v>
      </c>
      <c r="K117" s="61">
        <f>NYG!O$7</f>
        <v>1.7916420156018811</v>
      </c>
      <c r="L117" s="61">
        <f t="shared" si="45"/>
        <v>229.44345840427226</v>
      </c>
      <c r="M117" s="61">
        <f t="shared" si="46"/>
        <v>257.43786489805166</v>
      </c>
      <c r="N117" s="61">
        <f t="shared" si="47"/>
        <v>285.43227139183102</v>
      </c>
      <c r="O11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257.43786489805166</v>
      </c>
      <c r="P117" s="101">
        <v>43.954818451247363</v>
      </c>
    </row>
    <row r="118" spans="1:16" x14ac:dyDescent="0.2">
      <c r="A118" s="60">
        <f>IF(TableRBMaster[[#This Row],[Player]]&lt;&gt;0,A117+1,A117)</f>
        <v>80</v>
      </c>
      <c r="B118" s="60" t="str">
        <f>NYG!A$8</f>
        <v>Matt Breida</v>
      </c>
      <c r="C118" s="60" t="s">
        <v>129</v>
      </c>
      <c r="D118" s="60">
        <f>NYG!C$9</f>
        <v>13</v>
      </c>
      <c r="E118" s="61">
        <f>NYG!I$8</f>
        <v>57.946163239999997</v>
      </c>
      <c r="F118" s="61">
        <f>NYG!J$8</f>
        <v>249.16850193199997</v>
      </c>
      <c r="G118" s="61">
        <f>NYG!K$8</f>
        <v>1.91222338692</v>
      </c>
      <c r="H118" s="61">
        <f>NYG!L$8</f>
        <v>20.176949519999997</v>
      </c>
      <c r="I118" s="61">
        <f>NYG!M$8</f>
        <v>15.078185128823934</v>
      </c>
      <c r="J118" s="61">
        <f>NYG!N$8</f>
        <v>101.70998161344625</v>
      </c>
      <c r="K118" s="61">
        <f>NYG!O$8</f>
        <v>0.39203281334942225</v>
      </c>
      <c r="L118" s="61">
        <f t="shared" si="45"/>
        <v>48.913385556161153</v>
      </c>
      <c r="M118" s="61">
        <f t="shared" si="46"/>
        <v>56.452478120573119</v>
      </c>
      <c r="N118" s="61">
        <f t="shared" si="47"/>
        <v>63.991570684985085</v>
      </c>
      <c r="O11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56.452478120573126</v>
      </c>
      <c r="P118" s="101">
        <v>0</v>
      </c>
    </row>
    <row r="119" spans="1:16" x14ac:dyDescent="0.2">
      <c r="A119" s="60">
        <f>IF(TableRBMaster[[#This Row],[Player]]&lt;&gt;0,A118+1,A118)</f>
        <v>81</v>
      </c>
      <c r="B119" s="60" t="str">
        <f>NYG!A$9</f>
        <v>Eric Gray</v>
      </c>
      <c r="C119" s="60" t="s">
        <v>129</v>
      </c>
      <c r="D119" s="60">
        <f>NYG!C$8</f>
        <v>13</v>
      </c>
      <c r="E119" s="61">
        <f>NYG!I$9</f>
        <v>36.339119320000002</v>
      </c>
      <c r="F119" s="61">
        <f>NYG!J$9</f>
        <v>154.59056286711601</v>
      </c>
      <c r="G119" s="61">
        <f>NYG!K$9</f>
        <v>1.1628518182400001</v>
      </c>
      <c r="H119" s="61">
        <f>NYG!L$9</f>
        <v>12.890828859999999</v>
      </c>
      <c r="I119" s="61">
        <f>NYG!M$9</f>
        <v>9.4078429454891932</v>
      </c>
      <c r="J119" s="61">
        <f>NYG!N$9</f>
        <v>65.478586900604782</v>
      </c>
      <c r="K119" s="61">
        <f>NYG!O$9</f>
        <v>0.26341960247369739</v>
      </c>
      <c r="L119" s="61">
        <f t="shared" si="45"/>
        <v>30.564543501054263</v>
      </c>
      <c r="M119" s="61">
        <f t="shared" si="46"/>
        <v>35.268464973798856</v>
      </c>
      <c r="N119" s="61">
        <f t="shared" si="47"/>
        <v>39.972386446543453</v>
      </c>
      <c r="O11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35.268464973798864</v>
      </c>
      <c r="P119" s="101">
        <v>0</v>
      </c>
    </row>
    <row r="120" spans="1:16" x14ac:dyDescent="0.2">
      <c r="A120" s="60">
        <f>IF(TableRBMaster[[#This Row],[Player]]&lt;&gt;0,A119+1,A119)</f>
        <v>81</v>
      </c>
      <c r="B120" s="60">
        <f>NYG!A$10</f>
        <v>0</v>
      </c>
      <c r="C120" s="60" t="s">
        <v>129</v>
      </c>
      <c r="D120" s="60">
        <f>NYG!C$10</f>
        <v>13</v>
      </c>
      <c r="E120" s="61">
        <f>NYG!I$10</f>
        <v>0</v>
      </c>
      <c r="F120" s="61">
        <f>NYG!J$10</f>
        <v>0</v>
      </c>
      <c r="G120" s="61">
        <f>NYG!K$10</f>
        <v>0</v>
      </c>
      <c r="H120" s="61">
        <f>NYG!L$10</f>
        <v>0</v>
      </c>
      <c r="I120" s="61">
        <f>NYG!M$10</f>
        <v>0</v>
      </c>
      <c r="J120" s="61">
        <f>NYG!N$10</f>
        <v>0</v>
      </c>
      <c r="K120" s="61">
        <f>NYG!O$10</f>
        <v>0</v>
      </c>
      <c r="L120" s="61">
        <f t="shared" si="45"/>
        <v>0</v>
      </c>
      <c r="M120" s="61">
        <f t="shared" si="46"/>
        <v>0</v>
      </c>
      <c r="N120" s="61">
        <f t="shared" si="47"/>
        <v>0</v>
      </c>
      <c r="O12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20" s="101">
        <v>0</v>
      </c>
    </row>
    <row r="121" spans="1:16" x14ac:dyDescent="0.2">
      <c r="A121" s="60">
        <f>IF(TableRBMaster[[#This Row],[Player]]&lt;&gt;0,A120+1,A120)</f>
        <v>81</v>
      </c>
      <c r="B121" s="60">
        <f>NYG!A$11</f>
        <v>0</v>
      </c>
      <c r="C121" s="60" t="s">
        <v>129</v>
      </c>
      <c r="D121" s="60">
        <f>NYG!C$11</f>
        <v>13</v>
      </c>
      <c r="E121" s="61">
        <f>NYG!I$11</f>
        <v>0</v>
      </c>
      <c r="F121" s="61">
        <f>NYG!J$11</f>
        <v>0</v>
      </c>
      <c r="G121" s="61">
        <f>NYG!K$11</f>
        <v>0</v>
      </c>
      <c r="H121" s="61">
        <f>NYG!L$11</f>
        <v>0</v>
      </c>
      <c r="I121" s="61">
        <f>NYG!M$11</f>
        <v>0</v>
      </c>
      <c r="J121" s="61">
        <f>NYG!N$11</f>
        <v>0</v>
      </c>
      <c r="K121" s="61">
        <f>NYG!O$11</f>
        <v>0</v>
      </c>
      <c r="L121" s="61">
        <f t="shared" si="45"/>
        <v>0</v>
      </c>
      <c r="M121" s="61">
        <f t="shared" si="46"/>
        <v>0</v>
      </c>
      <c r="N121" s="61">
        <f t="shared" si="47"/>
        <v>0</v>
      </c>
      <c r="O12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21" s="101">
        <v>0</v>
      </c>
    </row>
    <row r="122" spans="1:16" x14ac:dyDescent="0.2">
      <c r="A122" s="60">
        <f>IF(TableRBMaster[[#This Row],[Player]]&lt;&gt;0,A121+1,A121)</f>
        <v>82</v>
      </c>
      <c r="B122" s="60" t="str">
        <f>NYJ!A$7</f>
        <v>Breece Hall</v>
      </c>
      <c r="C122" s="60" t="s">
        <v>130</v>
      </c>
      <c r="D122" s="60">
        <f>NYJ!C$7</f>
        <v>7</v>
      </c>
      <c r="E122" s="61">
        <f>NYJ!I$7</f>
        <v>174.69354639593911</v>
      </c>
      <c r="F122" s="61">
        <f>NYJ!J$7</f>
        <v>796.60257156548232</v>
      </c>
      <c r="G122" s="61">
        <f>NYJ!K$7</f>
        <v>7.3371289486294433</v>
      </c>
      <c r="H122" s="61">
        <f>NYJ!L$7</f>
        <v>51.722552699999994</v>
      </c>
      <c r="I122" s="61">
        <f>NYJ!M$7</f>
        <v>37.395405602099991</v>
      </c>
      <c r="J122" s="61">
        <f>NYJ!N$7</f>
        <v>304.88295483841551</v>
      </c>
      <c r="K122" s="61">
        <f>NYJ!O$7</f>
        <v>1.9071656857070995</v>
      </c>
      <c r="L122" s="61">
        <f t="shared" si="45"/>
        <v>165.61432044640904</v>
      </c>
      <c r="M122" s="61">
        <f t="shared" si="46"/>
        <v>184.31202324745902</v>
      </c>
      <c r="N122" s="61">
        <f t="shared" si="47"/>
        <v>203.00972604850904</v>
      </c>
      <c r="O12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184.31202324745902</v>
      </c>
      <c r="P122" s="101">
        <v>18.18702898521515</v>
      </c>
    </row>
    <row r="123" spans="1:16" x14ac:dyDescent="0.2">
      <c r="A123" s="60">
        <f>IF(TableRBMaster[[#This Row],[Player]]&lt;&gt;0,A122+1,A122)</f>
        <v>83</v>
      </c>
      <c r="B123" s="60" t="str">
        <f>NYJ!A$8</f>
        <v>Dalvin Cook</v>
      </c>
      <c r="C123" s="60" t="s">
        <v>130</v>
      </c>
      <c r="D123" s="60">
        <f>NYJ!C$9</f>
        <v>7</v>
      </c>
      <c r="E123" s="61">
        <f>NYJ!I$8</f>
        <v>180.25976233502541</v>
      </c>
      <c r="F123" s="61">
        <f>NYJ!J$8</f>
        <v>787.73516140406105</v>
      </c>
      <c r="G123" s="61">
        <f>NYJ!K$8</f>
        <v>6.6696112063959401</v>
      </c>
      <c r="H123" s="61">
        <f>NYJ!L$8</f>
        <v>40.426822800000004</v>
      </c>
      <c r="I123" s="61">
        <f>NYJ!M$8</f>
        <v>28.339202782800001</v>
      </c>
      <c r="J123" s="61">
        <f>NYJ!N$8</f>
        <v>207.15957234226801</v>
      </c>
      <c r="K123" s="61">
        <f>NYJ!O$8</f>
        <v>1.0768897057464</v>
      </c>
      <c r="L123" s="61">
        <f t="shared" si="45"/>
        <v>145.96847884748695</v>
      </c>
      <c r="M123" s="61">
        <f t="shared" si="46"/>
        <v>160.13808023888694</v>
      </c>
      <c r="N123" s="61">
        <f t="shared" si="47"/>
        <v>174.30768163028694</v>
      </c>
      <c r="O12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160.13808023888697</v>
      </c>
      <c r="P123" s="101">
        <v>0</v>
      </c>
    </row>
    <row r="124" spans="1:16" x14ac:dyDescent="0.2">
      <c r="A124" s="60">
        <f>IF(TableRBMaster[[#This Row],[Player]]&lt;&gt;0,A123+1,A123)</f>
        <v>84</v>
      </c>
      <c r="B124" s="60" t="str">
        <f>NYJ!A$9</f>
        <v>Michael Carter</v>
      </c>
      <c r="C124" s="60" t="s">
        <v>130</v>
      </c>
      <c r="D124" s="60">
        <f>NYJ!C$8</f>
        <v>7</v>
      </c>
      <c r="E124" s="61">
        <f>NYJ!I$9</f>
        <v>23.121204670050762</v>
      </c>
      <c r="F124" s="61">
        <f>NYJ!J$9</f>
        <v>97.109059614213209</v>
      </c>
      <c r="G124" s="61">
        <f>NYJ!K$9</f>
        <v>0.7167573447715736</v>
      </c>
      <c r="H124" s="61">
        <f>NYJ!L$9</f>
        <v>20.213411400000002</v>
      </c>
      <c r="I124" s="61">
        <f>NYJ!M$9</f>
        <v>14.755790322000001</v>
      </c>
      <c r="J124" s="61">
        <f>NYJ!N$9</f>
        <v>120.9974806404</v>
      </c>
      <c r="K124" s="61">
        <f>NYJ!O$9</f>
        <v>0.50169687094800008</v>
      </c>
      <c r="L124" s="61">
        <f t="shared" si="45"/>
        <v>29.121379319778764</v>
      </c>
      <c r="M124" s="61">
        <f t="shared" si="46"/>
        <v>36.499274480778766</v>
      </c>
      <c r="N124" s="61">
        <f t="shared" si="47"/>
        <v>43.877169641778764</v>
      </c>
      <c r="O12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36.499274480778766</v>
      </c>
      <c r="P124" s="101">
        <v>0</v>
      </c>
    </row>
    <row r="125" spans="1:16" x14ac:dyDescent="0.2">
      <c r="A125" s="60">
        <f>IF(TableRBMaster[[#This Row],[Player]]&lt;&gt;0,A124+1,A124)</f>
        <v>85</v>
      </c>
      <c r="B125" s="60" t="str">
        <f>NYJ!A$10</f>
        <v>Israel Abanikanda</v>
      </c>
      <c r="C125" s="60" t="s">
        <v>130</v>
      </c>
      <c r="D125" s="60">
        <f>NYJ!C$10</f>
        <v>7</v>
      </c>
      <c r="E125" s="61">
        <f>NYJ!I$10</f>
        <v>5.1380454822335029</v>
      </c>
      <c r="F125" s="61">
        <f>NYJ!J$10</f>
        <v>21.68255193502538</v>
      </c>
      <c r="G125" s="61">
        <f>NYJ!K$10</f>
        <v>0.15414136446700508</v>
      </c>
      <c r="H125" s="61">
        <f>NYJ!L$10</f>
        <v>7.7286572999999992</v>
      </c>
      <c r="I125" s="61">
        <f>NYJ!M$10</f>
        <v>5.5569045986999992</v>
      </c>
      <c r="J125" s="61">
        <f>NYJ!N$10</f>
        <v>44.121822513677998</v>
      </c>
      <c r="K125" s="61">
        <f>NYJ!O$10</f>
        <v>0.17782094715839997</v>
      </c>
      <c r="L125" s="61">
        <f t="shared" si="45"/>
        <v>8.5722113146227681</v>
      </c>
      <c r="M125" s="61">
        <f t="shared" si="46"/>
        <v>11.350663613972767</v>
      </c>
      <c r="N125" s="61">
        <f t="shared" si="47"/>
        <v>14.129115913322767</v>
      </c>
      <c r="O12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11.350663613972769</v>
      </c>
      <c r="P125" s="101">
        <v>0</v>
      </c>
    </row>
    <row r="126" spans="1:16" x14ac:dyDescent="0.2">
      <c r="A126" s="60">
        <f>IF(TableRBMaster[[#This Row],[Player]]&lt;&gt;0,A125+1,A125)</f>
        <v>85</v>
      </c>
      <c r="B126" s="60">
        <f>NYJ!A$11</f>
        <v>0</v>
      </c>
      <c r="C126" s="60" t="s">
        <v>130</v>
      </c>
      <c r="D126" s="60">
        <f>NYJ!C$11</f>
        <v>7</v>
      </c>
      <c r="E126" s="61">
        <f>NYJ!I$11</f>
        <v>0</v>
      </c>
      <c r="F126" s="61">
        <f>NYJ!J$11</f>
        <v>0</v>
      </c>
      <c r="G126" s="61">
        <f>NYJ!K$11</f>
        <v>0</v>
      </c>
      <c r="H126" s="61">
        <f>NYJ!L$11</f>
        <v>0</v>
      </c>
      <c r="I126" s="61">
        <f>NYJ!M$11</f>
        <v>0</v>
      </c>
      <c r="J126" s="61">
        <f>NYJ!N$11</f>
        <v>0</v>
      </c>
      <c r="K126" s="61">
        <f>NYJ!O$11</f>
        <v>0</v>
      </c>
      <c r="L126" s="61">
        <f t="shared" si="45"/>
        <v>0</v>
      </c>
      <c r="M126" s="61">
        <f t="shared" si="46"/>
        <v>0</v>
      </c>
      <c r="N126" s="61">
        <f t="shared" si="47"/>
        <v>0</v>
      </c>
      <c r="O12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26" s="101">
        <v>0</v>
      </c>
    </row>
    <row r="127" spans="1:16" x14ac:dyDescent="0.2">
      <c r="A127" s="60">
        <f>IF(TableRBMaster[[#This Row],[Player]]&lt;&gt;0,A126+1,A126)</f>
        <v>86</v>
      </c>
      <c r="B127" s="60" t="str">
        <f>PHI!A$7</f>
        <v>D'Andre Swift</v>
      </c>
      <c r="C127" s="60" t="s">
        <v>132</v>
      </c>
      <c r="D127" s="60">
        <f>PHI!C$7</f>
        <v>10</v>
      </c>
      <c r="E127" s="61">
        <f>PHI!I$7</f>
        <v>128.75134356000001</v>
      </c>
      <c r="F127" s="61">
        <f>PHI!J$7</f>
        <v>621.86898939480011</v>
      </c>
      <c r="G127" s="61">
        <f>PHI!K$7</f>
        <v>5.0213023988400005</v>
      </c>
      <c r="H127" s="61">
        <f>PHI!L$7</f>
        <v>55.878163319999992</v>
      </c>
      <c r="I127" s="61">
        <f>PHI!M$7</f>
        <v>40.591589221464709</v>
      </c>
      <c r="J127" s="61">
        <f>PHI!N$7</f>
        <v>325.53067163598297</v>
      </c>
      <c r="K127" s="61">
        <f>PHI!O$7</f>
        <v>2.2325374071805588</v>
      </c>
      <c r="L127" s="61">
        <f t="shared" si="45"/>
        <v>138.26300493920166</v>
      </c>
      <c r="M127" s="61">
        <f t="shared" si="46"/>
        <v>158.55879954993401</v>
      </c>
      <c r="N127" s="61">
        <f t="shared" si="47"/>
        <v>178.85459416066638</v>
      </c>
      <c r="O12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158.55879954993404</v>
      </c>
      <c r="P127" s="101">
        <v>22.128522326878127</v>
      </c>
    </row>
    <row r="128" spans="1:16" x14ac:dyDescent="0.2">
      <c r="A128" s="60">
        <f>IF(TableRBMaster[[#This Row],[Player]]&lt;&gt;0,A127+1,A127)</f>
        <v>87</v>
      </c>
      <c r="B128" s="60" t="str">
        <f>PHI!A$8</f>
        <v>Rashaad Penny</v>
      </c>
      <c r="C128" s="60" t="s">
        <v>132</v>
      </c>
      <c r="D128" s="60">
        <f>PHI!C$9</f>
        <v>10</v>
      </c>
      <c r="E128" s="61">
        <f>PHI!I$8</f>
        <v>119.51817948000001</v>
      </c>
      <c r="F128" s="61">
        <f>PHI!J$8</f>
        <v>573.68726150400005</v>
      </c>
      <c r="G128" s="61">
        <f>PHI!K$8</f>
        <v>4.5416908202400004</v>
      </c>
      <c r="H128" s="61">
        <f>PHI!L$8</f>
        <v>32.007879959999997</v>
      </c>
      <c r="I128" s="61">
        <f>PHI!M$8</f>
        <v>20.694336091823089</v>
      </c>
      <c r="J128" s="61">
        <f>PHI!N$8</f>
        <v>151.9318988254019</v>
      </c>
      <c r="K128" s="61">
        <f>PHI!O$8</f>
        <v>0.99332813240750828</v>
      </c>
      <c r="L128" s="61">
        <f t="shared" si="45"/>
        <v>105.77202974882525</v>
      </c>
      <c r="M128" s="61">
        <f t="shared" si="46"/>
        <v>116.11919779473679</v>
      </c>
      <c r="N128" s="61">
        <f t="shared" si="47"/>
        <v>126.46636584064834</v>
      </c>
      <c r="O12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116.11919779473679</v>
      </c>
      <c r="P128" s="101">
        <v>0</v>
      </c>
    </row>
    <row r="129" spans="1:16" x14ac:dyDescent="0.2">
      <c r="A129" s="60">
        <f>IF(TableRBMaster[[#This Row],[Player]]&lt;&gt;0,A128+1,A128)</f>
        <v>88</v>
      </c>
      <c r="B129" s="60" t="str">
        <f>PHI!A$9</f>
        <v>Kenneth Gainwell</v>
      </c>
      <c r="C129" s="60" t="s">
        <v>132</v>
      </c>
      <c r="D129" s="60">
        <f>PHI!C$8</f>
        <v>10</v>
      </c>
      <c r="E129" s="61">
        <f>PHI!I$9</f>
        <v>100.53889776000001</v>
      </c>
      <c r="F129" s="61">
        <f>PHI!J$9</f>
        <v>457.45198480800002</v>
      </c>
      <c r="G129" s="61">
        <f>PHI!K$9</f>
        <v>3.8204781148800002</v>
      </c>
      <c r="H129" s="61">
        <f>PHI!L$9</f>
        <v>28.752841319999998</v>
      </c>
      <c r="I129" s="61">
        <f>PHI!M$9</f>
        <v>21.277102576799997</v>
      </c>
      <c r="J129" s="61">
        <f>PHI!N$9</f>
        <v>159.57826932599997</v>
      </c>
      <c r="K129" s="61">
        <f>PHI!O$9</f>
        <v>1.0000238211096</v>
      </c>
      <c r="L129" s="61">
        <f t="shared" si="45"/>
        <v>90.62603702933761</v>
      </c>
      <c r="M129" s="61">
        <f t="shared" si="46"/>
        <v>101.2645883177376</v>
      </c>
      <c r="N129" s="61">
        <f t="shared" si="47"/>
        <v>111.90313960613761</v>
      </c>
      <c r="O12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101.2645883177376</v>
      </c>
      <c r="P129" s="101">
        <v>0</v>
      </c>
    </row>
    <row r="130" spans="1:16" x14ac:dyDescent="0.2">
      <c r="A130" s="60">
        <f>IF(TableRBMaster[[#This Row],[Player]]&lt;&gt;0,A129+1,A129)</f>
        <v>89</v>
      </c>
      <c r="B130" s="60" t="str">
        <f>PHI!A$10</f>
        <v>Boston Scott</v>
      </c>
      <c r="C130" s="60" t="s">
        <v>132</v>
      </c>
      <c r="D130" s="60">
        <f>PHI!C$10</f>
        <v>10</v>
      </c>
      <c r="E130" s="61">
        <f>PHI!I$10</f>
        <v>17.953374600000004</v>
      </c>
      <c r="F130" s="61">
        <f>PHI!J$10</f>
        <v>75.763240812000006</v>
      </c>
      <c r="G130" s="61">
        <f>PHI!K$10</f>
        <v>0.86176198080000022</v>
      </c>
      <c r="H130" s="61">
        <f>PHI!L$10</f>
        <v>5.4250643999999992</v>
      </c>
      <c r="I130" s="61">
        <f>PHI!M$10</f>
        <v>3.8818224335214815</v>
      </c>
      <c r="J130" s="61">
        <f>PHI!N$10</f>
        <v>26.008210304593927</v>
      </c>
      <c r="K130" s="61">
        <f>PHI!O$10</f>
        <v>0.11645467300564444</v>
      </c>
      <c r="L130" s="61">
        <f t="shared" si="45"/>
        <v>16.04644503449326</v>
      </c>
      <c r="M130" s="61">
        <f t="shared" si="46"/>
        <v>17.987356251253999</v>
      </c>
      <c r="N130" s="61">
        <f t="shared" si="47"/>
        <v>19.928267468014742</v>
      </c>
      <c r="O13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17.987356251254003</v>
      </c>
      <c r="P130" s="101">
        <v>0</v>
      </c>
    </row>
    <row r="131" spans="1:16" x14ac:dyDescent="0.2">
      <c r="A131" s="60">
        <f>IF(TableRBMaster[[#This Row],[Player]]&lt;&gt;0,A130+1,A130)</f>
        <v>89</v>
      </c>
      <c r="B131" s="60">
        <f>PHI!A$11</f>
        <v>0</v>
      </c>
      <c r="C131" s="60" t="s">
        <v>132</v>
      </c>
      <c r="D131" s="60">
        <f>PHI!C$11</f>
        <v>10</v>
      </c>
      <c r="E131" s="61">
        <f>PHI!I$11</f>
        <v>0</v>
      </c>
      <c r="F131" s="61">
        <f>PHI!J$11</f>
        <v>0</v>
      </c>
      <c r="G131" s="61">
        <f>PHI!K$11</f>
        <v>0</v>
      </c>
      <c r="H131" s="61">
        <f>PHI!L$11</f>
        <v>0</v>
      </c>
      <c r="I131" s="61">
        <f>PHI!M$11</f>
        <v>0</v>
      </c>
      <c r="J131" s="61">
        <f>PHI!N$11</f>
        <v>0</v>
      </c>
      <c r="K131" s="61">
        <f>PHI!O$11</f>
        <v>0</v>
      </c>
      <c r="L131" s="61">
        <f t="shared" si="45"/>
        <v>0</v>
      </c>
      <c r="M131" s="61">
        <f t="shared" si="46"/>
        <v>0</v>
      </c>
      <c r="N131" s="61">
        <f t="shared" si="47"/>
        <v>0</v>
      </c>
      <c r="O13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31" s="101">
        <v>0</v>
      </c>
    </row>
    <row r="132" spans="1:16" x14ac:dyDescent="0.2">
      <c r="A132" s="60">
        <f>IF(TableRBMaster[[#This Row],[Player]]&lt;&gt;0,A131+1,A131)</f>
        <v>90</v>
      </c>
      <c r="B132" s="60" t="str">
        <f>PIT!A$7</f>
        <v>Najee Harris</v>
      </c>
      <c r="C132" s="60" t="s">
        <v>133</v>
      </c>
      <c r="D132" s="60">
        <f>PIT!C$7</f>
        <v>6</v>
      </c>
      <c r="E132" s="61">
        <f>PIT!I$7</f>
        <v>274.78846709999993</v>
      </c>
      <c r="F132" s="61">
        <f>PIT!J$7</f>
        <v>1099.1538683999997</v>
      </c>
      <c r="G132" s="61">
        <f>PIT!K$7</f>
        <v>8.5184424800999974</v>
      </c>
      <c r="H132" s="61">
        <f>PIT!L$7</f>
        <v>53.676447300000007</v>
      </c>
      <c r="I132" s="61">
        <f>PIT!M$7</f>
        <v>40.827308698376712</v>
      </c>
      <c r="J132" s="61">
        <f>PIT!N$7</f>
        <v>257.34172872678101</v>
      </c>
      <c r="K132" s="61">
        <f>PIT!O$7</f>
        <v>1.5106104218399383</v>
      </c>
      <c r="L132" s="61">
        <f t="shared" si="45"/>
        <v>195.82387712431768</v>
      </c>
      <c r="M132" s="61">
        <f t="shared" si="46"/>
        <v>216.23753147350604</v>
      </c>
      <c r="N132" s="61">
        <f t="shared" si="47"/>
        <v>236.6511858226944</v>
      </c>
      <c r="O13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216.23753147350604</v>
      </c>
      <c r="P132" s="101">
        <v>37.568835049776624</v>
      </c>
    </row>
    <row r="133" spans="1:16" x14ac:dyDescent="0.2">
      <c r="A133" s="60">
        <f>IF(TableRBMaster[[#This Row],[Player]]&lt;&gt;0,A132+1,A132)</f>
        <v>91</v>
      </c>
      <c r="B133" s="60" t="str">
        <f>PIT!A$8</f>
        <v>Jaylen Warren</v>
      </c>
      <c r="C133" s="60" t="s">
        <v>133</v>
      </c>
      <c r="D133" s="60">
        <f>PIT!C$9</f>
        <v>6</v>
      </c>
      <c r="E133" s="61">
        <f>PIT!I$8</f>
        <v>116.63347499999999</v>
      </c>
      <c r="F133" s="61">
        <f>PIT!J$8</f>
        <v>496.85860349999996</v>
      </c>
      <c r="G133" s="61">
        <f>PIT!K$8</f>
        <v>4.4320720499999995</v>
      </c>
      <c r="H133" s="61">
        <f>PIT!L$8</f>
        <v>43.287457500000002</v>
      </c>
      <c r="I133" s="61">
        <f>PIT!M$8</f>
        <v>33.00885793364229</v>
      </c>
      <c r="J133" s="61">
        <f>PIT!N$8</f>
        <v>241.98048301593931</v>
      </c>
      <c r="K133" s="61">
        <f>PIT!O$8</f>
        <v>1.4193808911466184</v>
      </c>
      <c r="L133" s="61">
        <f t="shared" si="45"/>
        <v>108.99262629847364</v>
      </c>
      <c r="M133" s="61">
        <f t="shared" si="46"/>
        <v>125.49705526529479</v>
      </c>
      <c r="N133" s="61">
        <f t="shared" si="47"/>
        <v>142.00148423211593</v>
      </c>
      <c r="O13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125.49705526529478</v>
      </c>
      <c r="P133" s="101">
        <v>0</v>
      </c>
    </row>
    <row r="134" spans="1:16" x14ac:dyDescent="0.2">
      <c r="A134" s="60">
        <f>IF(TableRBMaster[[#This Row],[Player]]&lt;&gt;0,A133+1,A133)</f>
        <v>92</v>
      </c>
      <c r="B134" s="60" t="str">
        <f>PIT!A$9</f>
        <v>Anthony McFarland</v>
      </c>
      <c r="C134" s="60" t="s">
        <v>133</v>
      </c>
      <c r="D134" s="60">
        <f>PIT!C$8</f>
        <v>6</v>
      </c>
      <c r="E134" s="61">
        <f>PIT!I$9</f>
        <v>14.929084799999998</v>
      </c>
      <c r="F134" s="61">
        <f>PIT!J$9</f>
        <v>57.92484902399999</v>
      </c>
      <c r="G134" s="61">
        <f>PIT!K$9</f>
        <v>0.38815620479999996</v>
      </c>
      <c r="H134" s="61">
        <f>PIT!L$9</f>
        <v>5.7716609999999999</v>
      </c>
      <c r="I134" s="61">
        <f>PIT!M$9</f>
        <v>4.0401626999999998</v>
      </c>
      <c r="J134" s="61">
        <f>PIT!N$9</f>
        <v>26.261057549999997</v>
      </c>
      <c r="K134" s="61">
        <f>PIT!O$9</f>
        <v>8.4843416700000007E-2</v>
      </c>
      <c r="L134" s="61">
        <f t="shared" si="45"/>
        <v>11.256588386399999</v>
      </c>
      <c r="M134" s="61">
        <f t="shared" si="46"/>
        <v>13.276669736399999</v>
      </c>
      <c r="N134" s="61">
        <f t="shared" si="47"/>
        <v>15.296751086399999</v>
      </c>
      <c r="O13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13.276669736399999</v>
      </c>
      <c r="P134" s="101">
        <v>0</v>
      </c>
    </row>
    <row r="135" spans="1:16" x14ac:dyDescent="0.2">
      <c r="A135" s="60">
        <f>IF(TableRBMaster[[#This Row],[Player]]&lt;&gt;0,A134+1,A134)</f>
        <v>92</v>
      </c>
      <c r="B135" s="60">
        <f>PIT!A$10</f>
        <v>0</v>
      </c>
      <c r="C135" s="60" t="s">
        <v>133</v>
      </c>
      <c r="D135" s="60">
        <f>PIT!C$10</f>
        <v>6</v>
      </c>
      <c r="E135" s="61">
        <f>PIT!I$10</f>
        <v>0</v>
      </c>
      <c r="F135" s="61">
        <f>PIT!J$10</f>
        <v>0</v>
      </c>
      <c r="G135" s="61">
        <f>PIT!K$10</f>
        <v>0</v>
      </c>
      <c r="H135" s="61">
        <f>PIT!L$10</f>
        <v>0</v>
      </c>
      <c r="I135" s="61">
        <f>PIT!M$10</f>
        <v>0</v>
      </c>
      <c r="J135" s="61">
        <f>PIT!N$10</f>
        <v>0</v>
      </c>
      <c r="K135" s="61">
        <f>PIT!O$10</f>
        <v>0</v>
      </c>
      <c r="L135" s="61">
        <f t="shared" si="45"/>
        <v>0</v>
      </c>
      <c r="M135" s="61">
        <f t="shared" si="46"/>
        <v>0</v>
      </c>
      <c r="N135" s="61">
        <f t="shared" si="47"/>
        <v>0</v>
      </c>
      <c r="O13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35" s="101">
        <v>0</v>
      </c>
    </row>
    <row r="136" spans="1:16" x14ac:dyDescent="0.2">
      <c r="A136" s="60">
        <f>IF(TableRBMaster[[#This Row],[Player]]&lt;&gt;0,A135+1,A135)</f>
        <v>92</v>
      </c>
      <c r="B136" s="60">
        <f>PIT!A$11</f>
        <v>0</v>
      </c>
      <c r="C136" s="60" t="s">
        <v>133</v>
      </c>
      <c r="D136" s="60">
        <f>PIT!C$11</f>
        <v>6</v>
      </c>
      <c r="E136" s="61">
        <f>PIT!I$11</f>
        <v>0</v>
      </c>
      <c r="F136" s="61">
        <f>PIT!J$11</f>
        <v>0</v>
      </c>
      <c r="G136" s="61">
        <f>PIT!K$11</f>
        <v>0</v>
      </c>
      <c r="H136" s="61">
        <f>PIT!L$11</f>
        <v>0</v>
      </c>
      <c r="I136" s="61">
        <f>PIT!M$11</f>
        <v>0</v>
      </c>
      <c r="J136" s="61">
        <f>PIT!N$11</f>
        <v>0</v>
      </c>
      <c r="K136" s="61">
        <f>PIT!O$11</f>
        <v>0</v>
      </c>
      <c r="L136" s="61">
        <f t="shared" si="45"/>
        <v>0</v>
      </c>
      <c r="M136" s="61">
        <f t="shared" si="46"/>
        <v>0</v>
      </c>
      <c r="N136" s="61">
        <f t="shared" si="47"/>
        <v>0</v>
      </c>
      <c r="O13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36" s="101">
        <v>0</v>
      </c>
    </row>
    <row r="137" spans="1:16" x14ac:dyDescent="0.2">
      <c r="A137" s="60">
        <f>IF(TableRBMaster[[#This Row],[Player]]&lt;&gt;0,A136+1,A136)</f>
        <v>93</v>
      </c>
      <c r="B137" s="60" t="str">
        <f>SEA!A$7</f>
        <v>Kenneth Walker</v>
      </c>
      <c r="C137" s="60" t="s">
        <v>134</v>
      </c>
      <c r="D137" s="60">
        <f>SEA!C$7</f>
        <v>5</v>
      </c>
      <c r="E137" s="61">
        <f>SEA!I$7</f>
        <v>211.38682320000001</v>
      </c>
      <c r="F137" s="61">
        <f>SEA!J$7</f>
        <v>942.78523147200008</v>
      </c>
      <c r="G137" s="61">
        <f>SEA!K$7</f>
        <v>8.0326992815999994</v>
      </c>
      <c r="H137" s="61">
        <f>SEA!L$7</f>
        <v>24.66537696</v>
      </c>
      <c r="I137" s="61">
        <f>SEA!M$7</f>
        <v>18.47870666302931</v>
      </c>
      <c r="J137" s="61">
        <f>SEA!N$7</f>
        <v>125.65520530859931</v>
      </c>
      <c r="K137" s="61">
        <f>SEA!O$7</f>
        <v>0.66523343986905514</v>
      </c>
      <c r="L137" s="61">
        <f t="shared" si="45"/>
        <v>159.03164000687428</v>
      </c>
      <c r="M137" s="61">
        <f t="shared" si="46"/>
        <v>168.27099333838893</v>
      </c>
      <c r="N137" s="61">
        <f t="shared" si="47"/>
        <v>177.51034666990358</v>
      </c>
      <c r="O13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168.27099333838893</v>
      </c>
      <c r="P137" s="101">
        <v>30.121228835514525</v>
      </c>
    </row>
    <row r="138" spans="1:16" x14ac:dyDescent="0.2">
      <c r="A138" s="60">
        <f>IF(TableRBMaster[[#This Row],[Player]]&lt;&gt;0,A137+1,A137)</f>
        <v>94</v>
      </c>
      <c r="B138" s="60" t="str">
        <f>SEA!A$8</f>
        <v>DeeJay Dallas</v>
      </c>
      <c r="C138" s="60" t="s">
        <v>134</v>
      </c>
      <c r="D138" s="60">
        <f>SEA!C$9</f>
        <v>5</v>
      </c>
      <c r="E138" s="61">
        <f>SEA!I$8</f>
        <v>11.332077120000001</v>
      </c>
      <c r="F138" s="61">
        <f>SEA!J$8</f>
        <v>47.368082361600003</v>
      </c>
      <c r="G138" s="61">
        <f>SEA!K$8</f>
        <v>0.35129439072000002</v>
      </c>
      <c r="H138" s="61">
        <f>SEA!L$8</f>
        <v>8.2217923199999987</v>
      </c>
      <c r="I138" s="61">
        <f>SEA!M$8</f>
        <v>6.1488542708693501</v>
      </c>
      <c r="J138" s="61">
        <f>SEA!N$8</f>
        <v>47.961063312780929</v>
      </c>
      <c r="K138" s="61">
        <f>SEA!O$8</f>
        <v>0.25825187937651273</v>
      </c>
      <c r="L138" s="61">
        <f t="shared" si="45"/>
        <v>13.19019218801717</v>
      </c>
      <c r="M138" s="61">
        <f t="shared" si="46"/>
        <v>16.264619323451846</v>
      </c>
      <c r="N138" s="61">
        <f t="shared" si="47"/>
        <v>19.339046458886521</v>
      </c>
      <c r="O13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16.264619323451843</v>
      </c>
      <c r="P138" s="101">
        <v>1.3563751124543861</v>
      </c>
    </row>
    <row r="139" spans="1:16" x14ac:dyDescent="0.2">
      <c r="A139" s="60">
        <f>IF(TableRBMaster[[#This Row],[Player]]&lt;&gt;0,A138+1,A138)</f>
        <v>95</v>
      </c>
      <c r="B139" s="60" t="str">
        <f>SEA!A$9</f>
        <v>Zach Charbonnet</v>
      </c>
      <c r="C139" s="60" t="s">
        <v>134</v>
      </c>
      <c r="D139" s="60">
        <f>SEA!C$8</f>
        <v>5</v>
      </c>
      <c r="E139" s="61">
        <f>SEA!I$9</f>
        <v>141.21511488000002</v>
      </c>
      <c r="F139" s="61">
        <f>SEA!J$9</f>
        <v>612.87359857920001</v>
      </c>
      <c r="G139" s="61">
        <f>SEA!K$9</f>
        <v>5.5073894803200005</v>
      </c>
      <c r="H139" s="61">
        <f>SEA!L$9</f>
        <v>52.854379199999997</v>
      </c>
      <c r="I139" s="61">
        <f>SEA!M$9</f>
        <v>38.63682563336932</v>
      </c>
      <c r="J139" s="61">
        <f>SEA!N$9</f>
        <v>312.95828763029147</v>
      </c>
      <c r="K139" s="61">
        <f>SEA!O$9</f>
        <v>1.5841098509681422</v>
      </c>
      <c r="L139" s="61">
        <f t="shared" si="45"/>
        <v>135.13218460867799</v>
      </c>
      <c r="M139" s="61">
        <f t="shared" si="46"/>
        <v>154.45059742536264</v>
      </c>
      <c r="N139" s="61">
        <f t="shared" si="47"/>
        <v>173.7690102420473</v>
      </c>
      <c r="O13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154.45059742536267</v>
      </c>
      <c r="P139" s="101">
        <v>0</v>
      </c>
    </row>
    <row r="140" spans="1:16" x14ac:dyDescent="0.2">
      <c r="A140" s="60">
        <f>IF(TableRBMaster[[#This Row],[Player]]&lt;&gt;0,A139+1,A139)</f>
        <v>96</v>
      </c>
      <c r="B140" s="60" t="str">
        <f>SEA!A$10</f>
        <v>Kenny McIntosh</v>
      </c>
      <c r="C140" s="60" t="s">
        <v>134</v>
      </c>
      <c r="D140" s="60">
        <f>SEA!C$10</f>
        <v>5</v>
      </c>
      <c r="E140" s="61">
        <f>SEA!I$10</f>
        <v>23.100003360000002</v>
      </c>
      <c r="F140" s="61">
        <f>SEA!J$10</f>
        <v>97.020014112000013</v>
      </c>
      <c r="G140" s="61">
        <f>SEA!K$10</f>
        <v>0.76230011088000016</v>
      </c>
      <c r="H140" s="61">
        <f>SEA!L$10</f>
        <v>18.20539728</v>
      </c>
      <c r="I140" s="61">
        <f>SEA!M$10</f>
        <v>13.54481557632</v>
      </c>
      <c r="J140" s="61">
        <f>SEA!N$10</f>
        <v>103.48239100308479</v>
      </c>
      <c r="K140" s="61">
        <f>SEA!O$10</f>
        <v>0.59597188535807999</v>
      </c>
      <c r="L140" s="61">
        <f t="shared" si="45"/>
        <v>28.199872488936961</v>
      </c>
      <c r="M140" s="61">
        <f t="shared" si="46"/>
        <v>34.972280277096964</v>
      </c>
      <c r="N140" s="61">
        <f t="shared" si="47"/>
        <v>41.744688065256959</v>
      </c>
      <c r="O14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34.972280277096957</v>
      </c>
      <c r="P140" s="101">
        <v>0</v>
      </c>
    </row>
    <row r="141" spans="1:16" x14ac:dyDescent="0.2">
      <c r="A141" s="60">
        <f>IF(TableRBMaster[[#This Row],[Player]]&lt;&gt;0,A140+1,A140)</f>
        <v>96</v>
      </c>
      <c r="B141" s="60">
        <f>SEA!A$11</f>
        <v>0</v>
      </c>
      <c r="C141" s="60" t="s">
        <v>134</v>
      </c>
      <c r="D141" s="60">
        <f>SEA!C$11</f>
        <v>5</v>
      </c>
      <c r="E141" s="61">
        <f>SEA!I$11</f>
        <v>0</v>
      </c>
      <c r="F141" s="61">
        <f>SEA!J$11</f>
        <v>0</v>
      </c>
      <c r="G141" s="61">
        <f>SEA!K$11</f>
        <v>0</v>
      </c>
      <c r="H141" s="61">
        <f>SEA!L$11</f>
        <v>0</v>
      </c>
      <c r="I141" s="61">
        <f>SEA!M$11</f>
        <v>0</v>
      </c>
      <c r="J141" s="61">
        <f>SEA!N$11</f>
        <v>0</v>
      </c>
      <c r="K141" s="61">
        <f>SEA!O$11</f>
        <v>0</v>
      </c>
      <c r="L141" s="61">
        <f t="shared" ref="L141:L161" si="48">(F141/10)+(G141*6)+(J141/10)+(K141*6)</f>
        <v>0</v>
      </c>
      <c r="M141" s="61">
        <f t="shared" ref="M141:M161" si="49">L141+(I141*0.5)</f>
        <v>0</v>
      </c>
      <c r="N141" s="61">
        <f t="shared" ref="N141:N161" si="50">L141+I141</f>
        <v>0</v>
      </c>
      <c r="O14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41" s="101">
        <v>0</v>
      </c>
    </row>
    <row r="142" spans="1:16" x14ac:dyDescent="0.2">
      <c r="A142" s="60">
        <f>IF(TableRBMaster[[#This Row],[Player]]&lt;&gt;0,A141+1,A141)</f>
        <v>97</v>
      </c>
      <c r="B142" s="60" t="str">
        <f>SF!A$7</f>
        <v>Christian McCaffrey</v>
      </c>
      <c r="C142" s="60" t="s">
        <v>135</v>
      </c>
      <c r="D142" s="60">
        <f>SF!C$7</f>
        <v>9</v>
      </c>
      <c r="E142" s="61">
        <f>SF!I$7</f>
        <v>224.68610724000001</v>
      </c>
      <c r="F142" s="61">
        <f>SF!J$7</f>
        <v>1049.2841208108</v>
      </c>
      <c r="G142" s="61">
        <f>SF!K$7</f>
        <v>11.458991469240001</v>
      </c>
      <c r="H142" s="61">
        <f>SF!L$7</f>
        <v>91.676767559999988</v>
      </c>
      <c r="I142" s="61">
        <f>SF!M$7</f>
        <v>73.807327028610942</v>
      </c>
      <c r="J142" s="61">
        <f>SF!N$7</f>
        <v>642.12374514891519</v>
      </c>
      <c r="K142" s="61">
        <f>SF!O$7</f>
        <v>4.2808249676594352</v>
      </c>
      <c r="L142" s="61">
        <f t="shared" si="48"/>
        <v>263.57968521736808</v>
      </c>
      <c r="M142" s="61">
        <f t="shared" si="49"/>
        <v>300.48334873167357</v>
      </c>
      <c r="N142" s="61">
        <f t="shared" si="50"/>
        <v>337.38701224597901</v>
      </c>
      <c r="O14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300.48334873167357</v>
      </c>
      <c r="P142" s="101">
        <v>21.533108930351833</v>
      </c>
    </row>
    <row r="143" spans="1:16" x14ac:dyDescent="0.2">
      <c r="A143" s="60">
        <f>IF(TableRBMaster[[#This Row],[Player]]&lt;&gt;0,A142+1,A142)</f>
        <v>98</v>
      </c>
      <c r="B143" s="60" t="str">
        <f>SF!A$8</f>
        <v>Elijah Mitchell</v>
      </c>
      <c r="C143" s="60" t="s">
        <v>135</v>
      </c>
      <c r="D143" s="60">
        <f>SF!C$9</f>
        <v>9</v>
      </c>
      <c r="E143" s="61">
        <f>SF!I$8</f>
        <v>114.90796352</v>
      </c>
      <c r="F143" s="61">
        <f>SF!J$8</f>
        <v>523.98031365119994</v>
      </c>
      <c r="G143" s="61">
        <f>SF!K$8</f>
        <v>5.2857663219199997</v>
      </c>
      <c r="H143" s="61">
        <f>SF!L$8</f>
        <v>19.05640674</v>
      </c>
      <c r="I143" s="61">
        <f>SF!M$8</f>
        <v>13.56816159888</v>
      </c>
      <c r="J143" s="61">
        <f>SF!N$8</f>
        <v>105.2889340073088</v>
      </c>
      <c r="K143" s="61">
        <f>SF!O$8</f>
        <v>0.52915830235632</v>
      </c>
      <c r="L143" s="61">
        <f t="shared" si="48"/>
        <v>97.816472511508792</v>
      </c>
      <c r="M143" s="61">
        <f t="shared" si="49"/>
        <v>104.6005533109488</v>
      </c>
      <c r="N143" s="61">
        <f t="shared" si="50"/>
        <v>111.38463411038879</v>
      </c>
      <c r="O14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104.6005533109488</v>
      </c>
      <c r="P143" s="101">
        <v>6.803798802020828</v>
      </c>
    </row>
    <row r="144" spans="1:16" x14ac:dyDescent="0.2">
      <c r="A144" s="60">
        <f>IF(TableRBMaster[[#This Row],[Player]]&lt;&gt;0,A143+1,A143)</f>
        <v>99</v>
      </c>
      <c r="B144" s="60" t="str">
        <f>SF!A$9</f>
        <v>Tyrion Davis-Price</v>
      </c>
      <c r="C144" s="60" t="s">
        <v>135</v>
      </c>
      <c r="D144" s="60">
        <f>SF!C$8</f>
        <v>9</v>
      </c>
      <c r="E144" s="61">
        <f>SF!I$9</f>
        <v>17.44138732</v>
      </c>
      <c r="F144" s="61">
        <f>SF!J$9</f>
        <v>69.097751481800813</v>
      </c>
      <c r="G144" s="61">
        <f>SF!K$9</f>
        <v>0.55812439424000004</v>
      </c>
      <c r="H144" s="61">
        <f>SF!L$9</f>
        <v>10.3007604</v>
      </c>
      <c r="I144" s="61">
        <f>SF!M$9</f>
        <v>6.8381536080645331</v>
      </c>
      <c r="J144" s="61">
        <f>SF!N$9</f>
        <v>40.297278995015219</v>
      </c>
      <c r="K144" s="61">
        <f>SF!O$9</f>
        <v>0.20514460824193598</v>
      </c>
      <c r="L144" s="61">
        <f t="shared" si="48"/>
        <v>15.519117062573219</v>
      </c>
      <c r="M144" s="61">
        <f t="shared" si="49"/>
        <v>18.938193866605484</v>
      </c>
      <c r="N144" s="61">
        <f t="shared" si="50"/>
        <v>22.357270670637753</v>
      </c>
      <c r="O14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18.938193866605488</v>
      </c>
      <c r="P144" s="101">
        <v>0</v>
      </c>
    </row>
    <row r="145" spans="1:16" x14ac:dyDescent="0.2">
      <c r="A145" s="60">
        <f>IF(TableRBMaster[[#This Row],[Player]]&lt;&gt;0,A144+1,A144)</f>
        <v>100</v>
      </c>
      <c r="B145" s="60" t="str">
        <f>SF!A$10</f>
        <v>Jordan Mason</v>
      </c>
      <c r="C145" s="60" t="s">
        <v>135</v>
      </c>
      <c r="D145" s="60">
        <f>SF!C$10</f>
        <v>9</v>
      </c>
      <c r="E145" s="61">
        <f>SF!I$10</f>
        <v>60.531873640000001</v>
      </c>
      <c r="F145" s="61">
        <f>SF!J$10</f>
        <v>276.45138481250888</v>
      </c>
      <c r="G145" s="61">
        <f>SF!K$10</f>
        <v>2.6028705665199996</v>
      </c>
      <c r="H145" s="61">
        <f>SF!L$10</f>
        <v>15.966178619999999</v>
      </c>
      <c r="I145" s="61">
        <f>SF!M$10</f>
        <v>11.112460319519998</v>
      </c>
      <c r="J145" s="61">
        <f>SF!N$10</f>
        <v>87.972140915630533</v>
      </c>
      <c r="K145" s="61">
        <f>SF!O$10</f>
        <v>0.44449841278079993</v>
      </c>
      <c r="L145" s="61">
        <f t="shared" si="48"/>
        <v>54.72656644861874</v>
      </c>
      <c r="M145" s="61">
        <f t="shared" si="49"/>
        <v>60.282796608378739</v>
      </c>
      <c r="N145" s="61">
        <f t="shared" si="50"/>
        <v>65.839026768138737</v>
      </c>
      <c r="O14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60.282796608378746</v>
      </c>
      <c r="P145" s="101">
        <v>0</v>
      </c>
    </row>
    <row r="146" spans="1:16" x14ac:dyDescent="0.2">
      <c r="A146" s="60">
        <f>IF(TableRBMaster[[#This Row],[Player]]&lt;&gt;0,A145+1,A145)</f>
        <v>100</v>
      </c>
      <c r="B146" s="60">
        <f>SF!A$11</f>
        <v>0</v>
      </c>
      <c r="C146" s="60" t="s">
        <v>135</v>
      </c>
      <c r="D146" s="60">
        <f>SF!C$11</f>
        <v>9</v>
      </c>
      <c r="E146" s="61">
        <f>SF!I$11</f>
        <v>0</v>
      </c>
      <c r="F146" s="61">
        <f>SF!J$11</f>
        <v>0</v>
      </c>
      <c r="G146" s="61">
        <f>SF!K$11</f>
        <v>0</v>
      </c>
      <c r="H146" s="61">
        <f>SF!L$11</f>
        <v>0</v>
      </c>
      <c r="I146" s="61">
        <f>SF!M$11</f>
        <v>0</v>
      </c>
      <c r="J146" s="61">
        <f>SF!N$11</f>
        <v>0</v>
      </c>
      <c r="K146" s="61">
        <f>SF!O$11</f>
        <v>0</v>
      </c>
      <c r="L146" s="61">
        <f t="shared" si="48"/>
        <v>0</v>
      </c>
      <c r="M146" s="61">
        <f t="shared" si="49"/>
        <v>0</v>
      </c>
      <c r="N146" s="61">
        <f t="shared" si="50"/>
        <v>0</v>
      </c>
      <c r="O14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46" s="101">
        <v>0</v>
      </c>
    </row>
    <row r="147" spans="1:16" x14ac:dyDescent="0.2">
      <c r="A147" s="60">
        <f>IF(TableRBMaster[[#This Row],[Player]]&lt;&gt;0,A146+1,A146)</f>
        <v>101</v>
      </c>
      <c r="B147" s="60" t="str">
        <f>TB!A$7</f>
        <v>Rachaad White</v>
      </c>
      <c r="C147" s="60" t="s">
        <v>136</v>
      </c>
      <c r="D147" s="60">
        <f>TB!C$7</f>
        <v>5</v>
      </c>
      <c r="E147" s="61">
        <f>TB!I$7</f>
        <v>241.43035391999999</v>
      </c>
      <c r="F147" s="61">
        <f>TB!J$7</f>
        <v>1028.4933076991999</v>
      </c>
      <c r="G147" s="61">
        <f>TB!K$7</f>
        <v>6.0357588480000004</v>
      </c>
      <c r="H147" s="61">
        <f>TB!L$7</f>
        <v>62.593054719999991</v>
      </c>
      <c r="I147" s="61">
        <f>TB!M$7</f>
        <v>47.445535477759996</v>
      </c>
      <c r="J147" s="61">
        <f>TB!N$7</f>
        <v>332.11874834431995</v>
      </c>
      <c r="K147" s="61">
        <f>TB!O$7</f>
        <v>1.7554848126771199</v>
      </c>
      <c r="L147" s="61">
        <f t="shared" si="48"/>
        <v>182.80866756841471</v>
      </c>
      <c r="M147" s="61">
        <f t="shared" si="49"/>
        <v>206.53143530729471</v>
      </c>
      <c r="N147" s="61">
        <f t="shared" si="50"/>
        <v>230.25420304617469</v>
      </c>
      <c r="O14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206.53143530729474</v>
      </c>
      <c r="P147" s="101">
        <v>14.38777229796065</v>
      </c>
    </row>
    <row r="148" spans="1:16" x14ac:dyDescent="0.2">
      <c r="A148" s="60">
        <f>IF(TableRBMaster[[#This Row],[Player]]&lt;&gt;0,A147+1,A147)</f>
        <v>102</v>
      </c>
      <c r="B148" s="60" t="str">
        <f>TB!A$8</f>
        <v>Chase Edmonds</v>
      </c>
      <c r="C148" s="60" t="s">
        <v>136</v>
      </c>
      <c r="D148" s="60">
        <f>TB!C$9</f>
        <v>5</v>
      </c>
      <c r="E148" s="61">
        <f>TB!I$8</f>
        <v>54.831893760000007</v>
      </c>
      <c r="F148" s="61">
        <f>TB!J$8</f>
        <v>224.48987733141544</v>
      </c>
      <c r="G148" s="61">
        <f>TB!K$8</f>
        <v>1.4804611315200003</v>
      </c>
      <c r="H148" s="61">
        <f>TB!L$8</f>
        <v>19.560329599999999</v>
      </c>
      <c r="I148" s="61">
        <f>TB!M$8</f>
        <v>14.200799289599999</v>
      </c>
      <c r="J148" s="61">
        <f>TB!N$8</f>
        <v>100.82567495615999</v>
      </c>
      <c r="K148" s="61">
        <f>TB!O$8</f>
        <v>0.59643357016319998</v>
      </c>
      <c r="L148" s="61">
        <f t="shared" si="48"/>
        <v>44.992923438856742</v>
      </c>
      <c r="M148" s="61">
        <f t="shared" si="49"/>
        <v>52.093323083656742</v>
      </c>
      <c r="N148" s="61">
        <f t="shared" si="50"/>
        <v>59.193722728456741</v>
      </c>
      <c r="O14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52.093323083656742</v>
      </c>
      <c r="P148" s="101">
        <v>8.5722927714506358</v>
      </c>
    </row>
    <row r="149" spans="1:16" x14ac:dyDescent="0.2">
      <c r="A149" s="60">
        <f>IF(TableRBMaster[[#This Row],[Player]]&lt;&gt;0,A148+1,A148)</f>
        <v>103</v>
      </c>
      <c r="B149" s="60" t="str">
        <f>TB!A$9</f>
        <v>Ke'Shawn Vaughn</v>
      </c>
      <c r="C149" s="60" t="s">
        <v>136</v>
      </c>
      <c r="D149" s="60">
        <f>TB!C$8</f>
        <v>5</v>
      </c>
      <c r="E149" s="61">
        <f>TB!I$9</f>
        <v>14.451816960000004</v>
      </c>
      <c r="F149" s="61">
        <f>TB!J$9</f>
        <v>57.951786009600013</v>
      </c>
      <c r="G149" s="61">
        <f>TB!K$9</f>
        <v>0.37574724096000006</v>
      </c>
      <c r="H149" s="61">
        <f>TB!L$9</f>
        <v>12.295064319999998</v>
      </c>
      <c r="I149" s="61">
        <f>TB!M$9</f>
        <v>8.6434302169599988</v>
      </c>
      <c r="J149" s="61">
        <f>TB!N$9</f>
        <v>57.210676484281272</v>
      </c>
      <c r="K149" s="61">
        <f>TB!O$9</f>
        <v>0.34573720867839997</v>
      </c>
      <c r="L149" s="61">
        <f t="shared" si="48"/>
        <v>15.845152947218528</v>
      </c>
      <c r="M149" s="61">
        <f t="shared" si="49"/>
        <v>20.166868055698529</v>
      </c>
      <c r="N149" s="61">
        <f t="shared" si="50"/>
        <v>24.488583164178529</v>
      </c>
      <c r="O14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20.166868055698529</v>
      </c>
      <c r="P149" s="101">
        <v>0</v>
      </c>
    </row>
    <row r="150" spans="1:16" x14ac:dyDescent="0.2">
      <c r="A150" s="60">
        <f>IF(TableRBMaster[[#This Row],[Player]]&lt;&gt;0,A149+1,A149)</f>
        <v>104</v>
      </c>
      <c r="B150" s="60" t="str">
        <f>TB!A$10</f>
        <v>Sean Tucker</v>
      </c>
      <c r="C150" s="60" t="s">
        <v>136</v>
      </c>
      <c r="D150" s="60">
        <f>TB!C$10</f>
        <v>5</v>
      </c>
      <c r="E150" s="61">
        <f>TB!I$10</f>
        <v>76.934672640000002</v>
      </c>
      <c r="F150" s="61">
        <f>TB!J$10</f>
        <v>321.21355355766678</v>
      </c>
      <c r="G150" s="61">
        <f>TB!K$10</f>
        <v>2.2311055065600001</v>
      </c>
      <c r="H150" s="61">
        <f>TB!L$10</f>
        <v>23.472395519999999</v>
      </c>
      <c r="I150" s="61">
        <f>TB!M$10</f>
        <v>18.151608966930063</v>
      </c>
      <c r="J150" s="61">
        <f>TB!N$10</f>
        <v>127.78732712718764</v>
      </c>
      <c r="K150" s="61">
        <f>TB!O$10</f>
        <v>0.65345792280948223</v>
      </c>
      <c r="L150" s="61">
        <f t="shared" si="48"/>
        <v>62.207468644702338</v>
      </c>
      <c r="M150" s="61">
        <f t="shared" si="49"/>
        <v>71.283273128167366</v>
      </c>
      <c r="N150" s="61">
        <f t="shared" si="50"/>
        <v>80.359077611632401</v>
      </c>
      <c r="O15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71.283273128167366</v>
      </c>
      <c r="P150" s="101">
        <v>0</v>
      </c>
    </row>
    <row r="151" spans="1:16" x14ac:dyDescent="0.2">
      <c r="A151" s="60">
        <f>IF(TableRBMaster[[#This Row],[Player]]&lt;&gt;0,A150+1,A150)</f>
        <v>104</v>
      </c>
      <c r="B151" s="60">
        <f>TB!A$11</f>
        <v>0</v>
      </c>
      <c r="C151" s="60" t="s">
        <v>136</v>
      </c>
      <c r="D151" s="60">
        <f>TB!C$11</f>
        <v>5</v>
      </c>
      <c r="E151" s="61">
        <f>TB!I$11</f>
        <v>0</v>
      </c>
      <c r="F151" s="61">
        <f>TB!J$11</f>
        <v>0</v>
      </c>
      <c r="G151" s="61">
        <f>TB!K$11</f>
        <v>0</v>
      </c>
      <c r="H151" s="61">
        <f>TB!L$11</f>
        <v>0</v>
      </c>
      <c r="I151" s="61">
        <f>TB!M$11</f>
        <v>0</v>
      </c>
      <c r="J151" s="61">
        <f>TB!N$11</f>
        <v>0</v>
      </c>
      <c r="K151" s="61">
        <f>TB!O$11</f>
        <v>0</v>
      </c>
      <c r="L151" s="61">
        <f t="shared" si="48"/>
        <v>0</v>
      </c>
      <c r="M151" s="61">
        <f t="shared" si="49"/>
        <v>0</v>
      </c>
      <c r="N151" s="61">
        <f t="shared" si="50"/>
        <v>0</v>
      </c>
      <c r="O15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51" s="101">
        <v>0</v>
      </c>
    </row>
    <row r="152" spans="1:16" x14ac:dyDescent="0.2">
      <c r="A152" s="60">
        <f>IF(TableRBMaster[[#This Row],[Player]]&lt;&gt;0,A151+1,A151)</f>
        <v>105</v>
      </c>
      <c r="B152" s="60" t="str">
        <f>TEN!A$7</f>
        <v>Derrick Henry</v>
      </c>
      <c r="C152" s="60" t="s">
        <v>137</v>
      </c>
      <c r="D152" s="60">
        <f>TEN!C$7</f>
        <v>7</v>
      </c>
      <c r="E152" s="61">
        <f>TEN!I$7</f>
        <v>316.8067413</v>
      </c>
      <c r="F152" s="61">
        <f>TEN!J$7</f>
        <v>1387.613526894</v>
      </c>
      <c r="G152" s="61">
        <f>TEN!K$7</f>
        <v>12.989076393300001</v>
      </c>
      <c r="H152" s="61">
        <f>TEN!L$7</f>
        <v>34.662521599999998</v>
      </c>
      <c r="I152" s="61">
        <f>TEN!M$7</f>
        <v>26.655267412287635</v>
      </c>
      <c r="J152" s="61">
        <f>TEN!N$7</f>
        <v>227.98841805430919</v>
      </c>
      <c r="K152" s="61">
        <f>TEN!O$7</f>
        <v>0.8529685571932043</v>
      </c>
      <c r="L152" s="61">
        <f t="shared" si="48"/>
        <v>244.61246419779013</v>
      </c>
      <c r="M152" s="61">
        <f t="shared" si="49"/>
        <v>257.94009790393397</v>
      </c>
      <c r="N152" s="61">
        <f t="shared" si="50"/>
        <v>271.26773161007776</v>
      </c>
      <c r="O152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257.94009790393397</v>
      </c>
      <c r="P152" s="101">
        <v>49.098734107865603</v>
      </c>
    </row>
    <row r="153" spans="1:16" x14ac:dyDescent="0.2">
      <c r="A153" s="60">
        <f>IF(TableRBMaster[[#This Row],[Player]]&lt;&gt;0,A152+1,A152)</f>
        <v>106</v>
      </c>
      <c r="B153" s="60" t="str">
        <f>TEN!A$8</f>
        <v>Tyjae Spears</v>
      </c>
      <c r="C153" s="60" t="s">
        <v>137</v>
      </c>
      <c r="D153" s="60">
        <f>TEN!C$9</f>
        <v>7</v>
      </c>
      <c r="E153" s="61">
        <f>TEN!I$8</f>
        <v>80.966953199999992</v>
      </c>
      <c r="F153" s="61">
        <f>TEN!J$8</f>
        <v>347.34822922799998</v>
      </c>
      <c r="G153" s="61">
        <f>TEN!K$8</f>
        <v>2.9148103151999996</v>
      </c>
      <c r="H153" s="61">
        <f>TEN!L$8</f>
        <v>40.078540599999997</v>
      </c>
      <c r="I153" s="61">
        <f>TEN!M$8</f>
        <v>28.690301078978443</v>
      </c>
      <c r="J153" s="61">
        <f>TEN!N$8</f>
        <v>217.19650744424862</v>
      </c>
      <c r="K153" s="61">
        <f>TEN!O$8</f>
        <v>0.9467799356062887</v>
      </c>
      <c r="L153" s="61">
        <f t="shared" si="48"/>
        <v>79.624015172062585</v>
      </c>
      <c r="M153" s="61">
        <f t="shared" si="49"/>
        <v>93.96916571155181</v>
      </c>
      <c r="N153" s="61">
        <f t="shared" si="50"/>
        <v>108.31431625104102</v>
      </c>
      <c r="O153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93.969165711551824</v>
      </c>
      <c r="P153" s="101">
        <v>0</v>
      </c>
    </row>
    <row r="154" spans="1:16" x14ac:dyDescent="0.2">
      <c r="A154" s="60">
        <f>IF(TableRBMaster[[#This Row],[Player]]&lt;&gt;0,A153+1,A153)</f>
        <v>107</v>
      </c>
      <c r="B154" s="60" t="str">
        <f>TEN!A$9</f>
        <v>Julius Chestnut</v>
      </c>
      <c r="C154" s="60" t="s">
        <v>137</v>
      </c>
      <c r="D154" s="60">
        <f>TEN!C$8</f>
        <v>7</v>
      </c>
      <c r="E154" s="61">
        <f>TEN!I$9</f>
        <v>19.300262099999998</v>
      </c>
      <c r="F154" s="61">
        <f>TEN!J$9</f>
        <v>77.587053641999987</v>
      </c>
      <c r="G154" s="61">
        <f>TEN!K$9</f>
        <v>0.61760838719999989</v>
      </c>
      <c r="H154" s="61">
        <f>TEN!L$9</f>
        <v>10.832037999999999</v>
      </c>
      <c r="I154" s="61">
        <f>TEN!M$9</f>
        <v>7.679914941999999</v>
      </c>
      <c r="J154" s="61">
        <f>TEN!N$9</f>
        <v>60.82492634063999</v>
      </c>
      <c r="K154" s="61">
        <f>TEN!O$9</f>
        <v>0.19967778849199996</v>
      </c>
      <c r="L154" s="61">
        <f t="shared" si="48"/>
        <v>18.744915052415998</v>
      </c>
      <c r="M154" s="61">
        <f t="shared" si="49"/>
        <v>22.584872523415996</v>
      </c>
      <c r="N154" s="61">
        <f t="shared" si="50"/>
        <v>26.424829994415997</v>
      </c>
      <c r="O154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22.584872523415996</v>
      </c>
      <c r="P154" s="101">
        <v>0</v>
      </c>
    </row>
    <row r="155" spans="1:16" x14ac:dyDescent="0.2">
      <c r="A155" s="60">
        <f>IF(TableRBMaster[[#This Row],[Player]]&lt;&gt;0,A154+1,A154)</f>
        <v>107</v>
      </c>
      <c r="B155" s="60">
        <f>TEN!A$10</f>
        <v>0</v>
      </c>
      <c r="C155" s="60" t="s">
        <v>137</v>
      </c>
      <c r="D155" s="60">
        <f>TEN!C$10</f>
        <v>7</v>
      </c>
      <c r="E155" s="61">
        <f>TEN!I$10</f>
        <v>0</v>
      </c>
      <c r="F155" s="61">
        <f>TEN!J$10</f>
        <v>0</v>
      </c>
      <c r="G155" s="61">
        <f>TEN!K$10</f>
        <v>0</v>
      </c>
      <c r="H155" s="61">
        <f>TEN!L$10</f>
        <v>0</v>
      </c>
      <c r="I155" s="61">
        <f>TEN!M$10</f>
        <v>0</v>
      </c>
      <c r="J155" s="61">
        <f>TEN!N$10</f>
        <v>0</v>
      </c>
      <c r="K155" s="61">
        <f>TEN!O$10</f>
        <v>0</v>
      </c>
      <c r="L155" s="61">
        <f t="shared" si="48"/>
        <v>0</v>
      </c>
      <c r="M155" s="61">
        <f t="shared" si="49"/>
        <v>0</v>
      </c>
      <c r="N155" s="61">
        <f t="shared" si="50"/>
        <v>0</v>
      </c>
      <c r="O155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55" s="101">
        <v>0</v>
      </c>
    </row>
    <row r="156" spans="1:16" x14ac:dyDescent="0.2">
      <c r="A156" s="60">
        <f>IF(TableRBMaster[[#This Row],[Player]]&lt;&gt;0,A155+1,A155)</f>
        <v>107</v>
      </c>
      <c r="B156" s="60">
        <f>TEN!A$11</f>
        <v>0</v>
      </c>
      <c r="C156" s="60" t="s">
        <v>137</v>
      </c>
      <c r="D156" s="60">
        <f>TEN!C$11</f>
        <v>7</v>
      </c>
      <c r="E156" s="61">
        <f>TEN!I$11</f>
        <v>0</v>
      </c>
      <c r="F156" s="61">
        <f>TEN!J$11</f>
        <v>0</v>
      </c>
      <c r="G156" s="61">
        <f>TEN!K$11</f>
        <v>0</v>
      </c>
      <c r="H156" s="61">
        <f>TEN!L$11</f>
        <v>0</v>
      </c>
      <c r="I156" s="61">
        <f>TEN!M$11</f>
        <v>0</v>
      </c>
      <c r="J156" s="61">
        <f>TEN!N$11</f>
        <v>0</v>
      </c>
      <c r="K156" s="61">
        <f>TEN!O$11</f>
        <v>0</v>
      </c>
      <c r="L156" s="61">
        <f t="shared" si="48"/>
        <v>0</v>
      </c>
      <c r="M156" s="61">
        <f t="shared" si="49"/>
        <v>0</v>
      </c>
      <c r="N156" s="61">
        <f t="shared" si="50"/>
        <v>0</v>
      </c>
      <c r="O156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56" s="101">
        <v>0</v>
      </c>
    </row>
    <row r="157" spans="1:16" x14ac:dyDescent="0.2">
      <c r="A157" s="60">
        <f>IF(TableRBMaster[[#This Row],[Player]]&lt;&gt;0,A156+1,A156)</f>
        <v>108</v>
      </c>
      <c r="B157" s="60" t="str">
        <f>WSH!A$7</f>
        <v>Antonio Gibson</v>
      </c>
      <c r="C157" s="60" t="s">
        <v>140</v>
      </c>
      <c r="D157" s="60">
        <f>WSH!C$7</f>
        <v>14</v>
      </c>
      <c r="E157" s="61">
        <f>WSH!I$7</f>
        <v>130.46688451999998</v>
      </c>
      <c r="F157" s="61">
        <f>WSH!J$7</f>
        <v>532.3048888415999</v>
      </c>
      <c r="G157" s="61">
        <f>WSH!K$7</f>
        <v>3.7835396510799995</v>
      </c>
      <c r="H157" s="61">
        <f>WSH!L$7</f>
        <v>69.038735220000007</v>
      </c>
      <c r="I157" s="61">
        <f>WSH!M$7</f>
        <v>51.640973944560002</v>
      </c>
      <c r="J157" s="61">
        <f>WSH!N$7</f>
        <v>382.14320718974403</v>
      </c>
      <c r="K157" s="61">
        <f>WSH!O$7</f>
        <v>2.4271257753943201</v>
      </c>
      <c r="L157" s="61">
        <f t="shared" si="48"/>
        <v>128.70880216198032</v>
      </c>
      <c r="M157" s="61">
        <f t="shared" si="49"/>
        <v>154.52928913426032</v>
      </c>
      <c r="N157" s="61">
        <f t="shared" si="50"/>
        <v>180.34977610654033</v>
      </c>
      <c r="O157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154.52928913426035</v>
      </c>
      <c r="P157" s="101">
        <v>33.598856158456854</v>
      </c>
    </row>
    <row r="158" spans="1:16" x14ac:dyDescent="0.2">
      <c r="A158" s="60">
        <f>IF(TableRBMaster[[#This Row],[Player]]&lt;&gt;0,A157+1,A157)</f>
        <v>109</v>
      </c>
      <c r="B158" s="60" t="str">
        <f>WSH!A$8</f>
        <v>Brian Robinson</v>
      </c>
      <c r="C158" s="60" t="s">
        <v>140</v>
      </c>
      <c r="D158" s="60">
        <f>WSH!C$9</f>
        <v>14</v>
      </c>
      <c r="E158" s="61">
        <f>WSH!I$8</f>
        <v>231.83683795999997</v>
      </c>
      <c r="F158" s="61">
        <f>WSH!J$8</f>
        <v>952.84940401559993</v>
      </c>
      <c r="G158" s="61">
        <f>WSH!K$8</f>
        <v>7.1869419767599991</v>
      </c>
      <c r="H158" s="61">
        <f>WSH!L$8</f>
        <v>31.273956980000005</v>
      </c>
      <c r="I158" s="61">
        <f>WSH!M$8</f>
        <v>21.612449722127867</v>
      </c>
      <c r="J158" s="61">
        <f>WSH!N$8</f>
        <v>162.31291583170844</v>
      </c>
      <c r="K158" s="61">
        <f>WSH!O$8</f>
        <v>1.2006916512293258</v>
      </c>
      <c r="L158" s="61">
        <f t="shared" si="48"/>
        <v>161.84203375266679</v>
      </c>
      <c r="M158" s="61">
        <f t="shared" si="49"/>
        <v>172.64825861373072</v>
      </c>
      <c r="N158" s="61">
        <f t="shared" si="50"/>
        <v>183.45448347479467</v>
      </c>
      <c r="O158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172.64825861373072</v>
      </c>
      <c r="P158" s="101">
        <v>0</v>
      </c>
    </row>
    <row r="159" spans="1:16" x14ac:dyDescent="0.2">
      <c r="A159" s="60">
        <f>IF(TableRBMaster[[#This Row],[Player]]&lt;&gt;0,A158+1,A158)</f>
        <v>110</v>
      </c>
      <c r="B159" s="60" t="str">
        <f>WSH!A$9</f>
        <v>Chris Rodriguez</v>
      </c>
      <c r="C159" s="60" t="s">
        <v>140</v>
      </c>
      <c r="D159" s="60">
        <f>WSH!C$8</f>
        <v>14</v>
      </c>
      <c r="E159" s="61">
        <f>WSH!I$9</f>
        <v>33.320679139999989</v>
      </c>
      <c r="F159" s="61">
        <f>WSH!J$9</f>
        <v>133.28271655999995</v>
      </c>
      <c r="G159" s="61">
        <f>WSH!K$9</f>
        <v>0.99962037419999961</v>
      </c>
      <c r="H159" s="61">
        <f>WSH!L$9</f>
        <v>15.341941160000001</v>
      </c>
      <c r="I159" s="61">
        <f>WSH!M$9</f>
        <v>10.283030914827611</v>
      </c>
      <c r="J159" s="61">
        <f>WSH!N$9</f>
        <v>78.201592146741518</v>
      </c>
      <c r="K159" s="61">
        <f>WSH!O$9</f>
        <v>0.3393400201893112</v>
      </c>
      <c r="L159" s="61">
        <f t="shared" si="48"/>
        <v>29.182193237010011</v>
      </c>
      <c r="M159" s="61">
        <f t="shared" si="49"/>
        <v>34.323708694423814</v>
      </c>
      <c r="N159" s="61">
        <f t="shared" si="50"/>
        <v>39.465224151837624</v>
      </c>
      <c r="O159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34.323708694423821</v>
      </c>
      <c r="P159" s="101">
        <v>0</v>
      </c>
    </row>
    <row r="160" spans="1:16" x14ac:dyDescent="0.2">
      <c r="A160" s="60">
        <f>IF(TableRBMaster[[#This Row],[Player]]&lt;&gt;0,A159+1,A159)</f>
        <v>110</v>
      </c>
      <c r="B160" s="60">
        <f>WSH!A$10</f>
        <v>0</v>
      </c>
      <c r="C160" s="60" t="s">
        <v>140</v>
      </c>
      <c r="D160" s="60">
        <f>WSH!C$10</f>
        <v>14</v>
      </c>
      <c r="E160" s="61">
        <f>WSH!I$10</f>
        <v>0</v>
      </c>
      <c r="F160" s="61">
        <f>WSH!J$10</f>
        <v>0</v>
      </c>
      <c r="G160" s="61">
        <f>WSH!K$10</f>
        <v>0</v>
      </c>
      <c r="H160" s="61">
        <f>WSH!L$10</f>
        <v>0</v>
      </c>
      <c r="I160" s="61">
        <f>WSH!M$10</f>
        <v>0</v>
      </c>
      <c r="J160" s="61">
        <f>WSH!N$10</f>
        <v>0</v>
      </c>
      <c r="K160" s="61">
        <f>WSH!O$10</f>
        <v>0</v>
      </c>
      <c r="L160" s="61">
        <f t="shared" si="48"/>
        <v>0</v>
      </c>
      <c r="M160" s="61">
        <f t="shared" si="49"/>
        <v>0</v>
      </c>
      <c r="N160" s="61">
        <f t="shared" si="50"/>
        <v>0</v>
      </c>
      <c r="O160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60" s="101">
        <v>0</v>
      </c>
    </row>
    <row r="161" spans="1:16" x14ac:dyDescent="0.2">
      <c r="A161" s="60">
        <f>IF(TableRBMaster[[#This Row],[Player]]&lt;&gt;0,A160+1,A160)</f>
        <v>110</v>
      </c>
      <c r="B161" s="60">
        <f>WSH!A$11</f>
        <v>0</v>
      </c>
      <c r="C161" s="60" t="s">
        <v>140</v>
      </c>
      <c r="D161" s="60">
        <f>WSH!C$11</f>
        <v>14</v>
      </c>
      <c r="E161" s="61">
        <f>WSH!I$11</f>
        <v>0</v>
      </c>
      <c r="F161" s="61">
        <f>WSH!J$11</f>
        <v>0</v>
      </c>
      <c r="G161" s="61">
        <f>WSH!K$11</f>
        <v>0</v>
      </c>
      <c r="H161" s="61">
        <f>WSH!L$11</f>
        <v>0</v>
      </c>
      <c r="I161" s="61">
        <f>WSH!M$11</f>
        <v>0</v>
      </c>
      <c r="J161" s="61">
        <f>WSH!N$11</f>
        <v>0</v>
      </c>
      <c r="K161" s="61">
        <f>WSH!O$11</f>
        <v>0</v>
      </c>
      <c r="L161" s="61">
        <f t="shared" si="48"/>
        <v>0</v>
      </c>
      <c r="M161" s="61">
        <f t="shared" si="49"/>
        <v>0</v>
      </c>
      <c r="N161" s="61">
        <f t="shared" si="50"/>
        <v>0</v>
      </c>
      <c r="O161" s="100">
        <f>(TableRBMaster[[#This Row],[RUAT]]*RUSH_ATTEMPTS)+(TableRBMaster[[#This Row],[RUYD]]*RUSH_YARDS)+(TableRBMaster[[#This Row],[RUTD]]*RUSH_TDS)+(TableRBMaster[[#This Row],[TGT]]*TARGETS)+(TableRBMaster[[#This Row],[REC]]*RECEPTIONS_RB)+(TableRBMaster[[#This Row],[RCYD]]*RECV_YARDS)+(TableRBMaster[[#This Row],[RCTD]]*RECV_TDS)</f>
        <v>0</v>
      </c>
      <c r="P161" s="101">
        <v>0</v>
      </c>
    </row>
  </sheetData>
  <sortState xmlns:xlrd2="http://schemas.microsoft.com/office/spreadsheetml/2017/richdata2" ref="B2:N120">
    <sortCondition ref="C2:C120"/>
  </sortState>
  <phoneticPr fontId="20" type="noConversion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3"/>
  <dimension ref="A1:O203"/>
  <sheetViews>
    <sheetView showGridLines="0" zoomScale="85" zoomScaleNormal="85" workbookViewId="0"/>
  </sheetViews>
  <sheetFormatPr baseColWidth="10" defaultColWidth="9.19921875" defaultRowHeight="15" x14ac:dyDescent="0.2"/>
  <cols>
    <col min="1" max="1" width="9.796875" style="60" bestFit="1" customWidth="1"/>
    <col min="2" max="2" width="25.59765625" style="60" bestFit="1" customWidth="1"/>
    <col min="3" max="3" width="6.59765625" style="60" bestFit="1" customWidth="1"/>
    <col min="4" max="4" width="7" style="60" bestFit="1" customWidth="1"/>
    <col min="5" max="6" width="8.796875" style="60" bestFit="1" customWidth="1"/>
    <col min="7" max="7" width="7.19921875" style="60" bestFit="1" customWidth="1"/>
    <col min="8" max="8" width="7" style="60" bestFit="1" customWidth="1"/>
    <col min="9" max="10" width="8.3984375" style="60" bestFit="1" customWidth="1"/>
    <col min="11" max="11" width="6.796875" style="60" bestFit="1" customWidth="1"/>
    <col min="12" max="12" width="8.19921875" style="60" bestFit="1" customWidth="1"/>
    <col min="13" max="13" width="7" style="60" bestFit="1" customWidth="1"/>
    <col min="14" max="14" width="10" style="60" bestFit="1" customWidth="1"/>
    <col min="15" max="15" width="8.3984375" style="60" bestFit="1" customWidth="1"/>
    <col min="16" max="16384" width="9.19921875" style="60"/>
  </cols>
  <sheetData>
    <row r="1" spans="1:15" x14ac:dyDescent="0.2">
      <c r="A1" s="93" t="s">
        <v>442</v>
      </c>
      <c r="B1" s="93" t="s">
        <v>405</v>
      </c>
      <c r="C1" s="93" t="s">
        <v>106</v>
      </c>
      <c r="D1" s="93" t="s">
        <v>143</v>
      </c>
      <c r="E1" s="92" t="s">
        <v>151</v>
      </c>
      <c r="F1" s="92" t="s">
        <v>152</v>
      </c>
      <c r="G1" s="92" t="s">
        <v>3</v>
      </c>
      <c r="H1" s="92" t="s">
        <v>4</v>
      </c>
      <c r="I1" s="92" t="s">
        <v>160</v>
      </c>
      <c r="J1" s="92" t="s">
        <v>161</v>
      </c>
      <c r="K1" s="93" t="s">
        <v>138</v>
      </c>
      <c r="L1" s="93" t="s">
        <v>141</v>
      </c>
      <c r="M1" s="93" t="s">
        <v>142</v>
      </c>
      <c r="N1" s="93" t="s">
        <v>401</v>
      </c>
      <c r="O1" s="93" t="s">
        <v>375</v>
      </c>
    </row>
    <row r="2" spans="1:15" x14ac:dyDescent="0.2">
      <c r="A2" s="60">
        <v>1</v>
      </c>
      <c r="B2" s="60" t="str">
        <f>ARI!A15</f>
        <v>Marquise Brown</v>
      </c>
      <c r="C2" s="60" t="s">
        <v>107</v>
      </c>
      <c r="D2" s="60">
        <f>ARI!C15</f>
        <v>14</v>
      </c>
      <c r="E2" s="61">
        <f>ARI!J15</f>
        <v>0</v>
      </c>
      <c r="F2" s="61">
        <f>ARI!K15</f>
        <v>0</v>
      </c>
      <c r="G2" s="61">
        <f>ARI!L15</f>
        <v>138.71434500000001</v>
      </c>
      <c r="H2" s="61">
        <f>ARI!M15</f>
        <v>83.644750035000001</v>
      </c>
      <c r="I2" s="61">
        <f>ARI!N15</f>
        <v>988.68094541369999</v>
      </c>
      <c r="J2" s="61">
        <f>ARI!O15</f>
        <v>4.8513955020299999</v>
      </c>
      <c r="K2" s="61">
        <f t="shared" ref="K2:K65" si="0">(E2/10)+(F2*6)+(I2/10)+(J2*6)</f>
        <v>127.97646755354999</v>
      </c>
      <c r="L2" s="61">
        <f t="shared" ref="L2:L33" si="1">K2+(H2*0.5)</f>
        <v>169.79884257104999</v>
      </c>
      <c r="M2" s="61">
        <f t="shared" ref="M2:M33" si="2">K2+H2</f>
        <v>211.62121758855</v>
      </c>
      <c r="N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169.79884257105002</v>
      </c>
      <c r="O2" s="101">
        <v>36.388473674194124</v>
      </c>
    </row>
    <row r="3" spans="1:15" x14ac:dyDescent="0.2">
      <c r="A3" s="60">
        <f>IF(TableWRMaster[[#This Row],[Player]]&lt;&gt;0,A2+1,A2)</f>
        <v>2</v>
      </c>
      <c r="B3" s="60" t="str">
        <f>ARI!A16</f>
        <v>Rondale Moore</v>
      </c>
      <c r="C3" s="60" t="s">
        <v>107</v>
      </c>
      <c r="D3" s="60">
        <f>ARI!C16</f>
        <v>14</v>
      </c>
      <c r="E3" s="61">
        <f>ARI!J16</f>
        <v>45.655111421379317</v>
      </c>
      <c r="F3" s="61">
        <f>ARI!K16</f>
        <v>0.78822870000000012</v>
      </c>
      <c r="G3" s="61">
        <f>ARI!L16</f>
        <v>73.260390000000001</v>
      </c>
      <c r="H3" s="61">
        <f>ARI!M16</f>
        <v>49.084461300000001</v>
      </c>
      <c r="I3" s="61">
        <f>ARI!N16</f>
        <v>501.15234987300005</v>
      </c>
      <c r="J3" s="61">
        <f>ARI!O16</f>
        <v>2.4542230650000003</v>
      </c>
      <c r="K3" s="61">
        <f t="shared" si="0"/>
        <v>74.13545671943794</v>
      </c>
      <c r="L3" s="61">
        <f t="shared" si="1"/>
        <v>98.677687369437933</v>
      </c>
      <c r="M3" s="61">
        <f t="shared" si="2"/>
        <v>123.21991801943794</v>
      </c>
      <c r="N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98.677687369437947</v>
      </c>
      <c r="O3" s="101">
        <v>0</v>
      </c>
    </row>
    <row r="4" spans="1:15" x14ac:dyDescent="0.2">
      <c r="A4" s="60">
        <f>IF(TableWRMaster[[#This Row],[Player]]&lt;&gt;0,A3+1,A3)</f>
        <v>3</v>
      </c>
      <c r="B4" s="60" t="str">
        <f>ARI!A17</f>
        <v>Greg Dortch</v>
      </c>
      <c r="C4" s="60" t="s">
        <v>107</v>
      </c>
      <c r="D4" s="60">
        <f>ARI!C17</f>
        <v>14</v>
      </c>
      <c r="E4" s="61">
        <f>ARI!J17</f>
        <v>0</v>
      </c>
      <c r="F4" s="61">
        <f>ARI!K17</f>
        <v>0</v>
      </c>
      <c r="G4" s="61">
        <f>ARI!L17</f>
        <v>29.424254999999999</v>
      </c>
      <c r="H4" s="61">
        <f>ARI!M17</f>
        <v>19.567129574999999</v>
      </c>
      <c r="I4" s="61">
        <f>ARI!N17</f>
        <v>184.71370318799998</v>
      </c>
      <c r="J4" s="61">
        <f>ARI!O17</f>
        <v>0.93922221959999996</v>
      </c>
      <c r="K4" s="61">
        <f t="shared" si="0"/>
        <v>24.106703636399999</v>
      </c>
      <c r="L4" s="61">
        <f t="shared" si="1"/>
        <v>33.890268423899997</v>
      </c>
      <c r="M4" s="61">
        <f t="shared" si="2"/>
        <v>43.673833211399995</v>
      </c>
      <c r="N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33.890268423899997</v>
      </c>
      <c r="O4" s="101">
        <v>0</v>
      </c>
    </row>
    <row r="5" spans="1:15" x14ac:dyDescent="0.2">
      <c r="A5" s="60">
        <f>IF(TableWRMaster[[#This Row],[Player]]&lt;&gt;0,A4+1,A4)</f>
        <v>4</v>
      </c>
      <c r="B5" s="60" t="str">
        <f>ARI!A18</f>
        <v>Michael Wilson</v>
      </c>
      <c r="C5" s="60" t="s">
        <v>107</v>
      </c>
      <c r="D5" s="60">
        <f>ARI!C18</f>
        <v>14</v>
      </c>
      <c r="E5" s="61">
        <f>ARI!J18</f>
        <v>0</v>
      </c>
      <c r="F5" s="61">
        <f>ARI!K18</f>
        <v>0</v>
      </c>
      <c r="G5" s="61">
        <f>ARI!L18</f>
        <v>92.476230000000001</v>
      </c>
      <c r="H5" s="61">
        <f>ARI!M18</f>
        <v>55.57821423</v>
      </c>
      <c r="I5" s="61">
        <f>ARI!N18</f>
        <v>686.3909457405</v>
      </c>
      <c r="J5" s="61">
        <f>ARI!O18</f>
        <v>3.8904749961000005</v>
      </c>
      <c r="K5" s="61">
        <f t="shared" si="0"/>
        <v>91.981944550650013</v>
      </c>
      <c r="L5" s="61">
        <f t="shared" si="1"/>
        <v>119.77105166565002</v>
      </c>
      <c r="M5" s="61">
        <f t="shared" si="2"/>
        <v>147.56015878065</v>
      </c>
      <c r="N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119.77105166565002</v>
      </c>
      <c r="O5" s="101">
        <v>0</v>
      </c>
    </row>
    <row r="6" spans="1:15" x14ac:dyDescent="0.2">
      <c r="A6" s="60">
        <f>IF(TableWRMaster[[#This Row],[Player]]&lt;&gt;0,A5+1,A5)</f>
        <v>5</v>
      </c>
      <c r="B6" s="60" t="str">
        <f>ARI!A19</f>
        <v>Zach Pascal</v>
      </c>
      <c r="C6" s="60" t="s">
        <v>107</v>
      </c>
      <c r="D6" s="60">
        <f>ARI!C19</f>
        <v>14</v>
      </c>
      <c r="E6" s="61">
        <f>ARI!J19</f>
        <v>0</v>
      </c>
      <c r="F6" s="61">
        <f>ARI!K19</f>
        <v>0</v>
      </c>
      <c r="G6" s="61">
        <f>ARI!L19</f>
        <v>25.220790000000001</v>
      </c>
      <c r="H6" s="61">
        <f>ARI!M19</f>
        <v>15.485565060000001</v>
      </c>
      <c r="I6" s="61">
        <f>ARI!N19</f>
        <v>149.12599152780001</v>
      </c>
      <c r="J6" s="61">
        <f>ARI!O19</f>
        <v>0.8517060783</v>
      </c>
      <c r="K6" s="61">
        <f t="shared" si="0"/>
        <v>20.022835622580001</v>
      </c>
      <c r="L6" s="61">
        <f t="shared" si="1"/>
        <v>27.76561815258</v>
      </c>
      <c r="M6" s="61">
        <f t="shared" si="2"/>
        <v>35.508400682580003</v>
      </c>
      <c r="N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27.765618152580004</v>
      </c>
      <c r="O6" s="101">
        <v>0</v>
      </c>
    </row>
    <row r="7" spans="1:15" x14ac:dyDescent="0.2">
      <c r="A7" s="60">
        <f>IF(TableWRMaster[[#This Row],[Player]]&lt;&gt;0,A6+1,A6)</f>
        <v>5</v>
      </c>
      <c r="B7" s="60">
        <f>ARI!A20</f>
        <v>0</v>
      </c>
      <c r="C7" s="60" t="s">
        <v>107</v>
      </c>
      <c r="D7" s="60">
        <f>ARI!C20</f>
        <v>14</v>
      </c>
      <c r="E7" s="61">
        <f>ARI!J20</f>
        <v>0</v>
      </c>
      <c r="F7" s="61">
        <f>ARI!K20</f>
        <v>0</v>
      </c>
      <c r="G7" s="61">
        <f>ARI!L20</f>
        <v>0</v>
      </c>
      <c r="H7" s="61">
        <f>ARI!M20</f>
        <v>0</v>
      </c>
      <c r="I7" s="61">
        <f>ARI!N20</f>
        <v>0</v>
      </c>
      <c r="J7" s="61">
        <f>ARI!O20</f>
        <v>0</v>
      </c>
      <c r="K7" s="61">
        <f t="shared" si="0"/>
        <v>0</v>
      </c>
      <c r="L7" s="61">
        <f t="shared" si="1"/>
        <v>0</v>
      </c>
      <c r="M7" s="61">
        <f t="shared" si="2"/>
        <v>0</v>
      </c>
      <c r="N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7" s="101">
        <v>0</v>
      </c>
    </row>
    <row r="8" spans="1:15" x14ac:dyDescent="0.2">
      <c r="A8" s="60">
        <f>IF(TableWRMaster[[#This Row],[Player]]&lt;&gt;0,A7+1,A7)</f>
        <v>6</v>
      </c>
      <c r="B8" s="60" t="str">
        <f>ATL!A15</f>
        <v>Drake London</v>
      </c>
      <c r="C8" s="60" t="s">
        <v>108</v>
      </c>
      <c r="D8" s="60">
        <f>ATL!C15</f>
        <v>11</v>
      </c>
      <c r="E8" s="61">
        <f>ATL!J15</f>
        <v>0</v>
      </c>
      <c r="F8" s="61">
        <f>ATL!K15</f>
        <v>0</v>
      </c>
      <c r="G8" s="61">
        <f>ATL!L15</f>
        <v>118.85690879999996</v>
      </c>
      <c r="H8" s="61">
        <f>ATL!M15</f>
        <v>75.908494904057164</v>
      </c>
      <c r="I8" s="61">
        <f>ATL!N15</f>
        <v>933.67448731990316</v>
      </c>
      <c r="J8" s="61">
        <f>ATL!O15</f>
        <v>5.5413201279961726</v>
      </c>
      <c r="K8" s="61">
        <f t="shared" si="0"/>
        <v>126.61536949996736</v>
      </c>
      <c r="L8" s="61">
        <f t="shared" si="1"/>
        <v>164.56961695199595</v>
      </c>
      <c r="M8" s="61">
        <f t="shared" si="2"/>
        <v>202.52386440402452</v>
      </c>
      <c r="N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164.56961695199593</v>
      </c>
      <c r="O8" s="101">
        <v>36.61908422611036</v>
      </c>
    </row>
    <row r="9" spans="1:15" x14ac:dyDescent="0.2">
      <c r="A9" s="60">
        <f>IF(TableWRMaster[[#This Row],[Player]]&lt;&gt;0,A8+1,A8)</f>
        <v>7</v>
      </c>
      <c r="B9" s="60" t="str">
        <f>ATL!A16</f>
        <v>Mack Hollins</v>
      </c>
      <c r="C9" s="60" t="s">
        <v>108</v>
      </c>
      <c r="D9" s="60">
        <f>ATL!C16</f>
        <v>11</v>
      </c>
      <c r="E9" s="61">
        <f>ATL!J16</f>
        <v>0</v>
      </c>
      <c r="F9" s="61">
        <f>ATL!K16</f>
        <v>0</v>
      </c>
      <c r="G9" s="61">
        <f>ATL!L16</f>
        <v>60.187115519999978</v>
      </c>
      <c r="H9" s="61">
        <f>ATL!M16</f>
        <v>35.686350564995593</v>
      </c>
      <c r="I9" s="61">
        <f>ATL!N16</f>
        <v>426.45188925169731</v>
      </c>
      <c r="J9" s="61">
        <f>ATL!O16</f>
        <v>2.7835353440696564</v>
      </c>
      <c r="K9" s="61">
        <f t="shared" si="0"/>
        <v>59.346400989587671</v>
      </c>
      <c r="L9" s="61">
        <f t="shared" si="1"/>
        <v>77.189576272085475</v>
      </c>
      <c r="M9" s="61">
        <f t="shared" si="2"/>
        <v>95.032751554583257</v>
      </c>
      <c r="N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77.189576272085475</v>
      </c>
      <c r="O9" s="101">
        <v>0.86653756075019195</v>
      </c>
    </row>
    <row r="10" spans="1:15" x14ac:dyDescent="0.2">
      <c r="A10" s="60">
        <f>IF(TableWRMaster[[#This Row],[Player]]&lt;&gt;0,A9+1,A9)</f>
        <v>8</v>
      </c>
      <c r="B10" s="60" t="str">
        <f>ATL!A17</f>
        <v>Scott Miller</v>
      </c>
      <c r="C10" s="60" t="s">
        <v>108</v>
      </c>
      <c r="D10" s="60">
        <f>ATL!C17</f>
        <v>11</v>
      </c>
      <c r="E10" s="61">
        <f>ATL!J17</f>
        <v>0</v>
      </c>
      <c r="F10" s="61">
        <f>ATL!K17</f>
        <v>0</v>
      </c>
      <c r="G10" s="61">
        <f>ATL!L17</f>
        <v>25.79447807999999</v>
      </c>
      <c r="H10" s="61">
        <f>ATL!M17</f>
        <v>14.48358448003961</v>
      </c>
      <c r="I10" s="61">
        <f>ATL!N17</f>
        <v>168.86476278993538</v>
      </c>
      <c r="J10" s="61">
        <f>ATL!O17</f>
        <v>0.98488374464269357</v>
      </c>
      <c r="K10" s="61">
        <f t="shared" si="0"/>
        <v>22.795778746849699</v>
      </c>
      <c r="L10" s="61">
        <f t="shared" si="1"/>
        <v>30.037570986869504</v>
      </c>
      <c r="M10" s="61">
        <f t="shared" si="2"/>
        <v>37.279363226889309</v>
      </c>
      <c r="N1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30.037570986869504</v>
      </c>
      <c r="O10" s="101">
        <v>0</v>
      </c>
    </row>
    <row r="11" spans="1:15" x14ac:dyDescent="0.2">
      <c r="A11" s="60">
        <f>IF(TableWRMaster[[#This Row],[Player]]&lt;&gt;0,A10+1,A10)</f>
        <v>9</v>
      </c>
      <c r="B11" s="60" t="str">
        <f>ATL!A18</f>
        <v>Josh Ali</v>
      </c>
      <c r="C11" s="60" t="s">
        <v>108</v>
      </c>
      <c r="D11" s="60">
        <f>ATL!C18</f>
        <v>11</v>
      </c>
      <c r="E11" s="61">
        <f>ATL!J18</f>
        <v>0</v>
      </c>
      <c r="F11" s="61">
        <f>ATL!K18</f>
        <v>0</v>
      </c>
      <c r="G11" s="61">
        <f>ATL!L18</f>
        <v>20.230963199999994</v>
      </c>
      <c r="H11" s="61">
        <f>ATL!M18</f>
        <v>10.666547924945423</v>
      </c>
      <c r="I11" s="61">
        <f>ATL!N18</f>
        <v>115.02676799212875</v>
      </c>
      <c r="J11" s="61">
        <f>ATL!O18</f>
        <v>0.71465871097134337</v>
      </c>
      <c r="K11" s="61">
        <f t="shared" si="0"/>
        <v>15.790629065040935</v>
      </c>
      <c r="L11" s="61">
        <f t="shared" si="1"/>
        <v>21.123903027513649</v>
      </c>
      <c r="M11" s="61">
        <f t="shared" si="2"/>
        <v>26.457176989986358</v>
      </c>
      <c r="N1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21.123903027513649</v>
      </c>
      <c r="O11" s="101">
        <v>0</v>
      </c>
    </row>
    <row r="12" spans="1:15" x14ac:dyDescent="0.2">
      <c r="A12" s="60">
        <f>IF(TableWRMaster[[#This Row],[Player]]&lt;&gt;0,A11+1,A11)</f>
        <v>10</v>
      </c>
      <c r="B12" s="60" t="str">
        <f>ATL!A19</f>
        <v>KhaDarel Hodge</v>
      </c>
      <c r="C12" s="60" t="s">
        <v>108</v>
      </c>
      <c r="D12" s="60">
        <f>ATL!C19</f>
        <v>11</v>
      </c>
      <c r="E12" s="61">
        <f>ATL!J19</f>
        <v>0</v>
      </c>
      <c r="F12" s="61">
        <f>ATL!K19</f>
        <v>0</v>
      </c>
      <c r="G12" s="61">
        <f>ATL!L19</f>
        <v>39.450378239999992</v>
      </c>
      <c r="H12" s="61">
        <f>ATL!M19</f>
        <v>20.356879289535335</v>
      </c>
      <c r="I12" s="61">
        <f>ATL!N19</f>
        <v>266.67511869291286</v>
      </c>
      <c r="J12" s="61">
        <f>ATL!O19</f>
        <v>1.5471228260046854</v>
      </c>
      <c r="K12" s="61">
        <f t="shared" si="0"/>
        <v>35.950248825319399</v>
      </c>
      <c r="L12" s="61">
        <f t="shared" si="1"/>
        <v>46.12868847008707</v>
      </c>
      <c r="M12" s="61">
        <f t="shared" si="2"/>
        <v>56.307128114854734</v>
      </c>
      <c r="N1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46.12868847008707</v>
      </c>
      <c r="O12" s="101">
        <v>0</v>
      </c>
    </row>
    <row r="13" spans="1:15" x14ac:dyDescent="0.2">
      <c r="A13" s="60">
        <f>IF(TableWRMaster[[#This Row],[Player]]&lt;&gt;0,A12+1,A12)</f>
        <v>10</v>
      </c>
      <c r="B13" s="60">
        <f>ATL!A20</f>
        <v>0</v>
      </c>
      <c r="C13" s="60" t="s">
        <v>108</v>
      </c>
      <c r="D13" s="60">
        <f>ATL!C20</f>
        <v>11</v>
      </c>
      <c r="E13" s="61">
        <f>ATL!J20</f>
        <v>0</v>
      </c>
      <c r="F13" s="61">
        <f>ATL!K20</f>
        <v>0</v>
      </c>
      <c r="G13" s="61">
        <f>ATL!L20</f>
        <v>0</v>
      </c>
      <c r="H13" s="61">
        <f>ATL!M20</f>
        <v>0</v>
      </c>
      <c r="I13" s="61">
        <f>ATL!N20</f>
        <v>0</v>
      </c>
      <c r="J13" s="61">
        <f>ATL!O20</f>
        <v>0</v>
      </c>
      <c r="K13" s="61">
        <f t="shared" si="0"/>
        <v>0</v>
      </c>
      <c r="L13" s="61">
        <f t="shared" si="1"/>
        <v>0</v>
      </c>
      <c r="M13" s="61">
        <f t="shared" si="2"/>
        <v>0</v>
      </c>
      <c r="N1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3" s="101">
        <v>0</v>
      </c>
    </row>
    <row r="14" spans="1:15" x14ac:dyDescent="0.2">
      <c r="A14" s="60">
        <f>IF(TableWRMaster[[#This Row],[Player]]&lt;&gt;0,A13+1,A13)</f>
        <v>11</v>
      </c>
      <c r="B14" s="60" t="str">
        <f>BAL!A15</f>
        <v>Zay Flowers</v>
      </c>
      <c r="C14" s="60" t="s">
        <v>109</v>
      </c>
      <c r="D14" s="60">
        <f>BAL!C15</f>
        <v>13</v>
      </c>
      <c r="E14" s="61">
        <f>BAL!J15</f>
        <v>0</v>
      </c>
      <c r="F14" s="61">
        <f>BAL!K15</f>
        <v>0</v>
      </c>
      <c r="G14" s="61">
        <f>BAL!L15</f>
        <v>99.974194320000009</v>
      </c>
      <c r="H14" s="61">
        <f>BAL!M15</f>
        <v>60.376316466686816</v>
      </c>
      <c r="I14" s="61">
        <f>BAL!N15</f>
        <v>743.83621886958156</v>
      </c>
      <c r="J14" s="61">
        <f>BAL!O15</f>
        <v>4.2867184691347635</v>
      </c>
      <c r="K14" s="61">
        <f t="shared" si="0"/>
        <v>100.10393270176674</v>
      </c>
      <c r="L14" s="61">
        <f t="shared" si="1"/>
        <v>130.29209093511014</v>
      </c>
      <c r="M14" s="61">
        <f t="shared" si="2"/>
        <v>160.48024916845355</v>
      </c>
      <c r="N1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130.29209093511014</v>
      </c>
      <c r="O14" s="101">
        <v>0.97004667829305213</v>
      </c>
    </row>
    <row r="15" spans="1:15" x14ac:dyDescent="0.2">
      <c r="A15" s="60">
        <f>IF(TableWRMaster[[#This Row],[Player]]&lt;&gt;0,A14+1,A14)</f>
        <v>12</v>
      </c>
      <c r="B15" s="60" t="str">
        <f>BAL!A16</f>
        <v>Rashod Bateman</v>
      </c>
      <c r="C15" s="60" t="s">
        <v>109</v>
      </c>
      <c r="D15" s="60">
        <f>BAL!C16</f>
        <v>13</v>
      </c>
      <c r="E15" s="61">
        <f>BAL!J16</f>
        <v>0</v>
      </c>
      <c r="F15" s="61">
        <f>BAL!K16</f>
        <v>0</v>
      </c>
      <c r="G15" s="61">
        <f>BAL!L16</f>
        <v>73.243126320000016</v>
      </c>
      <c r="H15" s="61">
        <f>BAL!M16</f>
        <v>45.230232956759949</v>
      </c>
      <c r="I15" s="61">
        <f>BAL!N16</f>
        <v>563.11640031166132</v>
      </c>
      <c r="J15" s="61">
        <f>BAL!O16</f>
        <v>2.8042744433191169</v>
      </c>
      <c r="K15" s="61">
        <f t="shared" si="0"/>
        <v>73.137286691080845</v>
      </c>
      <c r="L15" s="61">
        <f t="shared" si="1"/>
        <v>95.75240316946082</v>
      </c>
      <c r="M15" s="61">
        <f t="shared" si="2"/>
        <v>118.36751964784079</v>
      </c>
      <c r="N1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95.75240316946082</v>
      </c>
      <c r="O15" s="101">
        <v>0</v>
      </c>
    </row>
    <row r="16" spans="1:15" x14ac:dyDescent="0.2">
      <c r="A16" s="60">
        <f>IF(TableWRMaster[[#This Row],[Player]]&lt;&gt;0,A15+1,A15)</f>
        <v>13</v>
      </c>
      <c r="B16" s="60" t="str">
        <f>BAL!A17</f>
        <v>Odell Beckham</v>
      </c>
      <c r="C16" s="60" t="s">
        <v>109</v>
      </c>
      <c r="D16" s="60">
        <f>BAL!C17</f>
        <v>13</v>
      </c>
      <c r="E16" s="61">
        <f>BAL!J17</f>
        <v>0</v>
      </c>
      <c r="F16" s="61">
        <f>BAL!K17</f>
        <v>0</v>
      </c>
      <c r="G16" s="61">
        <f>BAL!L17</f>
        <v>98.370330240000001</v>
      </c>
      <c r="H16" s="61">
        <f>BAL!M17</f>
        <v>58.235736778513441</v>
      </c>
      <c r="I16" s="61">
        <f>BAL!N17</f>
        <v>745.4174307649721</v>
      </c>
      <c r="J16" s="61">
        <f>BAL!O17</f>
        <v>5.5323949939587767</v>
      </c>
      <c r="K16" s="61">
        <f t="shared" si="0"/>
        <v>107.73611304024988</v>
      </c>
      <c r="L16" s="61">
        <f t="shared" si="1"/>
        <v>136.8539814295066</v>
      </c>
      <c r="M16" s="61">
        <f t="shared" si="2"/>
        <v>165.9718498187633</v>
      </c>
      <c r="N1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136.85398142950658</v>
      </c>
      <c r="O16" s="101">
        <v>0</v>
      </c>
    </row>
    <row r="17" spans="1:15" x14ac:dyDescent="0.2">
      <c r="A17" s="60">
        <f>IF(TableWRMaster[[#This Row],[Player]]&lt;&gt;0,A16+1,A16)</f>
        <v>14</v>
      </c>
      <c r="B17" s="60" t="str">
        <f>BAL!A18</f>
        <v>Nelson Agholor</v>
      </c>
      <c r="C17" s="60" t="s">
        <v>109</v>
      </c>
      <c r="D17" s="60">
        <f>BAL!C19</f>
        <v>13</v>
      </c>
      <c r="E17" s="61">
        <f>BAL!J19</f>
        <v>0</v>
      </c>
      <c r="F17" s="61">
        <f>BAL!K19</f>
        <v>0</v>
      </c>
      <c r="G17" s="61">
        <f>BAL!L18</f>
        <v>20.31561168</v>
      </c>
      <c r="H17" s="61">
        <f>BAL!M18</f>
        <v>11.714933023967783</v>
      </c>
      <c r="I17" s="61">
        <f>BAL!N18</f>
        <v>146.43666279959729</v>
      </c>
      <c r="J17" s="61">
        <f>BAL!O18</f>
        <v>0.69118104841409911</v>
      </c>
      <c r="K17" s="61">
        <f t="shared" si="0"/>
        <v>18.790752570444322</v>
      </c>
      <c r="L17" s="61">
        <f t="shared" si="1"/>
        <v>24.648219082428213</v>
      </c>
      <c r="M17" s="61">
        <f t="shared" si="2"/>
        <v>30.505685594412107</v>
      </c>
      <c r="N1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24.648219082428216</v>
      </c>
      <c r="O17" s="101">
        <v>0</v>
      </c>
    </row>
    <row r="18" spans="1:15" x14ac:dyDescent="0.2">
      <c r="A18" s="60">
        <f>IF(TableWRMaster[[#This Row],[Player]]&lt;&gt;0,A17+1,A17)</f>
        <v>15</v>
      </c>
      <c r="B18" s="60" t="str">
        <f>BAL!A19</f>
        <v>Devin Duvernay</v>
      </c>
      <c r="C18" s="60" t="s">
        <v>109</v>
      </c>
      <c r="D18" s="60">
        <f>BAL!C20</f>
        <v>13</v>
      </c>
      <c r="E18" s="61">
        <f>BAL!J20</f>
        <v>0</v>
      </c>
      <c r="F18" s="61">
        <f>BAL!K20</f>
        <v>0</v>
      </c>
      <c r="G18" s="61">
        <f>BAL!L19</f>
        <v>11.227048560000002</v>
      </c>
      <c r="H18" s="61">
        <f>BAL!M19</f>
        <v>7.1709536200219475</v>
      </c>
      <c r="I18" s="61">
        <f>BAL!N19</f>
        <v>84.402124107658324</v>
      </c>
      <c r="J18" s="61">
        <f>BAL!O19</f>
        <v>0.46611198530142661</v>
      </c>
      <c r="K18" s="61">
        <f t="shared" si="0"/>
        <v>11.236884322574392</v>
      </c>
      <c r="L18" s="61">
        <f t="shared" si="1"/>
        <v>14.822361132585366</v>
      </c>
      <c r="M18" s="61">
        <f t="shared" si="2"/>
        <v>18.407837942596338</v>
      </c>
      <c r="N1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14.822361132585366</v>
      </c>
      <c r="O18" s="101">
        <v>0</v>
      </c>
    </row>
    <row r="19" spans="1:15" x14ac:dyDescent="0.2">
      <c r="A19" s="60">
        <f>IF(TableWRMaster[[#This Row],[Player]]&lt;&gt;0,A18+1,A18)</f>
        <v>15</v>
      </c>
      <c r="B19" s="60">
        <f>BAL!A20</f>
        <v>0</v>
      </c>
      <c r="C19" s="60" t="s">
        <v>109</v>
      </c>
      <c r="D19" s="60">
        <f>BAL!C18</f>
        <v>13</v>
      </c>
      <c r="E19" s="61">
        <f>BAL!J18</f>
        <v>0</v>
      </c>
      <c r="F19" s="61">
        <f>BAL!K18</f>
        <v>0</v>
      </c>
      <c r="G19" s="61">
        <f>BAL!L20</f>
        <v>0</v>
      </c>
      <c r="H19" s="61">
        <f>BAL!M20</f>
        <v>0</v>
      </c>
      <c r="I19" s="61">
        <f>BAL!N20</f>
        <v>0</v>
      </c>
      <c r="J19" s="61">
        <f>BAL!O20</f>
        <v>0</v>
      </c>
      <c r="K19" s="61">
        <f t="shared" si="0"/>
        <v>0</v>
      </c>
      <c r="L19" s="61">
        <f t="shared" si="1"/>
        <v>0</v>
      </c>
      <c r="M19" s="61">
        <f t="shared" si="2"/>
        <v>0</v>
      </c>
      <c r="N1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9" s="101">
        <v>0</v>
      </c>
    </row>
    <row r="20" spans="1:15" x14ac:dyDescent="0.2">
      <c r="A20" s="60">
        <f>IF(TableWRMaster[[#This Row],[Player]]&lt;&gt;0,A19+1,A19)</f>
        <v>16</v>
      </c>
      <c r="B20" s="60" t="str">
        <f>BUF!A15</f>
        <v>Stefon Diggs</v>
      </c>
      <c r="C20" s="60" t="s">
        <v>110</v>
      </c>
      <c r="D20" s="60">
        <f>BUF!C15</f>
        <v>13</v>
      </c>
      <c r="E20" s="61">
        <f>BUF!J15</f>
        <v>0</v>
      </c>
      <c r="F20" s="61">
        <f>BUF!K15</f>
        <v>0</v>
      </c>
      <c r="G20" s="61">
        <f>BUF!L15</f>
        <v>147.52430000000001</v>
      </c>
      <c r="H20" s="61">
        <f>BUF!M15</f>
        <v>99.755838968248113</v>
      </c>
      <c r="I20" s="61">
        <f>BUF!N15</f>
        <v>1264.9040381173861</v>
      </c>
      <c r="J20" s="61">
        <f>BUF!O15</f>
        <v>9.0777813461105783</v>
      </c>
      <c r="K20" s="61">
        <f t="shared" si="0"/>
        <v>180.95709188840209</v>
      </c>
      <c r="L20" s="61">
        <f t="shared" si="1"/>
        <v>230.83501137252614</v>
      </c>
      <c r="M20" s="61">
        <f t="shared" si="2"/>
        <v>280.71293085665019</v>
      </c>
      <c r="N2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230.83501137252614</v>
      </c>
      <c r="O20" s="101">
        <v>40.616501915999407</v>
      </c>
    </row>
    <row r="21" spans="1:15" x14ac:dyDescent="0.2">
      <c r="A21" s="60">
        <f>IF(TableWRMaster[[#This Row],[Player]]&lt;&gt;0,A20+1,A20)</f>
        <v>17</v>
      </c>
      <c r="B21" s="60" t="str">
        <f>BUF!A16</f>
        <v>Gabe Davis</v>
      </c>
      <c r="C21" s="60" t="s">
        <v>110</v>
      </c>
      <c r="D21" s="60">
        <f>BUF!C16</f>
        <v>13</v>
      </c>
      <c r="E21" s="61">
        <f>BUF!J16</f>
        <v>0</v>
      </c>
      <c r="F21" s="61">
        <f>BUF!K16</f>
        <v>0</v>
      </c>
      <c r="G21" s="61">
        <f>BUF!L16</f>
        <v>121.22649</v>
      </c>
      <c r="H21" s="61">
        <f>BUF!M16</f>
        <v>63.429216999988654</v>
      </c>
      <c r="I21" s="61">
        <f>BUF!N16</f>
        <v>941.28958027983163</v>
      </c>
      <c r="J21" s="61">
        <f>BUF!O16</f>
        <v>8.4360858609984906</v>
      </c>
      <c r="K21" s="61">
        <f t="shared" si="0"/>
        <v>144.74547319397411</v>
      </c>
      <c r="L21" s="61">
        <f t="shared" si="1"/>
        <v>176.46008169396845</v>
      </c>
      <c r="M21" s="61">
        <f t="shared" si="2"/>
        <v>208.17469019396276</v>
      </c>
      <c r="N2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176.46008169396845</v>
      </c>
      <c r="O21" s="101">
        <v>6.1881734118932492</v>
      </c>
    </row>
    <row r="22" spans="1:15" x14ac:dyDescent="0.2">
      <c r="A22" s="60">
        <f>IF(TableWRMaster[[#This Row],[Player]]&lt;&gt;0,A21+1,A21)</f>
        <v>18</v>
      </c>
      <c r="B22" s="60" t="str">
        <f>BUF!A17</f>
        <v>Khalil Shakir</v>
      </c>
      <c r="C22" s="60" t="s">
        <v>110</v>
      </c>
      <c r="D22" s="60">
        <f>BUF!C18</f>
        <v>13</v>
      </c>
      <c r="E22" s="61">
        <f>BUF!J18</f>
        <v>0</v>
      </c>
      <c r="F22" s="61">
        <f>BUF!K18</f>
        <v>0</v>
      </c>
      <c r="G22" s="61">
        <f>BUF!L17</f>
        <v>31.429089999999999</v>
      </c>
      <c r="H22" s="61">
        <f>BUF!M17</f>
        <v>18.62431366668449</v>
      </c>
      <c r="I22" s="61">
        <f>BUF!N17</f>
        <v>222.00181890687912</v>
      </c>
      <c r="J22" s="61">
        <f>BUF!O17</f>
        <v>1.1461116102575071</v>
      </c>
      <c r="K22" s="61">
        <f t="shared" si="0"/>
        <v>29.076851552232952</v>
      </c>
      <c r="L22" s="61">
        <f t="shared" si="1"/>
        <v>38.389008385575195</v>
      </c>
      <c r="M22" s="61">
        <f t="shared" si="2"/>
        <v>47.701165218917438</v>
      </c>
      <c r="N2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38.389008385575202</v>
      </c>
      <c r="O22" s="101">
        <v>4.1471716410938786</v>
      </c>
    </row>
    <row r="23" spans="1:15" x14ac:dyDescent="0.2">
      <c r="A23" s="60">
        <f>IF(TableWRMaster[[#This Row],[Player]]&lt;&gt;0,A22+1,A22)</f>
        <v>19</v>
      </c>
      <c r="B23" s="60" t="str">
        <f>BUF!A18</f>
        <v>Trent Sherfield</v>
      </c>
      <c r="C23" s="60" t="s">
        <v>110</v>
      </c>
      <c r="D23" s="60">
        <f>BUF!C17</f>
        <v>13</v>
      </c>
      <c r="E23" s="61">
        <f>BUF!J17</f>
        <v>0</v>
      </c>
      <c r="F23" s="61">
        <f>BUF!K17</f>
        <v>0</v>
      </c>
      <c r="G23" s="61">
        <f>BUF!L18</f>
        <v>51.954210000000003</v>
      </c>
      <c r="H23" s="61">
        <f>BUF!M18</f>
        <v>27.978584843108639</v>
      </c>
      <c r="I23" s="61">
        <f>BUF!N18</f>
        <v>356.72695674963512</v>
      </c>
      <c r="J23" s="61">
        <f>BUF!O18</f>
        <v>1.695671808673251</v>
      </c>
      <c r="K23" s="61">
        <f t="shared" si="0"/>
        <v>45.846726527003021</v>
      </c>
      <c r="L23" s="61">
        <f t="shared" si="1"/>
        <v>59.836018948557339</v>
      </c>
      <c r="M23" s="61">
        <f t="shared" si="2"/>
        <v>73.825311370111663</v>
      </c>
      <c r="N2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59.836018948557339</v>
      </c>
      <c r="O23" s="101">
        <v>0</v>
      </c>
    </row>
    <row r="24" spans="1:15" x14ac:dyDescent="0.2">
      <c r="A24" s="60">
        <f>IF(TableWRMaster[[#This Row],[Player]]&lt;&gt;0,A23+1,A23)</f>
        <v>20</v>
      </c>
      <c r="B24" s="60" t="str">
        <f>BUF!A19</f>
        <v>Deonte Harty</v>
      </c>
      <c r="C24" s="60" t="s">
        <v>110</v>
      </c>
      <c r="D24" s="60">
        <f>BUF!C19</f>
        <v>13</v>
      </c>
      <c r="E24" s="61">
        <f>BUF!J19</f>
        <v>11.088287437500004</v>
      </c>
      <c r="F24" s="61">
        <f>BUF!K19</f>
        <v>6.5281573350000024E-2</v>
      </c>
      <c r="G24" s="61">
        <f>BUF!L19</f>
        <v>42.333060000000003</v>
      </c>
      <c r="H24" s="61">
        <f>BUF!M19</f>
        <v>26.51810311999764</v>
      </c>
      <c r="I24" s="61">
        <f>BUF!N19</f>
        <v>299.70842900588661</v>
      </c>
      <c r="J24" s="61">
        <f>BUF!O19</f>
        <v>2.0153758371198207</v>
      </c>
      <c r="K24" s="61">
        <f t="shared" si="0"/>
        <v>43.563616107157586</v>
      </c>
      <c r="L24" s="61">
        <f t="shared" si="1"/>
        <v>56.822667667156409</v>
      </c>
      <c r="M24" s="61">
        <f t="shared" si="2"/>
        <v>70.081719227155219</v>
      </c>
      <c r="N2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56.822667667156409</v>
      </c>
      <c r="O24" s="101">
        <v>0</v>
      </c>
    </row>
    <row r="25" spans="1:15" x14ac:dyDescent="0.2">
      <c r="A25" s="60">
        <f>IF(TableWRMaster[[#This Row],[Player]]&lt;&gt;0,A24+1,A24)</f>
        <v>21</v>
      </c>
      <c r="B25" s="60" t="str">
        <f>BUF!A20</f>
        <v>Justin Shorter</v>
      </c>
      <c r="C25" s="60" t="s">
        <v>110</v>
      </c>
      <c r="D25" s="60">
        <f>BUF!C20</f>
        <v>13</v>
      </c>
      <c r="E25" s="61">
        <f>BUF!J20</f>
        <v>0</v>
      </c>
      <c r="F25" s="61">
        <f>BUF!K20</f>
        <v>0</v>
      </c>
      <c r="G25" s="61">
        <f>BUF!L20</f>
        <v>14.752429999999999</v>
      </c>
      <c r="H25" s="61">
        <f>BUF!M20</f>
        <v>9.3972979099999989</v>
      </c>
      <c r="I25" s="61">
        <f>BUF!N20</f>
        <v>101.490817428</v>
      </c>
      <c r="J25" s="61">
        <f>BUF!O20</f>
        <v>0.37589191639999997</v>
      </c>
      <c r="K25" s="61">
        <f t="shared" si="0"/>
        <v>12.4044332412</v>
      </c>
      <c r="L25" s="61">
        <f t="shared" si="1"/>
        <v>17.103082196199999</v>
      </c>
      <c r="M25" s="61">
        <f t="shared" si="2"/>
        <v>21.801731151199998</v>
      </c>
      <c r="N2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17.103082196199999</v>
      </c>
      <c r="O25" s="101">
        <v>0</v>
      </c>
    </row>
    <row r="26" spans="1:15" x14ac:dyDescent="0.2">
      <c r="A26" s="60">
        <f>IF(TableWRMaster[[#This Row],[Player]]&lt;&gt;0,A25+1,A25)</f>
        <v>21</v>
      </c>
      <c r="B26" s="60">
        <f>BUF!A21</f>
        <v>0</v>
      </c>
      <c r="C26" s="60" t="s">
        <v>110</v>
      </c>
      <c r="D26" s="60">
        <f>BUF!C21</f>
        <v>13</v>
      </c>
      <c r="E26" s="61">
        <f>BUF!J21</f>
        <v>0</v>
      </c>
      <c r="F26" s="61">
        <f>BUF!K21</f>
        <v>0</v>
      </c>
      <c r="G26" s="61">
        <f>BUF!L21</f>
        <v>0</v>
      </c>
      <c r="H26" s="61">
        <f>BUF!M21</f>
        <v>0</v>
      </c>
      <c r="I26" s="61">
        <f>BUF!N21</f>
        <v>0</v>
      </c>
      <c r="J26" s="61">
        <f>BUF!O21</f>
        <v>0</v>
      </c>
      <c r="K26" s="61">
        <f t="shared" si="0"/>
        <v>0</v>
      </c>
      <c r="L26" s="61">
        <f t="shared" si="1"/>
        <v>0</v>
      </c>
      <c r="M26" s="61">
        <f t="shared" si="2"/>
        <v>0</v>
      </c>
      <c r="N2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26" s="101">
        <v>0</v>
      </c>
    </row>
    <row r="27" spans="1:15" x14ac:dyDescent="0.2">
      <c r="A27" s="60">
        <f>IF(TableWRMaster[[#This Row],[Player]]&lt;&gt;0,A26+1,A26)</f>
        <v>22</v>
      </c>
      <c r="B27" s="60" t="str">
        <f>CAR!A15</f>
        <v>Adam Thielen</v>
      </c>
      <c r="C27" s="60" t="s">
        <v>111</v>
      </c>
      <c r="D27" s="60">
        <f>CAR!C15</f>
        <v>7</v>
      </c>
      <c r="E27" s="61">
        <f>CAR!J15</f>
        <v>0</v>
      </c>
      <c r="F27" s="61">
        <f>CAR!K15</f>
        <v>0</v>
      </c>
      <c r="G27" s="61">
        <f>CAR!L15</f>
        <v>112.98123647999999</v>
      </c>
      <c r="H27" s="61">
        <f>CAR!M15</f>
        <v>70.678545573413743</v>
      </c>
      <c r="I27" s="61">
        <f>CAR!N15</f>
        <v>798.66756497957533</v>
      </c>
      <c r="J27" s="61">
        <f>CAR!O15</f>
        <v>5.2302123724326171</v>
      </c>
      <c r="K27" s="61">
        <f t="shared" si="0"/>
        <v>111.24803073255325</v>
      </c>
      <c r="L27" s="61">
        <f t="shared" si="1"/>
        <v>146.5873035192601</v>
      </c>
      <c r="M27" s="61">
        <f t="shared" si="2"/>
        <v>181.92657630596699</v>
      </c>
      <c r="N2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146.5873035192601</v>
      </c>
      <c r="O27" s="101">
        <v>17.941744686042725</v>
      </c>
    </row>
    <row r="28" spans="1:15" x14ac:dyDescent="0.2">
      <c r="A28" s="60">
        <f>IF(TableWRMaster[[#This Row],[Player]]&lt;&gt;0,A27+1,A27)</f>
        <v>23</v>
      </c>
      <c r="B28" s="60" t="str">
        <f>CAR!A16</f>
        <v>DJ Chark</v>
      </c>
      <c r="C28" s="60" t="s">
        <v>111</v>
      </c>
      <c r="D28" s="60">
        <f>CAR!C16</f>
        <v>7</v>
      </c>
      <c r="E28" s="61">
        <f>CAR!J16</f>
        <v>0</v>
      </c>
      <c r="F28" s="61">
        <f>CAR!K16</f>
        <v>0</v>
      </c>
      <c r="G28" s="61">
        <f>CAR!L16</f>
        <v>86.501259179999991</v>
      </c>
      <c r="H28" s="61">
        <f>CAR!M16</f>
        <v>47.151009549006233</v>
      </c>
      <c r="I28" s="61">
        <f>CAR!N16</f>
        <v>681.33208798314001</v>
      </c>
      <c r="J28" s="61">
        <f>CAR!O16</f>
        <v>3.5834767257244735</v>
      </c>
      <c r="K28" s="61">
        <f t="shared" si="0"/>
        <v>89.634069152660842</v>
      </c>
      <c r="L28" s="61">
        <f t="shared" si="1"/>
        <v>113.20957392716396</v>
      </c>
      <c r="M28" s="61">
        <f t="shared" si="2"/>
        <v>136.78507870166709</v>
      </c>
      <c r="N2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113.20957392716396</v>
      </c>
      <c r="O28" s="101">
        <v>14.406806585771708</v>
      </c>
    </row>
    <row r="29" spans="1:15" x14ac:dyDescent="0.2">
      <c r="A29" s="60">
        <f>IF(TableWRMaster[[#This Row],[Player]]&lt;&gt;0,A28+1,A28)</f>
        <v>24</v>
      </c>
      <c r="B29" s="60" t="str">
        <f>CAR!A17</f>
        <v>Jonathan Mingo</v>
      </c>
      <c r="C29" s="60" t="s">
        <v>111</v>
      </c>
      <c r="D29" s="60">
        <f>CAR!C17</f>
        <v>7</v>
      </c>
      <c r="E29" s="61">
        <f>CAR!J17</f>
        <v>0</v>
      </c>
      <c r="F29" s="61">
        <f>CAR!K17</f>
        <v>0</v>
      </c>
      <c r="G29" s="61">
        <f>CAR!L17</f>
        <v>107.68524101999999</v>
      </c>
      <c r="H29" s="61">
        <f>CAR!M17</f>
        <v>64.176582360608236</v>
      </c>
      <c r="I29" s="61">
        <f>CAR!N17</f>
        <v>828.29852932366464</v>
      </c>
      <c r="J29" s="61">
        <f>CAR!O17</f>
        <v>5.3908329182910926</v>
      </c>
      <c r="K29" s="61">
        <f t="shared" si="0"/>
        <v>115.17485044211301</v>
      </c>
      <c r="L29" s="61">
        <f t="shared" si="1"/>
        <v>147.26314162241712</v>
      </c>
      <c r="M29" s="61">
        <f t="shared" si="2"/>
        <v>179.35143280272126</v>
      </c>
      <c r="N2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147.26314162241712</v>
      </c>
      <c r="O29" s="101">
        <v>0</v>
      </c>
    </row>
    <row r="30" spans="1:15" x14ac:dyDescent="0.2">
      <c r="A30" s="60">
        <f>IF(TableWRMaster[[#This Row],[Player]]&lt;&gt;0,A29+1,A29)</f>
        <v>25</v>
      </c>
      <c r="B30" s="60" t="str">
        <f>CAR!A18</f>
        <v>Terrace Marshall</v>
      </c>
      <c r="C30" s="60" t="s">
        <v>111</v>
      </c>
      <c r="D30" s="60">
        <f>CAR!C18</f>
        <v>7</v>
      </c>
      <c r="E30" s="61">
        <f>CAR!J18</f>
        <v>0</v>
      </c>
      <c r="F30" s="61">
        <f>CAR!K18</f>
        <v>0</v>
      </c>
      <c r="G30" s="61">
        <f>CAR!L18</f>
        <v>61.78661369999999</v>
      </c>
      <c r="H30" s="61">
        <f>CAR!M18</f>
        <v>34.240131916239953</v>
      </c>
      <c r="I30" s="61">
        <f>CAR!N18</f>
        <v>486.55227452976976</v>
      </c>
      <c r="J30" s="61">
        <f>CAR!O18</f>
        <v>2.3283289703043168</v>
      </c>
      <c r="K30" s="61">
        <f t="shared" si="0"/>
        <v>62.625201274802876</v>
      </c>
      <c r="L30" s="61">
        <f t="shared" si="1"/>
        <v>79.745267232922856</v>
      </c>
      <c r="M30" s="61">
        <f t="shared" si="2"/>
        <v>96.865333191042822</v>
      </c>
      <c r="N3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79.745267232922856</v>
      </c>
      <c r="O30" s="101">
        <v>0</v>
      </c>
    </row>
    <row r="31" spans="1:15" x14ac:dyDescent="0.2">
      <c r="A31" s="60">
        <f>IF(TableWRMaster[[#This Row],[Player]]&lt;&gt;0,A30+1,A30)</f>
        <v>26</v>
      </c>
      <c r="B31" s="60" t="str">
        <f>CAR!A19</f>
        <v>Laviska Shenault</v>
      </c>
      <c r="C31" s="60" t="s">
        <v>111</v>
      </c>
      <c r="D31" s="60">
        <f>CAR!C19</f>
        <v>7</v>
      </c>
      <c r="E31" s="61">
        <f>CAR!J19</f>
        <v>364.58056684789727</v>
      </c>
      <c r="F31" s="61">
        <f>CAR!K19</f>
        <v>2.9811607820400003</v>
      </c>
      <c r="G31" s="61">
        <f>CAR!L19</f>
        <v>27.068421239999996</v>
      </c>
      <c r="H31" s="61">
        <f>CAR!M19</f>
        <v>19.271287441701954</v>
      </c>
      <c r="I31" s="61">
        <f>CAR!N19</f>
        <v>200.65953977642488</v>
      </c>
      <c r="J31" s="61">
        <f>CAR!O19</f>
        <v>1.0406495218519056</v>
      </c>
      <c r="K31" s="61">
        <f t="shared" si="0"/>
        <v>80.654872485783656</v>
      </c>
      <c r="L31" s="61">
        <f t="shared" si="1"/>
        <v>90.290516206634635</v>
      </c>
      <c r="M31" s="61">
        <f t="shared" si="2"/>
        <v>99.926159927485614</v>
      </c>
      <c r="N3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90.290516206634649</v>
      </c>
      <c r="O31" s="101">
        <v>0</v>
      </c>
    </row>
    <row r="32" spans="1:15" x14ac:dyDescent="0.2">
      <c r="A32" s="60">
        <f>IF(TableWRMaster[[#This Row],[Player]]&lt;&gt;0,A31+1,A31)</f>
        <v>26</v>
      </c>
      <c r="B32" s="60">
        <f>CAR!A20</f>
        <v>0</v>
      </c>
      <c r="C32" s="60" t="s">
        <v>111</v>
      </c>
      <c r="D32" s="60">
        <f>CAR!C20</f>
        <v>7</v>
      </c>
      <c r="E32" s="61">
        <f>CAR!J20</f>
        <v>0</v>
      </c>
      <c r="F32" s="61">
        <f>CAR!K20</f>
        <v>0</v>
      </c>
      <c r="G32" s="61">
        <f>CAR!L20</f>
        <v>0</v>
      </c>
      <c r="H32" s="61">
        <f>CAR!M20</f>
        <v>0</v>
      </c>
      <c r="I32" s="61">
        <f>CAR!N20</f>
        <v>0</v>
      </c>
      <c r="J32" s="61">
        <f>CAR!O20</f>
        <v>0</v>
      </c>
      <c r="K32" s="61">
        <f t="shared" si="0"/>
        <v>0</v>
      </c>
      <c r="L32" s="61">
        <f t="shared" si="1"/>
        <v>0</v>
      </c>
      <c r="M32" s="61">
        <f t="shared" si="2"/>
        <v>0</v>
      </c>
      <c r="N3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32" s="101">
        <v>0</v>
      </c>
    </row>
    <row r="33" spans="1:15" x14ac:dyDescent="0.2">
      <c r="A33" s="60">
        <f>IF(TableWRMaster[[#This Row],[Player]]&lt;&gt;0,A32+1,A32)</f>
        <v>26</v>
      </c>
      <c r="B33" s="60">
        <f>CAR!A21</f>
        <v>0</v>
      </c>
      <c r="C33" s="60" t="s">
        <v>111</v>
      </c>
      <c r="D33" s="60">
        <f>CAR!C21</f>
        <v>7</v>
      </c>
      <c r="E33" s="61">
        <f>CAR!J21</f>
        <v>0</v>
      </c>
      <c r="F33" s="61">
        <f>CAR!K21</f>
        <v>0</v>
      </c>
      <c r="G33" s="61">
        <f>CAR!L21</f>
        <v>0</v>
      </c>
      <c r="H33" s="61">
        <f>CAR!M21</f>
        <v>0</v>
      </c>
      <c r="I33" s="61">
        <f>CAR!N21</f>
        <v>0</v>
      </c>
      <c r="J33" s="61">
        <f>CAR!O21</f>
        <v>0</v>
      </c>
      <c r="K33" s="61">
        <f t="shared" si="0"/>
        <v>0</v>
      </c>
      <c r="L33" s="61">
        <f t="shared" si="1"/>
        <v>0</v>
      </c>
      <c r="M33" s="61">
        <f t="shared" si="2"/>
        <v>0</v>
      </c>
      <c r="N3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33" s="101">
        <v>0</v>
      </c>
    </row>
    <row r="34" spans="1:15" x14ac:dyDescent="0.2">
      <c r="A34" s="60">
        <f>IF(TableWRMaster[[#This Row],[Player]]&lt;&gt;0,A33+1,A33)</f>
        <v>27</v>
      </c>
      <c r="B34" s="60" t="str">
        <f>CHI!A15</f>
        <v>DJ Moore</v>
      </c>
      <c r="C34" s="60" t="s">
        <v>112</v>
      </c>
      <c r="D34" s="60">
        <f>CHI!C15</f>
        <v>13</v>
      </c>
      <c r="E34" s="61">
        <f>CHI!J15</f>
        <v>32.281688763447846</v>
      </c>
      <c r="F34" s="61">
        <f>CHI!K15</f>
        <v>0.40743539200000001</v>
      </c>
      <c r="G34" s="61">
        <f>CHI!L15</f>
        <v>110.60592815999999</v>
      </c>
      <c r="H34" s="61">
        <f>CHI!M15</f>
        <v>68.133251746559992</v>
      </c>
      <c r="I34" s="61">
        <f>CHI!N15</f>
        <v>964.64658978249417</v>
      </c>
      <c r="J34" s="61">
        <f>CHI!O15</f>
        <v>7.7671906991078394</v>
      </c>
      <c r="K34" s="61">
        <f t="shared" si="0"/>
        <v>148.74058440124125</v>
      </c>
      <c r="L34" s="61">
        <f t="shared" ref="L34:L65" si="3">K34+(H34*0.5)</f>
        <v>182.80721027452125</v>
      </c>
      <c r="M34" s="61">
        <f t="shared" ref="M34:M65" si="4">K34+H34</f>
        <v>216.87383614780123</v>
      </c>
      <c r="N3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182.80721027452122</v>
      </c>
      <c r="O34" s="101">
        <v>26.619108615592406</v>
      </c>
    </row>
    <row r="35" spans="1:15" x14ac:dyDescent="0.2">
      <c r="A35" s="60">
        <f>IF(TableWRMaster[[#This Row],[Player]]&lt;&gt;0,A34+1,A34)</f>
        <v>28</v>
      </c>
      <c r="B35" s="60" t="str">
        <f>CHI!A16</f>
        <v>Darnell Mooney</v>
      </c>
      <c r="C35" s="60" t="s">
        <v>112</v>
      </c>
      <c r="D35" s="60">
        <f>CHI!C16</f>
        <v>13</v>
      </c>
      <c r="E35" s="61">
        <f>CHI!J16</f>
        <v>0</v>
      </c>
      <c r="F35" s="61">
        <f>CHI!K16</f>
        <v>0</v>
      </c>
      <c r="G35" s="61">
        <f>CHI!L16</f>
        <v>63.334514879999993</v>
      </c>
      <c r="H35" s="61">
        <f>CHI!M16</f>
        <v>38.887392136319995</v>
      </c>
      <c r="I35" s="61">
        <f>CHI!N16</f>
        <v>520.6477647242175</v>
      </c>
      <c r="J35" s="61">
        <f>CHI!O16</f>
        <v>4.083176174313599</v>
      </c>
      <c r="K35" s="61">
        <f t="shared" si="0"/>
        <v>76.56383351830334</v>
      </c>
      <c r="L35" s="61">
        <f t="shared" si="3"/>
        <v>96.007529586463335</v>
      </c>
      <c r="M35" s="61">
        <f t="shared" si="4"/>
        <v>115.45122565462333</v>
      </c>
      <c r="N3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96.007529586463335</v>
      </c>
      <c r="O35" s="101">
        <v>3.2302874195346365</v>
      </c>
    </row>
    <row r="36" spans="1:15" x14ac:dyDescent="0.2">
      <c r="A36" s="60">
        <f>IF(TableWRMaster[[#This Row],[Player]]&lt;&gt;0,A35+1,A35)</f>
        <v>29</v>
      </c>
      <c r="B36" s="60" t="str">
        <f>CHI!A17</f>
        <v>Chase Claypool</v>
      </c>
      <c r="C36" s="60" t="s">
        <v>112</v>
      </c>
      <c r="D36" s="60">
        <f>CHI!C17</f>
        <v>13</v>
      </c>
      <c r="E36" s="61">
        <f>CHI!J17</f>
        <v>0</v>
      </c>
      <c r="F36" s="61">
        <f>CHI!K17</f>
        <v>0</v>
      </c>
      <c r="G36" s="61">
        <f>CHI!L17</f>
        <v>56.450328479999989</v>
      </c>
      <c r="H36" s="61">
        <f>CHI!M17</f>
        <v>32.947886867375303</v>
      </c>
      <c r="I36" s="61">
        <f>CHI!N17</f>
        <v>416.91079972049295</v>
      </c>
      <c r="J36" s="61">
        <f>CHI!O17</f>
        <v>3.3277365736049056</v>
      </c>
      <c r="K36" s="61">
        <f t="shared" si="0"/>
        <v>61.657499413678728</v>
      </c>
      <c r="L36" s="61">
        <f t="shared" si="3"/>
        <v>78.131442847366372</v>
      </c>
      <c r="M36" s="61">
        <f t="shared" si="4"/>
        <v>94.605386281054024</v>
      </c>
      <c r="N3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78.131442847366372</v>
      </c>
      <c r="O36" s="101">
        <v>0</v>
      </c>
    </row>
    <row r="37" spans="1:15" x14ac:dyDescent="0.2">
      <c r="A37" s="60">
        <f>IF(TableWRMaster[[#This Row],[Player]]&lt;&gt;0,A36+1,A36)</f>
        <v>30</v>
      </c>
      <c r="B37" s="60" t="str">
        <f>CHI!A18</f>
        <v>Velus Jones</v>
      </c>
      <c r="C37" s="60" t="s">
        <v>112</v>
      </c>
      <c r="D37" s="60">
        <f>CHI!C18</f>
        <v>13</v>
      </c>
      <c r="E37" s="61">
        <f>CHI!J18</f>
        <v>0</v>
      </c>
      <c r="F37" s="61">
        <f>CHI!K18</f>
        <v>0</v>
      </c>
      <c r="G37" s="61">
        <f>CHI!L18</f>
        <v>11.473644</v>
      </c>
      <c r="H37" s="61">
        <f>CHI!M18</f>
        <v>6.4695268296932928</v>
      </c>
      <c r="I37" s="61">
        <f>CHI!N18</f>
        <v>86.750160323236742</v>
      </c>
      <c r="J37" s="61">
        <f>CHI!O18</f>
        <v>0.28465918050650485</v>
      </c>
      <c r="K37" s="61">
        <f t="shared" si="0"/>
        <v>10.382971115362704</v>
      </c>
      <c r="L37" s="61">
        <f t="shared" si="3"/>
        <v>13.617734530209351</v>
      </c>
      <c r="M37" s="61">
        <f t="shared" si="4"/>
        <v>16.852497945055998</v>
      </c>
      <c r="N3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13.617734530209351</v>
      </c>
      <c r="O37" s="101">
        <v>0</v>
      </c>
    </row>
    <row r="38" spans="1:15" x14ac:dyDescent="0.2">
      <c r="A38" s="60">
        <f>IF(TableWRMaster[[#This Row],[Player]]&lt;&gt;0,A37+1,A37)</f>
        <v>31</v>
      </c>
      <c r="B38" s="60" t="str">
        <f>CHI!A19</f>
        <v>Tyler Scott</v>
      </c>
      <c r="C38" s="60" t="s">
        <v>112</v>
      </c>
      <c r="D38" s="60">
        <f>CHI!C19</f>
        <v>13</v>
      </c>
      <c r="E38" s="61">
        <f>CHI!J19</f>
        <v>0</v>
      </c>
      <c r="F38" s="61">
        <f>CHI!K19</f>
        <v>0</v>
      </c>
      <c r="G38" s="61">
        <f>CHI!L19</f>
        <v>18.357830399999997</v>
      </c>
      <c r="H38" s="61">
        <f>CHI!M19</f>
        <v>9.7623569176099245</v>
      </c>
      <c r="I38" s="61">
        <f>CHI!N19</f>
        <v>141.60490254511797</v>
      </c>
      <c r="J38" s="61">
        <f>CHI!O19</f>
        <v>0.63455319964464507</v>
      </c>
      <c r="K38" s="61">
        <f t="shared" si="0"/>
        <v>17.967809452379665</v>
      </c>
      <c r="L38" s="61">
        <f t="shared" si="3"/>
        <v>22.848987911184629</v>
      </c>
      <c r="M38" s="61">
        <f t="shared" si="4"/>
        <v>27.73016636998959</v>
      </c>
      <c r="N3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22.848987911184629</v>
      </c>
      <c r="O38" s="101">
        <v>0</v>
      </c>
    </row>
    <row r="39" spans="1:15" x14ac:dyDescent="0.2">
      <c r="A39" s="60">
        <f>IF(TableWRMaster[[#This Row],[Player]]&lt;&gt;0,A38+1,A38)</f>
        <v>31</v>
      </c>
      <c r="B39" s="60">
        <f>CHI!A20</f>
        <v>0</v>
      </c>
      <c r="C39" s="60" t="s">
        <v>112</v>
      </c>
      <c r="D39" s="60">
        <f>CHI!C20</f>
        <v>13</v>
      </c>
      <c r="E39" s="61">
        <f>CHI!J20</f>
        <v>0</v>
      </c>
      <c r="F39" s="61">
        <f>CHI!K20</f>
        <v>0</v>
      </c>
      <c r="G39" s="61">
        <f>CHI!L20</f>
        <v>0</v>
      </c>
      <c r="H39" s="61">
        <f>CHI!M20</f>
        <v>0</v>
      </c>
      <c r="I39" s="61">
        <f>CHI!N20</f>
        <v>0</v>
      </c>
      <c r="J39" s="61">
        <f>CHI!O20</f>
        <v>0</v>
      </c>
      <c r="K39" s="61">
        <f t="shared" si="0"/>
        <v>0</v>
      </c>
      <c r="L39" s="61">
        <f t="shared" si="3"/>
        <v>0</v>
      </c>
      <c r="M39" s="61">
        <f t="shared" si="4"/>
        <v>0</v>
      </c>
      <c r="N3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39" s="101">
        <v>0</v>
      </c>
    </row>
    <row r="40" spans="1:15" x14ac:dyDescent="0.2">
      <c r="A40" s="60">
        <f>IF(TableWRMaster[[#This Row],[Player]]&lt;&gt;0,A39+1,A39)</f>
        <v>31</v>
      </c>
      <c r="B40" s="60">
        <f>CHI!A21</f>
        <v>0</v>
      </c>
      <c r="C40" s="60" t="s">
        <v>112</v>
      </c>
      <c r="D40" s="60">
        <f>CHI!C21</f>
        <v>13</v>
      </c>
      <c r="E40" s="61">
        <f>CHI!J21</f>
        <v>0</v>
      </c>
      <c r="F40" s="61">
        <f>CHI!K21</f>
        <v>0</v>
      </c>
      <c r="G40" s="61">
        <f>CHI!L21</f>
        <v>0</v>
      </c>
      <c r="H40" s="61">
        <f>CHI!M21</f>
        <v>0</v>
      </c>
      <c r="I40" s="61">
        <f>CHI!N21</f>
        <v>0</v>
      </c>
      <c r="J40" s="61">
        <f>CHI!O21</f>
        <v>0</v>
      </c>
      <c r="K40" s="61">
        <f t="shared" si="0"/>
        <v>0</v>
      </c>
      <c r="L40" s="61">
        <f t="shared" si="3"/>
        <v>0</v>
      </c>
      <c r="M40" s="61">
        <f t="shared" si="4"/>
        <v>0</v>
      </c>
      <c r="N4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40" s="101">
        <v>0</v>
      </c>
    </row>
    <row r="41" spans="1:15" x14ac:dyDescent="0.2">
      <c r="A41" s="60">
        <f>IF(TableWRMaster[[#This Row],[Player]]&lt;&gt;0,A40+1,A40)</f>
        <v>32</v>
      </c>
      <c r="B41" s="60" t="str">
        <f>CIN!A15</f>
        <v>Ja'Marr Chase</v>
      </c>
      <c r="C41" s="60" t="s">
        <v>113</v>
      </c>
      <c r="D41" s="60">
        <f>CIN!C15</f>
        <v>7</v>
      </c>
      <c r="E41" s="61">
        <f>CIN!J15</f>
        <v>0</v>
      </c>
      <c r="F41" s="61">
        <f>CIN!K15</f>
        <v>0</v>
      </c>
      <c r="G41" s="61">
        <f>CIN!L15</f>
        <v>155.08766951999999</v>
      </c>
      <c r="H41" s="61">
        <f>CIN!M15</f>
        <v>101.13754359443969</v>
      </c>
      <c r="I41" s="61">
        <f>CIN!N15</f>
        <v>1355.2430841654918</v>
      </c>
      <c r="J41" s="61">
        <f>CIN!O15</f>
        <v>10.922854708199486</v>
      </c>
      <c r="K41" s="61">
        <f t="shared" si="0"/>
        <v>201.0614366657461</v>
      </c>
      <c r="L41" s="61">
        <f t="shared" si="3"/>
        <v>251.63020846296595</v>
      </c>
      <c r="M41" s="61">
        <f t="shared" si="4"/>
        <v>302.19898026018581</v>
      </c>
      <c r="N4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251.63020846296595</v>
      </c>
      <c r="O41" s="101">
        <v>20.933498198048646</v>
      </c>
    </row>
    <row r="42" spans="1:15" x14ac:dyDescent="0.2">
      <c r="A42" s="60">
        <f>IF(TableWRMaster[[#This Row],[Player]]&lt;&gt;0,A41+1,A41)</f>
        <v>33</v>
      </c>
      <c r="B42" s="60" t="str">
        <f>CIN!A16</f>
        <v>Tee Higgins</v>
      </c>
      <c r="C42" s="60" t="s">
        <v>113</v>
      </c>
      <c r="D42" s="60">
        <f>CIN!C16</f>
        <v>7</v>
      </c>
      <c r="E42" s="61">
        <f>CIN!J16</f>
        <v>0</v>
      </c>
      <c r="F42" s="61">
        <f>CIN!K16</f>
        <v>0</v>
      </c>
      <c r="G42" s="61">
        <f>CIN!L16</f>
        <v>126.1625883</v>
      </c>
      <c r="H42" s="61">
        <f>CIN!M16</f>
        <v>83.121709677132088</v>
      </c>
      <c r="I42" s="61">
        <f>CIN!N16</f>
        <v>1136.2737712863957</v>
      </c>
      <c r="J42" s="61">
        <f>CIN!O16</f>
        <v>8.4784143870674722</v>
      </c>
      <c r="K42" s="61">
        <f t="shared" si="0"/>
        <v>164.4978634510444</v>
      </c>
      <c r="L42" s="61">
        <f t="shared" si="3"/>
        <v>206.05871828961045</v>
      </c>
      <c r="M42" s="61">
        <f t="shared" si="4"/>
        <v>247.61957312817648</v>
      </c>
      <c r="N4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206.05871828961045</v>
      </c>
      <c r="O42" s="101">
        <v>18.616559514554787</v>
      </c>
    </row>
    <row r="43" spans="1:15" x14ac:dyDescent="0.2">
      <c r="A43" s="60">
        <f>IF(TableWRMaster[[#This Row],[Player]]&lt;&gt;0,A42+1,A42)</f>
        <v>34</v>
      </c>
      <c r="B43" s="60" t="str">
        <f>CIN!A17</f>
        <v>Tyler Boyd</v>
      </c>
      <c r="C43" s="60" t="s">
        <v>113</v>
      </c>
      <c r="D43" s="60">
        <f>CIN!C17</f>
        <v>7</v>
      </c>
      <c r="E43" s="61">
        <f>CIN!J17</f>
        <v>0</v>
      </c>
      <c r="F43" s="61">
        <f>CIN!K17</f>
        <v>0</v>
      </c>
      <c r="G43" s="61">
        <f>CIN!L17</f>
        <v>93.54494351999999</v>
      </c>
      <c r="H43" s="61">
        <f>CIN!M17</f>
        <v>64.193321721423047</v>
      </c>
      <c r="I43" s="61">
        <f>CIN!N17</f>
        <v>763.05664386733645</v>
      </c>
      <c r="J43" s="61">
        <f>CIN!O17</f>
        <v>5.1354657377138437</v>
      </c>
      <c r="K43" s="61">
        <f t="shared" si="0"/>
        <v>107.1184588130167</v>
      </c>
      <c r="L43" s="61">
        <f t="shared" si="3"/>
        <v>139.21511967372822</v>
      </c>
      <c r="M43" s="61">
        <f t="shared" si="4"/>
        <v>171.31178053443975</v>
      </c>
      <c r="N4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139.21511967372822</v>
      </c>
      <c r="O43" s="101">
        <v>11.308631676443813</v>
      </c>
    </row>
    <row r="44" spans="1:15" x14ac:dyDescent="0.2">
      <c r="A44" s="60">
        <f>IF(TableWRMaster[[#This Row],[Player]]&lt;&gt;0,A43+1,A43)</f>
        <v>35</v>
      </c>
      <c r="B44" s="60" t="str">
        <f>CIN!A18</f>
        <v>Charlie Jones</v>
      </c>
      <c r="C44" s="60" t="s">
        <v>113</v>
      </c>
      <c r="D44" s="60">
        <f>CIN!C18</f>
        <v>7</v>
      </c>
      <c r="E44" s="61">
        <f>CIN!J18</f>
        <v>0</v>
      </c>
      <c r="F44" s="61">
        <f>CIN!K18</f>
        <v>0</v>
      </c>
      <c r="G44" s="61">
        <f>CIN!L18</f>
        <v>26.463372179999997</v>
      </c>
      <c r="H44" s="61">
        <f>CIN!M18</f>
        <v>17.31956823776633</v>
      </c>
      <c r="I44" s="61">
        <f>CIN!N18</f>
        <v>194.31528442811873</v>
      </c>
      <c r="J44" s="61">
        <f>CIN!O18</f>
        <v>1.1777306401681105</v>
      </c>
      <c r="K44" s="61">
        <f t="shared" si="0"/>
        <v>26.497912283820536</v>
      </c>
      <c r="L44" s="61">
        <f t="shared" si="3"/>
        <v>35.157696402703699</v>
      </c>
      <c r="M44" s="61">
        <f t="shared" si="4"/>
        <v>43.817480521586866</v>
      </c>
      <c r="N4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35.157696402703706</v>
      </c>
      <c r="O44" s="101">
        <v>0</v>
      </c>
    </row>
    <row r="45" spans="1:15" x14ac:dyDescent="0.2">
      <c r="A45" s="60">
        <f>IF(TableWRMaster[[#This Row],[Player]]&lt;&gt;0,A44+1,A44)</f>
        <v>36</v>
      </c>
      <c r="B45" s="60" t="str">
        <f>CIN!A19</f>
        <v>Andrei Iosivas</v>
      </c>
      <c r="C45" s="60" t="s">
        <v>113</v>
      </c>
      <c r="D45" s="60">
        <f>CIN!C19</f>
        <v>7</v>
      </c>
      <c r="E45" s="61">
        <f>CIN!J19</f>
        <v>0</v>
      </c>
      <c r="F45" s="61">
        <f>CIN!K19</f>
        <v>0</v>
      </c>
      <c r="G45" s="61">
        <f>CIN!L19</f>
        <v>12.308545199999999</v>
      </c>
      <c r="H45" s="61">
        <f>CIN!M19</f>
        <v>7.385127119999999</v>
      </c>
      <c r="I45" s="61">
        <f>CIN!N19</f>
        <v>91.723278830399991</v>
      </c>
      <c r="J45" s="61">
        <f>CIN!O19</f>
        <v>0.44310762719999991</v>
      </c>
      <c r="K45" s="61">
        <f t="shared" si="0"/>
        <v>11.830973646239999</v>
      </c>
      <c r="L45" s="61">
        <f t="shared" si="3"/>
        <v>15.523537206239999</v>
      </c>
      <c r="M45" s="61">
        <f t="shared" si="4"/>
        <v>19.216100766239997</v>
      </c>
      <c r="N4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15.523537206239999</v>
      </c>
      <c r="O45" s="101">
        <v>0</v>
      </c>
    </row>
    <row r="46" spans="1:15" x14ac:dyDescent="0.2">
      <c r="A46" s="60">
        <f>IF(TableWRMaster[[#This Row],[Player]]&lt;&gt;0,A45+1,A45)</f>
        <v>37</v>
      </c>
      <c r="B46" s="60" t="str">
        <f>CLE!A15</f>
        <v>Amari Cooper</v>
      </c>
      <c r="C46" s="60" t="s">
        <v>114</v>
      </c>
      <c r="D46" s="60">
        <f>CLE!C15</f>
        <v>5</v>
      </c>
      <c r="E46" s="61">
        <f>CLE!J15</f>
        <v>0</v>
      </c>
      <c r="F46" s="61">
        <f>CLE!K15</f>
        <v>0</v>
      </c>
      <c r="G46" s="61">
        <f>CLE!L15</f>
        <v>123.27802199999999</v>
      </c>
      <c r="H46" s="61">
        <f>CLE!M15</f>
        <v>78.649828128964074</v>
      </c>
      <c r="I46" s="61">
        <f>CLE!N15</f>
        <v>1030.3127484894294</v>
      </c>
      <c r="J46" s="61">
        <f>CLE!O15</f>
        <v>6.9211848753488381</v>
      </c>
      <c r="K46" s="61">
        <f t="shared" si="0"/>
        <v>144.55838410103598</v>
      </c>
      <c r="L46" s="61">
        <f t="shared" si="3"/>
        <v>183.88329816551803</v>
      </c>
      <c r="M46" s="61">
        <f t="shared" si="4"/>
        <v>223.20821223000007</v>
      </c>
      <c r="N4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183.883298165518</v>
      </c>
      <c r="O46" s="101">
        <v>14.220208165902186</v>
      </c>
    </row>
    <row r="47" spans="1:15" x14ac:dyDescent="0.2">
      <c r="A47" s="60">
        <f>IF(TableWRMaster[[#This Row],[Player]]&lt;&gt;0,A46+1,A46)</f>
        <v>38</v>
      </c>
      <c r="B47" s="60" t="str">
        <f>CLE!A16</f>
        <v>Elijah Moore</v>
      </c>
      <c r="C47" s="60" t="s">
        <v>114</v>
      </c>
      <c r="D47" s="60">
        <f>CLE!C16</f>
        <v>5</v>
      </c>
      <c r="E47" s="61">
        <f>CLE!J16</f>
        <v>0</v>
      </c>
      <c r="F47" s="61">
        <f>CLE!K16</f>
        <v>0</v>
      </c>
      <c r="G47" s="61">
        <f>CLE!L16</f>
        <v>85.222632599999983</v>
      </c>
      <c r="H47" s="61">
        <f>CLE!M16</f>
        <v>54.685314264584569</v>
      </c>
      <c r="I47" s="61">
        <f>CLE!N16</f>
        <v>650.75523974855639</v>
      </c>
      <c r="J47" s="61">
        <f>CLE!O16</f>
        <v>4.3748251411667658</v>
      </c>
      <c r="K47" s="61">
        <f t="shared" si="0"/>
        <v>91.324474821856228</v>
      </c>
      <c r="L47" s="61">
        <f t="shared" si="3"/>
        <v>118.66713195414852</v>
      </c>
      <c r="M47" s="61">
        <f t="shared" si="4"/>
        <v>146.0097890864408</v>
      </c>
      <c r="N4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118.66713195414852</v>
      </c>
      <c r="O47" s="101">
        <v>5.0997417510922762</v>
      </c>
    </row>
    <row r="48" spans="1:15" x14ac:dyDescent="0.2">
      <c r="A48" s="60">
        <f>IF(TableWRMaster[[#This Row],[Player]]&lt;&gt;0,A47+1,A47)</f>
        <v>39</v>
      </c>
      <c r="B48" s="60" t="str">
        <f>CLE!A17</f>
        <v>Donovan Peoples-Jones</v>
      </c>
      <c r="C48" s="60" t="s">
        <v>114</v>
      </c>
      <c r="D48" s="60">
        <f>CLE!C17</f>
        <v>5</v>
      </c>
      <c r="E48" s="61">
        <f>CLE!J17</f>
        <v>0</v>
      </c>
      <c r="F48" s="61">
        <f>CLE!K17</f>
        <v>0</v>
      </c>
      <c r="G48" s="61">
        <f>CLE!L17</f>
        <v>88.9745724</v>
      </c>
      <c r="H48" s="61">
        <f>CLE!M17</f>
        <v>55.307673087252937</v>
      </c>
      <c r="I48" s="61">
        <f>CLE!N17</f>
        <v>783.75505957313862</v>
      </c>
      <c r="J48" s="61">
        <f>CLE!O17</f>
        <v>4.5905368662419939</v>
      </c>
      <c r="K48" s="61">
        <f t="shared" si="0"/>
        <v>105.91872715476583</v>
      </c>
      <c r="L48" s="61">
        <f t="shared" si="3"/>
        <v>133.57256369839229</v>
      </c>
      <c r="M48" s="61">
        <f t="shared" si="4"/>
        <v>161.22640024201877</v>
      </c>
      <c r="N4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133.57256369839229</v>
      </c>
      <c r="O48" s="101">
        <v>0</v>
      </c>
    </row>
    <row r="49" spans="1:15" x14ac:dyDescent="0.2">
      <c r="A49" s="60">
        <f>IF(TableWRMaster[[#This Row],[Player]]&lt;&gt;0,A48+1,A48)</f>
        <v>40</v>
      </c>
      <c r="B49" s="60" t="str">
        <f>CLE!A18</f>
        <v>Cedric Tillman</v>
      </c>
      <c r="C49" s="60" t="s">
        <v>114</v>
      </c>
      <c r="D49" s="60">
        <f>CLE!C18</f>
        <v>5</v>
      </c>
      <c r="E49" s="61">
        <f>CLE!J18</f>
        <v>0</v>
      </c>
      <c r="F49" s="61">
        <f>CLE!K18</f>
        <v>0</v>
      </c>
      <c r="G49" s="61">
        <f>CLE!L18</f>
        <v>27.335561399999992</v>
      </c>
      <c r="H49" s="61">
        <f>CLE!M18</f>
        <v>14.627987476215029</v>
      </c>
      <c r="I49" s="61">
        <f>CLE!N18</f>
        <v>200.40342842414589</v>
      </c>
      <c r="J49" s="61">
        <f>CLE!O18</f>
        <v>1.0970990607161271</v>
      </c>
      <c r="K49" s="61">
        <f t="shared" si="0"/>
        <v>26.622937206711349</v>
      </c>
      <c r="L49" s="61">
        <f t="shared" si="3"/>
        <v>33.936930944818862</v>
      </c>
      <c r="M49" s="61">
        <f t="shared" si="4"/>
        <v>41.250924682926382</v>
      </c>
      <c r="N4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33.936930944818862</v>
      </c>
      <c r="O49" s="101">
        <v>0</v>
      </c>
    </row>
    <row r="50" spans="1:15" x14ac:dyDescent="0.2">
      <c r="A50" s="60">
        <f>IF(TableWRMaster[[#This Row],[Player]]&lt;&gt;0,A49+1,A49)</f>
        <v>41</v>
      </c>
      <c r="B50" s="60" t="str">
        <f>CLE!A19</f>
        <v>David Bell</v>
      </c>
      <c r="C50" s="60" t="s">
        <v>114</v>
      </c>
      <c r="D50" s="60">
        <f>CLE!C19</f>
        <v>5</v>
      </c>
      <c r="E50" s="61">
        <f>CLE!J19</f>
        <v>0</v>
      </c>
      <c r="F50" s="61">
        <f>CLE!K19</f>
        <v>0</v>
      </c>
      <c r="G50" s="61">
        <f>CLE!L19</f>
        <v>12.863793599999997</v>
      </c>
      <c r="H50" s="61">
        <f>CLE!M19</f>
        <v>8.016901029969226</v>
      </c>
      <c r="I50" s="61">
        <f>CLE!N19</f>
        <v>93.79774205063994</v>
      </c>
      <c r="J50" s="61">
        <f>CLE!O19</f>
        <v>0.48101406179815354</v>
      </c>
      <c r="K50" s="61">
        <f t="shared" si="0"/>
        <v>12.265858575852915</v>
      </c>
      <c r="L50" s="61">
        <f t="shared" si="3"/>
        <v>16.274309090837527</v>
      </c>
      <c r="M50" s="61">
        <f t="shared" si="4"/>
        <v>20.282759605822143</v>
      </c>
      <c r="N5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16.274309090837527</v>
      </c>
      <c r="O50" s="101">
        <v>0</v>
      </c>
    </row>
    <row r="51" spans="1:15" x14ac:dyDescent="0.2">
      <c r="A51" s="60">
        <f>IF(TableWRMaster[[#This Row],[Player]]&lt;&gt;0,A50+1,A50)</f>
        <v>41</v>
      </c>
      <c r="B51" s="60">
        <f>CLE!A20</f>
        <v>0</v>
      </c>
      <c r="C51" s="60" t="s">
        <v>114</v>
      </c>
      <c r="D51" s="60">
        <f>CLE!C20</f>
        <v>5</v>
      </c>
      <c r="E51" s="61">
        <f>CLE!J20</f>
        <v>0</v>
      </c>
      <c r="F51" s="61">
        <f>CLE!K20</f>
        <v>0</v>
      </c>
      <c r="G51" s="61">
        <f>CLE!L20</f>
        <v>0</v>
      </c>
      <c r="H51" s="61">
        <f>CLE!M20</f>
        <v>0</v>
      </c>
      <c r="I51" s="61">
        <f>CLE!N20</f>
        <v>0</v>
      </c>
      <c r="J51" s="61">
        <f>CLE!O20</f>
        <v>0</v>
      </c>
      <c r="K51" s="61">
        <f t="shared" si="0"/>
        <v>0</v>
      </c>
      <c r="L51" s="61">
        <f t="shared" si="3"/>
        <v>0</v>
      </c>
      <c r="M51" s="61">
        <f t="shared" si="4"/>
        <v>0</v>
      </c>
      <c r="N5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51" s="101">
        <v>0</v>
      </c>
    </row>
    <row r="52" spans="1:15" x14ac:dyDescent="0.2">
      <c r="A52" s="60">
        <f>IF(TableWRMaster[[#This Row],[Player]]&lt;&gt;0,A51+1,A51)</f>
        <v>42</v>
      </c>
      <c r="B52" s="60" t="str">
        <f>DAL!A15</f>
        <v>CeeDee Lamb</v>
      </c>
      <c r="C52" s="60" t="s">
        <v>115</v>
      </c>
      <c r="D52" s="60">
        <f>DAL!C15</f>
        <v>7</v>
      </c>
      <c r="E52" s="61">
        <f>DAL!J15</f>
        <v>68.484851270411014</v>
      </c>
      <c r="F52" s="61">
        <f>DAL!K15</f>
        <v>0.57146128062020396</v>
      </c>
      <c r="G52" s="61">
        <f>DAL!L15</f>
        <v>133.67337984</v>
      </c>
      <c r="H52" s="61">
        <f>DAL!M15</f>
        <v>91.865365346597017</v>
      </c>
      <c r="I52" s="61">
        <f>DAL!N15</f>
        <v>1182.3072520107035</v>
      </c>
      <c r="J52" s="61">
        <f>DAL!O15</f>
        <v>7.1654984970345676</v>
      </c>
      <c r="K52" s="61">
        <f t="shared" si="0"/>
        <v>171.50096899404008</v>
      </c>
      <c r="L52" s="61">
        <f t="shared" si="3"/>
        <v>217.43365166733858</v>
      </c>
      <c r="M52" s="61">
        <f t="shared" si="4"/>
        <v>263.36633434063708</v>
      </c>
      <c r="N5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217.43365166733861</v>
      </c>
      <c r="O52" s="101">
        <v>24.447212469858798</v>
      </c>
    </row>
    <row r="53" spans="1:15" x14ac:dyDescent="0.2">
      <c r="A53" s="60">
        <f>IF(TableWRMaster[[#This Row],[Player]]&lt;&gt;0,A52+1,A52)</f>
        <v>43</v>
      </c>
      <c r="B53" s="60" t="str">
        <f>DAL!A16</f>
        <v>Brandin Cooks</v>
      </c>
      <c r="C53" s="60" t="s">
        <v>115</v>
      </c>
      <c r="D53" s="60">
        <f>DAL!C16</f>
        <v>7</v>
      </c>
      <c r="E53" s="61">
        <f>DAL!J16</f>
        <v>0</v>
      </c>
      <c r="F53" s="61">
        <f>DAL!K16</f>
        <v>0</v>
      </c>
      <c r="G53" s="61">
        <f>DAL!L16</f>
        <v>98.255646720000001</v>
      </c>
      <c r="H53" s="61">
        <f>DAL!M16</f>
        <v>65.787419248425181</v>
      </c>
      <c r="I53" s="61">
        <f>DAL!N16</f>
        <v>855.23645022952735</v>
      </c>
      <c r="J53" s="61">
        <f>DAL!O16</f>
        <v>5.5261432168677151</v>
      </c>
      <c r="K53" s="61">
        <f t="shared" si="0"/>
        <v>118.68050432415902</v>
      </c>
      <c r="L53" s="61">
        <f t="shared" si="3"/>
        <v>151.57421394837161</v>
      </c>
      <c r="M53" s="61">
        <f t="shared" si="4"/>
        <v>184.4679235725842</v>
      </c>
      <c r="N5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151.57421394837161</v>
      </c>
      <c r="O53" s="101">
        <v>23.90004724831903</v>
      </c>
    </row>
    <row r="54" spans="1:15" x14ac:dyDescent="0.2">
      <c r="A54" s="60">
        <f>IF(TableWRMaster[[#This Row],[Player]]&lt;&gt;0,A53+1,A53)</f>
        <v>44</v>
      </c>
      <c r="B54" s="60" t="str">
        <f>DAL!A17</f>
        <v>Michael Gallup</v>
      </c>
      <c r="C54" s="60" t="s">
        <v>115</v>
      </c>
      <c r="D54" s="60">
        <f>DAL!C17</f>
        <v>7</v>
      </c>
      <c r="E54" s="61">
        <f>DAL!J17</f>
        <v>0</v>
      </c>
      <c r="F54" s="61">
        <f>DAL!K17</f>
        <v>0</v>
      </c>
      <c r="G54" s="61">
        <f>DAL!L17</f>
        <v>69.121704960000002</v>
      </c>
      <c r="H54" s="61">
        <f>DAL!M17</f>
        <v>39.505748284365389</v>
      </c>
      <c r="I54" s="61">
        <f>DAL!N17</f>
        <v>523.45116476784142</v>
      </c>
      <c r="J54" s="61">
        <f>DAL!O17</f>
        <v>3.555517345592885</v>
      </c>
      <c r="K54" s="61">
        <f t="shared" si="0"/>
        <v>73.67822055034145</v>
      </c>
      <c r="L54" s="61">
        <f t="shared" si="3"/>
        <v>93.431094692524141</v>
      </c>
      <c r="M54" s="61">
        <f t="shared" si="4"/>
        <v>113.18396883470683</v>
      </c>
      <c r="N5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93.431094692524141</v>
      </c>
      <c r="O54" s="101">
        <v>7.0024089687553328</v>
      </c>
    </row>
    <row r="55" spans="1:15" x14ac:dyDescent="0.2">
      <c r="A55" s="60">
        <f>IF(TableWRMaster[[#This Row],[Player]]&lt;&gt;0,A54+1,A54)</f>
        <v>45</v>
      </c>
      <c r="B55" s="60" t="str">
        <f>DAL!A18</f>
        <v>Jalen Tolbert</v>
      </c>
      <c r="C55" s="60" t="s">
        <v>115</v>
      </c>
      <c r="D55" s="60">
        <f>DAL!C18</f>
        <v>7</v>
      </c>
      <c r="E55" s="61">
        <f>DAL!J18</f>
        <v>0</v>
      </c>
      <c r="F55" s="61">
        <f>DAL!K18</f>
        <v>0</v>
      </c>
      <c r="G55" s="61">
        <f>DAL!L18</f>
        <v>25.706419200000003</v>
      </c>
      <c r="H55" s="61">
        <f>DAL!M18</f>
        <v>14.047465550191733</v>
      </c>
      <c r="I55" s="61">
        <f>DAL!N18</f>
        <v>176.43616731040817</v>
      </c>
      <c r="J55" s="61">
        <f>DAL!O18</f>
        <v>0.84284793301150396</v>
      </c>
      <c r="K55" s="61">
        <f t="shared" si="0"/>
        <v>22.70070432910984</v>
      </c>
      <c r="L55" s="61">
        <f t="shared" si="3"/>
        <v>29.724437104205705</v>
      </c>
      <c r="M55" s="61">
        <f t="shared" si="4"/>
        <v>36.748169879301571</v>
      </c>
      <c r="N5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29.724437104205709</v>
      </c>
      <c r="O55" s="101">
        <v>0</v>
      </c>
    </row>
    <row r="56" spans="1:15" x14ac:dyDescent="0.2">
      <c r="A56" s="60">
        <f>IF(TableWRMaster[[#This Row],[Player]]&lt;&gt;0,A55+1,A55)</f>
        <v>46</v>
      </c>
      <c r="B56" s="60" t="str">
        <f>DAL!A19</f>
        <v>KaVontae Turpin</v>
      </c>
      <c r="C56" s="60" t="s">
        <v>115</v>
      </c>
      <c r="D56" s="60">
        <f>DAL!C19</f>
        <v>7</v>
      </c>
      <c r="E56" s="61">
        <f>DAL!J19</f>
        <v>0</v>
      </c>
      <c r="F56" s="61">
        <f>DAL!K19</f>
        <v>0</v>
      </c>
      <c r="G56" s="61">
        <f>DAL!L19</f>
        <v>11.4250752</v>
      </c>
      <c r="H56" s="61">
        <f>DAL!M19</f>
        <v>6.6950940671999994</v>
      </c>
      <c r="I56" s="61">
        <f>DAL!N19</f>
        <v>72.976525332479994</v>
      </c>
      <c r="J56" s="61">
        <f>DAL!O19</f>
        <v>0.46865658470400001</v>
      </c>
      <c r="K56" s="61">
        <f t="shared" si="0"/>
        <v>10.109592041472</v>
      </c>
      <c r="L56" s="61">
        <f t="shared" si="3"/>
        <v>13.457139075072</v>
      </c>
      <c r="M56" s="61">
        <f t="shared" si="4"/>
        <v>16.804686108672001</v>
      </c>
      <c r="N5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13.457139075072</v>
      </c>
      <c r="O56" s="101">
        <v>0</v>
      </c>
    </row>
    <row r="57" spans="1:15" x14ac:dyDescent="0.2">
      <c r="A57" s="60">
        <f>IF(TableWRMaster[[#This Row],[Player]]&lt;&gt;0,A56+1,A56)</f>
        <v>46</v>
      </c>
      <c r="B57" s="60">
        <f>DAL!A20</f>
        <v>0</v>
      </c>
      <c r="C57" s="60" t="s">
        <v>115</v>
      </c>
      <c r="D57" s="60">
        <f>DAL!C20</f>
        <v>7</v>
      </c>
      <c r="E57" s="61">
        <f>DAL!J20</f>
        <v>0</v>
      </c>
      <c r="F57" s="61">
        <f>DAL!K20</f>
        <v>0</v>
      </c>
      <c r="G57" s="61">
        <f>DAL!L20</f>
        <v>0</v>
      </c>
      <c r="H57" s="61">
        <f>DAL!M20</f>
        <v>0</v>
      </c>
      <c r="I57" s="61">
        <f>DAL!N20</f>
        <v>0</v>
      </c>
      <c r="J57" s="61">
        <f>DAL!O20</f>
        <v>0</v>
      </c>
      <c r="K57" s="61">
        <f t="shared" si="0"/>
        <v>0</v>
      </c>
      <c r="L57" s="61">
        <f t="shared" si="3"/>
        <v>0</v>
      </c>
      <c r="M57" s="61">
        <f t="shared" si="4"/>
        <v>0</v>
      </c>
      <c r="N5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57" s="101">
        <v>0</v>
      </c>
    </row>
    <row r="58" spans="1:15" x14ac:dyDescent="0.2">
      <c r="A58" s="60">
        <f>IF(TableWRMaster[[#This Row],[Player]]&lt;&gt;0,A57+1,A57)</f>
        <v>47</v>
      </c>
      <c r="B58" s="60" t="str">
        <f>DEN!A15</f>
        <v>Courtland Sutton</v>
      </c>
      <c r="C58" s="60" t="s">
        <v>116</v>
      </c>
      <c r="D58" s="60">
        <f>DEN!C15</f>
        <v>9</v>
      </c>
      <c r="E58" s="61">
        <f>DEN!J15</f>
        <v>0</v>
      </c>
      <c r="F58" s="61">
        <f>DEN!K15</f>
        <v>0</v>
      </c>
      <c r="G58" s="61">
        <f>DEN!L15</f>
        <v>111.17327760000002</v>
      </c>
      <c r="H58" s="61">
        <f>DEN!M15</f>
        <v>65.36988722880001</v>
      </c>
      <c r="I58" s="61">
        <f>DEN!N15</f>
        <v>866.15100578160013</v>
      </c>
      <c r="J58" s="61">
        <f>DEN!O15</f>
        <v>5.6871801889056002</v>
      </c>
      <c r="K58" s="61">
        <f t="shared" si="0"/>
        <v>120.73818171159361</v>
      </c>
      <c r="L58" s="61">
        <f t="shared" si="3"/>
        <v>153.42312532599362</v>
      </c>
      <c r="M58" s="61">
        <f t="shared" si="4"/>
        <v>186.10806894039362</v>
      </c>
      <c r="N5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153.42312532599362</v>
      </c>
      <c r="O58" s="101">
        <v>14.156941054184479</v>
      </c>
    </row>
    <row r="59" spans="1:15" x14ac:dyDescent="0.2">
      <c r="A59" s="60">
        <f>IF(TableWRMaster[[#This Row],[Player]]&lt;&gt;0,A58+1,A58)</f>
        <v>48</v>
      </c>
      <c r="B59" s="60" t="str">
        <f>DEN!A16</f>
        <v>Jerry Jeudy</v>
      </c>
      <c r="C59" s="60" t="s">
        <v>116</v>
      </c>
      <c r="D59" s="60">
        <f>DEN!C16</f>
        <v>9</v>
      </c>
      <c r="E59" s="61">
        <f>DEN!J16</f>
        <v>0</v>
      </c>
      <c r="F59" s="61">
        <f>DEN!K16</f>
        <v>0</v>
      </c>
      <c r="G59" s="61">
        <f>DEN!L16</f>
        <v>112.29624000000001</v>
      </c>
      <c r="H59" s="61">
        <f>DEN!M16</f>
        <v>71.373409076756573</v>
      </c>
      <c r="I59" s="61">
        <f>DEN!N16</f>
        <v>998.51399298382444</v>
      </c>
      <c r="J59" s="61">
        <f>DEN!O16</f>
        <v>5.9239929533707958</v>
      </c>
      <c r="K59" s="61">
        <f t="shared" si="0"/>
        <v>135.39535701860723</v>
      </c>
      <c r="L59" s="61">
        <f t="shared" si="3"/>
        <v>171.08206155698551</v>
      </c>
      <c r="M59" s="61">
        <f t="shared" si="4"/>
        <v>206.76876609536379</v>
      </c>
      <c r="N5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171.08206155698551</v>
      </c>
      <c r="O59" s="101">
        <v>5.499602009943378</v>
      </c>
    </row>
    <row r="60" spans="1:15" x14ac:dyDescent="0.2">
      <c r="A60" s="60">
        <f>IF(TableWRMaster[[#This Row],[Player]]&lt;&gt;0,A59+1,A59)</f>
        <v>49</v>
      </c>
      <c r="B60" s="60" t="str">
        <f>DEN!A17</f>
        <v>Marvin Mims</v>
      </c>
      <c r="C60" s="60" t="s">
        <v>116</v>
      </c>
      <c r="D60" s="60">
        <f>DEN!C17</f>
        <v>9</v>
      </c>
      <c r="E60" s="61">
        <f>DEN!J17</f>
        <v>0</v>
      </c>
      <c r="F60" s="61">
        <f>DEN!K17</f>
        <v>0</v>
      </c>
      <c r="G60" s="61">
        <f>DEN!L17</f>
        <v>94.328841600000018</v>
      </c>
      <c r="H60" s="61">
        <f>DEN!M17</f>
        <v>53.227314537775591</v>
      </c>
      <c r="I60" s="61">
        <f>DEN!N17</f>
        <v>752.1019544187692</v>
      </c>
      <c r="J60" s="61">
        <f>DEN!O17</f>
        <v>4.5775490502487006</v>
      </c>
      <c r="K60" s="61">
        <f t="shared" si="0"/>
        <v>102.67548974336913</v>
      </c>
      <c r="L60" s="61">
        <f t="shared" si="3"/>
        <v>129.28914701225693</v>
      </c>
      <c r="M60" s="61">
        <f t="shared" si="4"/>
        <v>155.90280428114471</v>
      </c>
      <c r="N6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129.2891470122569</v>
      </c>
      <c r="O60" s="101">
        <v>0</v>
      </c>
    </row>
    <row r="61" spans="1:15" x14ac:dyDescent="0.2">
      <c r="A61" s="60">
        <f>IF(TableWRMaster[[#This Row],[Player]]&lt;&gt;0,A60+1,A60)</f>
        <v>50</v>
      </c>
      <c r="B61" s="60" t="str">
        <f>DEN!A18</f>
        <v>Brandon Johnson</v>
      </c>
      <c r="C61" s="60" t="s">
        <v>116</v>
      </c>
      <c r="D61" s="60">
        <f>DEN!C18</f>
        <v>9</v>
      </c>
      <c r="E61" s="61">
        <f>DEN!J18</f>
        <v>0</v>
      </c>
      <c r="F61" s="61">
        <f>DEN!K18</f>
        <v>0</v>
      </c>
      <c r="G61" s="61">
        <f>DEN!L18</f>
        <v>27.512578800000004</v>
      </c>
      <c r="H61" s="61">
        <f>DEN!M18</f>
        <v>15.214456076400003</v>
      </c>
      <c r="I61" s="61">
        <f>DEN!N18</f>
        <v>190.33284551576403</v>
      </c>
      <c r="J61" s="61">
        <f>DEN!O18</f>
        <v>1.2627998543412002</v>
      </c>
      <c r="K61" s="61">
        <f t="shared" si="0"/>
        <v>26.610083677623606</v>
      </c>
      <c r="L61" s="61">
        <f t="shared" si="3"/>
        <v>34.217311715823605</v>
      </c>
      <c r="M61" s="61">
        <f t="shared" si="4"/>
        <v>41.824539754023611</v>
      </c>
      <c r="N6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34.217311715823605</v>
      </c>
      <c r="O61" s="101">
        <v>0</v>
      </c>
    </row>
    <row r="62" spans="1:15" x14ac:dyDescent="0.2">
      <c r="A62" s="60">
        <f>IF(TableWRMaster[[#This Row],[Player]]&lt;&gt;0,A61+1,A61)</f>
        <v>50</v>
      </c>
      <c r="B62" s="60">
        <f>DEN!A19</f>
        <v>0</v>
      </c>
      <c r="C62" s="60" t="s">
        <v>116</v>
      </c>
      <c r="D62" s="60">
        <f>DEN!C19</f>
        <v>9</v>
      </c>
      <c r="E62" s="61">
        <f>DEN!J19</f>
        <v>0</v>
      </c>
      <c r="F62" s="61">
        <f>DEN!K19</f>
        <v>0</v>
      </c>
      <c r="G62" s="61">
        <f>DEN!L19</f>
        <v>0</v>
      </c>
      <c r="H62" s="61">
        <f>DEN!M19</f>
        <v>0</v>
      </c>
      <c r="I62" s="61">
        <f>DEN!N19</f>
        <v>0</v>
      </c>
      <c r="J62" s="61">
        <f>DEN!O19</f>
        <v>0</v>
      </c>
      <c r="K62" s="61">
        <f t="shared" si="0"/>
        <v>0</v>
      </c>
      <c r="L62" s="61">
        <f t="shared" si="3"/>
        <v>0</v>
      </c>
      <c r="M62" s="61">
        <f t="shared" si="4"/>
        <v>0</v>
      </c>
      <c r="N6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62" s="101">
        <v>0</v>
      </c>
    </row>
    <row r="63" spans="1:15" x14ac:dyDescent="0.2">
      <c r="A63" s="60">
        <f>IF(TableWRMaster[[#This Row],[Player]]&lt;&gt;0,A62+1,A62)</f>
        <v>50</v>
      </c>
      <c r="B63" s="60">
        <f>DEN!A20</f>
        <v>0</v>
      </c>
      <c r="C63" s="60" t="s">
        <v>116</v>
      </c>
      <c r="D63" s="60">
        <f>DEN!C20</f>
        <v>9</v>
      </c>
      <c r="E63" s="61">
        <f>DEN!J20</f>
        <v>0</v>
      </c>
      <c r="F63" s="61">
        <f>DEN!K20</f>
        <v>0</v>
      </c>
      <c r="G63" s="61">
        <f>DEN!L20</f>
        <v>0</v>
      </c>
      <c r="H63" s="61">
        <f>DEN!M20</f>
        <v>0</v>
      </c>
      <c r="I63" s="61">
        <f>DEN!N20</f>
        <v>0</v>
      </c>
      <c r="J63" s="61">
        <f>DEN!O20</f>
        <v>0</v>
      </c>
      <c r="K63" s="61">
        <f t="shared" si="0"/>
        <v>0</v>
      </c>
      <c r="L63" s="61">
        <f t="shared" si="3"/>
        <v>0</v>
      </c>
      <c r="M63" s="61">
        <f t="shared" si="4"/>
        <v>0</v>
      </c>
      <c r="N6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63" s="101">
        <v>0</v>
      </c>
    </row>
    <row r="64" spans="1:15" x14ac:dyDescent="0.2">
      <c r="A64" s="60">
        <f>IF(TableWRMaster[[#This Row],[Player]]&lt;&gt;0,A63+1,A63)</f>
        <v>51</v>
      </c>
      <c r="B64" s="60" t="str">
        <f>DET!A16</f>
        <v>Jameson Williams</v>
      </c>
      <c r="C64" s="60" t="s">
        <v>117</v>
      </c>
      <c r="D64" s="60">
        <f>DET!C16</f>
        <v>9</v>
      </c>
      <c r="E64" s="61">
        <f>DET!J16</f>
        <v>0</v>
      </c>
      <c r="F64" s="61">
        <f>DET!K16</f>
        <v>0</v>
      </c>
      <c r="G64" s="61">
        <f>DET!L16</f>
        <v>68.225961439999992</v>
      </c>
      <c r="H64" s="61">
        <f>DET!M16</f>
        <v>40.006012500397624</v>
      </c>
      <c r="I64" s="61">
        <f>DET!N16</f>
        <v>560.48423513057071</v>
      </c>
      <c r="J64" s="61">
        <f>DET!O16</f>
        <v>3.4805230875345932</v>
      </c>
      <c r="K64" s="61">
        <f t="shared" si="0"/>
        <v>76.93156203826463</v>
      </c>
      <c r="L64" s="61">
        <f t="shared" si="3"/>
        <v>96.934568288463439</v>
      </c>
      <c r="M64" s="61">
        <f t="shared" si="4"/>
        <v>116.93757453866226</v>
      </c>
      <c r="N6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96.934568288463439</v>
      </c>
      <c r="O64" s="101">
        <v>0</v>
      </c>
    </row>
    <row r="65" spans="1:15" x14ac:dyDescent="0.2">
      <c r="A65" s="60">
        <f>IF(TableWRMaster[[#This Row],[Player]]&lt;&gt;0,A64+1,A64)</f>
        <v>52</v>
      </c>
      <c r="B65" s="60" t="str">
        <f>DET!A15</f>
        <v>Amon-Ra St. Brown</v>
      </c>
      <c r="C65" s="60" t="s">
        <v>117</v>
      </c>
      <c r="D65" s="60">
        <f>DET!C15</f>
        <v>9</v>
      </c>
      <c r="E65" s="61">
        <f>DET!J15</f>
        <v>91.988576189862215</v>
      </c>
      <c r="F65" s="61">
        <f>DET!K15</f>
        <v>0.91752920248237113</v>
      </c>
      <c r="G65" s="61">
        <f>DET!L15</f>
        <v>153.50841323999998</v>
      </c>
      <c r="H65" s="61">
        <f>DET!M15</f>
        <v>109.44093405896524</v>
      </c>
      <c r="I65" s="61">
        <f>DET!N15</f>
        <v>1249.8154669533831</v>
      </c>
      <c r="J65" s="61">
        <f>DET!O15</f>
        <v>6.8947788457148098</v>
      </c>
      <c r="K65" s="61">
        <f t="shared" si="0"/>
        <v>181.05425260350762</v>
      </c>
      <c r="L65" s="61">
        <f t="shared" si="3"/>
        <v>235.77471963299024</v>
      </c>
      <c r="M65" s="61">
        <f t="shared" si="4"/>
        <v>290.49518666247286</v>
      </c>
      <c r="N6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235.77471963299024</v>
      </c>
      <c r="O65" s="101">
        <v>0</v>
      </c>
    </row>
    <row r="66" spans="1:15" x14ac:dyDescent="0.2">
      <c r="A66" s="60">
        <f>IF(TableWRMaster[[#This Row],[Player]]&lt;&gt;0,A65+1,A65)</f>
        <v>53</v>
      </c>
      <c r="B66" s="60" t="str">
        <f>DET!A18</f>
        <v>Josh Reynolds</v>
      </c>
      <c r="C66" s="60" t="s">
        <v>117</v>
      </c>
      <c r="D66" s="60">
        <f>DET!C18</f>
        <v>9</v>
      </c>
      <c r="E66" s="61">
        <f>DET!J18</f>
        <v>0</v>
      </c>
      <c r="F66" s="61">
        <f>DET!K18</f>
        <v>0</v>
      </c>
      <c r="G66" s="61">
        <f>DET!L18</f>
        <v>43.523458159999997</v>
      </c>
      <c r="H66" s="61">
        <f>DET!M18</f>
        <v>30.466420711999994</v>
      </c>
      <c r="I66" s="61">
        <f>DET!N18</f>
        <v>399.11011132719989</v>
      </c>
      <c r="J66" s="61">
        <f>DET!O18</f>
        <v>2.2545151326879993</v>
      </c>
      <c r="K66" s="61">
        <f t="shared" ref="K66:K130" si="5">(E66/10)+(F66*6)+(I66/10)+(J66*6)</f>
        <v>53.438101928847985</v>
      </c>
      <c r="L66" s="61">
        <f t="shared" ref="L66:L97" si="6">K66+(H66*0.5)</f>
        <v>68.671312284847986</v>
      </c>
      <c r="M66" s="61">
        <f t="shared" ref="M66:M97" si="7">K66+H66</f>
        <v>83.904522640847972</v>
      </c>
      <c r="N6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68.671312284847986</v>
      </c>
      <c r="O66" s="101">
        <v>0</v>
      </c>
    </row>
    <row r="67" spans="1:15" x14ac:dyDescent="0.2">
      <c r="A67" s="60">
        <f>IF(TableWRMaster[[#This Row],[Player]]&lt;&gt;0,A66+1,A66)</f>
        <v>54</v>
      </c>
      <c r="B67" s="60" t="str">
        <f>DET!A17</f>
        <v>Marvin Jones</v>
      </c>
      <c r="C67" s="60" t="s">
        <v>117</v>
      </c>
      <c r="D67" s="60">
        <f>DET!C17</f>
        <v>9</v>
      </c>
      <c r="E67" s="61">
        <f>DET!J17</f>
        <v>0</v>
      </c>
      <c r="F67" s="61">
        <f>DET!K17</f>
        <v>0</v>
      </c>
      <c r="G67" s="61">
        <f>DET!L17</f>
        <v>70.578580799999983</v>
      </c>
      <c r="H67" s="61">
        <f>DET!M17</f>
        <v>40.576873605213081</v>
      </c>
      <c r="I67" s="61">
        <f>DET!N17</f>
        <v>509.57864286324548</v>
      </c>
      <c r="J67" s="61">
        <f>DET!O17</f>
        <v>3.4490342564431122</v>
      </c>
      <c r="K67" s="61">
        <f t="shared" si="5"/>
        <v>71.652069824983215</v>
      </c>
      <c r="L67" s="61">
        <f t="shared" si="6"/>
        <v>91.940506627589755</v>
      </c>
      <c r="M67" s="61">
        <f t="shared" si="7"/>
        <v>112.2289434301963</v>
      </c>
      <c r="N6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91.94050662758977</v>
      </c>
      <c r="O67" s="101">
        <v>0</v>
      </c>
    </row>
    <row r="68" spans="1:15" x14ac:dyDescent="0.2">
      <c r="A68" s="60">
        <f>IF(TableWRMaster[[#This Row],[Player]]&lt;&gt;0,A67+1,A67)</f>
        <v>54</v>
      </c>
      <c r="B68" s="60">
        <f>DET!A20</f>
        <v>0</v>
      </c>
      <c r="C68" s="60" t="s">
        <v>117</v>
      </c>
      <c r="D68" s="60">
        <f>DET!C20</f>
        <v>9</v>
      </c>
      <c r="E68" s="61">
        <f>DET!J20</f>
        <v>0</v>
      </c>
      <c r="F68" s="61">
        <f>DET!K20</f>
        <v>0</v>
      </c>
      <c r="G68" s="61">
        <f>DET!L20</f>
        <v>0</v>
      </c>
      <c r="H68" s="61">
        <f>DET!M20</f>
        <v>0</v>
      </c>
      <c r="I68" s="61">
        <f>DET!N20</f>
        <v>0</v>
      </c>
      <c r="J68" s="61">
        <f>DET!O20</f>
        <v>0</v>
      </c>
      <c r="K68" s="61">
        <f t="shared" si="5"/>
        <v>0</v>
      </c>
      <c r="L68" s="61">
        <f t="shared" si="6"/>
        <v>0</v>
      </c>
      <c r="M68" s="61">
        <f t="shared" si="7"/>
        <v>0</v>
      </c>
      <c r="N6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68" s="101">
        <v>0</v>
      </c>
    </row>
    <row r="69" spans="1:15" x14ac:dyDescent="0.2">
      <c r="A69" s="60">
        <f>IF(TableWRMaster[[#This Row],[Player]]&lt;&gt;0,A68+1,A68)</f>
        <v>55</v>
      </c>
      <c r="B69" s="60" t="str">
        <f>DET!A19</f>
        <v>Antoine Green</v>
      </c>
      <c r="C69" s="60" t="s">
        <v>117</v>
      </c>
      <c r="D69" s="60">
        <f>DET!C19</f>
        <v>9</v>
      </c>
      <c r="E69" s="61">
        <f>DET!J19</f>
        <v>0</v>
      </c>
      <c r="F69" s="61">
        <f>DET!K19</f>
        <v>0</v>
      </c>
      <c r="G69" s="61">
        <f>DET!L19</f>
        <v>25.878812959999994</v>
      </c>
      <c r="H69" s="61">
        <f>DET!M19</f>
        <v>15.630803027839995</v>
      </c>
      <c r="I69" s="61">
        <f>DET!N19</f>
        <v>198.51119845356794</v>
      </c>
      <c r="J69" s="61">
        <f>DET!O19</f>
        <v>1.2192026361715196</v>
      </c>
      <c r="K69" s="61">
        <f t="shared" si="5"/>
        <v>27.166335662385912</v>
      </c>
      <c r="L69" s="61">
        <f t="shared" si="6"/>
        <v>34.981737176305913</v>
      </c>
      <c r="M69" s="61">
        <f t="shared" si="7"/>
        <v>42.797138690225907</v>
      </c>
      <c r="N6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34.981737176305913</v>
      </c>
      <c r="O69" s="101">
        <v>0</v>
      </c>
    </row>
    <row r="70" spans="1:15" x14ac:dyDescent="0.2">
      <c r="A70" s="60">
        <f>IF(TableWRMaster[[#This Row],[Player]]&lt;&gt;0,A69+1,A69)</f>
        <v>56</v>
      </c>
      <c r="B70" s="60" t="str">
        <f>GB!A15</f>
        <v>Christian Watson</v>
      </c>
      <c r="C70" s="60" t="s">
        <v>118</v>
      </c>
      <c r="D70" s="60">
        <f>GB!C15</f>
        <v>6</v>
      </c>
      <c r="E70" s="61">
        <f>GB!J15</f>
        <v>39.708913834515045</v>
      </c>
      <c r="F70" s="61">
        <f>GB!K15</f>
        <v>0.49317966100344179</v>
      </c>
      <c r="G70" s="61">
        <f>GB!L15</f>
        <v>119.01240736</v>
      </c>
      <c r="H70" s="61">
        <f>GB!M15</f>
        <v>71.126713359302286</v>
      </c>
      <c r="I70" s="61">
        <f>GB!N15</f>
        <v>1059.7880290536041</v>
      </c>
      <c r="J70" s="61">
        <f>GB!O15</f>
        <v>7.7528117561639496</v>
      </c>
      <c r="K70" s="61">
        <f t="shared" si="5"/>
        <v>159.42564279181627</v>
      </c>
      <c r="L70" s="61">
        <f t="shared" si="6"/>
        <v>194.98899947146742</v>
      </c>
      <c r="M70" s="61">
        <f t="shared" si="7"/>
        <v>230.55235615111854</v>
      </c>
      <c r="N7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194.98899947146739</v>
      </c>
      <c r="O70" s="101">
        <v>48</v>
      </c>
    </row>
    <row r="71" spans="1:15" x14ac:dyDescent="0.2">
      <c r="A71" s="60">
        <f>IF(TableWRMaster[[#This Row],[Player]]&lt;&gt;0,A70+1,A70)</f>
        <v>57</v>
      </c>
      <c r="B71" s="60" t="str">
        <f>GB!A16</f>
        <v>Romeo Doubs</v>
      </c>
      <c r="C71" s="60" t="s">
        <v>118</v>
      </c>
      <c r="D71" s="60">
        <f>GB!C16</f>
        <v>6</v>
      </c>
      <c r="E71" s="61">
        <f>GB!J16</f>
        <v>0</v>
      </c>
      <c r="F71" s="61">
        <f>GB!K16</f>
        <v>0</v>
      </c>
      <c r="G71" s="61">
        <f>GB!L16</f>
        <v>102.73240824</v>
      </c>
      <c r="H71" s="61">
        <f>GB!M16</f>
        <v>62.386214338574327</v>
      </c>
      <c r="I71" s="61">
        <f>GB!N16</f>
        <v>742.03480683449322</v>
      </c>
      <c r="J71" s="61">
        <f>GB!O16</f>
        <v>4.3670350037002033</v>
      </c>
      <c r="K71" s="61">
        <f t="shared" si="5"/>
        <v>100.40569070565056</v>
      </c>
      <c r="L71" s="61">
        <f t="shared" si="6"/>
        <v>131.59879787493773</v>
      </c>
      <c r="M71" s="61">
        <f t="shared" si="7"/>
        <v>162.79190504422488</v>
      </c>
      <c r="N7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131.5987978749377</v>
      </c>
      <c r="O71" s="101">
        <v>0</v>
      </c>
    </row>
    <row r="72" spans="1:15" x14ac:dyDescent="0.2">
      <c r="A72" s="60">
        <f>IF(TableWRMaster[[#This Row],[Player]]&lt;&gt;0,A71+1,A71)</f>
        <v>58</v>
      </c>
      <c r="B72" s="60" t="str">
        <f>GB!A17</f>
        <v>Jayden Reed</v>
      </c>
      <c r="C72" s="60" t="s">
        <v>118</v>
      </c>
      <c r="D72" s="60">
        <f>GB!C17</f>
        <v>6</v>
      </c>
      <c r="E72" s="61">
        <f>GB!J17</f>
        <v>31.618738920028076</v>
      </c>
      <c r="F72" s="61">
        <f>GB!K17</f>
        <v>0.34386496773716252</v>
      </c>
      <c r="G72" s="61">
        <f>GB!L17</f>
        <v>85.32965055999999</v>
      </c>
      <c r="H72" s="61">
        <f>GB!M17</f>
        <v>51.314136045715102</v>
      </c>
      <c r="I72" s="61">
        <f>GB!N17</f>
        <v>650.91951539715728</v>
      </c>
      <c r="J72" s="61">
        <f>GB!O17</f>
        <v>3.8485602034286326</v>
      </c>
      <c r="K72" s="61">
        <f t="shared" si="5"/>
        <v>93.408376458713306</v>
      </c>
      <c r="L72" s="61">
        <f t="shared" si="6"/>
        <v>119.06544448157086</v>
      </c>
      <c r="M72" s="61">
        <f t="shared" si="7"/>
        <v>144.72251250442841</v>
      </c>
      <c r="N7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119.06544448157086</v>
      </c>
      <c r="O72" s="101">
        <v>0</v>
      </c>
    </row>
    <row r="73" spans="1:15" x14ac:dyDescent="0.2">
      <c r="A73" s="60">
        <f>IF(TableWRMaster[[#This Row],[Player]]&lt;&gt;0,A72+1,A72)</f>
        <v>59</v>
      </c>
      <c r="B73" s="60" t="str">
        <f>GB!A18</f>
        <v>Samori Toure</v>
      </c>
      <c r="C73" s="60" t="s">
        <v>118</v>
      </c>
      <c r="D73" s="60">
        <f>GB!C18</f>
        <v>6</v>
      </c>
      <c r="E73" s="61">
        <f>GB!J18</f>
        <v>0</v>
      </c>
      <c r="F73" s="61">
        <f>GB!K18</f>
        <v>0</v>
      </c>
      <c r="G73" s="61">
        <f>GB!L18</f>
        <v>19.648274800000003</v>
      </c>
      <c r="H73" s="61">
        <f>GB!M18</f>
        <v>12.704648106926047</v>
      </c>
      <c r="I73" s="61">
        <f>GB!N18</f>
        <v>159.02429591523125</v>
      </c>
      <c r="J73" s="61">
        <f>GB!O18</f>
        <v>0.62252775723937637</v>
      </c>
      <c r="K73" s="61">
        <f t="shared" si="5"/>
        <v>19.637596134959384</v>
      </c>
      <c r="L73" s="61">
        <f t="shared" si="6"/>
        <v>25.98992018842241</v>
      </c>
      <c r="M73" s="61">
        <f t="shared" si="7"/>
        <v>32.342244241885432</v>
      </c>
      <c r="N7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25.989920188422406</v>
      </c>
      <c r="O73" s="101">
        <v>0</v>
      </c>
    </row>
    <row r="74" spans="1:15" x14ac:dyDescent="0.2">
      <c r="A74" s="60">
        <f>IF(TableWRMaster[[#This Row],[Player]]&lt;&gt;0,A73+1,A73)</f>
        <v>60</v>
      </c>
      <c r="B74" s="60" t="str">
        <f>GB!A19</f>
        <v>Malik Heath</v>
      </c>
      <c r="C74" s="60" t="s">
        <v>118</v>
      </c>
      <c r="D74" s="60">
        <f>GB!C19</f>
        <v>6</v>
      </c>
      <c r="E74" s="61">
        <f>GB!J19</f>
        <v>0</v>
      </c>
      <c r="F74" s="61">
        <f>GB!K19</f>
        <v>0</v>
      </c>
      <c r="G74" s="61">
        <f>GB!L19</f>
        <v>15.15724056</v>
      </c>
      <c r="H74" s="61">
        <f>GB!M19</f>
        <v>9.5047790608555704</v>
      </c>
      <c r="I74" s="61">
        <f>GB!N19</f>
        <v>109.30495919983906</v>
      </c>
      <c r="J74" s="61">
        <f>GB!O19</f>
        <v>0.47523895304277852</v>
      </c>
      <c r="K74" s="61">
        <f t="shared" si="5"/>
        <v>13.781929638240577</v>
      </c>
      <c r="L74" s="61">
        <f t="shared" si="6"/>
        <v>18.534319168668361</v>
      </c>
      <c r="M74" s="61">
        <f t="shared" si="7"/>
        <v>23.286708699096145</v>
      </c>
      <c r="N7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18.534319168668365</v>
      </c>
      <c r="O74" s="101">
        <v>0</v>
      </c>
    </row>
    <row r="75" spans="1:15" x14ac:dyDescent="0.2">
      <c r="A75" s="60">
        <f>IF(TableWRMaster[[#This Row],[Player]]&lt;&gt;0,A74+1,A74)</f>
        <v>60</v>
      </c>
      <c r="B75" s="60">
        <f>GB!A20</f>
        <v>0</v>
      </c>
      <c r="C75" s="60" t="s">
        <v>118</v>
      </c>
      <c r="D75" s="60">
        <f>GB!C20</f>
        <v>6</v>
      </c>
      <c r="E75" s="61">
        <f>GB!J20</f>
        <v>0</v>
      </c>
      <c r="F75" s="61">
        <f>GB!K20</f>
        <v>0</v>
      </c>
      <c r="G75" s="61">
        <f>GB!L20</f>
        <v>0</v>
      </c>
      <c r="H75" s="61">
        <f>GB!M20</f>
        <v>0</v>
      </c>
      <c r="I75" s="61">
        <f>GB!N20</f>
        <v>0</v>
      </c>
      <c r="J75" s="61">
        <f>GB!O20</f>
        <v>0</v>
      </c>
      <c r="K75" s="61">
        <f t="shared" si="5"/>
        <v>0</v>
      </c>
      <c r="L75" s="61">
        <f t="shared" si="6"/>
        <v>0</v>
      </c>
      <c r="M75" s="61">
        <f t="shared" si="7"/>
        <v>0</v>
      </c>
      <c r="N7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75" s="101">
        <v>0</v>
      </c>
    </row>
    <row r="76" spans="1:15" x14ac:dyDescent="0.2">
      <c r="A76" s="60">
        <f>IF(TableWRMaster[[#This Row],[Player]]&lt;&gt;0,A75+1,A75)</f>
        <v>60</v>
      </c>
      <c r="B76" s="60">
        <f>GB!A21</f>
        <v>0</v>
      </c>
      <c r="C76" s="60" t="s">
        <v>118</v>
      </c>
      <c r="D76" s="60">
        <f>GB!C21</f>
        <v>6</v>
      </c>
      <c r="E76" s="61">
        <f>GB!J21</f>
        <v>0</v>
      </c>
      <c r="F76" s="61">
        <f>GB!K21</f>
        <v>0</v>
      </c>
      <c r="G76" s="61">
        <f>GB!L21</f>
        <v>0</v>
      </c>
      <c r="H76" s="61">
        <f>GB!M21</f>
        <v>0</v>
      </c>
      <c r="I76" s="61">
        <f>GB!N21</f>
        <v>0</v>
      </c>
      <c r="J76" s="61">
        <f>GB!O21</f>
        <v>0</v>
      </c>
      <c r="K76" s="61">
        <f t="shared" si="5"/>
        <v>0</v>
      </c>
      <c r="L76" s="61">
        <f t="shared" si="6"/>
        <v>0</v>
      </c>
      <c r="M76" s="61">
        <f t="shared" si="7"/>
        <v>0</v>
      </c>
      <c r="N7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76" s="101">
        <v>0</v>
      </c>
    </row>
    <row r="77" spans="1:15" x14ac:dyDescent="0.2">
      <c r="A77" s="60">
        <f>IF(TableWRMaster[[#This Row],[Player]]&lt;&gt;0,A76+1,A76)</f>
        <v>61</v>
      </c>
      <c r="B77" s="60" t="str">
        <f>HOU!A15</f>
        <v>Robert Woods</v>
      </c>
      <c r="C77" s="60" t="s">
        <v>119</v>
      </c>
      <c r="D77" s="60">
        <f>HOU!C15</f>
        <v>7</v>
      </c>
      <c r="E77" s="61">
        <f>HOU!J15</f>
        <v>0</v>
      </c>
      <c r="F77" s="61">
        <f>HOU!K15</f>
        <v>0</v>
      </c>
      <c r="G77" s="61">
        <f>HOU!L15</f>
        <v>93.52538272000001</v>
      </c>
      <c r="H77" s="61">
        <f>HOU!M15</f>
        <v>56.502779348435524</v>
      </c>
      <c r="I77" s="61">
        <f>HOU!N15</f>
        <v>612.4901281370411</v>
      </c>
      <c r="J77" s="61">
        <f>HOU!O15</f>
        <v>3.3901667609061312</v>
      </c>
      <c r="K77" s="61">
        <f t="shared" si="5"/>
        <v>81.590013379140899</v>
      </c>
      <c r="L77" s="61">
        <f t="shared" si="6"/>
        <v>109.84140305335866</v>
      </c>
      <c r="M77" s="61">
        <f t="shared" si="7"/>
        <v>138.09279272757641</v>
      </c>
      <c r="N7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109.84140305335866</v>
      </c>
      <c r="O77" s="101">
        <v>15.101987749916791</v>
      </c>
    </row>
    <row r="78" spans="1:15" x14ac:dyDescent="0.2">
      <c r="A78" s="60">
        <f>IF(TableWRMaster[[#This Row],[Player]]&lt;&gt;0,A77+1,A77)</f>
        <v>62</v>
      </c>
      <c r="B78" s="60" t="str">
        <f>HOU!A16</f>
        <v>Nico Collins</v>
      </c>
      <c r="C78" s="60" t="s">
        <v>119</v>
      </c>
      <c r="D78" s="60">
        <f>HOU!C16</f>
        <v>7</v>
      </c>
      <c r="E78" s="61">
        <f>HOU!J16</f>
        <v>0</v>
      </c>
      <c r="F78" s="61">
        <f>HOU!K16</f>
        <v>0</v>
      </c>
      <c r="G78" s="61">
        <f>HOU!L16</f>
        <v>83.384076160000006</v>
      </c>
      <c r="H78" s="61">
        <f>HOU!M16</f>
        <v>47.694389978675531</v>
      </c>
      <c r="I78" s="61">
        <f>HOU!N16</f>
        <v>672.49089869932493</v>
      </c>
      <c r="J78" s="61">
        <f>HOU!O16</f>
        <v>3.9586343682300691</v>
      </c>
      <c r="K78" s="61">
        <f t="shared" si="5"/>
        <v>91.000896079312909</v>
      </c>
      <c r="L78" s="61">
        <f t="shared" si="6"/>
        <v>114.84809106865067</v>
      </c>
      <c r="M78" s="61">
        <f t="shared" si="7"/>
        <v>138.69528605798843</v>
      </c>
      <c r="N7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114.84809106865067</v>
      </c>
      <c r="O78" s="101">
        <v>0</v>
      </c>
    </row>
    <row r="79" spans="1:15" x14ac:dyDescent="0.2">
      <c r="A79" s="60">
        <f>IF(TableWRMaster[[#This Row],[Player]]&lt;&gt;0,A78+1,A78)</f>
        <v>63</v>
      </c>
      <c r="B79" s="60" t="str">
        <f>HOU!A17</f>
        <v>John Metchie</v>
      </c>
      <c r="C79" s="60" t="s">
        <v>119</v>
      </c>
      <c r="D79" s="60">
        <f>HOU!C17</f>
        <v>7</v>
      </c>
      <c r="E79" s="61">
        <f>HOU!J17</f>
        <v>0</v>
      </c>
      <c r="F79" s="61">
        <f>HOU!K17</f>
        <v>0</v>
      </c>
      <c r="G79" s="61">
        <f>HOU!L17</f>
        <v>57.467403839999996</v>
      </c>
      <c r="H79" s="61">
        <f>HOU!M17</f>
        <v>34.325522061748764</v>
      </c>
      <c r="I79" s="61">
        <f>HOU!N17</f>
        <v>409.84673341728023</v>
      </c>
      <c r="J79" s="61">
        <f>HOU!O17</f>
        <v>2.5057631105076594</v>
      </c>
      <c r="K79" s="61">
        <f t="shared" si="5"/>
        <v>56.019252004773982</v>
      </c>
      <c r="L79" s="61">
        <f t="shared" si="6"/>
        <v>73.182013035648367</v>
      </c>
      <c r="M79" s="61">
        <f t="shared" si="7"/>
        <v>90.344774066522746</v>
      </c>
      <c r="N7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73.182013035648367</v>
      </c>
      <c r="O79" s="101">
        <v>0</v>
      </c>
    </row>
    <row r="80" spans="1:15" x14ac:dyDescent="0.2">
      <c r="A80" s="60">
        <f>IF(TableWRMaster[[#This Row],[Player]]&lt;&gt;0,A79+1,A79)</f>
        <v>64</v>
      </c>
      <c r="B80" s="60" t="str">
        <f>HOU!A18</f>
        <v>Tank Dell</v>
      </c>
      <c r="C80" s="60" t="s">
        <v>119</v>
      </c>
      <c r="D80" s="60">
        <f>HOU!C18</f>
        <v>7</v>
      </c>
      <c r="E80" s="61">
        <f>HOU!J18</f>
        <v>0</v>
      </c>
      <c r="F80" s="61">
        <f>HOU!K18</f>
        <v>0</v>
      </c>
      <c r="G80" s="61">
        <f>HOU!L18</f>
        <v>49.016315039999995</v>
      </c>
      <c r="H80" s="61">
        <f>HOU!M18</f>
        <v>28.208674713124026</v>
      </c>
      <c r="I80" s="61">
        <f>HOU!N18</f>
        <v>332.58027486773221</v>
      </c>
      <c r="J80" s="61">
        <f>HOU!O18</f>
        <v>1.9746072299186821</v>
      </c>
      <c r="K80" s="61">
        <f t="shared" si="5"/>
        <v>45.105670866285315</v>
      </c>
      <c r="L80" s="61">
        <f t="shared" si="6"/>
        <v>59.210008222847328</v>
      </c>
      <c r="M80" s="61">
        <f t="shared" si="7"/>
        <v>73.314345579409348</v>
      </c>
      <c r="N8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59.210008222847328</v>
      </c>
      <c r="O80" s="101">
        <v>0</v>
      </c>
    </row>
    <row r="81" spans="1:15" x14ac:dyDescent="0.2">
      <c r="A81" s="60">
        <f>IF(TableWRMaster[[#This Row],[Player]]&lt;&gt;0,A80+1,A80)</f>
        <v>65</v>
      </c>
      <c r="B81" s="60" t="str">
        <f>HOU!A19</f>
        <v>Noah Brown</v>
      </c>
      <c r="C81" s="60" t="s">
        <v>119</v>
      </c>
      <c r="D81" s="60">
        <f>HOU!C19</f>
        <v>7</v>
      </c>
      <c r="E81" s="61">
        <f>HOU!J19</f>
        <v>0</v>
      </c>
      <c r="F81" s="61">
        <f>HOU!K19</f>
        <v>0</v>
      </c>
      <c r="G81" s="61">
        <f>HOU!L19</f>
        <v>61.411245279999996</v>
      </c>
      <c r="H81" s="61">
        <f>HOU!M19</f>
        <v>40.838478111199997</v>
      </c>
      <c r="I81" s="61">
        <f>HOU!N19</f>
        <v>532.12536978893593</v>
      </c>
      <c r="J81" s="61">
        <f>HOU!O19</f>
        <v>2.8586934677840001</v>
      </c>
      <c r="K81" s="61">
        <f t="shared" si="5"/>
        <v>70.364697785597599</v>
      </c>
      <c r="L81" s="61">
        <f t="shared" si="6"/>
        <v>90.783936841197601</v>
      </c>
      <c r="M81" s="61">
        <f t="shared" si="7"/>
        <v>111.2031758967976</v>
      </c>
      <c r="N8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90.783936841197601</v>
      </c>
      <c r="O81" s="101">
        <v>0</v>
      </c>
    </row>
    <row r="82" spans="1:15" x14ac:dyDescent="0.2">
      <c r="A82" s="60">
        <f>IF(TableWRMaster[[#This Row],[Player]]&lt;&gt;0,A81+1,A81)</f>
        <v>66</v>
      </c>
      <c r="B82" s="60" t="str">
        <f>HOU!A20</f>
        <v>Xavier Hutchinson</v>
      </c>
      <c r="C82" s="60" t="s">
        <v>119</v>
      </c>
      <c r="D82" s="60">
        <f>HOU!C20</f>
        <v>7</v>
      </c>
      <c r="E82" s="61">
        <f>HOU!J20</f>
        <v>0</v>
      </c>
      <c r="F82" s="61">
        <f>HOU!K20</f>
        <v>0</v>
      </c>
      <c r="G82" s="61">
        <f>HOU!L20</f>
        <v>8.4510887999999991</v>
      </c>
      <c r="H82" s="61">
        <f>HOU!M20</f>
        <v>4.3482729906967634</v>
      </c>
      <c r="I82" s="61">
        <f>HOU!N20</f>
        <v>64.702302101567838</v>
      </c>
      <c r="J82" s="61">
        <f>HOU!O20</f>
        <v>0.17393091962787055</v>
      </c>
      <c r="K82" s="61">
        <f t="shared" si="5"/>
        <v>7.5138157279240065</v>
      </c>
      <c r="L82" s="61">
        <f t="shared" si="6"/>
        <v>9.6879522232723883</v>
      </c>
      <c r="M82" s="61">
        <f t="shared" si="7"/>
        <v>11.86208871862077</v>
      </c>
      <c r="N8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9.68795222327239</v>
      </c>
      <c r="O82" s="101">
        <v>0</v>
      </c>
    </row>
    <row r="83" spans="1:15" x14ac:dyDescent="0.2">
      <c r="A83" s="60">
        <f>IF(TableWRMaster[[#This Row],[Player]]&lt;&gt;0,A82+1,A82)</f>
        <v>66</v>
      </c>
      <c r="B83" s="60">
        <f>HOU!A21</f>
        <v>0</v>
      </c>
      <c r="C83" s="60" t="s">
        <v>119</v>
      </c>
      <c r="D83" s="60">
        <f>HOU!C21</f>
        <v>7</v>
      </c>
      <c r="E83" s="61">
        <f>HOU!J21</f>
        <v>0</v>
      </c>
      <c r="F83" s="61">
        <f>HOU!K21</f>
        <v>0</v>
      </c>
      <c r="G83" s="61">
        <f>HOU!L21</f>
        <v>0</v>
      </c>
      <c r="H83" s="61">
        <f>HOU!M21</f>
        <v>0</v>
      </c>
      <c r="I83" s="61">
        <f>HOU!N21</f>
        <v>0</v>
      </c>
      <c r="J83" s="61">
        <f>HOU!O21</f>
        <v>0</v>
      </c>
      <c r="K83" s="61">
        <f t="shared" si="5"/>
        <v>0</v>
      </c>
      <c r="L83" s="61">
        <f t="shared" si="6"/>
        <v>0</v>
      </c>
      <c r="M83" s="61">
        <f t="shared" si="7"/>
        <v>0</v>
      </c>
      <c r="N8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83" s="101">
        <v>0</v>
      </c>
    </row>
    <row r="84" spans="1:15" x14ac:dyDescent="0.2">
      <c r="A84" s="60">
        <f>IF(TableWRMaster[[#This Row],[Player]]&lt;&gt;0,A83+1,A83)</f>
        <v>67</v>
      </c>
      <c r="B84" s="60" t="str">
        <f>IND!A15</f>
        <v>Michael Pittman</v>
      </c>
      <c r="C84" s="60" t="s">
        <v>120</v>
      </c>
      <c r="D84" s="60">
        <f>IND!C15</f>
        <v>11</v>
      </c>
      <c r="E84" s="61">
        <f>IND!J15</f>
        <v>0</v>
      </c>
      <c r="F84" s="61">
        <f>IND!K15</f>
        <v>0</v>
      </c>
      <c r="G84" s="61">
        <f>IND!L15</f>
        <v>119.74596480000001</v>
      </c>
      <c r="H84" s="61">
        <f>IND!M15</f>
        <v>73.284530457599999</v>
      </c>
      <c r="I84" s="61">
        <f>IND!N15</f>
        <v>847.43656784899952</v>
      </c>
      <c r="J84" s="61">
        <f>IND!O15</f>
        <v>4.3237872969983995</v>
      </c>
      <c r="K84" s="61">
        <f t="shared" si="5"/>
        <v>110.68638056689035</v>
      </c>
      <c r="L84" s="61">
        <f t="shared" si="6"/>
        <v>147.32864579569036</v>
      </c>
      <c r="M84" s="61">
        <f t="shared" si="7"/>
        <v>183.97091102449036</v>
      </c>
      <c r="N8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147.32864579569036</v>
      </c>
      <c r="O84" s="101">
        <v>3.1584315476577665</v>
      </c>
    </row>
    <row r="85" spans="1:15" x14ac:dyDescent="0.2">
      <c r="A85" s="60">
        <f>IF(TableWRMaster[[#This Row],[Player]]&lt;&gt;0,A84+1,A84)</f>
        <v>68</v>
      </c>
      <c r="B85" s="60" t="str">
        <f>IND!A16</f>
        <v>Alec Pierce</v>
      </c>
      <c r="C85" s="60" t="s">
        <v>120</v>
      </c>
      <c r="D85" s="60">
        <f>IND!C16</f>
        <v>11</v>
      </c>
      <c r="E85" s="61">
        <f>IND!J16</f>
        <v>0</v>
      </c>
      <c r="F85" s="61">
        <f>IND!K16</f>
        <v>0</v>
      </c>
      <c r="G85" s="61">
        <f>IND!L16</f>
        <v>78.583289400000012</v>
      </c>
      <c r="H85" s="61">
        <f>IND!M16</f>
        <v>42.762883472475352</v>
      </c>
      <c r="I85" s="61">
        <f>IND!N16</f>
        <v>564.89769067139946</v>
      </c>
      <c r="J85" s="61">
        <f>IND!O16</f>
        <v>2.7368245422384225</v>
      </c>
      <c r="K85" s="61">
        <f t="shared" si="5"/>
        <v>72.910716320570486</v>
      </c>
      <c r="L85" s="61">
        <f t="shared" si="6"/>
        <v>94.292158056808162</v>
      </c>
      <c r="M85" s="61">
        <f t="shared" si="7"/>
        <v>115.67359979304584</v>
      </c>
      <c r="N8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94.292158056808148</v>
      </c>
      <c r="O85" s="101">
        <v>0.64776135372820753</v>
      </c>
    </row>
    <row r="86" spans="1:15" x14ac:dyDescent="0.2">
      <c r="A86" s="60">
        <f>IF(TableWRMaster[[#This Row],[Player]]&lt;&gt;0,A85+1,A85)</f>
        <v>69</v>
      </c>
      <c r="B86" s="60" t="str">
        <f>IND!A17</f>
        <v>Isaiah McKenzie</v>
      </c>
      <c r="C86" s="60" t="s">
        <v>120</v>
      </c>
      <c r="D86" s="60">
        <f>IND!C17</f>
        <v>11</v>
      </c>
      <c r="E86" s="61">
        <f>IND!J17</f>
        <v>0</v>
      </c>
      <c r="F86" s="61">
        <f>IND!K17</f>
        <v>0</v>
      </c>
      <c r="G86" s="61">
        <f>IND!L17</f>
        <v>33.143972400000003</v>
      </c>
      <c r="H86" s="61">
        <f>IND!M17</f>
        <v>21.444150142800002</v>
      </c>
      <c r="I86" s="61">
        <f>IND!N17</f>
        <v>223.01916148512004</v>
      </c>
      <c r="J86" s="61">
        <f>IND!O17</f>
        <v>1.0507633569972001</v>
      </c>
      <c r="K86" s="61">
        <f t="shared" si="5"/>
        <v>28.606496290495205</v>
      </c>
      <c r="L86" s="61">
        <f t="shared" si="6"/>
        <v>39.328571361895207</v>
      </c>
      <c r="M86" s="61">
        <f t="shared" si="7"/>
        <v>50.050646433295206</v>
      </c>
      <c r="N8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39.328571361895207</v>
      </c>
      <c r="O86" s="101">
        <v>0</v>
      </c>
    </row>
    <row r="87" spans="1:15" x14ac:dyDescent="0.2">
      <c r="A87" s="60">
        <f>IF(TableWRMaster[[#This Row],[Player]]&lt;&gt;0,A86+1,A86)</f>
        <v>70</v>
      </c>
      <c r="B87" s="60" t="str">
        <f>IND!A18</f>
        <v>Josh Downs</v>
      </c>
      <c r="C87" s="60" t="s">
        <v>120</v>
      </c>
      <c r="D87" s="60">
        <f>IND!C18</f>
        <v>11</v>
      </c>
      <c r="E87" s="61">
        <f>IND!J18</f>
        <v>0</v>
      </c>
      <c r="F87" s="61">
        <f>IND!K18</f>
        <v>0</v>
      </c>
      <c r="G87" s="61">
        <f>IND!L18</f>
        <v>90.878634000000019</v>
      </c>
      <c r="H87" s="61">
        <f>IND!M18</f>
        <v>51.841235377764569</v>
      </c>
      <c r="I87" s="61">
        <f>IND!N18</f>
        <v>679.12018344871581</v>
      </c>
      <c r="J87" s="61">
        <f>IND!O18</f>
        <v>3.3178390641769324</v>
      </c>
      <c r="K87" s="61">
        <f t="shared" si="5"/>
        <v>87.819052729933176</v>
      </c>
      <c r="L87" s="61">
        <f t="shared" si="6"/>
        <v>113.73967041881546</v>
      </c>
      <c r="M87" s="61">
        <f t="shared" si="7"/>
        <v>139.66028810769774</v>
      </c>
      <c r="N8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113.73967041881546</v>
      </c>
      <c r="O87" s="101">
        <v>0</v>
      </c>
    </row>
    <row r="88" spans="1:15" x14ac:dyDescent="0.2">
      <c r="A88" s="60">
        <f>IF(TableWRMaster[[#This Row],[Player]]&lt;&gt;0,A87+1,A87)</f>
        <v>70</v>
      </c>
      <c r="B88" s="60">
        <f>IND!A19</f>
        <v>0</v>
      </c>
      <c r="C88" s="60" t="s">
        <v>120</v>
      </c>
      <c r="D88" s="60">
        <f>IND!C19</f>
        <v>11</v>
      </c>
      <c r="E88" s="61">
        <f>IND!J19</f>
        <v>0</v>
      </c>
      <c r="F88" s="61">
        <f>IND!K19</f>
        <v>0</v>
      </c>
      <c r="G88" s="61">
        <f>IND!L19</f>
        <v>0</v>
      </c>
      <c r="H88" s="61">
        <f>IND!M19</f>
        <v>0</v>
      </c>
      <c r="I88" s="61">
        <f>IND!N19</f>
        <v>0</v>
      </c>
      <c r="J88" s="61">
        <f>IND!O19</f>
        <v>0</v>
      </c>
      <c r="K88" s="61">
        <f t="shared" si="5"/>
        <v>0</v>
      </c>
      <c r="L88" s="61">
        <f t="shared" si="6"/>
        <v>0</v>
      </c>
      <c r="M88" s="61">
        <f t="shared" si="7"/>
        <v>0</v>
      </c>
      <c r="N8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88" s="101">
        <v>0</v>
      </c>
    </row>
    <row r="89" spans="1:15" x14ac:dyDescent="0.2">
      <c r="A89" s="60">
        <f>IF(TableWRMaster[[#This Row],[Player]]&lt;&gt;0,A88+1,A88)</f>
        <v>70</v>
      </c>
      <c r="B89" s="60">
        <f>IND!A20</f>
        <v>0</v>
      </c>
      <c r="C89" s="60" t="s">
        <v>120</v>
      </c>
      <c r="D89" s="60">
        <f>IND!C20</f>
        <v>11</v>
      </c>
      <c r="E89" s="61">
        <f>IND!J20</f>
        <v>0</v>
      </c>
      <c r="F89" s="61">
        <f>IND!K20</f>
        <v>0</v>
      </c>
      <c r="G89" s="61">
        <f>IND!L20</f>
        <v>0</v>
      </c>
      <c r="H89" s="61">
        <f>IND!M20</f>
        <v>0</v>
      </c>
      <c r="I89" s="61">
        <f>IND!N20</f>
        <v>0</v>
      </c>
      <c r="J89" s="61">
        <f>IND!O20</f>
        <v>0</v>
      </c>
      <c r="K89" s="61">
        <f t="shared" si="5"/>
        <v>0</v>
      </c>
      <c r="L89" s="61">
        <f t="shared" si="6"/>
        <v>0</v>
      </c>
      <c r="M89" s="61">
        <f t="shared" si="7"/>
        <v>0</v>
      </c>
      <c r="N8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89" s="101">
        <v>0</v>
      </c>
    </row>
    <row r="90" spans="1:15" x14ac:dyDescent="0.2">
      <c r="A90" s="60">
        <f>IF(TableWRMaster[[#This Row],[Player]]&lt;&gt;0,A89+1,A89)</f>
        <v>71</v>
      </c>
      <c r="B90" s="60" t="str">
        <f>JAX!A15</f>
        <v>Christian Kirk</v>
      </c>
      <c r="C90" s="60" t="s">
        <v>139</v>
      </c>
      <c r="D90" s="60">
        <f>JAX!C15</f>
        <v>9</v>
      </c>
      <c r="E90" s="61">
        <f>JAX!J15</f>
        <v>0</v>
      </c>
      <c r="F90" s="61">
        <f>JAX!K15</f>
        <v>0</v>
      </c>
      <c r="G90" s="61">
        <f>JAX!L15</f>
        <v>122.3829684</v>
      </c>
      <c r="H90" s="61">
        <f>JAX!M15</f>
        <v>78.325099776000002</v>
      </c>
      <c r="I90" s="61">
        <f>JAX!N15</f>
        <v>966.57125326129233</v>
      </c>
      <c r="J90" s="61">
        <f>JAX!O15</f>
        <v>5.9527075829760001</v>
      </c>
      <c r="K90" s="61">
        <f t="shared" si="5"/>
        <v>132.37337082398523</v>
      </c>
      <c r="L90" s="61">
        <f t="shared" si="6"/>
        <v>171.53592071198523</v>
      </c>
      <c r="M90" s="61">
        <f t="shared" si="7"/>
        <v>210.69847059998523</v>
      </c>
      <c r="N9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171.53592071198523</v>
      </c>
      <c r="O90" s="101">
        <v>15.838701358844826</v>
      </c>
    </row>
    <row r="91" spans="1:15" x14ac:dyDescent="0.2">
      <c r="A91" s="60">
        <f>IF(TableWRMaster[[#This Row],[Player]]&lt;&gt;0,A90+1,A90)</f>
        <v>72</v>
      </c>
      <c r="B91" s="60" t="str">
        <f>JAX!A16</f>
        <v>Calvin Ridley</v>
      </c>
      <c r="C91" s="60" t="s">
        <v>139</v>
      </c>
      <c r="D91" s="60">
        <f>JAX!C16</f>
        <v>9</v>
      </c>
      <c r="E91" s="61">
        <f>JAX!J16</f>
        <v>0</v>
      </c>
      <c r="F91" s="61">
        <f>JAX!K16</f>
        <v>0</v>
      </c>
      <c r="G91" s="61">
        <f>JAX!L16</f>
        <v>142.78012979999997</v>
      </c>
      <c r="H91" s="61">
        <f>JAX!M16</f>
        <v>89.808701644199985</v>
      </c>
      <c r="I91" s="61">
        <f>JAX!N16</f>
        <v>1151.4668800917343</v>
      </c>
      <c r="J91" s="61">
        <f>JAX!O16</f>
        <v>7.6337396397569997</v>
      </c>
      <c r="K91" s="61">
        <f t="shared" si="5"/>
        <v>160.94912584771544</v>
      </c>
      <c r="L91" s="61">
        <f t="shared" si="6"/>
        <v>205.85347666981542</v>
      </c>
      <c r="M91" s="61">
        <f t="shared" si="7"/>
        <v>250.75782749191541</v>
      </c>
      <c r="N9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205.85347666981542</v>
      </c>
      <c r="O91" s="101">
        <v>10.083300050857609</v>
      </c>
    </row>
    <row r="92" spans="1:15" x14ac:dyDescent="0.2">
      <c r="A92" s="60">
        <f>IF(TableWRMaster[[#This Row],[Player]]&lt;&gt;0,A91+1,A91)</f>
        <v>73</v>
      </c>
      <c r="B92" s="60" t="str">
        <f>JAX!A17</f>
        <v>Zay Jones</v>
      </c>
      <c r="C92" s="60" t="s">
        <v>139</v>
      </c>
      <c r="D92" s="60">
        <f>JAX!C17</f>
        <v>9</v>
      </c>
      <c r="E92" s="61">
        <f>JAX!J17</f>
        <v>0</v>
      </c>
      <c r="F92" s="61">
        <f>JAX!K17</f>
        <v>0</v>
      </c>
      <c r="G92" s="61">
        <f>JAX!L17</f>
        <v>110.02105239999997</v>
      </c>
      <c r="H92" s="61">
        <f>JAX!M17</f>
        <v>70.876581235276305</v>
      </c>
      <c r="I92" s="61">
        <f>JAX!N17</f>
        <v>760.50650732479369</v>
      </c>
      <c r="J92" s="61">
        <f>JAX!O17</f>
        <v>6.4497688924101437</v>
      </c>
      <c r="K92" s="61">
        <f t="shared" si="5"/>
        <v>114.74926408694023</v>
      </c>
      <c r="L92" s="61">
        <f t="shared" si="6"/>
        <v>150.18755470457839</v>
      </c>
      <c r="M92" s="61">
        <f t="shared" si="7"/>
        <v>185.62584532221655</v>
      </c>
      <c r="N9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150.18755470457839</v>
      </c>
      <c r="O92" s="101">
        <v>8.5562358386140911</v>
      </c>
    </row>
    <row r="93" spans="1:15" x14ac:dyDescent="0.2">
      <c r="A93" s="60">
        <f>IF(TableWRMaster[[#This Row],[Player]]&lt;&gt;0,A92+1,A92)</f>
        <v>74</v>
      </c>
      <c r="B93" s="60" t="str">
        <f>JAX!A18</f>
        <v>Jamal Agnew</v>
      </c>
      <c r="C93" s="60" t="s">
        <v>139</v>
      </c>
      <c r="D93" s="60">
        <f>JAX!C18</f>
        <v>9</v>
      </c>
      <c r="E93" s="61">
        <f>JAX!J18</f>
        <v>44.588742341925034</v>
      </c>
      <c r="F93" s="61">
        <f>JAX!K18</f>
        <v>0.33533646220945618</v>
      </c>
      <c r="G93" s="61">
        <f>JAX!L18</f>
        <v>22.869544599999998</v>
      </c>
      <c r="H93" s="61">
        <f>JAX!M18</f>
        <v>14.599334398252845</v>
      </c>
      <c r="I93" s="61">
        <f>JAX!N18</f>
        <v>128.60373070278661</v>
      </c>
      <c r="J93" s="61">
        <f>JAX!O18</f>
        <v>1.1679467518602276</v>
      </c>
      <c r="K93" s="61">
        <f t="shared" si="5"/>
        <v>26.338946588889264</v>
      </c>
      <c r="L93" s="61">
        <f t="shared" si="6"/>
        <v>33.638613788015689</v>
      </c>
      <c r="M93" s="61">
        <f t="shared" si="7"/>
        <v>40.938280987142107</v>
      </c>
      <c r="N9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33.638613788015689</v>
      </c>
      <c r="O93" s="101">
        <v>0</v>
      </c>
    </row>
    <row r="94" spans="1:15" x14ac:dyDescent="0.2">
      <c r="A94" s="60">
        <f>IF(TableWRMaster[[#This Row],[Player]]&lt;&gt;0,A93+1,A93)</f>
        <v>75</v>
      </c>
      <c r="B94" s="60" t="str">
        <f>JAX!A19</f>
        <v>Tim Jones</v>
      </c>
      <c r="C94" s="60" t="s">
        <v>139</v>
      </c>
      <c r="D94" s="60">
        <f>JAX!C19</f>
        <v>9</v>
      </c>
      <c r="E94" s="61">
        <f>JAX!J19</f>
        <v>0</v>
      </c>
      <c r="F94" s="61">
        <f>JAX!K19</f>
        <v>0</v>
      </c>
      <c r="G94" s="61">
        <f>JAX!L19</f>
        <v>6.1809579999999986</v>
      </c>
      <c r="H94" s="61">
        <f>JAX!M19</f>
        <v>3.7456605479999991</v>
      </c>
      <c r="I94" s="61">
        <f>JAX!N19</f>
        <v>39.704001808799987</v>
      </c>
      <c r="J94" s="61">
        <f>JAX!O19</f>
        <v>0.24346793561999996</v>
      </c>
      <c r="K94" s="61">
        <f t="shared" si="5"/>
        <v>5.4312077945999988</v>
      </c>
      <c r="L94" s="61">
        <f t="shared" si="6"/>
        <v>7.3040380685999988</v>
      </c>
      <c r="M94" s="61">
        <f t="shared" si="7"/>
        <v>9.1768683425999988</v>
      </c>
      <c r="N9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7.3040380685999988</v>
      </c>
      <c r="O94" s="101">
        <v>0</v>
      </c>
    </row>
    <row r="95" spans="1:15" x14ac:dyDescent="0.2">
      <c r="A95" s="60">
        <f>IF(TableWRMaster[[#This Row],[Player]]&lt;&gt;0,A94+1,A94)</f>
        <v>76</v>
      </c>
      <c r="B95" s="60" t="str">
        <f>JAX!A20</f>
        <v>Parker Washington</v>
      </c>
      <c r="C95" s="60" t="s">
        <v>139</v>
      </c>
      <c r="D95" s="60">
        <f>JAX!C20</f>
        <v>9</v>
      </c>
      <c r="E95" s="61">
        <f>JAX!J20</f>
        <v>0</v>
      </c>
      <c r="F95" s="61">
        <f>JAX!K20</f>
        <v>0</v>
      </c>
      <c r="G95" s="61">
        <f>JAX!L20</f>
        <v>16.070490799999998</v>
      </c>
      <c r="H95" s="61">
        <f>JAX!M20</f>
        <v>9.3530256455999989</v>
      </c>
      <c r="I95" s="61">
        <f>JAX!N20</f>
        <v>121.21521236697599</v>
      </c>
      <c r="J95" s="61">
        <f>JAX!O20</f>
        <v>0.7669481029391999</v>
      </c>
      <c r="K95" s="61">
        <f t="shared" si="5"/>
        <v>16.723209854332801</v>
      </c>
      <c r="L95" s="61">
        <f t="shared" si="6"/>
        <v>21.3997226771328</v>
      </c>
      <c r="M95" s="61">
        <f t="shared" si="7"/>
        <v>26.0762354999328</v>
      </c>
      <c r="N9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21.3997226771328</v>
      </c>
      <c r="O95" s="101">
        <v>0</v>
      </c>
    </row>
    <row r="96" spans="1:15" x14ac:dyDescent="0.2">
      <c r="A96" s="60">
        <f>IF(TableWRMaster[[#This Row],[Player]]&lt;&gt;0,A95+1,A95)</f>
        <v>76</v>
      </c>
      <c r="B96" s="60">
        <f>JAX!A21</f>
        <v>0</v>
      </c>
      <c r="C96" s="60" t="s">
        <v>139</v>
      </c>
      <c r="D96" s="60">
        <f>JAX!C21</f>
        <v>9</v>
      </c>
      <c r="E96" s="61">
        <f>JAX!J21</f>
        <v>0</v>
      </c>
      <c r="F96" s="61">
        <f>JAX!K21</f>
        <v>0</v>
      </c>
      <c r="G96" s="61">
        <f>JAX!L21</f>
        <v>0</v>
      </c>
      <c r="H96" s="61">
        <f>JAX!M21</f>
        <v>0</v>
      </c>
      <c r="I96" s="61">
        <f>JAX!N21</f>
        <v>0</v>
      </c>
      <c r="J96" s="61">
        <f>JAX!O21</f>
        <v>0</v>
      </c>
      <c r="K96" s="61">
        <f t="shared" si="5"/>
        <v>0</v>
      </c>
      <c r="L96" s="61">
        <f t="shared" si="6"/>
        <v>0</v>
      </c>
      <c r="M96" s="61">
        <f t="shared" si="7"/>
        <v>0</v>
      </c>
      <c r="N9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96" s="101">
        <v>0</v>
      </c>
    </row>
    <row r="97" spans="1:15" x14ac:dyDescent="0.2">
      <c r="A97" s="60">
        <f>IF(TableWRMaster[[#This Row],[Player]]&lt;&gt;0,A96+1,A96)</f>
        <v>77</v>
      </c>
      <c r="B97" s="60" t="str">
        <f>KC!A15</f>
        <v>Kadarius Toney</v>
      </c>
      <c r="C97" s="60" t="s">
        <v>122</v>
      </c>
      <c r="D97" s="60">
        <f>KC!C15</f>
        <v>10</v>
      </c>
      <c r="E97" s="61">
        <f>KC!J15</f>
        <v>73.465399938020838</v>
      </c>
      <c r="F97" s="61">
        <f>KC!K15</f>
        <v>0.75480587276612099</v>
      </c>
      <c r="G97" s="61">
        <f>KC!L15</f>
        <v>69.309982559999995</v>
      </c>
      <c r="H97" s="61">
        <f>KC!M15</f>
        <v>45.120798646559997</v>
      </c>
      <c r="I97" s="61">
        <f>KC!N15</f>
        <v>541.44958375872</v>
      </c>
      <c r="J97" s="61">
        <f>KC!O15</f>
        <v>4.5120798646560001</v>
      </c>
      <c r="K97" s="61">
        <f t="shared" si="5"/>
        <v>93.092812794206807</v>
      </c>
      <c r="L97" s="61">
        <f t="shared" si="6"/>
        <v>115.6532121174868</v>
      </c>
      <c r="M97" s="61">
        <f t="shared" si="7"/>
        <v>138.21361144076681</v>
      </c>
      <c r="N9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115.6532121174868</v>
      </c>
      <c r="O97" s="101">
        <v>45.236144655695469</v>
      </c>
    </row>
    <row r="98" spans="1:15" x14ac:dyDescent="0.2">
      <c r="A98" s="60">
        <f>IF(TableWRMaster[[#This Row],[Player]]&lt;&gt;0,A97+1,A97)</f>
        <v>78</v>
      </c>
      <c r="B98" s="60" t="str">
        <f>KC!A16</f>
        <v>Skyy Moore</v>
      </c>
      <c r="C98" s="60" t="s">
        <v>122</v>
      </c>
      <c r="D98" s="60">
        <f>KC!C16</f>
        <v>10</v>
      </c>
      <c r="E98" s="61">
        <f>KC!J16</f>
        <v>18.371860673135078</v>
      </c>
      <c r="F98" s="61">
        <f>KC!K16</f>
        <v>0.16044962072211075</v>
      </c>
      <c r="G98" s="61">
        <f>KC!L16</f>
        <v>111.1575192</v>
      </c>
      <c r="H98" s="61">
        <f>KC!M16</f>
        <v>73.697435229600003</v>
      </c>
      <c r="I98" s="61">
        <f>KC!N16</f>
        <v>929.81767578878191</v>
      </c>
      <c r="J98" s="61">
        <f>KC!O16</f>
        <v>6.0431896888272005</v>
      </c>
      <c r="K98" s="61">
        <f t="shared" si="5"/>
        <v>132.04078950348756</v>
      </c>
      <c r="L98" s="61">
        <f t="shared" ref="L98:L107" si="8">K98+(H98*0.5)</f>
        <v>168.88950711828755</v>
      </c>
      <c r="M98" s="61">
        <f t="shared" ref="M98:M107" si="9">K98+H98</f>
        <v>205.73822473308758</v>
      </c>
      <c r="N9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168.88950711828755</v>
      </c>
      <c r="O98" s="101">
        <v>8.9593049382982386</v>
      </c>
    </row>
    <row r="99" spans="1:15" x14ac:dyDescent="0.2">
      <c r="A99" s="60">
        <f>IF(TableWRMaster[[#This Row],[Player]]&lt;&gt;0,A98+1,A98)</f>
        <v>79</v>
      </c>
      <c r="B99" s="60" t="str">
        <f>KC!A17</f>
        <v>Marquez Valdes-Scantling</v>
      </c>
      <c r="C99" s="60" t="s">
        <v>122</v>
      </c>
      <c r="D99" s="60">
        <f>KC!C17</f>
        <v>10</v>
      </c>
      <c r="E99" s="61">
        <f>KC!J17</f>
        <v>0</v>
      </c>
      <c r="F99" s="61">
        <f>KC!K17</f>
        <v>0</v>
      </c>
      <c r="G99" s="61">
        <f>KC!L17</f>
        <v>97.426296239999985</v>
      </c>
      <c r="H99" s="61">
        <f>KC!M17</f>
        <v>52.978061664055602</v>
      </c>
      <c r="I99" s="61">
        <f>KC!N17</f>
        <v>821.15995579286187</v>
      </c>
      <c r="J99" s="61">
        <f>KC!O17</f>
        <v>6.8341699546631727</v>
      </c>
      <c r="K99" s="61">
        <f t="shared" si="5"/>
        <v>123.12101530726522</v>
      </c>
      <c r="L99" s="61">
        <f t="shared" si="8"/>
        <v>149.61004613929302</v>
      </c>
      <c r="M99" s="61">
        <f t="shared" si="9"/>
        <v>176.09907697132081</v>
      </c>
      <c r="N9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149.61004613929302</v>
      </c>
      <c r="O99" s="101">
        <v>0</v>
      </c>
    </row>
    <row r="100" spans="1:15" x14ac:dyDescent="0.2">
      <c r="A100" s="60">
        <f>IF(TableWRMaster[[#This Row],[Player]]&lt;&gt;0,A99+1,A99)</f>
        <v>80</v>
      </c>
      <c r="B100" s="60" t="str">
        <f>KC!A18</f>
        <v>Richie James</v>
      </c>
      <c r="C100" s="60" t="s">
        <v>122</v>
      </c>
      <c r="D100" s="60">
        <f>KC!C18</f>
        <v>10</v>
      </c>
      <c r="E100" s="61">
        <f>KC!J18</f>
        <v>0</v>
      </c>
      <c r="F100" s="61">
        <f>KC!K18</f>
        <v>0</v>
      </c>
      <c r="G100" s="61">
        <f>KC!L18</f>
        <v>36.616594559999996</v>
      </c>
      <c r="H100" s="61">
        <f>KC!M18</f>
        <v>25.631616191999996</v>
      </c>
      <c r="I100" s="61">
        <f>KC!N18</f>
        <v>287.07410135039993</v>
      </c>
      <c r="J100" s="61">
        <f>KC!O18</f>
        <v>2.1786873763199996</v>
      </c>
      <c r="K100" s="61">
        <f t="shared" si="5"/>
        <v>41.779534392959988</v>
      </c>
      <c r="L100" s="61">
        <f t="shared" si="8"/>
        <v>54.595342488959986</v>
      </c>
      <c r="M100" s="61">
        <f t="shared" si="9"/>
        <v>67.411150584959984</v>
      </c>
      <c r="N10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54.595342488959986</v>
      </c>
      <c r="O100" s="101">
        <v>0</v>
      </c>
    </row>
    <row r="101" spans="1:15" x14ac:dyDescent="0.2">
      <c r="A101" s="60">
        <f>IF(TableWRMaster[[#This Row],[Player]]&lt;&gt;0,A100+1,A100)</f>
        <v>81</v>
      </c>
      <c r="B101" s="60" t="str">
        <f>KC!A19</f>
        <v>Rashee Rice</v>
      </c>
      <c r="C101" s="60" t="s">
        <v>122</v>
      </c>
      <c r="D101" s="60">
        <f>KC!C19</f>
        <v>10</v>
      </c>
      <c r="E101" s="61">
        <f>KC!J19</f>
        <v>0</v>
      </c>
      <c r="F101" s="61">
        <f>KC!K19</f>
        <v>0</v>
      </c>
      <c r="G101" s="61">
        <f>KC!L19</f>
        <v>38.578197839999994</v>
      </c>
      <c r="H101" s="61">
        <f>KC!M19</f>
        <v>24.666538407496827</v>
      </c>
      <c r="I101" s="61">
        <f>KC!N19</f>
        <v>313.26503777520969</v>
      </c>
      <c r="J101" s="61">
        <f>KC!O19</f>
        <v>2.1953219182672177</v>
      </c>
      <c r="K101" s="61">
        <f t="shared" si="5"/>
        <v>44.498435287124273</v>
      </c>
      <c r="L101" s="61">
        <f t="shared" si="8"/>
        <v>56.831704490872688</v>
      </c>
      <c r="M101" s="61">
        <f t="shared" si="9"/>
        <v>69.164973694621096</v>
      </c>
      <c r="N10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56.831704490872688</v>
      </c>
      <c r="O101" s="101">
        <v>0</v>
      </c>
    </row>
    <row r="102" spans="1:15" x14ac:dyDescent="0.2">
      <c r="A102" s="60">
        <f>IF(TableWRMaster[[#This Row],[Player]]&lt;&gt;0,A101+1,A101)</f>
        <v>82</v>
      </c>
      <c r="B102" s="60" t="str">
        <f>KC!A20</f>
        <v>Justyn Ross</v>
      </c>
      <c r="C102" s="60" t="s">
        <v>122</v>
      </c>
      <c r="D102" s="60">
        <f>KC!C20</f>
        <v>10</v>
      </c>
      <c r="E102" s="61">
        <f>KC!J20</f>
        <v>0</v>
      </c>
      <c r="F102" s="61">
        <f>KC!K20</f>
        <v>0</v>
      </c>
      <c r="G102" s="61">
        <f>KC!L20</f>
        <v>64.73290824</v>
      </c>
      <c r="H102" s="61">
        <f>KC!M20</f>
        <v>39.163409485199999</v>
      </c>
      <c r="I102" s="61">
        <f>KC!N20</f>
        <v>509.12432330759998</v>
      </c>
      <c r="J102" s="61">
        <f>KC!O20</f>
        <v>3.6030336726384</v>
      </c>
      <c r="K102" s="61">
        <f t="shared" ref="K102" si="10">(E102/10)+(F102*6)+(I102/10)+(J102*6)</f>
        <v>72.530634366590391</v>
      </c>
      <c r="L102" s="61">
        <f t="shared" ref="L102" si="11">K102+(H102*0.5)</f>
        <v>92.112339109190387</v>
      </c>
      <c r="M102" s="61">
        <f t="shared" ref="M102" si="12">K102+H102</f>
        <v>111.69404385179038</v>
      </c>
      <c r="N10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92.112339109190401</v>
      </c>
      <c r="O102" s="101">
        <v>1</v>
      </c>
    </row>
    <row r="103" spans="1:15" x14ac:dyDescent="0.2">
      <c r="A103" s="60">
        <f>IF(TableWRMaster[[#This Row],[Player]]&lt;&gt;0,A102+1,A102)</f>
        <v>83</v>
      </c>
      <c r="B103" s="60" t="str">
        <f>LAC!A15</f>
        <v>Keenan Allen</v>
      </c>
      <c r="C103" s="60" t="s">
        <v>123</v>
      </c>
      <c r="D103" s="60">
        <f>LAC!C15</f>
        <v>5</v>
      </c>
      <c r="E103" s="61">
        <f>LAC!J15</f>
        <v>0</v>
      </c>
      <c r="F103" s="61">
        <f>LAC!K15</f>
        <v>0</v>
      </c>
      <c r="G103" s="61">
        <f>LAC!L15</f>
        <v>139.32216059999999</v>
      </c>
      <c r="H103" s="61">
        <f>LAC!M15</f>
        <v>97.804156741199989</v>
      </c>
      <c r="I103" s="61">
        <f>LAC!N15</f>
        <v>1007.3828144343599</v>
      </c>
      <c r="J103" s="61">
        <f>LAC!O15</f>
        <v>6.4550743449191996</v>
      </c>
      <c r="K103" s="61">
        <f t="shared" si="5"/>
        <v>139.4687275129512</v>
      </c>
      <c r="L103" s="61">
        <f t="shared" si="8"/>
        <v>188.37080588355121</v>
      </c>
      <c r="M103" s="61">
        <f t="shared" si="9"/>
        <v>237.27288425415119</v>
      </c>
      <c r="N10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188.37080588355121</v>
      </c>
      <c r="O103" s="101">
        <v>24.422427073887171</v>
      </c>
    </row>
    <row r="104" spans="1:15" x14ac:dyDescent="0.2">
      <c r="A104" s="60">
        <f>IF(TableWRMaster[[#This Row],[Player]]&lt;&gt;0,A103+1,A103)</f>
        <v>84</v>
      </c>
      <c r="B104" s="60" t="str">
        <f>LAC!A16</f>
        <v>Mike Williams</v>
      </c>
      <c r="C104" s="60" t="s">
        <v>123</v>
      </c>
      <c r="D104" s="60">
        <f>LAC!C16</f>
        <v>5</v>
      </c>
      <c r="E104" s="61">
        <f>LAC!J16</f>
        <v>0</v>
      </c>
      <c r="F104" s="61">
        <f>LAC!K16</f>
        <v>0</v>
      </c>
      <c r="G104" s="61">
        <f>LAC!L16</f>
        <v>118.85302799999999</v>
      </c>
      <c r="H104" s="61">
        <f>LAC!M16</f>
        <v>75.828231864000003</v>
      </c>
      <c r="I104" s="61">
        <f>LAC!N16</f>
        <v>1059.3203991400801</v>
      </c>
      <c r="J104" s="61">
        <f>LAC!O16</f>
        <v>6.8245408677599997</v>
      </c>
      <c r="K104" s="61">
        <f t="shared" si="5"/>
        <v>146.879285120568</v>
      </c>
      <c r="L104" s="61">
        <f t="shared" si="8"/>
        <v>184.79340105256802</v>
      </c>
      <c r="M104" s="61">
        <f t="shared" si="9"/>
        <v>222.707516984568</v>
      </c>
      <c r="N10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184.79340105256802</v>
      </c>
      <c r="O104" s="101">
        <v>3.3449728845290307</v>
      </c>
    </row>
    <row r="105" spans="1:15" x14ac:dyDescent="0.2">
      <c r="A105" s="60">
        <f>IF(TableWRMaster[[#This Row],[Player]]&lt;&gt;0,A104+1,A104)</f>
        <v>85</v>
      </c>
      <c r="B105" s="60" t="str">
        <f>LAC!A17</f>
        <v>Quentin Johnston</v>
      </c>
      <c r="C105" s="60" t="s">
        <v>123</v>
      </c>
      <c r="D105" s="60">
        <f>LAC!C17</f>
        <v>5</v>
      </c>
      <c r="E105" s="61">
        <f>LAC!J17</f>
        <v>0</v>
      </c>
      <c r="F105" s="61">
        <f>LAC!K17</f>
        <v>0</v>
      </c>
      <c r="G105" s="61">
        <f>LAC!L17</f>
        <v>99.704484600000001</v>
      </c>
      <c r="H105" s="61">
        <f>LAC!M17</f>
        <v>59.4238728216</v>
      </c>
      <c r="I105" s="61">
        <f>LAC!N17</f>
        <v>834.31117441526396</v>
      </c>
      <c r="J105" s="61">
        <f>LAC!O17</f>
        <v>5.5264201724088</v>
      </c>
      <c r="K105" s="61">
        <f t="shared" si="5"/>
        <v>116.5896384759792</v>
      </c>
      <c r="L105" s="61">
        <f t="shared" si="8"/>
        <v>146.30157488677921</v>
      </c>
      <c r="M105" s="61">
        <f t="shared" si="9"/>
        <v>176.01351129757921</v>
      </c>
      <c r="N10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146.30157488677921</v>
      </c>
      <c r="O105" s="101">
        <v>0</v>
      </c>
    </row>
    <row r="106" spans="1:15" x14ac:dyDescent="0.2">
      <c r="A106" s="60">
        <f>IF(TableWRMaster[[#This Row],[Player]]&lt;&gt;0,A105+1,A105)</f>
        <v>86</v>
      </c>
      <c r="B106" s="60" t="str">
        <f>LAC!A18</f>
        <v>Joshua Palmer</v>
      </c>
      <c r="C106" s="60" t="s">
        <v>123</v>
      </c>
      <c r="D106" s="60">
        <f>LAC!C18</f>
        <v>5</v>
      </c>
      <c r="E106" s="61">
        <f>LAC!J18</f>
        <v>0</v>
      </c>
      <c r="F106" s="61">
        <f>LAC!K18</f>
        <v>0</v>
      </c>
      <c r="G106" s="61">
        <f>LAC!L18</f>
        <v>55.464746400000003</v>
      </c>
      <c r="H106" s="61">
        <f>LAC!M18</f>
        <v>33.278847839999997</v>
      </c>
      <c r="I106" s="61">
        <f>LAC!N18</f>
        <v>359.41155667200002</v>
      </c>
      <c r="J106" s="61">
        <f>LAC!O18</f>
        <v>2.1631251095999997</v>
      </c>
      <c r="K106" s="61">
        <f t="shared" si="5"/>
        <v>48.919906324799996</v>
      </c>
      <c r="L106" s="61">
        <f t="shared" si="8"/>
        <v>65.559330244799995</v>
      </c>
      <c r="M106" s="61">
        <f t="shared" si="9"/>
        <v>82.198754164799993</v>
      </c>
      <c r="N10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65.559330244799995</v>
      </c>
      <c r="O106" s="101">
        <v>0</v>
      </c>
    </row>
    <row r="107" spans="1:15" x14ac:dyDescent="0.2">
      <c r="A107" s="60">
        <f>IF(TableWRMaster[[#This Row],[Player]]&lt;&gt;0,A106+1,A106)</f>
        <v>87</v>
      </c>
      <c r="B107" s="60" t="str">
        <f>LAC!A19</f>
        <v>Derius Davis</v>
      </c>
      <c r="C107" s="60" t="s">
        <v>123</v>
      </c>
      <c r="D107" s="60">
        <f>LAC!C19</f>
        <v>5</v>
      </c>
      <c r="E107" s="61">
        <f>LAC!J19</f>
        <v>0</v>
      </c>
      <c r="F107" s="61">
        <f>LAC!K19</f>
        <v>0</v>
      </c>
      <c r="G107" s="61">
        <f>LAC!L19</f>
        <v>11.225008200000001</v>
      </c>
      <c r="H107" s="61">
        <f>LAC!M19</f>
        <v>7.3748303874000012</v>
      </c>
      <c r="I107" s="61">
        <f>LAC!N19</f>
        <v>76.698236028960011</v>
      </c>
      <c r="J107" s="61">
        <f>LAC!O19</f>
        <v>0.39824084091960005</v>
      </c>
      <c r="K107" s="61">
        <f t="shared" si="5"/>
        <v>10.059268648413601</v>
      </c>
      <c r="L107" s="61">
        <f t="shared" si="8"/>
        <v>13.746683842113601</v>
      </c>
      <c r="M107" s="61">
        <f t="shared" si="9"/>
        <v>17.434099035813603</v>
      </c>
      <c r="N10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13.746683842113603</v>
      </c>
      <c r="O107" s="101">
        <v>0</v>
      </c>
    </row>
    <row r="108" spans="1:15" x14ac:dyDescent="0.2">
      <c r="A108" s="60">
        <f>IF(TableWRMaster[[#This Row],[Player]]&lt;&gt;0,A107+1,A107)</f>
        <v>87</v>
      </c>
      <c r="B108" s="60">
        <f>LAC!A20</f>
        <v>0</v>
      </c>
      <c r="C108" s="60" t="s">
        <v>123</v>
      </c>
      <c r="D108" s="60">
        <f>LAC!C20</f>
        <v>5</v>
      </c>
      <c r="E108" s="61">
        <f>LAC!J20</f>
        <v>0</v>
      </c>
      <c r="F108" s="61">
        <f>LAC!K20</f>
        <v>0</v>
      </c>
      <c r="G108" s="61">
        <f>LAC!L20</f>
        <v>0</v>
      </c>
      <c r="H108" s="61">
        <f>LAC!M20</f>
        <v>0</v>
      </c>
      <c r="I108" s="61">
        <f>LAC!N20</f>
        <v>0</v>
      </c>
      <c r="J108" s="61">
        <f>LAC!O20</f>
        <v>0</v>
      </c>
      <c r="K108" s="61">
        <f t="shared" ref="K108:K109" si="13">(E108/10)+(F108*6)+(I108/10)+(J108*6)</f>
        <v>0</v>
      </c>
      <c r="L108" s="61">
        <f t="shared" ref="L108:L109" si="14">K108+(H108*0.5)</f>
        <v>0</v>
      </c>
      <c r="M108" s="61">
        <f t="shared" ref="M108:M109" si="15">K108+H108</f>
        <v>0</v>
      </c>
      <c r="N10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08" s="101">
        <v>0</v>
      </c>
    </row>
    <row r="109" spans="1:15" x14ac:dyDescent="0.2">
      <c r="A109" s="60">
        <f>IF(TableWRMaster[[#This Row],[Player]]&lt;&gt;0,A108+1,A108)</f>
        <v>87</v>
      </c>
      <c r="B109" s="60">
        <f>LAC!A21</f>
        <v>0</v>
      </c>
      <c r="C109" s="60" t="s">
        <v>123</v>
      </c>
      <c r="D109" s="60">
        <f>LAC!C21</f>
        <v>5</v>
      </c>
      <c r="E109" s="61">
        <f>LAC!J21</f>
        <v>0</v>
      </c>
      <c r="F109" s="61">
        <f>LAC!K21</f>
        <v>0</v>
      </c>
      <c r="G109" s="61">
        <f>LAC!L21</f>
        <v>0</v>
      </c>
      <c r="H109" s="61">
        <f>LAC!M21</f>
        <v>0</v>
      </c>
      <c r="I109" s="61">
        <f>LAC!N21</f>
        <v>0</v>
      </c>
      <c r="J109" s="61">
        <f>LAC!O21</f>
        <v>0</v>
      </c>
      <c r="K109" s="61">
        <f t="shared" si="13"/>
        <v>0</v>
      </c>
      <c r="L109" s="61">
        <f t="shared" si="14"/>
        <v>0</v>
      </c>
      <c r="M109" s="61">
        <f t="shared" si="15"/>
        <v>0</v>
      </c>
      <c r="N10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09" s="101">
        <v>0</v>
      </c>
    </row>
    <row r="110" spans="1:15" x14ac:dyDescent="0.2">
      <c r="A110" s="60">
        <f>IF(TableWRMaster[[#This Row],[Player]]&lt;&gt;0,A109+1,A109)</f>
        <v>88</v>
      </c>
      <c r="B110" s="60" t="str">
        <f>LAR!A16</f>
        <v>Van Jefferson</v>
      </c>
      <c r="C110" s="60" t="s">
        <v>124</v>
      </c>
      <c r="D110" s="60">
        <f>LAR!C16</f>
        <v>10</v>
      </c>
      <c r="E110" s="61">
        <f>LAR!J16</f>
        <v>0</v>
      </c>
      <c r="F110" s="61">
        <f>LAR!K16</f>
        <v>0</v>
      </c>
      <c r="G110" s="61">
        <f>LAR!L16</f>
        <v>93.291327359999997</v>
      </c>
      <c r="H110" s="61">
        <f>LAR!M16</f>
        <v>52.128575665652221</v>
      </c>
      <c r="I110" s="61">
        <f>LAR!N16</f>
        <v>750.13020382873549</v>
      </c>
      <c r="J110" s="61">
        <f>LAR!O16</f>
        <v>4.8479575369056569</v>
      </c>
      <c r="K110" s="61">
        <f t="shared" si="5"/>
        <v>104.1007656043075</v>
      </c>
      <c r="L110" s="61">
        <f t="shared" ref="L110:L140" si="16">K110+(H110*0.5)</f>
        <v>130.16505343713362</v>
      </c>
      <c r="M110" s="61">
        <f t="shared" ref="M110:M140" si="17">K110+H110</f>
        <v>156.22934126995972</v>
      </c>
      <c r="N11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130.16505343713359</v>
      </c>
      <c r="O110" s="101">
        <v>20.481741496713184</v>
      </c>
    </row>
    <row r="111" spans="1:15" x14ac:dyDescent="0.2">
      <c r="A111" s="60">
        <f>IF(TableWRMaster[[#This Row],[Player]]&lt;&gt;0,A110+1,A110)</f>
        <v>89</v>
      </c>
      <c r="B111" s="60" t="str">
        <f>LAR!A15</f>
        <v>Cooper Kupp</v>
      </c>
      <c r="C111" s="60" t="s">
        <v>124</v>
      </c>
      <c r="D111" s="60">
        <f>LAR!C15</f>
        <v>10</v>
      </c>
      <c r="E111" s="61">
        <f>LAR!J15</f>
        <v>91.973417960264896</v>
      </c>
      <c r="F111" s="61">
        <f>LAR!K15</f>
        <v>2.1761588139317252</v>
      </c>
      <c r="G111" s="61">
        <f>LAR!L15</f>
        <v>140.86372607999999</v>
      </c>
      <c r="H111" s="61">
        <f>LAR!M15</f>
        <v>104.09829357311999</v>
      </c>
      <c r="I111" s="61">
        <f>LAR!N15</f>
        <v>1275.0401129399734</v>
      </c>
      <c r="J111" s="61">
        <f>LAR!O15</f>
        <v>9.4729447151539183</v>
      </c>
      <c r="K111" s="61">
        <f t="shared" si="5"/>
        <v>206.59597426453769</v>
      </c>
      <c r="L111" s="61">
        <f t="shared" si="16"/>
        <v>258.6451210510977</v>
      </c>
      <c r="M111" s="61">
        <f t="shared" si="17"/>
        <v>310.69426783765766</v>
      </c>
      <c r="N11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258.64512105109765</v>
      </c>
      <c r="O111" s="101">
        <v>19.089502905955278</v>
      </c>
    </row>
    <row r="112" spans="1:15" x14ac:dyDescent="0.2">
      <c r="A112" s="60">
        <f>IF(TableWRMaster[[#This Row],[Player]]&lt;&gt;0,A111+1,A111)</f>
        <v>90</v>
      </c>
      <c r="B112" s="60" t="str">
        <f>LAR!A17</f>
        <v>Ben Skowronek</v>
      </c>
      <c r="C112" s="60" t="s">
        <v>124</v>
      </c>
      <c r="D112" s="60">
        <f>LAR!C17</f>
        <v>10</v>
      </c>
      <c r="E112" s="61">
        <f>LAR!J17</f>
        <v>0</v>
      </c>
      <c r="F112" s="61">
        <f>LAR!K17</f>
        <v>0</v>
      </c>
      <c r="G112" s="61">
        <f>LAR!L17</f>
        <v>43.865458559999993</v>
      </c>
      <c r="H112" s="61">
        <f>LAR!M17</f>
        <v>28.080836275187906</v>
      </c>
      <c r="I112" s="61">
        <f>LAR!N17</f>
        <v>331.3538680472173</v>
      </c>
      <c r="J112" s="61">
        <f>LAR!O17</f>
        <v>1.3478801412090196</v>
      </c>
      <c r="K112" s="61">
        <f t="shared" si="5"/>
        <v>41.222667651975854</v>
      </c>
      <c r="L112" s="61">
        <f t="shared" si="16"/>
        <v>55.263085789569807</v>
      </c>
      <c r="M112" s="61">
        <f t="shared" si="17"/>
        <v>69.30350392716376</v>
      </c>
      <c r="N11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55.2630857895698</v>
      </c>
      <c r="O112" s="101">
        <v>0</v>
      </c>
    </row>
    <row r="113" spans="1:15" x14ac:dyDescent="0.2">
      <c r="A113" s="60">
        <f>IF(TableWRMaster[[#This Row],[Player]]&lt;&gt;0,A112+1,A112)</f>
        <v>91</v>
      </c>
      <c r="B113" s="60" t="str">
        <f>LAR!A18</f>
        <v>Puka Nacua</v>
      </c>
      <c r="C113" s="60" t="s">
        <v>124</v>
      </c>
      <c r="D113" s="60">
        <f>LAR!C18</f>
        <v>10</v>
      </c>
      <c r="E113" s="61">
        <f>LAR!J18</f>
        <v>0</v>
      </c>
      <c r="F113" s="61">
        <f>LAR!K18</f>
        <v>0</v>
      </c>
      <c r="G113" s="61">
        <f>LAR!L18</f>
        <v>61.782336000000001</v>
      </c>
      <c r="H113" s="61">
        <f>LAR!M18</f>
        <v>37.501877952000001</v>
      </c>
      <c r="I113" s="61">
        <f>LAR!N18</f>
        <v>510.02554014719999</v>
      </c>
      <c r="J113" s="61">
        <f>LAR!O18</f>
        <v>2.5501277007360001</v>
      </c>
      <c r="K113" s="61">
        <f t="shared" si="5"/>
        <v>66.303320219135998</v>
      </c>
      <c r="L113" s="61">
        <f t="shared" si="16"/>
        <v>85.054259195135998</v>
      </c>
      <c r="M113" s="61">
        <f t="shared" si="17"/>
        <v>103.805198171136</v>
      </c>
      <c r="N11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85.054259195136012</v>
      </c>
      <c r="O113" s="101">
        <v>0</v>
      </c>
    </row>
    <row r="114" spans="1:15" x14ac:dyDescent="0.2">
      <c r="A114" s="60">
        <f>IF(TableWRMaster[[#This Row],[Player]]&lt;&gt;0,A113+1,A113)</f>
        <v>92</v>
      </c>
      <c r="B114" s="60" t="str">
        <f>LAR!A19</f>
        <v>Tutu Atwell</v>
      </c>
      <c r="C114" s="60" t="s">
        <v>124</v>
      </c>
      <c r="D114" s="60">
        <f>LAR!C19</f>
        <v>10</v>
      </c>
      <c r="E114" s="61">
        <f>LAR!J19</f>
        <v>0</v>
      </c>
      <c r="F114" s="61">
        <f>LAR!K19</f>
        <v>0</v>
      </c>
      <c r="G114" s="61">
        <f>LAR!L19</f>
        <v>52.514985600000003</v>
      </c>
      <c r="H114" s="61">
        <f>LAR!M19</f>
        <v>31.561506345600002</v>
      </c>
      <c r="I114" s="61">
        <f>LAR!N19</f>
        <v>379.36930627411198</v>
      </c>
      <c r="J114" s="61">
        <f>LAR!O19</f>
        <v>1.7674443553536001</v>
      </c>
      <c r="K114" s="61">
        <f t="shared" si="5"/>
        <v>48.541596759532801</v>
      </c>
      <c r="L114" s="61">
        <f t="shared" si="16"/>
        <v>64.322349932332799</v>
      </c>
      <c r="M114" s="61">
        <f t="shared" si="17"/>
        <v>80.103103105132803</v>
      </c>
      <c r="N11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64.322349932332799</v>
      </c>
      <c r="O114" s="101">
        <v>0</v>
      </c>
    </row>
    <row r="115" spans="1:15" x14ac:dyDescent="0.2">
      <c r="A115" s="60">
        <f>IF(TableWRMaster[[#This Row],[Player]]&lt;&gt;0,A114+1,A114)</f>
        <v>92</v>
      </c>
      <c r="B115" s="60">
        <f>LAR!A20</f>
        <v>0</v>
      </c>
      <c r="C115" s="60" t="s">
        <v>124</v>
      </c>
      <c r="D115" s="60">
        <f>LAR!C20</f>
        <v>10</v>
      </c>
      <c r="E115" s="61">
        <f>LAR!J20</f>
        <v>0</v>
      </c>
      <c r="F115" s="61">
        <f>LAR!K20</f>
        <v>0</v>
      </c>
      <c r="G115" s="61">
        <f>LAR!L20</f>
        <v>0</v>
      </c>
      <c r="H115" s="61">
        <f>LAR!M20</f>
        <v>0</v>
      </c>
      <c r="I115" s="61">
        <f>LAR!N20</f>
        <v>0</v>
      </c>
      <c r="J115" s="61">
        <f>LAR!O20</f>
        <v>0</v>
      </c>
      <c r="K115" s="61">
        <f t="shared" si="5"/>
        <v>0</v>
      </c>
      <c r="L115" s="61">
        <f t="shared" si="16"/>
        <v>0</v>
      </c>
      <c r="M115" s="61">
        <f t="shared" si="17"/>
        <v>0</v>
      </c>
      <c r="N11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15" s="101">
        <v>0</v>
      </c>
    </row>
    <row r="116" spans="1:15" x14ac:dyDescent="0.2">
      <c r="A116" s="60">
        <f>IF(TableWRMaster[[#This Row],[Player]]&lt;&gt;0,A115+1,A115)</f>
        <v>93</v>
      </c>
      <c r="B116" s="60" t="str">
        <f>LV!A15</f>
        <v>Davante Adams</v>
      </c>
      <c r="C116" s="60" t="s">
        <v>192</v>
      </c>
      <c r="D116" s="60">
        <f>LV!C15</f>
        <v>13</v>
      </c>
      <c r="E116" s="61">
        <f>LV!J15</f>
        <v>0</v>
      </c>
      <c r="F116" s="61">
        <f>LV!K15</f>
        <v>0</v>
      </c>
      <c r="G116" s="61">
        <f>LV!L15</f>
        <v>155.30123700000001</v>
      </c>
      <c r="H116" s="61">
        <f>LV!M15</f>
        <v>97.431002286752246</v>
      </c>
      <c r="I116" s="61">
        <f>LV!N15</f>
        <v>1446.8503839582709</v>
      </c>
      <c r="J116" s="61">
        <f>LV!O15</f>
        <v>10.230255240108985</v>
      </c>
      <c r="K116" s="61">
        <f t="shared" si="5"/>
        <v>206.06656983648099</v>
      </c>
      <c r="L116" s="61">
        <f t="shared" si="16"/>
        <v>254.78207097985711</v>
      </c>
      <c r="M116" s="61">
        <f t="shared" si="17"/>
        <v>303.49757212323323</v>
      </c>
      <c r="N11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254.78207097985711</v>
      </c>
      <c r="O116" s="101">
        <v>3.2266921651132856</v>
      </c>
    </row>
    <row r="117" spans="1:15" x14ac:dyDescent="0.2">
      <c r="A117" s="60">
        <f>IF(TableWRMaster[[#This Row],[Player]]&lt;&gt;0,A116+1,A116)</f>
        <v>94</v>
      </c>
      <c r="B117" s="60" t="str">
        <f>LV!A16</f>
        <v>Jakobi Meyers</v>
      </c>
      <c r="C117" s="60" t="s">
        <v>192</v>
      </c>
      <c r="D117" s="60">
        <f>LV!C16</f>
        <v>13</v>
      </c>
      <c r="E117" s="61">
        <f>LV!J16</f>
        <v>0</v>
      </c>
      <c r="F117" s="61">
        <f>LV!K16</f>
        <v>0</v>
      </c>
      <c r="G117" s="61">
        <f>LV!L16</f>
        <v>111.01381199999999</v>
      </c>
      <c r="H117" s="61">
        <f>LV!M16</f>
        <v>73.460912239923474</v>
      </c>
      <c r="I117" s="61">
        <f>LV!N16</f>
        <v>859.49267320710464</v>
      </c>
      <c r="J117" s="61">
        <f>LV!O16</f>
        <v>3.6730456119961739</v>
      </c>
      <c r="K117" s="61">
        <f t="shared" si="5"/>
        <v>107.98754099268751</v>
      </c>
      <c r="L117" s="61">
        <f t="shared" si="16"/>
        <v>144.71799711264924</v>
      </c>
      <c r="M117" s="61">
        <f t="shared" si="17"/>
        <v>181.44845323261097</v>
      </c>
      <c r="N11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144.71799711264924</v>
      </c>
      <c r="O117" s="101">
        <v>0</v>
      </c>
    </row>
    <row r="118" spans="1:15" x14ac:dyDescent="0.2">
      <c r="A118" s="60">
        <f>IF(TableWRMaster[[#This Row],[Player]]&lt;&gt;0,A117+1,A117)</f>
        <v>95</v>
      </c>
      <c r="B118" s="60" t="str">
        <f>LV!A17</f>
        <v>Hunter Renfrow</v>
      </c>
      <c r="C118" s="60" t="s">
        <v>192</v>
      </c>
      <c r="D118" s="60">
        <f>LV!C17</f>
        <v>13</v>
      </c>
      <c r="E118" s="61">
        <f>LV!J17</f>
        <v>0</v>
      </c>
      <c r="F118" s="61">
        <f>LV!K17</f>
        <v>0</v>
      </c>
      <c r="G118" s="61">
        <f>LV!L17</f>
        <v>60.230897999999989</v>
      </c>
      <c r="H118" s="61">
        <f>LV!M17</f>
        <v>45.578120404055198</v>
      </c>
      <c r="I118" s="61">
        <f>LV!N17</f>
        <v>467.24420400302046</v>
      </c>
      <c r="J118" s="61">
        <f>LV!O17</f>
        <v>2.5067966222230358</v>
      </c>
      <c r="K118" s="61">
        <f t="shared" si="5"/>
        <v>61.765200133640263</v>
      </c>
      <c r="L118" s="61">
        <f t="shared" si="16"/>
        <v>84.554260335667863</v>
      </c>
      <c r="M118" s="61">
        <f t="shared" si="17"/>
        <v>107.34332053769546</v>
      </c>
      <c r="N11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84.554260335667863</v>
      </c>
      <c r="O118" s="101">
        <v>0</v>
      </c>
    </row>
    <row r="119" spans="1:15" x14ac:dyDescent="0.2">
      <c r="A119" s="60">
        <f>IF(TableWRMaster[[#This Row],[Player]]&lt;&gt;0,A118+1,A118)</f>
        <v>96</v>
      </c>
      <c r="B119" s="60" t="str">
        <f>LV!A18</f>
        <v>DeAndre Carter</v>
      </c>
      <c r="C119" s="60" t="s">
        <v>192</v>
      </c>
      <c r="D119" s="60">
        <f>LV!C18</f>
        <v>13</v>
      </c>
      <c r="E119" s="61">
        <f>LV!J18</f>
        <v>0</v>
      </c>
      <c r="F119" s="61">
        <f>LV!K18</f>
        <v>0</v>
      </c>
      <c r="G119" s="61">
        <f>LV!L18</f>
        <v>11.809979999999999</v>
      </c>
      <c r="H119" s="61">
        <f>LV!M18</f>
        <v>7.41342729324667</v>
      </c>
      <c r="I119" s="61">
        <f>LV!N18</f>
        <v>96.374554812206711</v>
      </c>
      <c r="J119" s="61">
        <f>LV!O18</f>
        <v>0.54118019240700688</v>
      </c>
      <c r="K119" s="61">
        <f t="shared" si="5"/>
        <v>12.884536635662712</v>
      </c>
      <c r="L119" s="61">
        <f t="shared" si="16"/>
        <v>16.591250282286047</v>
      </c>
      <c r="M119" s="61">
        <f t="shared" si="17"/>
        <v>20.297963928909383</v>
      </c>
      <c r="N11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16.591250282286047</v>
      </c>
      <c r="O119" s="101">
        <v>0</v>
      </c>
    </row>
    <row r="120" spans="1:15" x14ac:dyDescent="0.2">
      <c r="A120" s="60">
        <f>IF(TableWRMaster[[#This Row],[Player]]&lt;&gt;0,A119+1,A119)</f>
        <v>97</v>
      </c>
      <c r="B120" s="60" t="str">
        <f>LV!A19</f>
        <v>Tre Tucker</v>
      </c>
      <c r="C120" s="60" t="s">
        <v>192</v>
      </c>
      <c r="D120" s="60">
        <f>LV!C19</f>
        <v>13</v>
      </c>
      <c r="E120" s="61">
        <f>LV!J19</f>
        <v>0</v>
      </c>
      <c r="F120" s="61">
        <f>LV!K19</f>
        <v>0</v>
      </c>
      <c r="G120" s="61">
        <f>LV!L19</f>
        <v>14.171975999999999</v>
      </c>
      <c r="H120" s="61">
        <f>LV!M19</f>
        <v>7.5944034011607711</v>
      </c>
      <c r="I120" s="61">
        <f>LV!N19</f>
        <v>95.917314956660547</v>
      </c>
      <c r="J120" s="61">
        <f>LV!O19</f>
        <v>0.48604181767428933</v>
      </c>
      <c r="K120" s="61">
        <f t="shared" si="5"/>
        <v>12.507982401711791</v>
      </c>
      <c r="L120" s="61">
        <f t="shared" si="16"/>
        <v>16.305184102292177</v>
      </c>
      <c r="M120" s="61">
        <f t="shared" si="17"/>
        <v>20.102385802872561</v>
      </c>
      <c r="N12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16.305184102292177</v>
      </c>
      <c r="O120" s="101">
        <v>0</v>
      </c>
    </row>
    <row r="121" spans="1:15" x14ac:dyDescent="0.2">
      <c r="A121" s="60">
        <f>IF(TableWRMaster[[#This Row],[Player]]&lt;&gt;0,A120+1,A120)</f>
        <v>97</v>
      </c>
      <c r="B121" s="60">
        <f>LV!A20</f>
        <v>0</v>
      </c>
      <c r="C121" s="60" t="s">
        <v>192</v>
      </c>
      <c r="D121" s="60">
        <f>LV!C20</f>
        <v>13</v>
      </c>
      <c r="E121" s="61">
        <f>LV!J20</f>
        <v>0</v>
      </c>
      <c r="F121" s="61">
        <f>LV!K20</f>
        <v>0</v>
      </c>
      <c r="G121" s="61">
        <f>LV!L20</f>
        <v>0</v>
      </c>
      <c r="H121" s="61">
        <f>LV!M20</f>
        <v>0</v>
      </c>
      <c r="I121" s="61">
        <f>LV!N20</f>
        <v>0</v>
      </c>
      <c r="J121" s="61">
        <f>LV!O20</f>
        <v>0</v>
      </c>
      <c r="K121" s="61">
        <f t="shared" si="5"/>
        <v>0</v>
      </c>
      <c r="L121" s="61">
        <f t="shared" si="16"/>
        <v>0</v>
      </c>
      <c r="M121" s="61">
        <f t="shared" si="17"/>
        <v>0</v>
      </c>
      <c r="N12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21" s="101">
        <v>0</v>
      </c>
    </row>
    <row r="122" spans="1:15" x14ac:dyDescent="0.2">
      <c r="A122" s="60">
        <f>IF(TableWRMaster[[#This Row],[Player]]&lt;&gt;0,A121+1,A121)</f>
        <v>98</v>
      </c>
      <c r="B122" s="60" t="str">
        <f>MIA!A15</f>
        <v>Tyreek Hill</v>
      </c>
      <c r="C122" s="60" t="s">
        <v>125</v>
      </c>
      <c r="D122" s="60">
        <f>MIA!C15</f>
        <v>10</v>
      </c>
      <c r="E122" s="61">
        <f>MIA!J15</f>
        <v>64.341061376335063</v>
      </c>
      <c r="F122" s="61">
        <f>MIA!K15</f>
        <v>1.0669074780000001</v>
      </c>
      <c r="G122" s="61">
        <f>MIA!L15</f>
        <v>152.35516296000003</v>
      </c>
      <c r="H122" s="61">
        <f>MIA!M15</f>
        <v>103.41876448699821</v>
      </c>
      <c r="I122" s="61">
        <f>MIA!N15</f>
        <v>1447.8627028179749</v>
      </c>
      <c r="J122" s="61">
        <f>MIA!O15</f>
        <v>9.4111075683168366</v>
      </c>
      <c r="K122" s="61">
        <f t="shared" si="5"/>
        <v>214.08846669733202</v>
      </c>
      <c r="L122" s="61">
        <f t="shared" si="16"/>
        <v>265.79784894083116</v>
      </c>
      <c r="M122" s="61">
        <f t="shared" si="17"/>
        <v>317.50723118433024</v>
      </c>
      <c r="N12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265.79784894083116</v>
      </c>
      <c r="O122" s="101">
        <v>6.9631580991362378</v>
      </c>
    </row>
    <row r="123" spans="1:15" x14ac:dyDescent="0.2">
      <c r="A123" s="60">
        <f>IF(TableWRMaster[[#This Row],[Player]]&lt;&gt;0,A122+1,A122)</f>
        <v>99</v>
      </c>
      <c r="B123" s="60" t="str">
        <f>MIA!A16</f>
        <v>Jaylen Waddle</v>
      </c>
      <c r="C123" s="60" t="s">
        <v>125</v>
      </c>
      <c r="D123" s="60">
        <f>MIA!C16</f>
        <v>10</v>
      </c>
      <c r="E123" s="61">
        <f>MIA!J16</f>
        <v>23.815669442314594</v>
      </c>
      <c r="F123" s="61">
        <f>MIA!K16</f>
        <v>0.37977990960000002</v>
      </c>
      <c r="G123" s="61">
        <f>MIA!L16</f>
        <v>133.68713904000003</v>
      </c>
      <c r="H123" s="61">
        <f>MIA!M16</f>
        <v>88.768260322560025</v>
      </c>
      <c r="I123" s="61">
        <f>MIA!N16</f>
        <v>1207.2483403868164</v>
      </c>
      <c r="J123" s="61">
        <f>MIA!O16</f>
        <v>7.3677656067724824</v>
      </c>
      <c r="K123" s="61">
        <f t="shared" si="5"/>
        <v>169.59167408114797</v>
      </c>
      <c r="L123" s="61">
        <f t="shared" si="16"/>
        <v>213.97580424242798</v>
      </c>
      <c r="M123" s="61">
        <f t="shared" si="17"/>
        <v>258.359934403708</v>
      </c>
      <c r="N12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213.97580424242801</v>
      </c>
      <c r="O123" s="101">
        <v>3.4499248067671688</v>
      </c>
    </row>
    <row r="124" spans="1:15" x14ac:dyDescent="0.2">
      <c r="A124" s="60">
        <f>IF(TableWRMaster[[#This Row],[Player]]&lt;&gt;0,A123+1,A123)</f>
        <v>100</v>
      </c>
      <c r="B124" s="60" t="str">
        <f>MIA!A17</f>
        <v>Cedrick Wilson</v>
      </c>
      <c r="C124" s="60" t="s">
        <v>125</v>
      </c>
      <c r="D124" s="60">
        <f>MIA!C17</f>
        <v>10</v>
      </c>
      <c r="E124" s="61">
        <f>MIA!J17</f>
        <v>0</v>
      </c>
      <c r="F124" s="61">
        <f>MIA!K17</f>
        <v>0</v>
      </c>
      <c r="G124" s="61">
        <f>MIA!L17</f>
        <v>42.153602400000018</v>
      </c>
      <c r="H124" s="61">
        <f>MIA!M17</f>
        <v>29.04383205360001</v>
      </c>
      <c r="I124" s="61">
        <f>MIA!N17</f>
        <v>331.32626462693077</v>
      </c>
      <c r="J124" s="61">
        <f>MIA!O17</f>
        <v>1.9168929155376007</v>
      </c>
      <c r="K124" s="61">
        <f t="shared" si="5"/>
        <v>44.63398395591868</v>
      </c>
      <c r="L124" s="61">
        <f t="shared" si="16"/>
        <v>59.155899982718687</v>
      </c>
      <c r="M124" s="61">
        <f t="shared" si="17"/>
        <v>73.677816009518693</v>
      </c>
      <c r="N12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59.155899982718687</v>
      </c>
      <c r="O124" s="101">
        <v>2.659811123193828</v>
      </c>
    </row>
    <row r="125" spans="1:15" x14ac:dyDescent="0.2">
      <c r="A125" s="60">
        <f>IF(TableWRMaster[[#This Row],[Player]]&lt;&gt;0,A124+1,A124)</f>
        <v>101</v>
      </c>
      <c r="B125" s="60" t="str">
        <f>MIA!A19</f>
        <v>River Cracraft</v>
      </c>
      <c r="C125" s="60" t="s">
        <v>125</v>
      </c>
      <c r="D125" s="60">
        <f>MIA!C19</f>
        <v>10</v>
      </c>
      <c r="E125" s="61">
        <f>MIA!J19</f>
        <v>0</v>
      </c>
      <c r="F125" s="61">
        <f>MIA!K19</f>
        <v>0</v>
      </c>
      <c r="G125" s="61">
        <f>MIA!L19</f>
        <v>22.281189840000007</v>
      </c>
      <c r="H125" s="61">
        <f>MIA!M19</f>
        <v>13.368713904000003</v>
      </c>
      <c r="I125" s="61">
        <f>MIA!N19</f>
        <v>148.39272433440004</v>
      </c>
      <c r="J125" s="61">
        <f>MIA!O19</f>
        <v>0.81549154814400016</v>
      </c>
      <c r="K125" s="61">
        <f t="shared" si="5"/>
        <v>19.732221722304004</v>
      </c>
      <c r="L125" s="61">
        <f t="shared" si="16"/>
        <v>26.416578674304006</v>
      </c>
      <c r="M125" s="61">
        <f t="shared" si="17"/>
        <v>33.100935626304008</v>
      </c>
      <c r="N12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26.416578674304006</v>
      </c>
      <c r="O125" s="101">
        <v>0</v>
      </c>
    </row>
    <row r="126" spans="1:15" x14ac:dyDescent="0.2">
      <c r="A126" s="60">
        <f>IF(TableWRMaster[[#This Row],[Player]]&lt;&gt;0,A125+1,A125)</f>
        <v>102</v>
      </c>
      <c r="B126" s="60" t="str">
        <f>MIA!A18</f>
        <v>Braxton Berrios</v>
      </c>
      <c r="C126" s="60" t="s">
        <v>125</v>
      </c>
      <c r="D126" s="60">
        <f>MIA!C18</f>
        <v>10</v>
      </c>
      <c r="E126" s="61">
        <f>MIA!J18</f>
        <v>0</v>
      </c>
      <c r="F126" s="61">
        <f>MIA!K18</f>
        <v>0</v>
      </c>
      <c r="G126" s="61">
        <f>MIA!L18</f>
        <v>45.766768320000004</v>
      </c>
      <c r="H126" s="61">
        <f>MIA!M18</f>
        <v>28.055028980160003</v>
      </c>
      <c r="I126" s="61">
        <f>MIA!N18</f>
        <v>303.71081896473197</v>
      </c>
      <c r="J126" s="61">
        <f>MIA!O18</f>
        <v>2.04801711555168</v>
      </c>
      <c r="K126" s="61">
        <f t="shared" si="5"/>
        <v>42.65918458978328</v>
      </c>
      <c r="L126" s="61">
        <f t="shared" si="16"/>
        <v>56.686699079863281</v>
      </c>
      <c r="M126" s="61">
        <f t="shared" si="17"/>
        <v>70.714213569943283</v>
      </c>
      <c r="N12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56.686699079863281</v>
      </c>
      <c r="O126" s="101">
        <v>0</v>
      </c>
    </row>
    <row r="127" spans="1:15" x14ac:dyDescent="0.2">
      <c r="A127" s="60">
        <f>IF(TableWRMaster[[#This Row],[Player]]&lt;&gt;0,A126+1,A126)</f>
        <v>102</v>
      </c>
      <c r="B127" s="60">
        <f>MIA!A21</f>
        <v>0</v>
      </c>
      <c r="C127" s="60" t="s">
        <v>125</v>
      </c>
      <c r="D127" s="60">
        <f>MIA!C21</f>
        <v>10</v>
      </c>
      <c r="E127" s="61">
        <f>MIA!J21</f>
        <v>0</v>
      </c>
      <c r="F127" s="61">
        <f>MIA!K21</f>
        <v>0</v>
      </c>
      <c r="G127" s="61">
        <f>MIA!L21</f>
        <v>0</v>
      </c>
      <c r="H127" s="61">
        <f>MIA!M21</f>
        <v>0</v>
      </c>
      <c r="I127" s="61">
        <f>MIA!N21</f>
        <v>0</v>
      </c>
      <c r="J127" s="61">
        <f>MIA!O21</f>
        <v>0</v>
      </c>
      <c r="K127" s="61">
        <f t="shared" si="5"/>
        <v>0</v>
      </c>
      <c r="L127" s="61">
        <f t="shared" si="16"/>
        <v>0</v>
      </c>
      <c r="M127" s="61">
        <f t="shared" si="17"/>
        <v>0</v>
      </c>
      <c r="N12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27" s="101">
        <v>0</v>
      </c>
    </row>
    <row r="128" spans="1:15" x14ac:dyDescent="0.2">
      <c r="A128" s="60">
        <f>IF(TableWRMaster[[#This Row],[Player]]&lt;&gt;0,A127+1,A127)</f>
        <v>102</v>
      </c>
      <c r="B128" s="60">
        <f>MIA!A20</f>
        <v>0</v>
      </c>
      <c r="C128" s="60" t="s">
        <v>125</v>
      </c>
      <c r="D128" s="60">
        <f>MIA!C20</f>
        <v>10</v>
      </c>
      <c r="E128" s="61">
        <f>MIA!J20</f>
        <v>0</v>
      </c>
      <c r="F128" s="61">
        <f>MIA!K20</f>
        <v>0</v>
      </c>
      <c r="G128" s="61">
        <f>MIA!L20</f>
        <v>0</v>
      </c>
      <c r="H128" s="61">
        <f>MIA!M20</f>
        <v>0</v>
      </c>
      <c r="I128" s="61">
        <f>MIA!N20</f>
        <v>0</v>
      </c>
      <c r="J128" s="61">
        <f>MIA!O20</f>
        <v>0</v>
      </c>
      <c r="K128" s="61">
        <f t="shared" si="5"/>
        <v>0</v>
      </c>
      <c r="L128" s="61">
        <f t="shared" si="16"/>
        <v>0</v>
      </c>
      <c r="M128" s="61">
        <f t="shared" si="17"/>
        <v>0</v>
      </c>
      <c r="N12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28" s="101">
        <v>0</v>
      </c>
    </row>
    <row r="129" spans="1:15" x14ac:dyDescent="0.2">
      <c r="A129" s="60">
        <f>IF(TableWRMaster[[#This Row],[Player]]&lt;&gt;0,A128+1,A128)</f>
        <v>103</v>
      </c>
      <c r="B129" s="60" t="str">
        <f>MIN!A15</f>
        <v>Justin Jefferson</v>
      </c>
      <c r="C129" s="60" t="s">
        <v>126</v>
      </c>
      <c r="D129" s="60">
        <f>MIN!C15</f>
        <v>13</v>
      </c>
      <c r="E129" s="61">
        <f>MIN!J15</f>
        <v>18.76137968694097</v>
      </c>
      <c r="F129" s="61">
        <f>MIN!K15</f>
        <v>0.31477686240000002</v>
      </c>
      <c r="G129" s="61">
        <f>MIN!L15</f>
        <v>167.13725951999996</v>
      </c>
      <c r="H129" s="61">
        <f>MIN!M15</f>
        <v>118.16604248063996</v>
      </c>
      <c r="I129" s="61">
        <f>MIN!N15</f>
        <v>1577.5166671165434</v>
      </c>
      <c r="J129" s="61">
        <f>MIN!O15</f>
        <v>9.4532833984511964</v>
      </c>
      <c r="K129" s="61">
        <f t="shared" si="5"/>
        <v>218.23616624545562</v>
      </c>
      <c r="L129" s="61">
        <f t="shared" si="16"/>
        <v>277.31918748577561</v>
      </c>
      <c r="M129" s="61">
        <f t="shared" si="17"/>
        <v>336.40220872609558</v>
      </c>
      <c r="N12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277.31918748577561</v>
      </c>
      <c r="O129" s="101">
        <v>29.416397446314392</v>
      </c>
    </row>
    <row r="130" spans="1:15" x14ac:dyDescent="0.2">
      <c r="A130" s="60">
        <f>IF(TableWRMaster[[#This Row],[Player]]&lt;&gt;0,A129+1,A129)</f>
        <v>104</v>
      </c>
      <c r="B130" s="60" t="str">
        <f>MIN!A16</f>
        <v>Jordan Addison</v>
      </c>
      <c r="C130" s="60" t="s">
        <v>126</v>
      </c>
      <c r="D130" s="60">
        <f>MIN!C16</f>
        <v>13</v>
      </c>
      <c r="E130" s="61">
        <f>MIN!J16</f>
        <v>0</v>
      </c>
      <c r="F130" s="61">
        <f>MIN!K16</f>
        <v>0</v>
      </c>
      <c r="G130" s="61">
        <f>MIN!L16</f>
        <v>127.31158439999994</v>
      </c>
      <c r="H130" s="61">
        <f>MIN!M16</f>
        <v>79.951675003199966</v>
      </c>
      <c r="I130" s="61">
        <f>MIN!N16</f>
        <v>969.81381778881564</v>
      </c>
      <c r="J130" s="61">
        <f>MIN!O16</f>
        <v>6.635989025265598</v>
      </c>
      <c r="K130" s="61">
        <f t="shared" si="5"/>
        <v>136.79731593047515</v>
      </c>
      <c r="L130" s="61">
        <f t="shared" si="16"/>
        <v>176.77315343207513</v>
      </c>
      <c r="M130" s="61">
        <f t="shared" si="17"/>
        <v>216.74899093367512</v>
      </c>
      <c r="N13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176.77315343207513</v>
      </c>
      <c r="O130" s="101">
        <v>20.610014969321551</v>
      </c>
    </row>
    <row r="131" spans="1:15" x14ac:dyDescent="0.2">
      <c r="A131" s="60">
        <f>IF(TableWRMaster[[#This Row],[Player]]&lt;&gt;0,A130+1,A130)</f>
        <v>105</v>
      </c>
      <c r="B131" s="60" t="str">
        <f>MIN!A17</f>
        <v>K.J. Osborn</v>
      </c>
      <c r="C131" s="60" t="s">
        <v>126</v>
      </c>
      <c r="D131" s="60">
        <f>MIN!C17</f>
        <v>13</v>
      </c>
      <c r="E131" s="61">
        <f>MIN!J17</f>
        <v>0</v>
      </c>
      <c r="F131" s="61">
        <f>MIN!K17</f>
        <v>0</v>
      </c>
      <c r="G131" s="61">
        <f>MIN!L17</f>
        <v>92.056068719999971</v>
      </c>
      <c r="H131" s="61">
        <f>MIN!M17</f>
        <v>55.993695014320394</v>
      </c>
      <c r="I131" s="61">
        <f>MIN!N17</f>
        <v>610.33127565609232</v>
      </c>
      <c r="J131" s="61">
        <f>MIN!O17</f>
        <v>4.1435334310597094</v>
      </c>
      <c r="K131" s="61">
        <f t="shared" ref="K131:K193" si="18">(E131/10)+(F131*6)+(I131/10)+(J131*6)</f>
        <v>85.8943281519675</v>
      </c>
      <c r="L131" s="61">
        <f t="shared" si="16"/>
        <v>113.8911756591277</v>
      </c>
      <c r="M131" s="61">
        <f t="shared" si="17"/>
        <v>141.88802316628789</v>
      </c>
      <c r="N13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113.8911756591277</v>
      </c>
      <c r="O131" s="101">
        <v>0</v>
      </c>
    </row>
    <row r="132" spans="1:15" x14ac:dyDescent="0.2">
      <c r="A132" s="60">
        <f>IF(TableWRMaster[[#This Row],[Player]]&lt;&gt;0,A131+1,A131)</f>
        <v>106</v>
      </c>
      <c r="B132" s="60" t="str">
        <f>MIN!A18</f>
        <v>Jalen Nailor</v>
      </c>
      <c r="C132" s="60" t="s">
        <v>126</v>
      </c>
      <c r="D132" s="60">
        <f>MIN!C18</f>
        <v>13</v>
      </c>
      <c r="E132" s="61">
        <f>MIN!J18</f>
        <v>0</v>
      </c>
      <c r="F132" s="61">
        <f>MIN!K18</f>
        <v>0</v>
      </c>
      <c r="G132" s="61">
        <f>MIN!L18</f>
        <v>9.7931987999999972</v>
      </c>
      <c r="H132" s="61">
        <f>MIN!M18</f>
        <v>5.6267198516291623</v>
      </c>
      <c r="I132" s="61">
        <f>MIN!N18</f>
        <v>76.016985195509989</v>
      </c>
      <c r="J132" s="61">
        <f>MIN!O18</f>
        <v>0.33760319109774972</v>
      </c>
      <c r="K132" s="61">
        <f t="shared" si="18"/>
        <v>9.6273176661374968</v>
      </c>
      <c r="L132" s="61">
        <f t="shared" si="16"/>
        <v>12.440677591952078</v>
      </c>
      <c r="M132" s="61">
        <f t="shared" si="17"/>
        <v>15.254037517766658</v>
      </c>
      <c r="N13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12.440677591952079</v>
      </c>
      <c r="O132" s="101">
        <v>0</v>
      </c>
    </row>
    <row r="133" spans="1:15" x14ac:dyDescent="0.2">
      <c r="A133" s="60">
        <f>IF(TableWRMaster[[#This Row],[Player]]&lt;&gt;0,A132+1,A132)</f>
        <v>107</v>
      </c>
      <c r="B133" s="60" t="str">
        <f>MIN!A19</f>
        <v>Brandon Powell</v>
      </c>
      <c r="C133" s="60" t="s">
        <v>126</v>
      </c>
      <c r="D133" s="60">
        <f>MIN!C19</f>
        <v>13</v>
      </c>
      <c r="E133" s="61">
        <f>MIN!J19</f>
        <v>0</v>
      </c>
      <c r="F133" s="61">
        <f>MIN!K19</f>
        <v>0</v>
      </c>
      <c r="G133" s="61">
        <f>MIN!L19</f>
        <v>22.197917279999995</v>
      </c>
      <c r="H133" s="61">
        <f>MIN!M19</f>
        <v>13.096771195199997</v>
      </c>
      <c r="I133" s="61">
        <f>MIN!N19</f>
        <v>156.11351264678396</v>
      </c>
      <c r="J133" s="61">
        <f>MIN!O19</f>
        <v>0.69412887334559981</v>
      </c>
      <c r="K133" s="61">
        <f t="shared" si="18"/>
        <v>19.776124504751994</v>
      </c>
      <c r="L133" s="61">
        <f t="shared" si="16"/>
        <v>26.324510102351994</v>
      </c>
      <c r="M133" s="61">
        <f t="shared" si="17"/>
        <v>32.872895699951989</v>
      </c>
      <c r="N13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26.324510102351994</v>
      </c>
      <c r="O133" s="101">
        <v>0</v>
      </c>
    </row>
    <row r="134" spans="1:15" x14ac:dyDescent="0.2">
      <c r="A134" s="60">
        <f>IF(TableWRMaster[[#This Row],[Player]]&lt;&gt;0,A133+1,A133)</f>
        <v>107</v>
      </c>
      <c r="B134" s="60">
        <f>MIN!A20</f>
        <v>0</v>
      </c>
      <c r="C134" s="60" t="s">
        <v>126</v>
      </c>
      <c r="D134" s="60">
        <f>MIN!C20</f>
        <v>13</v>
      </c>
      <c r="E134" s="61">
        <f>MIN!J20</f>
        <v>0</v>
      </c>
      <c r="F134" s="61">
        <f>MIN!K20</f>
        <v>0</v>
      </c>
      <c r="G134" s="61">
        <f>MIN!L20</f>
        <v>0</v>
      </c>
      <c r="H134" s="61">
        <f>MIN!M20</f>
        <v>0</v>
      </c>
      <c r="I134" s="61">
        <f>MIN!N20</f>
        <v>0</v>
      </c>
      <c r="J134" s="61">
        <f>MIN!O20</f>
        <v>0</v>
      </c>
      <c r="K134" s="61">
        <f t="shared" si="18"/>
        <v>0</v>
      </c>
      <c r="L134" s="61">
        <f t="shared" si="16"/>
        <v>0</v>
      </c>
      <c r="M134" s="61">
        <f t="shared" si="17"/>
        <v>0</v>
      </c>
      <c r="N13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34" s="101">
        <v>0</v>
      </c>
    </row>
    <row r="135" spans="1:15" x14ac:dyDescent="0.2">
      <c r="A135" s="60">
        <f>IF(TableWRMaster[[#This Row],[Player]]&lt;&gt;0,A134+1,A134)</f>
        <v>108</v>
      </c>
      <c r="B135" s="60" t="str">
        <f>NE!A15</f>
        <v>JuJu Smith-Schuster</v>
      </c>
      <c r="C135" s="60" t="s">
        <v>127</v>
      </c>
      <c r="D135" s="60">
        <f>NE!C15</f>
        <v>11</v>
      </c>
      <c r="E135" s="61">
        <f>NE!J15</f>
        <v>0</v>
      </c>
      <c r="F135" s="61">
        <f>NE!K15</f>
        <v>0</v>
      </c>
      <c r="G135" s="61">
        <f>NE!L15</f>
        <v>97.550942439999972</v>
      </c>
      <c r="H135" s="61">
        <f>NE!M15</f>
        <v>67.700354053359973</v>
      </c>
      <c r="I135" s="61">
        <f>NE!N15</f>
        <v>751.0819543208338</v>
      </c>
      <c r="J135" s="61">
        <f>NE!O15</f>
        <v>3.9943208891482382</v>
      </c>
      <c r="K135" s="61">
        <f t="shared" si="18"/>
        <v>99.074120766972811</v>
      </c>
      <c r="L135" s="61">
        <f t="shared" si="16"/>
        <v>132.92429779365278</v>
      </c>
      <c r="M135" s="61">
        <f t="shared" si="17"/>
        <v>166.77447482033278</v>
      </c>
      <c r="N13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132.92429779365278</v>
      </c>
      <c r="O135" s="101">
        <v>1.5854302457016156</v>
      </c>
    </row>
    <row r="136" spans="1:15" x14ac:dyDescent="0.2">
      <c r="A136" s="60">
        <f>IF(TableWRMaster[[#This Row],[Player]]&lt;&gt;0,A135+1,A135)</f>
        <v>109</v>
      </c>
      <c r="B136" s="60" t="str">
        <f>NE!A16</f>
        <v>DeVante Parker</v>
      </c>
      <c r="C136" s="60" t="s">
        <v>127</v>
      </c>
      <c r="D136" s="60">
        <f>NE!C16</f>
        <v>11</v>
      </c>
      <c r="E136" s="61">
        <f>NE!J16</f>
        <v>0</v>
      </c>
      <c r="F136" s="61">
        <f>NE!K16</f>
        <v>0</v>
      </c>
      <c r="G136" s="61">
        <f>NE!L16</f>
        <v>77.815202639999981</v>
      </c>
      <c r="H136" s="61">
        <f>NE!M16</f>
        <v>48.899113266978127</v>
      </c>
      <c r="I136" s="61">
        <f>NE!N16</f>
        <v>640.57838379741349</v>
      </c>
      <c r="J136" s="61">
        <f>NE!O16</f>
        <v>3.9119290613582502</v>
      </c>
      <c r="K136" s="61">
        <f t="shared" si="18"/>
        <v>87.529412747890859</v>
      </c>
      <c r="L136" s="61">
        <f t="shared" si="16"/>
        <v>111.97896938137993</v>
      </c>
      <c r="M136" s="61">
        <f t="shared" si="17"/>
        <v>136.42852601486899</v>
      </c>
      <c r="N13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111.97896938137993</v>
      </c>
      <c r="O136" s="101">
        <v>0</v>
      </c>
    </row>
    <row r="137" spans="1:15" x14ac:dyDescent="0.2">
      <c r="A137" s="60">
        <f>IF(TableWRMaster[[#This Row],[Player]]&lt;&gt;0,A136+1,A136)</f>
        <v>110</v>
      </c>
      <c r="B137" s="60" t="str">
        <f>NE!A17</f>
        <v>Kendrick Bourne</v>
      </c>
      <c r="C137" s="60" t="s">
        <v>127</v>
      </c>
      <c r="D137" s="60">
        <f>NE!C17</f>
        <v>11</v>
      </c>
      <c r="E137" s="61">
        <f>NE!J17</f>
        <v>0</v>
      </c>
      <c r="F137" s="61">
        <f>NE!K17</f>
        <v>0</v>
      </c>
      <c r="G137" s="61">
        <f>NE!L17</f>
        <v>60.898854239999984</v>
      </c>
      <c r="H137" s="61">
        <f>NE!M17</f>
        <v>42.020209425599987</v>
      </c>
      <c r="I137" s="61">
        <f>NE!N17</f>
        <v>505.92332148422378</v>
      </c>
      <c r="J137" s="61">
        <f>NE!O17</f>
        <v>2.6472731938127994</v>
      </c>
      <c r="K137" s="61">
        <f t="shared" si="18"/>
        <v>66.475971311299176</v>
      </c>
      <c r="L137" s="61">
        <f t="shared" si="16"/>
        <v>87.486076024099162</v>
      </c>
      <c r="M137" s="61">
        <f t="shared" si="17"/>
        <v>108.49618073689916</v>
      </c>
      <c r="N13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87.486076024099162</v>
      </c>
      <c r="O137" s="101">
        <v>0</v>
      </c>
    </row>
    <row r="138" spans="1:15" x14ac:dyDescent="0.2">
      <c r="A138" s="60">
        <f>IF(TableWRMaster[[#This Row],[Player]]&lt;&gt;0,A137+1,A137)</f>
        <v>111</v>
      </c>
      <c r="B138" s="60" t="str">
        <f>NE!A18</f>
        <v>Kayshon Boutte</v>
      </c>
      <c r="C138" s="60" t="s">
        <v>127</v>
      </c>
      <c r="D138" s="60">
        <f>NE!C18</f>
        <v>11</v>
      </c>
      <c r="E138" s="61">
        <f>NE!J18</f>
        <v>0</v>
      </c>
      <c r="F138" s="61">
        <f>NE!K18</f>
        <v>0</v>
      </c>
      <c r="G138" s="61">
        <f>NE!L18</f>
        <v>36.08820991999999</v>
      </c>
      <c r="H138" s="61">
        <f>NE!M18</f>
        <v>21.436396692479992</v>
      </c>
      <c r="I138" s="61">
        <f>NE!N18</f>
        <v>275.88642543221749</v>
      </c>
      <c r="J138" s="61">
        <f>NE!O18</f>
        <v>1.4791113717811195</v>
      </c>
      <c r="K138" s="61">
        <f t="shared" si="18"/>
        <v>36.463310773908468</v>
      </c>
      <c r="L138" s="61">
        <f t="shared" si="16"/>
        <v>47.181509120148462</v>
      </c>
      <c r="M138" s="61">
        <f t="shared" si="17"/>
        <v>57.899707466388463</v>
      </c>
      <c r="N13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47.181509120148462</v>
      </c>
      <c r="O138" s="101">
        <v>0</v>
      </c>
    </row>
    <row r="139" spans="1:15" x14ac:dyDescent="0.2">
      <c r="A139" s="60">
        <f>IF(TableWRMaster[[#This Row],[Player]]&lt;&gt;0,A138+1,A138)</f>
        <v>112</v>
      </c>
      <c r="B139" s="60" t="str">
        <f>NE!A19</f>
        <v>Demario Douglas</v>
      </c>
      <c r="C139" s="60" t="s">
        <v>127</v>
      </c>
      <c r="D139" s="60">
        <f>NE!C19</f>
        <v>11</v>
      </c>
      <c r="E139" s="61">
        <f>NE!J19</f>
        <v>0</v>
      </c>
      <c r="F139" s="61">
        <f>NE!K19</f>
        <v>0</v>
      </c>
      <c r="G139" s="61">
        <f>NE!L19</f>
        <v>29.321670559999991</v>
      </c>
      <c r="H139" s="61">
        <f>NE!M19</f>
        <v>16.830638901439993</v>
      </c>
      <c r="I139" s="61">
        <f>NE!N19</f>
        <v>227.21362516943992</v>
      </c>
      <c r="J139" s="61">
        <f>NE!O19</f>
        <v>1.0098383340863997</v>
      </c>
      <c r="K139" s="61">
        <f t="shared" si="18"/>
        <v>28.780392521462389</v>
      </c>
      <c r="L139" s="61">
        <f t="shared" si="16"/>
        <v>37.195711972182387</v>
      </c>
      <c r="M139" s="61">
        <f t="shared" si="17"/>
        <v>45.611031422902386</v>
      </c>
      <c r="N13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37.195711972182387</v>
      </c>
      <c r="O139" s="101">
        <v>0</v>
      </c>
    </row>
    <row r="140" spans="1:15" x14ac:dyDescent="0.2">
      <c r="A140" s="60">
        <f>IF(TableWRMaster[[#This Row],[Player]]&lt;&gt;0,A139+1,A139)</f>
        <v>112</v>
      </c>
      <c r="B140" s="60">
        <f>NE!A20</f>
        <v>0</v>
      </c>
      <c r="C140" s="60" t="s">
        <v>127</v>
      </c>
      <c r="D140" s="60">
        <f>NE!C20</f>
        <v>11</v>
      </c>
      <c r="E140" s="61">
        <f>NE!J20</f>
        <v>0</v>
      </c>
      <c r="F140" s="61">
        <f>NE!K20</f>
        <v>0</v>
      </c>
      <c r="G140" s="61">
        <f>NE!L20</f>
        <v>0</v>
      </c>
      <c r="H140" s="61">
        <f>NE!M20</f>
        <v>0</v>
      </c>
      <c r="I140" s="61">
        <f>NE!N20</f>
        <v>0</v>
      </c>
      <c r="J140" s="61">
        <f>NE!O20</f>
        <v>0</v>
      </c>
      <c r="K140" s="61">
        <f t="shared" si="18"/>
        <v>0</v>
      </c>
      <c r="L140" s="61">
        <f t="shared" si="16"/>
        <v>0</v>
      </c>
      <c r="M140" s="61">
        <f t="shared" si="17"/>
        <v>0</v>
      </c>
      <c r="N14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40" s="101">
        <v>0</v>
      </c>
    </row>
    <row r="141" spans="1:15" x14ac:dyDescent="0.2">
      <c r="A141" s="60">
        <f>IF(TableWRMaster[[#This Row],[Player]]&lt;&gt;0,A140+1,A140)</f>
        <v>113</v>
      </c>
      <c r="B141" s="60" t="str">
        <f>NO!A15</f>
        <v>Michael Thomas</v>
      </c>
      <c r="C141" s="60" t="s">
        <v>128</v>
      </c>
      <c r="D141" s="60">
        <f>NO!C15</f>
        <v>11</v>
      </c>
      <c r="E141" s="61">
        <f>NO!J15</f>
        <v>0</v>
      </c>
      <c r="F141" s="61">
        <f>NO!K15</f>
        <v>0</v>
      </c>
      <c r="G141" s="61">
        <f>NO!L15</f>
        <v>105.89201095199999</v>
      </c>
      <c r="H141" s="61">
        <f>NO!M15</f>
        <v>76.030463863535985</v>
      </c>
      <c r="I141" s="61">
        <f>NO!N15</f>
        <v>843.93814888524946</v>
      </c>
      <c r="J141" s="61">
        <f>NO!O15</f>
        <v>6.5386198922640943</v>
      </c>
      <c r="K141" s="61">
        <f t="shared" si="18"/>
        <v>123.62553424210951</v>
      </c>
      <c r="L141" s="61">
        <f t="shared" ref="L141:L172" si="19">K141+(H141*0.5)</f>
        <v>161.64076617387749</v>
      </c>
      <c r="M141" s="61">
        <f t="shared" ref="M141:M172" si="20">K141+H141</f>
        <v>199.65599810564549</v>
      </c>
      <c r="N14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161.64076617387752</v>
      </c>
      <c r="O141" s="101">
        <v>33.210727857079746</v>
      </c>
    </row>
    <row r="142" spans="1:15" x14ac:dyDescent="0.2">
      <c r="A142" s="60">
        <f>IF(TableWRMaster[[#This Row],[Player]]&lt;&gt;0,A141+1,A141)</f>
        <v>114</v>
      </c>
      <c r="B142" s="60" t="str">
        <f>NO!A16</f>
        <v>Chris Olave</v>
      </c>
      <c r="C142" s="60" t="s">
        <v>128</v>
      </c>
      <c r="D142" s="60">
        <f>NO!C16</f>
        <v>11</v>
      </c>
      <c r="E142" s="61">
        <f>NO!J16</f>
        <v>0</v>
      </c>
      <c r="F142" s="61">
        <f>NO!K16</f>
        <v>0</v>
      </c>
      <c r="G142" s="61">
        <f>NO!L16</f>
        <v>115.32793271999999</v>
      </c>
      <c r="H142" s="61">
        <f>NO!M16</f>
        <v>79.114961845920007</v>
      </c>
      <c r="I142" s="61">
        <f>NO!N16</f>
        <v>1118.6855605013091</v>
      </c>
      <c r="J142" s="61">
        <f>NO!O16</f>
        <v>6.7247717569032011</v>
      </c>
      <c r="K142" s="61">
        <f t="shared" si="18"/>
        <v>152.2171865915501</v>
      </c>
      <c r="L142" s="61">
        <f t="shared" si="19"/>
        <v>191.7746675145101</v>
      </c>
      <c r="M142" s="61">
        <f t="shared" si="20"/>
        <v>231.3321484374701</v>
      </c>
      <c r="N14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191.7746675145101</v>
      </c>
      <c r="O142" s="101">
        <v>1.8220714041175305</v>
      </c>
    </row>
    <row r="143" spans="1:15" x14ac:dyDescent="0.2">
      <c r="A143" s="60">
        <f>IF(TableWRMaster[[#This Row],[Player]]&lt;&gt;0,A142+1,A142)</f>
        <v>115</v>
      </c>
      <c r="B143" s="60" t="str">
        <f>NO!A17</f>
        <v>Rashid Shaheed</v>
      </c>
      <c r="C143" s="60" t="s">
        <v>128</v>
      </c>
      <c r="D143" s="60">
        <f>NO!C17</f>
        <v>11</v>
      </c>
      <c r="E143" s="61">
        <f>NO!J17</f>
        <v>0</v>
      </c>
      <c r="F143" s="61">
        <f>NO!K17</f>
        <v>0</v>
      </c>
      <c r="G143" s="61">
        <f>NO!L17</f>
        <v>60.809273615999999</v>
      </c>
      <c r="H143" s="61">
        <f>NO!M17</f>
        <v>36.915353573899921</v>
      </c>
      <c r="I143" s="61">
        <f>NO!N17</f>
        <v>472.51652574591901</v>
      </c>
      <c r="J143" s="61">
        <f>NO!O17</f>
        <v>1.9195983858427959</v>
      </c>
      <c r="K143" s="61">
        <f t="shared" si="18"/>
        <v>58.76924288964868</v>
      </c>
      <c r="L143" s="61">
        <f t="shared" si="19"/>
        <v>77.226919676598641</v>
      </c>
      <c r="M143" s="61">
        <f t="shared" si="20"/>
        <v>95.684596463548601</v>
      </c>
      <c r="N14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77.226919676598641</v>
      </c>
      <c r="O143" s="101">
        <v>0</v>
      </c>
    </row>
    <row r="144" spans="1:15" x14ac:dyDescent="0.2">
      <c r="A144" s="60">
        <f>IF(TableWRMaster[[#This Row],[Player]]&lt;&gt;0,A143+1,A143)</f>
        <v>116</v>
      </c>
      <c r="B144" s="60" t="str">
        <f>NO!A18</f>
        <v>Tre'Quan Smith</v>
      </c>
      <c r="C144" s="60" t="s">
        <v>128</v>
      </c>
      <c r="D144" s="60">
        <f>NO!C18</f>
        <v>11</v>
      </c>
      <c r="E144" s="61">
        <f>NO!J18</f>
        <v>0</v>
      </c>
      <c r="F144" s="61">
        <f>NO!K18</f>
        <v>0</v>
      </c>
      <c r="G144" s="61">
        <f>NO!L18</f>
        <v>17.823407784</v>
      </c>
      <c r="H144" s="61">
        <f>NO!M18</f>
        <v>10.78316170932</v>
      </c>
      <c r="I144" s="61">
        <f>NO!N18</f>
        <v>140.18110222115999</v>
      </c>
      <c r="J144" s="61">
        <f>NO!O18</f>
        <v>0.53915808546599997</v>
      </c>
      <c r="K144" s="61">
        <f t="shared" si="18"/>
        <v>17.253058734911999</v>
      </c>
      <c r="L144" s="61">
        <f t="shared" si="19"/>
        <v>22.644639589571998</v>
      </c>
      <c r="M144" s="61">
        <f t="shared" si="20"/>
        <v>28.036220444232001</v>
      </c>
      <c r="N14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22.644639589571998</v>
      </c>
      <c r="O144" s="101">
        <v>0</v>
      </c>
    </row>
    <row r="145" spans="1:15" x14ac:dyDescent="0.2">
      <c r="A145" s="60">
        <f>IF(TableWRMaster[[#This Row],[Player]]&lt;&gt;0,A144+1,A144)</f>
        <v>117</v>
      </c>
      <c r="B145" s="60" t="str">
        <f>NO!A19</f>
        <v>A.T. Perry</v>
      </c>
      <c r="C145" s="60" t="s">
        <v>128</v>
      </c>
      <c r="D145" s="60">
        <f>NO!C19</f>
        <v>11</v>
      </c>
      <c r="E145" s="61">
        <f>NO!J19</f>
        <v>0</v>
      </c>
      <c r="F145" s="61">
        <f>NO!K19</f>
        <v>0</v>
      </c>
      <c r="G145" s="61">
        <f>NO!L19</f>
        <v>20.444497163999998</v>
      </c>
      <c r="H145" s="61">
        <f>NO!M19</f>
        <v>11.089302089134792</v>
      </c>
      <c r="I145" s="61">
        <f>NO!N19</f>
        <v>146.37878757657924</v>
      </c>
      <c r="J145" s="61">
        <f>NO!O19</f>
        <v>0.72080463579376153</v>
      </c>
      <c r="K145" s="61">
        <f t="shared" si="18"/>
        <v>18.962706572420494</v>
      </c>
      <c r="L145" s="61">
        <f t="shared" si="19"/>
        <v>24.507357616987889</v>
      </c>
      <c r="M145" s="61">
        <f t="shared" si="20"/>
        <v>30.052008661555284</v>
      </c>
      <c r="N14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24.507357616987889</v>
      </c>
      <c r="O145" s="101">
        <v>0</v>
      </c>
    </row>
    <row r="146" spans="1:15" x14ac:dyDescent="0.2">
      <c r="A146" s="60">
        <f>IF(TableWRMaster[[#This Row],[Player]]&lt;&gt;0,A145+1,A145)</f>
        <v>117</v>
      </c>
      <c r="B146" s="60">
        <f>NO!A20</f>
        <v>0</v>
      </c>
      <c r="C146" s="60" t="s">
        <v>128</v>
      </c>
      <c r="D146" s="60">
        <f>NO!C20</f>
        <v>11</v>
      </c>
      <c r="E146" s="61">
        <f>NO!J20</f>
        <v>0</v>
      </c>
      <c r="F146" s="61">
        <f>NO!K20</f>
        <v>0</v>
      </c>
      <c r="G146" s="61">
        <f>NO!L20</f>
        <v>0</v>
      </c>
      <c r="H146" s="61">
        <f>NO!M20</f>
        <v>0</v>
      </c>
      <c r="I146" s="61">
        <f>NO!N20</f>
        <v>0</v>
      </c>
      <c r="J146" s="61">
        <f>NO!O20</f>
        <v>0</v>
      </c>
      <c r="K146" s="61">
        <f t="shared" si="18"/>
        <v>0</v>
      </c>
      <c r="L146" s="61">
        <f t="shared" si="19"/>
        <v>0</v>
      </c>
      <c r="M146" s="61">
        <f t="shared" si="20"/>
        <v>0</v>
      </c>
      <c r="N14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46" s="101">
        <v>0</v>
      </c>
    </row>
    <row r="147" spans="1:15" x14ac:dyDescent="0.2">
      <c r="A147" s="60">
        <f>IF(TableWRMaster[[#This Row],[Player]]&lt;&gt;0,A146+1,A146)</f>
        <v>118</v>
      </c>
      <c r="B147" s="60" t="str">
        <f>NYG!A15</f>
        <v>Sterling Shepard</v>
      </c>
      <c r="C147" s="60" t="s">
        <v>129</v>
      </c>
      <c r="D147" s="60">
        <f>NYG!C15</f>
        <v>13</v>
      </c>
      <c r="E147" s="61">
        <f>NYG!J15</f>
        <v>0</v>
      </c>
      <c r="F147" s="61">
        <f>NYG!K15</f>
        <v>0</v>
      </c>
      <c r="G147" s="61">
        <f>NYG!L15</f>
        <v>30.265424280000001</v>
      </c>
      <c r="H147" s="61">
        <f>NYG!M15</f>
        <v>20.241711463807505</v>
      </c>
      <c r="I147" s="61">
        <f>NYG!N15</f>
        <v>204.4412857844558</v>
      </c>
      <c r="J147" s="61">
        <f>NYG!O15</f>
        <v>0.85015188147991527</v>
      </c>
      <c r="K147" s="61">
        <f t="shared" si="18"/>
        <v>25.54503986732507</v>
      </c>
      <c r="L147" s="61">
        <f t="shared" si="19"/>
        <v>35.665895599228818</v>
      </c>
      <c r="M147" s="61">
        <f t="shared" si="20"/>
        <v>45.786751331132578</v>
      </c>
      <c r="N14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35.665895599228826</v>
      </c>
      <c r="O147" s="101">
        <v>12.582632081900583</v>
      </c>
    </row>
    <row r="148" spans="1:15" x14ac:dyDescent="0.2">
      <c r="A148" s="60">
        <f>IF(TableWRMaster[[#This Row],[Player]]&lt;&gt;0,A147+1,A147)</f>
        <v>119</v>
      </c>
      <c r="B148" s="60" t="str">
        <f>NYG!A16</f>
        <v>Wan'Dale Robinson</v>
      </c>
      <c r="C148" s="60" t="s">
        <v>129</v>
      </c>
      <c r="D148" s="60">
        <f>NYG!C16</f>
        <v>13</v>
      </c>
      <c r="E148" s="61">
        <f>NYG!J16</f>
        <v>73.660377000000011</v>
      </c>
      <c r="F148" s="61">
        <f>NYG!K16</f>
        <v>1.1662308598941786</v>
      </c>
      <c r="G148" s="61">
        <f>NYG!L16</f>
        <v>34.749190839999997</v>
      </c>
      <c r="H148" s="61">
        <f>NYG!M16</f>
        <v>23.340354816046812</v>
      </c>
      <c r="I148" s="61">
        <f>NYG!N16</f>
        <v>250.20860362802185</v>
      </c>
      <c r="J148" s="61">
        <f>NYG!O16</f>
        <v>1.120337031170247</v>
      </c>
      <c r="K148" s="61">
        <f t="shared" si="18"/>
        <v>46.106305409188735</v>
      </c>
      <c r="L148" s="61">
        <f t="shared" si="19"/>
        <v>57.776482817212141</v>
      </c>
      <c r="M148" s="61">
        <f t="shared" si="20"/>
        <v>69.446660225235547</v>
      </c>
      <c r="N14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57.776482817212141</v>
      </c>
      <c r="O148" s="101">
        <v>0</v>
      </c>
    </row>
    <row r="149" spans="1:15" x14ac:dyDescent="0.2">
      <c r="A149" s="60">
        <f>IF(TableWRMaster[[#This Row],[Player]]&lt;&gt;0,A148+1,A148)</f>
        <v>120</v>
      </c>
      <c r="B149" s="60" t="str">
        <f>NYG!A17</f>
        <v>Parris Campbell</v>
      </c>
      <c r="C149" s="60" t="s">
        <v>129</v>
      </c>
      <c r="D149" s="60">
        <f>NYG!C17</f>
        <v>13</v>
      </c>
      <c r="E149" s="61">
        <f>NYG!J17</f>
        <v>0</v>
      </c>
      <c r="F149" s="61">
        <f>NYG!K17</f>
        <v>0</v>
      </c>
      <c r="G149" s="61">
        <f>NYG!L17</f>
        <v>74.542619060000007</v>
      </c>
      <c r="H149" s="61">
        <f>NYG!M17</f>
        <v>46.562496725323363</v>
      </c>
      <c r="I149" s="61">
        <f>NYG!N17</f>
        <v>502.87496463349237</v>
      </c>
      <c r="J149" s="61">
        <f>NYG!O17</f>
        <v>2.3281248362661682</v>
      </c>
      <c r="K149" s="61">
        <f t="shared" si="18"/>
        <v>64.256245480946248</v>
      </c>
      <c r="L149" s="61">
        <f t="shared" si="19"/>
        <v>87.537493843607933</v>
      </c>
      <c r="M149" s="61">
        <f t="shared" si="20"/>
        <v>110.8187422062696</v>
      </c>
      <c r="N14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87.537493843607933</v>
      </c>
      <c r="O149" s="101">
        <v>0</v>
      </c>
    </row>
    <row r="150" spans="1:15" x14ac:dyDescent="0.2">
      <c r="A150" s="60">
        <f>IF(TableWRMaster[[#This Row],[Player]]&lt;&gt;0,A149+1,A149)</f>
        <v>121</v>
      </c>
      <c r="B150" s="60" t="str">
        <f>NYG!A18</f>
        <v>Isaiah Hodgins</v>
      </c>
      <c r="C150" s="60" t="s">
        <v>129</v>
      </c>
      <c r="D150" s="60">
        <f>NYG!C18</f>
        <v>13</v>
      </c>
      <c r="E150" s="61">
        <f>NYG!J18</f>
        <v>0</v>
      </c>
      <c r="F150" s="61">
        <f>NYG!K18</f>
        <v>0</v>
      </c>
      <c r="G150" s="61">
        <f>NYG!L18</f>
        <v>65.575085939999994</v>
      </c>
      <c r="H150" s="61">
        <f>NYG!M18</f>
        <v>43.484084845584277</v>
      </c>
      <c r="I150" s="61">
        <f>NYG!N18</f>
        <v>482.67334178598549</v>
      </c>
      <c r="J150" s="61">
        <f>NYG!O18</f>
        <v>3.1308541088820676</v>
      </c>
      <c r="K150" s="61">
        <f t="shared" si="18"/>
        <v>67.052458831890959</v>
      </c>
      <c r="L150" s="61">
        <f t="shared" si="19"/>
        <v>88.794501254683098</v>
      </c>
      <c r="M150" s="61">
        <f t="shared" si="20"/>
        <v>110.53654367747524</v>
      </c>
      <c r="N15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88.794501254683098</v>
      </c>
      <c r="O150" s="101">
        <v>0</v>
      </c>
    </row>
    <row r="151" spans="1:15" x14ac:dyDescent="0.2">
      <c r="A151" s="60">
        <f>IF(TableWRMaster[[#This Row],[Player]]&lt;&gt;0,A150+1,A150)</f>
        <v>122</v>
      </c>
      <c r="B151" s="60" t="str">
        <f>NYG!A19</f>
        <v>Darius Slayton</v>
      </c>
      <c r="C151" s="60" t="s">
        <v>129</v>
      </c>
      <c r="D151" s="60">
        <f>NYG!C19</f>
        <v>13</v>
      </c>
      <c r="E151" s="61">
        <f>NYG!J19</f>
        <v>0</v>
      </c>
      <c r="F151" s="61">
        <f>NYG!K19</f>
        <v>0</v>
      </c>
      <c r="G151" s="61">
        <f>NYG!L19</f>
        <v>79.026385619999999</v>
      </c>
      <c r="H151" s="61">
        <f>NYG!M19</f>
        <v>53.165598070019477</v>
      </c>
      <c r="I151" s="61">
        <f>NYG!N19</f>
        <v>712.41901413826099</v>
      </c>
      <c r="J151" s="61">
        <f>NYG!O19</f>
        <v>3.8810886591114215</v>
      </c>
      <c r="K151" s="61">
        <f t="shared" si="18"/>
        <v>94.528433368494632</v>
      </c>
      <c r="L151" s="61">
        <f t="shared" si="19"/>
        <v>121.11123240350437</v>
      </c>
      <c r="M151" s="61">
        <f t="shared" si="20"/>
        <v>147.69403143851412</v>
      </c>
      <c r="N15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121.11123240350437</v>
      </c>
      <c r="O151" s="101">
        <v>0</v>
      </c>
    </row>
    <row r="152" spans="1:15" x14ac:dyDescent="0.2">
      <c r="A152" s="60">
        <f>IF(TableWRMaster[[#This Row],[Player]]&lt;&gt;0,A151+1,A151)</f>
        <v>123</v>
      </c>
      <c r="B152" s="60" t="str">
        <f>NYG!A20</f>
        <v>Jalin Hyatt</v>
      </c>
      <c r="C152" s="60" t="s">
        <v>129</v>
      </c>
      <c r="D152" s="60">
        <f>NYG!C20</f>
        <v>13</v>
      </c>
      <c r="E152" s="61">
        <f>NYG!J20</f>
        <v>0</v>
      </c>
      <c r="F152" s="61">
        <f>NYG!K20</f>
        <v>0</v>
      </c>
      <c r="G152" s="61">
        <f>NYG!L20</f>
        <v>28.023541000000002</v>
      </c>
      <c r="H152" s="61">
        <f>NYG!M20</f>
        <v>18.054814166380091</v>
      </c>
      <c r="I152" s="61">
        <f>NYG!N20</f>
        <v>220.81037725482852</v>
      </c>
      <c r="J152" s="61">
        <f>NYG!O20</f>
        <v>1.3180014341457464</v>
      </c>
      <c r="K152" s="61">
        <f t="shared" si="18"/>
        <v>29.989046330357329</v>
      </c>
      <c r="L152" s="61">
        <f t="shared" si="19"/>
        <v>39.016453413547374</v>
      </c>
      <c r="M152" s="61">
        <f t="shared" si="20"/>
        <v>48.043860496737423</v>
      </c>
      <c r="N15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39.016453413547382</v>
      </c>
      <c r="O152" s="101">
        <v>0</v>
      </c>
    </row>
    <row r="153" spans="1:15" x14ac:dyDescent="0.2">
      <c r="A153" s="60">
        <f>IF(TableWRMaster[[#This Row],[Player]]&lt;&gt;0,A152+1,A152)</f>
        <v>123</v>
      </c>
      <c r="B153" s="60">
        <f>NYG!A21</f>
        <v>0</v>
      </c>
      <c r="C153" s="60" t="s">
        <v>129</v>
      </c>
      <c r="D153" s="60">
        <f>NYG!C21</f>
        <v>13</v>
      </c>
      <c r="E153" s="61">
        <f>NYG!J21</f>
        <v>0</v>
      </c>
      <c r="F153" s="61">
        <f>NYG!K21</f>
        <v>0</v>
      </c>
      <c r="G153" s="61">
        <f>NYG!L21</f>
        <v>0</v>
      </c>
      <c r="H153" s="61">
        <f>NYG!M21</f>
        <v>0</v>
      </c>
      <c r="I153" s="61">
        <f>NYG!N21</f>
        <v>0</v>
      </c>
      <c r="J153" s="61">
        <f>NYG!O21</f>
        <v>0</v>
      </c>
      <c r="K153" s="61">
        <f t="shared" si="18"/>
        <v>0</v>
      </c>
      <c r="L153" s="61">
        <f t="shared" si="19"/>
        <v>0</v>
      </c>
      <c r="M153" s="61">
        <f t="shared" si="20"/>
        <v>0</v>
      </c>
      <c r="N15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53" s="101">
        <v>0</v>
      </c>
    </row>
    <row r="154" spans="1:15" x14ac:dyDescent="0.2">
      <c r="A154" s="60">
        <f>IF(TableWRMaster[[#This Row],[Player]]&lt;&gt;0,A153+1,A153)</f>
        <v>124</v>
      </c>
      <c r="B154" s="60" t="str">
        <f>NYJ!A15</f>
        <v>Garrett Wilson</v>
      </c>
      <c r="C154" s="60" t="s">
        <v>130</v>
      </c>
      <c r="D154" s="60">
        <f>NYJ!C15</f>
        <v>7</v>
      </c>
      <c r="E154" s="61">
        <f>NYJ!J15</f>
        <v>43.031130913705582</v>
      </c>
      <c r="F154" s="61">
        <f>NYJ!K15</f>
        <v>0.44957897969543154</v>
      </c>
      <c r="G154" s="61">
        <f>NYJ!L15</f>
        <v>130.79266199999998</v>
      </c>
      <c r="H154" s="61">
        <f>NYJ!M15</f>
        <v>82.288203060966879</v>
      </c>
      <c r="I154" s="61">
        <f>NYJ!N15</f>
        <v>1111.8057029179306</v>
      </c>
      <c r="J154" s="61">
        <f>NYJ!O15</f>
        <v>8.0642438999747537</v>
      </c>
      <c r="K154" s="61">
        <f t="shared" si="18"/>
        <v>166.56662066118474</v>
      </c>
      <c r="L154" s="61">
        <f t="shared" si="19"/>
        <v>207.7107221916682</v>
      </c>
      <c r="M154" s="61">
        <f t="shared" si="20"/>
        <v>248.85482372215162</v>
      </c>
      <c r="N15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207.71072219166814</v>
      </c>
      <c r="O154" s="101">
        <v>0</v>
      </c>
    </row>
    <row r="155" spans="1:15" x14ac:dyDescent="0.2">
      <c r="A155" s="60">
        <f>IF(TableWRMaster[[#This Row],[Player]]&lt;&gt;0,A154+1,A154)</f>
        <v>125</v>
      </c>
      <c r="B155" s="60" t="str">
        <f>NYJ!A16</f>
        <v>Allen Lazard</v>
      </c>
      <c r="C155" s="60" t="s">
        <v>130</v>
      </c>
      <c r="D155" s="60">
        <f>NYJ!C16</f>
        <v>7</v>
      </c>
      <c r="E155" s="61">
        <f>NYJ!J16</f>
        <v>0</v>
      </c>
      <c r="F155" s="61">
        <f>NYJ!K16</f>
        <v>0</v>
      </c>
      <c r="G155" s="61">
        <f>NYJ!L16</f>
        <v>106.41766589999999</v>
      </c>
      <c r="H155" s="61">
        <f>NYJ!M16</f>
        <v>66.085370523899996</v>
      </c>
      <c r="I155" s="61">
        <f>NYJ!N16</f>
        <v>871.00518350500192</v>
      </c>
      <c r="J155" s="61">
        <f>NYJ!O16</f>
        <v>7.1372200165811996</v>
      </c>
      <c r="K155" s="61">
        <f t="shared" si="18"/>
        <v>129.92383844998739</v>
      </c>
      <c r="L155" s="61">
        <f t="shared" si="19"/>
        <v>162.96652371193738</v>
      </c>
      <c r="M155" s="61">
        <f t="shared" si="20"/>
        <v>196.00920897388738</v>
      </c>
      <c r="N15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162.96652371193738</v>
      </c>
      <c r="O155" s="101">
        <v>0</v>
      </c>
    </row>
    <row r="156" spans="1:15" x14ac:dyDescent="0.2">
      <c r="A156" s="60">
        <f>IF(TableWRMaster[[#This Row],[Player]]&lt;&gt;0,A155+1,A155)</f>
        <v>126</v>
      </c>
      <c r="B156" s="60" t="str">
        <f>NYJ!A17</f>
        <v>Mecole Hardman</v>
      </c>
      <c r="C156" s="60" t="s">
        <v>130</v>
      </c>
      <c r="D156" s="60">
        <f>NYJ!C17</f>
        <v>7</v>
      </c>
      <c r="E156" s="61">
        <f>NYJ!J17</f>
        <v>0</v>
      </c>
      <c r="F156" s="61">
        <f>NYJ!K17</f>
        <v>0</v>
      </c>
      <c r="G156" s="61">
        <f>NYJ!L17</f>
        <v>63.612794699999995</v>
      </c>
      <c r="H156" s="61">
        <f>NYJ!M17</f>
        <v>40.476870395740058</v>
      </c>
      <c r="I156" s="61">
        <f>NYJ!N17</f>
        <v>489.77013178845471</v>
      </c>
      <c r="J156" s="61">
        <f>NYJ!O17</f>
        <v>3.521487724429385</v>
      </c>
      <c r="K156" s="61">
        <f t="shared" si="18"/>
        <v>70.105939525421775</v>
      </c>
      <c r="L156" s="61">
        <f t="shared" si="19"/>
        <v>90.344374723291807</v>
      </c>
      <c r="M156" s="61">
        <f t="shared" si="20"/>
        <v>110.58280992116184</v>
      </c>
      <c r="N15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90.344374723291807</v>
      </c>
      <c r="O156" s="101">
        <v>0</v>
      </c>
    </row>
    <row r="157" spans="1:15" x14ac:dyDescent="0.2">
      <c r="A157" s="60">
        <f>IF(TableWRMaster[[#This Row],[Player]]&lt;&gt;0,A156+1,A156)</f>
        <v>127</v>
      </c>
      <c r="B157" s="60" t="str">
        <f>NYJ!A18</f>
        <v>Jason Brownlee</v>
      </c>
      <c r="C157" s="60" t="s">
        <v>130</v>
      </c>
      <c r="D157" s="60">
        <f>NYJ!C18</f>
        <v>7</v>
      </c>
      <c r="E157" s="61">
        <f>NYJ!J18</f>
        <v>0</v>
      </c>
      <c r="F157" s="61">
        <f>NYJ!K18</f>
        <v>0</v>
      </c>
      <c r="G157" s="61">
        <f>NYJ!L18</f>
        <v>19.618899299999999</v>
      </c>
      <c r="H157" s="61">
        <f>NYJ!M18</f>
        <v>11.869434076499999</v>
      </c>
      <c r="I157" s="61">
        <f>NYJ!N18</f>
        <v>155.37089206138498</v>
      </c>
      <c r="J157" s="61">
        <f>NYJ!O18</f>
        <v>0.80712151720199998</v>
      </c>
      <c r="K157" s="61">
        <f t="shared" si="18"/>
        <v>20.379818309350497</v>
      </c>
      <c r="L157" s="61">
        <f t="shared" si="19"/>
        <v>26.314535347600497</v>
      </c>
      <c r="M157" s="61">
        <f t="shared" si="20"/>
        <v>32.249252385850497</v>
      </c>
      <c r="N15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26.314535347600497</v>
      </c>
      <c r="O157" s="101">
        <v>0</v>
      </c>
    </row>
    <row r="158" spans="1:15" x14ac:dyDescent="0.2">
      <c r="A158" s="60">
        <f>IF(TableWRMaster[[#This Row],[Player]]&lt;&gt;0,A157+1,A157)</f>
        <v>128</v>
      </c>
      <c r="B158" s="60" t="str">
        <f>NYJ!A19</f>
        <v>Randall Cobb</v>
      </c>
      <c r="C158" s="60" t="s">
        <v>130</v>
      </c>
      <c r="D158" s="60">
        <f>NYJ!C19</f>
        <v>7</v>
      </c>
      <c r="E158" s="61">
        <f>NYJ!J19</f>
        <v>0</v>
      </c>
      <c r="F158" s="61">
        <f>NYJ!K19</f>
        <v>0</v>
      </c>
      <c r="G158" s="61">
        <f>NYJ!L19</f>
        <v>58.262185799999997</v>
      </c>
      <c r="H158" s="61">
        <f>NYJ!M19</f>
        <v>36.23017611777351</v>
      </c>
      <c r="I158" s="61">
        <f>NYJ!N19</f>
        <v>382.95296156486603</v>
      </c>
      <c r="J158" s="61">
        <f>NYJ!O19</f>
        <v>2.5361123282441458</v>
      </c>
      <c r="K158" s="61">
        <f t="shared" si="18"/>
        <v>53.511970125951478</v>
      </c>
      <c r="L158" s="61">
        <f t="shared" si="19"/>
        <v>71.627058184838234</v>
      </c>
      <c r="M158" s="61">
        <f t="shared" si="20"/>
        <v>89.742146243724989</v>
      </c>
      <c r="N15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71.627058184838234</v>
      </c>
      <c r="O158" s="101">
        <v>0</v>
      </c>
    </row>
    <row r="159" spans="1:15" x14ac:dyDescent="0.2">
      <c r="A159" s="60">
        <f>IF(TableWRMaster[[#This Row],[Player]]&lt;&gt;0,A158+1,A158)</f>
        <v>128</v>
      </c>
      <c r="B159" s="60">
        <f>NYJ!A20</f>
        <v>0</v>
      </c>
      <c r="C159" s="60" t="s">
        <v>130</v>
      </c>
      <c r="D159" s="60">
        <f>NYJ!C20</f>
        <v>7</v>
      </c>
      <c r="E159" s="61">
        <f>NYJ!J20</f>
        <v>0</v>
      </c>
      <c r="F159" s="61">
        <f>NYJ!K20</f>
        <v>0</v>
      </c>
      <c r="G159" s="61">
        <f>NYJ!L20</f>
        <v>0</v>
      </c>
      <c r="H159" s="61">
        <f>NYJ!M20</f>
        <v>0</v>
      </c>
      <c r="I159" s="61">
        <f>NYJ!N20</f>
        <v>0</v>
      </c>
      <c r="J159" s="61">
        <f>NYJ!O20</f>
        <v>0</v>
      </c>
      <c r="K159" s="61">
        <f t="shared" si="18"/>
        <v>0</v>
      </c>
      <c r="L159" s="61">
        <f t="shared" si="19"/>
        <v>0</v>
      </c>
      <c r="M159" s="61">
        <f t="shared" si="20"/>
        <v>0</v>
      </c>
      <c r="N15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59" s="101">
        <v>0</v>
      </c>
    </row>
    <row r="160" spans="1:15" x14ac:dyDescent="0.2">
      <c r="A160" s="60">
        <f>IF(TableWRMaster[[#This Row],[Player]]&lt;&gt;0,A159+1,A159)</f>
        <v>128</v>
      </c>
      <c r="B160" s="60">
        <f>NYJ!A21</f>
        <v>0</v>
      </c>
      <c r="C160" s="60" t="s">
        <v>130</v>
      </c>
      <c r="D160" s="60">
        <f>NYJ!C21</f>
        <v>7</v>
      </c>
      <c r="E160" s="61">
        <f>NYJ!J21</f>
        <v>0</v>
      </c>
      <c r="F160" s="61">
        <f>NYJ!K21</f>
        <v>0</v>
      </c>
      <c r="G160" s="61">
        <f>NYJ!L21</f>
        <v>0</v>
      </c>
      <c r="H160" s="61">
        <f>NYJ!M21</f>
        <v>0</v>
      </c>
      <c r="I160" s="61">
        <f>NYJ!N21</f>
        <v>0</v>
      </c>
      <c r="J160" s="61">
        <f>NYJ!O21</f>
        <v>0</v>
      </c>
      <c r="K160" s="61">
        <f t="shared" si="18"/>
        <v>0</v>
      </c>
      <c r="L160" s="61">
        <f t="shared" si="19"/>
        <v>0</v>
      </c>
      <c r="M160" s="61">
        <f t="shared" si="20"/>
        <v>0</v>
      </c>
      <c r="N16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60" s="101">
        <v>0</v>
      </c>
    </row>
    <row r="161" spans="1:15" x14ac:dyDescent="0.2">
      <c r="A161" s="60">
        <f>IF(TableWRMaster[[#This Row],[Player]]&lt;&gt;0,A160+1,A160)</f>
        <v>129</v>
      </c>
      <c r="B161" s="60" t="str">
        <f>PHI!A15</f>
        <v>A.J. Brown</v>
      </c>
      <c r="C161" s="60" t="s">
        <v>132</v>
      </c>
      <c r="D161" s="60">
        <f>PHI!C15</f>
        <v>10</v>
      </c>
      <c r="E161" s="61">
        <f>PHI!J15</f>
        <v>0</v>
      </c>
      <c r="F161" s="61">
        <f>PHI!K15</f>
        <v>0</v>
      </c>
      <c r="G161" s="61">
        <f>PHI!L15</f>
        <v>124.77648120000001</v>
      </c>
      <c r="H161" s="61">
        <f>PHI!M15</f>
        <v>76.485837068931659</v>
      </c>
      <c r="I161" s="61">
        <f>PHI!N15</f>
        <v>1223.7733931029065</v>
      </c>
      <c r="J161" s="61">
        <f>PHI!O15</f>
        <v>7.6485837068931666</v>
      </c>
      <c r="K161" s="61">
        <f t="shared" si="18"/>
        <v>168.26884155164964</v>
      </c>
      <c r="L161" s="61">
        <f t="shared" si="19"/>
        <v>206.51176008611549</v>
      </c>
      <c r="M161" s="61">
        <f t="shared" si="20"/>
        <v>244.7546786205813</v>
      </c>
      <c r="N16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206.51176008611552</v>
      </c>
      <c r="O161" s="101">
        <v>13.438851651696702</v>
      </c>
    </row>
    <row r="162" spans="1:15" x14ac:dyDescent="0.2">
      <c r="A162" s="60">
        <f>IF(TableWRMaster[[#This Row],[Player]]&lt;&gt;0,A161+1,A161)</f>
        <v>130</v>
      </c>
      <c r="B162" s="60" t="str">
        <f>PHI!A16</f>
        <v>DeVonta Smith</v>
      </c>
      <c r="C162" s="60" t="s">
        <v>132</v>
      </c>
      <c r="D162" s="60">
        <f>PHI!C16</f>
        <v>10</v>
      </c>
      <c r="E162" s="61">
        <f>PHI!J16</f>
        <v>0</v>
      </c>
      <c r="F162" s="61">
        <f>PHI!K16</f>
        <v>0</v>
      </c>
      <c r="G162" s="61">
        <f>PHI!L16</f>
        <v>121.52144256</v>
      </c>
      <c r="H162" s="61">
        <f>PHI!M16</f>
        <v>80.672617761767455</v>
      </c>
      <c r="I162" s="61">
        <f>PHI!N16</f>
        <v>1056.8112926791537</v>
      </c>
      <c r="J162" s="61">
        <f>PHI!O16</f>
        <v>7.1798629807973029</v>
      </c>
      <c r="K162" s="61">
        <f t="shared" si="18"/>
        <v>148.76030715269917</v>
      </c>
      <c r="L162" s="61">
        <f t="shared" si="19"/>
        <v>189.0966160335829</v>
      </c>
      <c r="M162" s="61">
        <f t="shared" si="20"/>
        <v>229.43292491446664</v>
      </c>
      <c r="N16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189.0966160335829</v>
      </c>
      <c r="O162" s="101">
        <v>4.3234228044126111</v>
      </c>
    </row>
    <row r="163" spans="1:15" x14ac:dyDescent="0.2">
      <c r="A163" s="60">
        <f>IF(TableWRMaster[[#This Row],[Player]]&lt;&gt;0,A162+1,A162)</f>
        <v>131</v>
      </c>
      <c r="B163" s="60" t="str">
        <f>PHI!A17</f>
        <v>Quez Watkins</v>
      </c>
      <c r="C163" s="60" t="s">
        <v>132</v>
      </c>
      <c r="D163" s="60">
        <f>PHI!C17</f>
        <v>10</v>
      </c>
      <c r="E163" s="61">
        <f>PHI!J17</f>
        <v>0</v>
      </c>
      <c r="F163" s="61">
        <f>PHI!K17</f>
        <v>0</v>
      </c>
      <c r="G163" s="61">
        <f>PHI!L17</f>
        <v>36.890437920000004</v>
      </c>
      <c r="H163" s="61">
        <f>PHI!M17</f>
        <v>23.40604935761209</v>
      </c>
      <c r="I163" s="61">
        <f>PHI!N17</f>
        <v>252.78533306221058</v>
      </c>
      <c r="J163" s="61">
        <f>PHI!O17</f>
        <v>1.4511750601719495</v>
      </c>
      <c r="K163" s="61">
        <f t="shared" si="18"/>
        <v>33.985583667252754</v>
      </c>
      <c r="L163" s="61">
        <f t="shared" si="19"/>
        <v>45.6886083460588</v>
      </c>
      <c r="M163" s="61">
        <f t="shared" si="20"/>
        <v>57.391633024864845</v>
      </c>
      <c r="N16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45.688608346058807</v>
      </c>
      <c r="O163" s="101">
        <v>0</v>
      </c>
    </row>
    <row r="164" spans="1:15" x14ac:dyDescent="0.2">
      <c r="A164" s="60">
        <f>IF(TableWRMaster[[#This Row],[Player]]&lt;&gt;0,A163+1,A163)</f>
        <v>132</v>
      </c>
      <c r="B164" s="60" t="str">
        <f>PHI!A18</f>
        <v>Olamide Zaccheaus</v>
      </c>
      <c r="C164" s="60" t="s">
        <v>132</v>
      </c>
      <c r="D164" s="60">
        <f>PHI!C18</f>
        <v>10</v>
      </c>
      <c r="E164" s="61">
        <f>PHI!J18</f>
        <v>0</v>
      </c>
      <c r="F164" s="61">
        <f>PHI!K18</f>
        <v>0</v>
      </c>
      <c r="G164" s="61">
        <f>PHI!L18</f>
        <v>14.105167439999999</v>
      </c>
      <c r="H164" s="61">
        <f>PHI!M18</f>
        <v>9.3235156778399997</v>
      </c>
      <c r="I164" s="61">
        <f>PHI!N18</f>
        <v>95.09985991396799</v>
      </c>
      <c r="J164" s="61">
        <f>PHI!O18</f>
        <v>0.52211687795903994</v>
      </c>
      <c r="K164" s="61">
        <f t="shared" si="18"/>
        <v>12.642687259151039</v>
      </c>
      <c r="L164" s="61">
        <f t="shared" si="19"/>
        <v>17.304445098071039</v>
      </c>
      <c r="M164" s="61">
        <f t="shared" si="20"/>
        <v>21.966202936991039</v>
      </c>
      <c r="N16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17.304445098071039</v>
      </c>
      <c r="O164" s="101">
        <v>0</v>
      </c>
    </row>
    <row r="165" spans="1:15" x14ac:dyDescent="0.2">
      <c r="A165" s="60">
        <f>IF(TableWRMaster[[#This Row],[Player]]&lt;&gt;0,A164+1,A164)</f>
        <v>132</v>
      </c>
      <c r="B165" s="60">
        <f>PHI!A19</f>
        <v>0</v>
      </c>
      <c r="C165" s="60" t="s">
        <v>132</v>
      </c>
      <c r="D165" s="60">
        <f>PHI!C19</f>
        <v>10</v>
      </c>
      <c r="E165" s="61">
        <f>PHI!J19</f>
        <v>0</v>
      </c>
      <c r="F165" s="61">
        <f>PHI!K19</f>
        <v>0</v>
      </c>
      <c r="G165" s="61">
        <f>PHI!L19</f>
        <v>0</v>
      </c>
      <c r="H165" s="61">
        <f>PHI!M19</f>
        <v>0</v>
      </c>
      <c r="I165" s="61">
        <f>PHI!N19</f>
        <v>0</v>
      </c>
      <c r="J165" s="61">
        <f>PHI!O19</f>
        <v>0</v>
      </c>
      <c r="K165" s="61">
        <f t="shared" si="18"/>
        <v>0</v>
      </c>
      <c r="L165" s="61">
        <f t="shared" si="19"/>
        <v>0</v>
      </c>
      <c r="M165" s="61">
        <f t="shared" si="20"/>
        <v>0</v>
      </c>
      <c r="N16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65" s="101">
        <v>0</v>
      </c>
    </row>
    <row r="166" spans="1:15" x14ac:dyDescent="0.2">
      <c r="A166" s="60">
        <f>IF(TableWRMaster[[#This Row],[Player]]&lt;&gt;0,A165+1,A165)</f>
        <v>132</v>
      </c>
      <c r="B166" s="60">
        <f>PHI!A20</f>
        <v>0</v>
      </c>
      <c r="C166" s="60" t="s">
        <v>132</v>
      </c>
      <c r="D166" s="60">
        <f>PHI!C20</f>
        <v>10</v>
      </c>
      <c r="E166" s="61">
        <f>PHI!J20</f>
        <v>0</v>
      </c>
      <c r="F166" s="61">
        <f>PHI!K20</f>
        <v>0</v>
      </c>
      <c r="G166" s="61">
        <f>PHI!L20</f>
        <v>0</v>
      </c>
      <c r="H166" s="61">
        <f>PHI!M20</f>
        <v>0</v>
      </c>
      <c r="I166" s="61">
        <f>PHI!N20</f>
        <v>0</v>
      </c>
      <c r="J166" s="61">
        <f>PHI!O20</f>
        <v>0</v>
      </c>
      <c r="K166" s="61">
        <f t="shared" si="18"/>
        <v>0</v>
      </c>
      <c r="L166" s="61">
        <f t="shared" si="19"/>
        <v>0</v>
      </c>
      <c r="M166" s="61">
        <f t="shared" si="20"/>
        <v>0</v>
      </c>
      <c r="N16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66" s="101">
        <v>0</v>
      </c>
    </row>
    <row r="167" spans="1:15" x14ac:dyDescent="0.2">
      <c r="A167" s="60">
        <f>IF(TableWRMaster[[#This Row],[Player]]&lt;&gt;0,A166+1,A166)</f>
        <v>133</v>
      </c>
      <c r="B167" s="60" t="str">
        <f>PIT!A15</f>
        <v>Diontae Johnson</v>
      </c>
      <c r="C167" s="60" t="s">
        <v>133</v>
      </c>
      <c r="D167" s="60">
        <f>PIT!C15</f>
        <v>6</v>
      </c>
      <c r="E167" s="61">
        <f>PIT!J15</f>
        <v>0</v>
      </c>
      <c r="F167" s="61">
        <f>PIT!K15</f>
        <v>0</v>
      </c>
      <c r="G167" s="61">
        <f>PIT!L15</f>
        <v>127.55370810000001</v>
      </c>
      <c r="H167" s="61">
        <f>PIT!M15</f>
        <v>76.659778568100009</v>
      </c>
      <c r="I167" s="61">
        <f>PIT!N15</f>
        <v>826.66403039640761</v>
      </c>
      <c r="J167" s="61">
        <f>PIT!O15</f>
        <v>3.9863084855412003</v>
      </c>
      <c r="K167" s="61">
        <f t="shared" si="18"/>
        <v>106.58425395288796</v>
      </c>
      <c r="L167" s="61">
        <f t="shared" si="19"/>
        <v>144.91414323693797</v>
      </c>
      <c r="M167" s="61">
        <f t="shared" si="20"/>
        <v>183.24403252098796</v>
      </c>
      <c r="N16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144.91414323693797</v>
      </c>
      <c r="O167" s="101">
        <v>22.135822917322109</v>
      </c>
    </row>
    <row r="168" spans="1:15" x14ac:dyDescent="0.2">
      <c r="A168" s="60">
        <f>IF(TableWRMaster[[#This Row],[Player]]&lt;&gt;0,A167+1,A167)</f>
        <v>134</v>
      </c>
      <c r="B168" s="60" t="str">
        <f>PIT!A16</f>
        <v>George Pickens</v>
      </c>
      <c r="C168" s="60" t="s">
        <v>133</v>
      </c>
      <c r="D168" s="60">
        <f>PIT!C16</f>
        <v>6</v>
      </c>
      <c r="E168" s="61">
        <f>PIT!J16</f>
        <v>0</v>
      </c>
      <c r="F168" s="61">
        <f>PIT!K16</f>
        <v>0</v>
      </c>
      <c r="G168" s="61">
        <f>PIT!L16</f>
        <v>118.8962166</v>
      </c>
      <c r="H168" s="61">
        <f>PIT!M16</f>
        <v>71.813314826400003</v>
      </c>
      <c r="I168" s="61">
        <f>PIT!N16</f>
        <v>1019.7490705348799</v>
      </c>
      <c r="J168" s="61">
        <f>PIT!O16</f>
        <v>5.2423719823271995</v>
      </c>
      <c r="K168" s="61">
        <f t="shared" si="18"/>
        <v>133.42913894745118</v>
      </c>
      <c r="L168" s="61">
        <f t="shared" si="19"/>
        <v>169.33579636065119</v>
      </c>
      <c r="M168" s="61">
        <f t="shared" si="20"/>
        <v>205.2424537738512</v>
      </c>
      <c r="N16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169.33579636065119</v>
      </c>
      <c r="O168" s="101">
        <v>17.214001644707764</v>
      </c>
    </row>
    <row r="169" spans="1:15" x14ac:dyDescent="0.2">
      <c r="A169" s="60">
        <f>IF(TableWRMaster[[#This Row],[Player]]&lt;&gt;0,A168+1,A168)</f>
        <v>135</v>
      </c>
      <c r="B169" s="60" t="str">
        <f>PIT!A17</f>
        <v>Gunner Olszewski</v>
      </c>
      <c r="C169" s="60" t="s">
        <v>133</v>
      </c>
      <c r="D169" s="60">
        <f>PIT!C17</f>
        <v>6</v>
      </c>
      <c r="E169" s="61">
        <f>PIT!J17</f>
        <v>0</v>
      </c>
      <c r="F169" s="61">
        <f>PIT!K17</f>
        <v>0</v>
      </c>
      <c r="G169" s="61">
        <f>PIT!L17</f>
        <v>10.388989800000001</v>
      </c>
      <c r="H169" s="61">
        <f>PIT!M17</f>
        <v>6.2333938800000004</v>
      </c>
      <c r="I169" s="61">
        <f>PIT!N17</f>
        <v>64.203956964000014</v>
      </c>
      <c r="J169" s="61">
        <f>PIT!O17</f>
        <v>0.28050272460000003</v>
      </c>
      <c r="K169" s="61">
        <f t="shared" si="18"/>
        <v>8.1034120440000024</v>
      </c>
      <c r="L169" s="61">
        <f t="shared" si="19"/>
        <v>11.220108984000003</v>
      </c>
      <c r="M169" s="61">
        <f t="shared" si="20"/>
        <v>14.336805924000004</v>
      </c>
      <c r="N16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11.220108984000003</v>
      </c>
      <c r="O169" s="101">
        <v>17.136851372552155</v>
      </c>
    </row>
    <row r="170" spans="1:15" x14ac:dyDescent="0.2">
      <c r="A170" s="60">
        <f>IF(TableWRMaster[[#This Row],[Player]]&lt;&gt;0,A169+1,A169)</f>
        <v>136</v>
      </c>
      <c r="B170" s="60" t="str">
        <f>PIT!A18</f>
        <v>Calvin Austin</v>
      </c>
      <c r="C170" s="60" t="s">
        <v>133</v>
      </c>
      <c r="D170" s="60">
        <f>PIT!C18</f>
        <v>6</v>
      </c>
      <c r="E170" s="61">
        <f>PIT!J18</f>
        <v>0</v>
      </c>
      <c r="F170" s="61">
        <f>PIT!K18</f>
        <v>0</v>
      </c>
      <c r="G170" s="61">
        <f>PIT!L18</f>
        <v>19.046481300000004</v>
      </c>
      <c r="H170" s="61">
        <f>PIT!M18</f>
        <v>11.488192096317984</v>
      </c>
      <c r="I170" s="61">
        <f>PIT!N18</f>
        <v>115.22656672606938</v>
      </c>
      <c r="J170" s="61">
        <f>PIT!O18</f>
        <v>0.48250406804535539</v>
      </c>
      <c r="K170" s="61">
        <f t="shared" si="18"/>
        <v>14.417681080879071</v>
      </c>
      <c r="L170" s="61">
        <f t="shared" si="19"/>
        <v>20.161777129038065</v>
      </c>
      <c r="M170" s="61">
        <f t="shared" si="20"/>
        <v>25.905873177197055</v>
      </c>
      <c r="N17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20.161777129038061</v>
      </c>
      <c r="O170" s="101">
        <v>0</v>
      </c>
    </row>
    <row r="171" spans="1:15" x14ac:dyDescent="0.2">
      <c r="A171" s="60">
        <f>IF(TableWRMaster[[#This Row],[Player]]&lt;&gt;0,A170+1,A170)</f>
        <v>137</v>
      </c>
      <c r="B171" s="60" t="str">
        <f>PIT!A19</f>
        <v>Allen Robinson</v>
      </c>
      <c r="C171" s="60" t="s">
        <v>133</v>
      </c>
      <c r="D171" s="60">
        <f>PIT!C19</f>
        <v>6</v>
      </c>
      <c r="E171" s="61">
        <f>PIT!J19</f>
        <v>0</v>
      </c>
      <c r="F171" s="61">
        <f>PIT!K19</f>
        <v>0</v>
      </c>
      <c r="G171" s="61">
        <f>PIT!L19</f>
        <v>77.340257399999999</v>
      </c>
      <c r="H171" s="61">
        <f>PIT!M19</f>
        <v>46.304759969193171</v>
      </c>
      <c r="I171" s="61">
        <f>PIT!N19</f>
        <v>511.33577574741923</v>
      </c>
      <c r="J171" s="61">
        <f>PIT!O19</f>
        <v>2.9635046380283629</v>
      </c>
      <c r="K171" s="61">
        <f t="shared" si="18"/>
        <v>68.914605402912102</v>
      </c>
      <c r="L171" s="61">
        <f t="shared" si="19"/>
        <v>92.06698538750868</v>
      </c>
      <c r="M171" s="61">
        <f t="shared" si="20"/>
        <v>115.21936537210527</v>
      </c>
      <c r="N17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92.066985387508694</v>
      </c>
      <c r="O171" s="101">
        <v>0</v>
      </c>
    </row>
    <row r="172" spans="1:15" x14ac:dyDescent="0.2">
      <c r="A172" s="60">
        <f>IF(TableWRMaster[[#This Row],[Player]]&lt;&gt;0,A171+1,A171)</f>
        <v>137</v>
      </c>
      <c r="B172" s="60">
        <f>PIT!A20</f>
        <v>0</v>
      </c>
      <c r="C172" s="60" t="s">
        <v>133</v>
      </c>
      <c r="D172" s="60">
        <f>PIT!C20</f>
        <v>6</v>
      </c>
      <c r="E172" s="61">
        <f>PIT!J20</f>
        <v>0</v>
      </c>
      <c r="F172" s="61">
        <f>PIT!K20</f>
        <v>0</v>
      </c>
      <c r="G172" s="61">
        <f>PIT!L20</f>
        <v>0</v>
      </c>
      <c r="H172" s="61">
        <f>PIT!M20</f>
        <v>0</v>
      </c>
      <c r="I172" s="61">
        <f>PIT!N20</f>
        <v>0</v>
      </c>
      <c r="J172" s="61">
        <f>PIT!O20</f>
        <v>0</v>
      </c>
      <c r="K172" s="61">
        <f t="shared" si="18"/>
        <v>0</v>
      </c>
      <c r="L172" s="61">
        <f t="shared" si="19"/>
        <v>0</v>
      </c>
      <c r="M172" s="61">
        <f t="shared" si="20"/>
        <v>0</v>
      </c>
      <c r="N17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72" s="101">
        <v>0</v>
      </c>
    </row>
    <row r="173" spans="1:15" x14ac:dyDescent="0.2">
      <c r="A173" s="60">
        <f>IF(TableWRMaster[[#This Row],[Player]]&lt;&gt;0,A172+1,A172)</f>
        <v>138</v>
      </c>
      <c r="B173" s="60" t="str">
        <f>SEA!A15</f>
        <v>DK Metcalf</v>
      </c>
      <c r="C173" s="60" t="s">
        <v>134</v>
      </c>
      <c r="D173" s="60">
        <f>SEA!C15</f>
        <v>5</v>
      </c>
      <c r="E173" s="61">
        <f>SEA!J15</f>
        <v>0</v>
      </c>
      <c r="F173" s="61">
        <f>SEA!K15</f>
        <v>0</v>
      </c>
      <c r="G173" s="61">
        <f>SEA!L15</f>
        <v>128.61232272000001</v>
      </c>
      <c r="H173" s="61">
        <f>SEA!M15</f>
        <v>81.258506313851001</v>
      </c>
      <c r="I173" s="61">
        <f>SEA!N15</f>
        <v>1009.2306484180294</v>
      </c>
      <c r="J173" s="61">
        <f>SEA!O15</f>
        <v>7.800816606129696</v>
      </c>
      <c r="K173" s="61">
        <f t="shared" si="18"/>
        <v>147.7279644785811</v>
      </c>
      <c r="L173" s="61">
        <f t="shared" ref="L173:L203" si="21">K173+(H173*0.5)</f>
        <v>188.3572176355066</v>
      </c>
      <c r="M173" s="61">
        <f t="shared" ref="M173:M203" si="22">K173+H173</f>
        <v>228.9864707924321</v>
      </c>
      <c r="N17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188.35721763550663</v>
      </c>
      <c r="O173" s="101">
        <v>31.727876732978672</v>
      </c>
    </row>
    <row r="174" spans="1:15" x14ac:dyDescent="0.2">
      <c r="A174" s="60">
        <f>IF(TableWRMaster[[#This Row],[Player]]&lt;&gt;0,A173+1,A173)</f>
        <v>139</v>
      </c>
      <c r="B174" s="60" t="str">
        <f>SEA!A16</f>
        <v>Tyler Lockett</v>
      </c>
      <c r="C174" s="60" t="s">
        <v>134</v>
      </c>
      <c r="D174" s="60">
        <f>SEA!C16</f>
        <v>5</v>
      </c>
      <c r="E174" s="61">
        <f>SEA!J16</f>
        <v>0</v>
      </c>
      <c r="F174" s="61">
        <f>SEA!K16</f>
        <v>0</v>
      </c>
      <c r="G174" s="61">
        <f>SEA!L16</f>
        <v>118.62871775999999</v>
      </c>
      <c r="H174" s="61">
        <f>SEA!M16</f>
        <v>79.499860399075558</v>
      </c>
      <c r="I174" s="61">
        <f>SEA!N16</f>
        <v>1009.6482270682595</v>
      </c>
      <c r="J174" s="61">
        <f>SEA!O16</f>
        <v>6.5984884131232713</v>
      </c>
      <c r="K174" s="61">
        <f t="shared" si="18"/>
        <v>140.55575318556558</v>
      </c>
      <c r="L174" s="61">
        <f t="shared" si="21"/>
        <v>180.30568338510335</v>
      </c>
      <c r="M174" s="61">
        <f t="shared" si="22"/>
        <v>220.05561358464115</v>
      </c>
      <c r="N17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180.30568338510338</v>
      </c>
      <c r="O174" s="101">
        <v>21.416504209580044</v>
      </c>
    </row>
    <row r="175" spans="1:15" x14ac:dyDescent="0.2">
      <c r="A175" s="60">
        <f>IF(TableWRMaster[[#This Row],[Player]]&lt;&gt;0,A174+1,A174)</f>
        <v>140</v>
      </c>
      <c r="B175" s="60" t="str">
        <f>SEA!A17</f>
        <v>Dareke Young</v>
      </c>
      <c r="C175" s="60" t="s">
        <v>134</v>
      </c>
      <c r="D175" s="60">
        <f>SEA!C17</f>
        <v>5</v>
      </c>
      <c r="E175" s="61">
        <f>SEA!J17</f>
        <v>0</v>
      </c>
      <c r="F175" s="61">
        <f>SEA!K17</f>
        <v>0</v>
      </c>
      <c r="G175" s="61">
        <f>SEA!L17</f>
        <v>14.094501119999999</v>
      </c>
      <c r="H175" s="61">
        <f>SEA!M17</f>
        <v>8.7063341982299498</v>
      </c>
      <c r="I175" s="61">
        <f>SEA!N17</f>
        <v>103.6053769589364</v>
      </c>
      <c r="J175" s="61">
        <f>SEA!O17</f>
        <v>0.56591172288494673</v>
      </c>
      <c r="K175" s="61">
        <f t="shared" si="18"/>
        <v>13.756008033203321</v>
      </c>
      <c r="L175" s="61">
        <f t="shared" si="21"/>
        <v>18.109175132318295</v>
      </c>
      <c r="M175" s="61">
        <f t="shared" si="22"/>
        <v>22.462342231433269</v>
      </c>
      <c r="N17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18.109175132318295</v>
      </c>
      <c r="O175" s="101">
        <v>0</v>
      </c>
    </row>
    <row r="176" spans="1:15" x14ac:dyDescent="0.2">
      <c r="A176" s="60">
        <f>IF(TableWRMaster[[#This Row],[Player]]&lt;&gt;0,A175+1,A175)</f>
        <v>141</v>
      </c>
      <c r="B176" s="60" t="str">
        <f>SEA!A18</f>
        <v>Jake Bobo</v>
      </c>
      <c r="C176" s="60" t="s">
        <v>134</v>
      </c>
      <c r="D176" s="60">
        <f>SEA!C18</f>
        <v>5</v>
      </c>
      <c r="E176" s="61">
        <f>SEA!J18</f>
        <v>0</v>
      </c>
      <c r="F176" s="61">
        <f>SEA!K18</f>
        <v>0</v>
      </c>
      <c r="G176" s="61">
        <f>SEA!L18</f>
        <v>18.20539728</v>
      </c>
      <c r="H176" s="61">
        <f>SEA!M18</f>
        <v>11.17811392992</v>
      </c>
      <c r="I176" s="61">
        <f>SEA!N18</f>
        <v>114.57566778168</v>
      </c>
      <c r="J176" s="61">
        <f>SEA!O18</f>
        <v>0.73775551937472006</v>
      </c>
      <c r="K176" s="61">
        <f t="shared" si="18"/>
        <v>15.88409989441632</v>
      </c>
      <c r="L176" s="61">
        <f t="shared" si="21"/>
        <v>21.473156859376321</v>
      </c>
      <c r="M176" s="61">
        <f t="shared" si="22"/>
        <v>27.062213824336318</v>
      </c>
      <c r="N17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21.473156859376324</v>
      </c>
      <c r="O176" s="101">
        <v>0</v>
      </c>
    </row>
    <row r="177" spans="1:15" x14ac:dyDescent="0.2">
      <c r="A177" s="60">
        <f>IF(TableWRMaster[[#This Row],[Player]]&lt;&gt;0,A176+1,A176)</f>
        <v>142</v>
      </c>
      <c r="B177" s="60" t="str">
        <f>SEA!A19</f>
        <v>Jaxon Smith-Njigba</v>
      </c>
      <c r="C177" s="60" t="s">
        <v>134</v>
      </c>
      <c r="D177" s="60">
        <f>SEA!C19</f>
        <v>5</v>
      </c>
      <c r="E177" s="61">
        <f>SEA!J19</f>
        <v>0</v>
      </c>
      <c r="F177" s="61">
        <f>SEA!K19</f>
        <v>0</v>
      </c>
      <c r="G177" s="61">
        <f>SEA!L19</f>
        <v>105.12148751999999</v>
      </c>
      <c r="H177" s="61">
        <f>SEA!M19</f>
        <v>67.515846007758839</v>
      </c>
      <c r="I177" s="61">
        <f>SEA!N19</f>
        <v>811.54046901326126</v>
      </c>
      <c r="J177" s="61">
        <f>SEA!O19</f>
        <v>6.4140053707370894</v>
      </c>
      <c r="K177" s="61">
        <f t="shared" si="18"/>
        <v>119.63807912574866</v>
      </c>
      <c r="L177" s="61">
        <f t="shared" si="21"/>
        <v>153.39600212962807</v>
      </c>
      <c r="M177" s="61">
        <f t="shared" si="22"/>
        <v>187.1539251335075</v>
      </c>
      <c r="N17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153.39600212962807</v>
      </c>
      <c r="O177" s="101">
        <v>0</v>
      </c>
    </row>
    <row r="178" spans="1:15" x14ac:dyDescent="0.2">
      <c r="A178" s="60">
        <f>IF(TableWRMaster[[#This Row],[Player]]&lt;&gt;0,A177+1,A177)</f>
        <v>143</v>
      </c>
      <c r="B178" s="60" t="str">
        <f>SF!A15</f>
        <v>Deebo Samuel</v>
      </c>
      <c r="C178" s="60" t="s">
        <v>135</v>
      </c>
      <c r="D178" s="60">
        <f>SF!C15</f>
        <v>9</v>
      </c>
      <c r="E178" s="61">
        <f>SF!J15</f>
        <v>275.66400954286775</v>
      </c>
      <c r="F178" s="61">
        <f>SF!K15</f>
        <v>3.5395756619999998</v>
      </c>
      <c r="G178" s="61">
        <f>SF!L15</f>
        <v>101.97752796</v>
      </c>
      <c r="H178" s="61">
        <f>SF!M15</f>
        <v>64.041887558880006</v>
      </c>
      <c r="I178" s="61">
        <f>SF!N15</f>
        <v>800.52359448600009</v>
      </c>
      <c r="J178" s="61">
        <f>SF!O15</f>
        <v>4.4829321291216004</v>
      </c>
      <c r="K178" s="61">
        <f t="shared" si="18"/>
        <v>155.75380714961642</v>
      </c>
      <c r="L178" s="61">
        <f t="shared" si="21"/>
        <v>187.77475092905644</v>
      </c>
      <c r="M178" s="61">
        <f t="shared" si="22"/>
        <v>219.79569470849643</v>
      </c>
      <c r="N17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187.77475092905638</v>
      </c>
      <c r="O178" s="101">
        <v>15.964560639789411</v>
      </c>
    </row>
    <row r="179" spans="1:15" x14ac:dyDescent="0.2">
      <c r="A179" s="60">
        <f>IF(TableWRMaster[[#This Row],[Player]]&lt;&gt;0,A178+1,A178)</f>
        <v>144</v>
      </c>
      <c r="B179" s="60" t="str">
        <f>SF!A16</f>
        <v>Brandon Aiyuk</v>
      </c>
      <c r="C179" s="60" t="s">
        <v>135</v>
      </c>
      <c r="D179" s="60">
        <f>SF!C16</f>
        <v>9</v>
      </c>
      <c r="E179" s="61">
        <f>SF!J16</f>
        <v>0</v>
      </c>
      <c r="F179" s="61">
        <f>SF!K16</f>
        <v>0</v>
      </c>
      <c r="G179" s="61">
        <f>SF!L16</f>
        <v>110.21813628</v>
      </c>
      <c r="H179" s="61">
        <f>SF!M16</f>
        <v>69.988516537799995</v>
      </c>
      <c r="I179" s="61">
        <f>SF!N16</f>
        <v>958.84267656785994</v>
      </c>
      <c r="J179" s="61">
        <f>SF!O16</f>
        <v>5.8090468726374</v>
      </c>
      <c r="K179" s="61">
        <f t="shared" si="18"/>
        <v>130.7385488926104</v>
      </c>
      <c r="L179" s="61">
        <f t="shared" si="21"/>
        <v>165.73280716151038</v>
      </c>
      <c r="M179" s="61">
        <f t="shared" si="22"/>
        <v>200.72706543041039</v>
      </c>
      <c r="N17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165.73280716151041</v>
      </c>
      <c r="O179" s="101">
        <v>13.457984816052479</v>
      </c>
    </row>
    <row r="180" spans="1:15" x14ac:dyDescent="0.2">
      <c r="A180" s="60">
        <f>IF(TableWRMaster[[#This Row],[Player]]&lt;&gt;0,A179+1,A179)</f>
        <v>145</v>
      </c>
      <c r="B180" s="60" t="str">
        <f>SF!A17</f>
        <v>Jauan Jennings</v>
      </c>
      <c r="C180" s="60" t="s">
        <v>135</v>
      </c>
      <c r="D180" s="60">
        <f>SF!C17</f>
        <v>9</v>
      </c>
      <c r="E180" s="61">
        <f>SF!J17</f>
        <v>0</v>
      </c>
      <c r="F180" s="61">
        <f>SF!K17</f>
        <v>0</v>
      </c>
      <c r="G180" s="61">
        <f>SF!L17</f>
        <v>31.41731922</v>
      </c>
      <c r="H180" s="61">
        <f>SF!M17</f>
        <v>18.877697626551964</v>
      </c>
      <c r="I180" s="61">
        <f>SF!N17</f>
        <v>224.92718631083955</v>
      </c>
      <c r="J180" s="61">
        <f>SF!O17</f>
        <v>1.3969496243648452</v>
      </c>
      <c r="K180" s="61">
        <f t="shared" si="18"/>
        <v>30.874416377273022</v>
      </c>
      <c r="L180" s="61">
        <f t="shared" si="21"/>
        <v>40.313265190549004</v>
      </c>
      <c r="M180" s="61">
        <f t="shared" si="22"/>
        <v>49.752114003824985</v>
      </c>
      <c r="N18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40.313265190549011</v>
      </c>
      <c r="O180" s="101">
        <v>0</v>
      </c>
    </row>
    <row r="181" spans="1:15" x14ac:dyDescent="0.2">
      <c r="A181" s="60">
        <f>IF(TableWRMaster[[#This Row],[Player]]&lt;&gt;0,A180+1,A180)</f>
        <v>146</v>
      </c>
      <c r="B181" s="60" t="str">
        <f>SF!A18</f>
        <v>Ronnie Bell</v>
      </c>
      <c r="C181" s="60" t="s">
        <v>135</v>
      </c>
      <c r="D181" s="60">
        <f>SF!C18</f>
        <v>9</v>
      </c>
      <c r="E181" s="61">
        <f>SF!J18</f>
        <v>0</v>
      </c>
      <c r="F181" s="61">
        <f>SF!K18</f>
        <v>0</v>
      </c>
      <c r="G181" s="61">
        <f>SF!L18</f>
        <v>10.3007604</v>
      </c>
      <c r="H181" s="61">
        <f>SF!M18</f>
        <v>5.7169220220000003</v>
      </c>
      <c r="I181" s="61">
        <f>SF!N18</f>
        <v>68.85373100012886</v>
      </c>
      <c r="J181" s="61">
        <f>SF!O18</f>
        <v>0.29727994514400002</v>
      </c>
      <c r="K181" s="61">
        <f t="shared" si="18"/>
        <v>8.6690527708768865</v>
      </c>
      <c r="L181" s="61">
        <f t="shared" si="21"/>
        <v>11.527513781876888</v>
      </c>
      <c r="M181" s="61">
        <f t="shared" si="22"/>
        <v>14.385974792876887</v>
      </c>
      <c r="N18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11.527513781876888</v>
      </c>
      <c r="O181" s="101">
        <v>0</v>
      </c>
    </row>
    <row r="182" spans="1:15" x14ac:dyDescent="0.2">
      <c r="A182" s="60">
        <f>IF(TableWRMaster[[#This Row],[Player]]&lt;&gt;0,A181+1,A181)</f>
        <v>147</v>
      </c>
      <c r="B182" s="60" t="str">
        <f>SF!A19</f>
        <v>Danny Gray</v>
      </c>
      <c r="C182" s="60" t="s">
        <v>135</v>
      </c>
      <c r="D182" s="60">
        <f>SF!C19</f>
        <v>9</v>
      </c>
      <c r="E182" s="61">
        <f>SF!J19</f>
        <v>0</v>
      </c>
      <c r="F182" s="61">
        <f>SF!K19</f>
        <v>0</v>
      </c>
      <c r="G182" s="61">
        <f>SF!L19</f>
        <v>5.1503801999999999</v>
      </c>
      <c r="H182" s="61">
        <f>SF!M19</f>
        <v>2.7297015060000001</v>
      </c>
      <c r="I182" s="61">
        <f>SF!N19</f>
        <v>39.637275872832781</v>
      </c>
      <c r="J182" s="61">
        <f>SF!O19</f>
        <v>0.13648507530000001</v>
      </c>
      <c r="K182" s="61">
        <f t="shared" si="18"/>
        <v>4.7826380390832783</v>
      </c>
      <c r="L182" s="61">
        <f t="shared" si="21"/>
        <v>6.1474887920832781</v>
      </c>
      <c r="M182" s="61">
        <f t="shared" si="22"/>
        <v>7.5123395450832788</v>
      </c>
      <c r="N18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6.1474887920832781</v>
      </c>
      <c r="O182" s="101">
        <v>0</v>
      </c>
    </row>
    <row r="183" spans="1:15" x14ac:dyDescent="0.2">
      <c r="A183" s="60">
        <f>IF(TableWRMaster[[#This Row],[Player]]&lt;&gt;0,A182+1,A182)</f>
        <v>147</v>
      </c>
      <c r="B183" s="60">
        <f>SF!A20</f>
        <v>0</v>
      </c>
      <c r="C183" s="60" t="s">
        <v>135</v>
      </c>
      <c r="D183" s="60">
        <f>SF!C20</f>
        <v>9</v>
      </c>
      <c r="E183" s="61">
        <f>SF!J20</f>
        <v>0</v>
      </c>
      <c r="F183" s="61">
        <f>SF!K20</f>
        <v>0</v>
      </c>
      <c r="G183" s="61">
        <f>SF!L20</f>
        <v>0</v>
      </c>
      <c r="H183" s="61">
        <f>SF!M20</f>
        <v>0</v>
      </c>
      <c r="I183" s="61">
        <f>SF!N20</f>
        <v>0</v>
      </c>
      <c r="J183" s="61">
        <f>SF!O20</f>
        <v>0</v>
      </c>
      <c r="K183" s="61">
        <f t="shared" si="18"/>
        <v>0</v>
      </c>
      <c r="L183" s="61">
        <f t="shared" si="21"/>
        <v>0</v>
      </c>
      <c r="M183" s="61">
        <f t="shared" si="22"/>
        <v>0</v>
      </c>
      <c r="N18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83" s="101">
        <v>0</v>
      </c>
    </row>
    <row r="184" spans="1:15" x14ac:dyDescent="0.2">
      <c r="A184" s="60">
        <f>IF(TableWRMaster[[#This Row],[Player]]&lt;&gt;0,A183+1,A183)</f>
        <v>148</v>
      </c>
      <c r="B184" s="60" t="str">
        <f>TB!A15</f>
        <v>Mike Evans</v>
      </c>
      <c r="C184" s="60" t="s">
        <v>136</v>
      </c>
      <c r="D184" s="60">
        <f>TB!C15</f>
        <v>5</v>
      </c>
      <c r="E184" s="61">
        <f>TB!J15</f>
        <v>0</v>
      </c>
      <c r="F184" s="61">
        <f>TB!K15</f>
        <v>0</v>
      </c>
      <c r="G184" s="61">
        <f>TB!L15</f>
        <v>113.44991167999999</v>
      </c>
      <c r="H184" s="61">
        <f>TB!M15</f>
        <v>66.141298509439991</v>
      </c>
      <c r="I184" s="61">
        <f>TB!N15</f>
        <v>927.30100510234865</v>
      </c>
      <c r="J184" s="61">
        <f>TB!O15</f>
        <v>6.0849994628684794</v>
      </c>
      <c r="K184" s="61">
        <f t="shared" si="18"/>
        <v>129.24009728744574</v>
      </c>
      <c r="L184" s="61">
        <f t="shared" si="21"/>
        <v>162.31074654216573</v>
      </c>
      <c r="M184" s="61">
        <f t="shared" si="22"/>
        <v>195.38139579688573</v>
      </c>
      <c r="N18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162.31074654216576</v>
      </c>
      <c r="O184" s="101">
        <v>23.51121327206225</v>
      </c>
    </row>
    <row r="185" spans="1:15" x14ac:dyDescent="0.2">
      <c r="A185" s="60">
        <f>IF(TableWRMaster[[#This Row],[Player]]&lt;&gt;0,A184+1,A184)</f>
        <v>149</v>
      </c>
      <c r="B185" s="60" t="str">
        <f>TB!A16</f>
        <v>Chris Godwin</v>
      </c>
      <c r="C185" s="60" t="s">
        <v>136</v>
      </c>
      <c r="D185" s="60">
        <f>TB!C16</f>
        <v>5</v>
      </c>
      <c r="E185" s="61">
        <f>TB!J16</f>
        <v>0</v>
      </c>
      <c r="F185" s="61">
        <f>TB!K16</f>
        <v>0</v>
      </c>
      <c r="G185" s="61">
        <f>TB!L16</f>
        <v>119.59744383999998</v>
      </c>
      <c r="H185" s="61">
        <f>TB!M16</f>
        <v>82.402638805759977</v>
      </c>
      <c r="I185" s="61">
        <f>TB!N16</f>
        <v>909.72513241559011</v>
      </c>
      <c r="J185" s="61">
        <f>TB!O16</f>
        <v>4.9441583283455985</v>
      </c>
      <c r="K185" s="61">
        <f t="shared" si="18"/>
        <v>120.63746321163261</v>
      </c>
      <c r="L185" s="61">
        <f t="shared" si="21"/>
        <v>161.83878261451258</v>
      </c>
      <c r="M185" s="61">
        <f t="shared" si="22"/>
        <v>203.0401020173926</v>
      </c>
      <c r="N18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161.83878261451261</v>
      </c>
      <c r="O185" s="101">
        <v>19.275373656319033</v>
      </c>
    </row>
    <row r="186" spans="1:15" x14ac:dyDescent="0.2">
      <c r="A186" s="60">
        <f>IF(TableWRMaster[[#This Row],[Player]]&lt;&gt;0,A185+1,A185)</f>
        <v>150</v>
      </c>
      <c r="B186" s="60" t="str">
        <f>TB!A17</f>
        <v>Trey Palmer</v>
      </c>
      <c r="C186" s="60" t="s">
        <v>136</v>
      </c>
      <c r="D186" s="60">
        <f>TB!C17</f>
        <v>5</v>
      </c>
      <c r="E186" s="61">
        <f>TB!J17</f>
        <v>0</v>
      </c>
      <c r="F186" s="61">
        <f>TB!K17</f>
        <v>0</v>
      </c>
      <c r="G186" s="61">
        <f>TB!L17</f>
        <v>73.211519359999983</v>
      </c>
      <c r="H186" s="61">
        <f>TB!M17</f>
        <v>41.453279740262964</v>
      </c>
      <c r="I186" s="61">
        <f>TB!N17</f>
        <v>509.46080800783182</v>
      </c>
      <c r="J186" s="61">
        <f>TB!O17</f>
        <v>2.6115566236365666</v>
      </c>
      <c r="K186" s="61">
        <f t="shared" si="18"/>
        <v>66.615420542602578</v>
      </c>
      <c r="L186" s="61">
        <f t="shared" si="21"/>
        <v>87.342060412734057</v>
      </c>
      <c r="M186" s="61">
        <f t="shared" si="22"/>
        <v>108.06870028286554</v>
      </c>
      <c r="N18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87.342060412734071</v>
      </c>
      <c r="O186" s="101">
        <v>4.1742584762918025</v>
      </c>
    </row>
    <row r="187" spans="1:15" x14ac:dyDescent="0.2">
      <c r="A187" s="60">
        <f>IF(TableWRMaster[[#This Row],[Player]]&lt;&gt;0,A186+1,A186)</f>
        <v>151</v>
      </c>
      <c r="B187" s="60" t="str">
        <f>TB!A18</f>
        <v>Deven Thompkins</v>
      </c>
      <c r="C187" s="60" t="s">
        <v>136</v>
      </c>
      <c r="D187" s="60">
        <f>TB!C18</f>
        <v>5</v>
      </c>
      <c r="E187" s="61">
        <f>TB!J18</f>
        <v>0</v>
      </c>
      <c r="F187" s="61">
        <f>TB!K18</f>
        <v>0</v>
      </c>
      <c r="G187" s="61">
        <f>TB!L18</f>
        <v>29.061061119999994</v>
      </c>
      <c r="H187" s="61">
        <f>TB!M18</f>
        <v>15.925461493759999</v>
      </c>
      <c r="I187" s="61">
        <f>TB!N18</f>
        <v>202.73112481556478</v>
      </c>
      <c r="J187" s="61">
        <f>TB!O18</f>
        <v>0.95552768962559986</v>
      </c>
      <c r="K187" s="61">
        <f t="shared" si="18"/>
        <v>26.006278619310077</v>
      </c>
      <c r="L187" s="61">
        <f t="shared" si="21"/>
        <v>33.969009366190079</v>
      </c>
      <c r="M187" s="61">
        <f t="shared" si="22"/>
        <v>41.931740113070077</v>
      </c>
      <c r="N18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33.969009366190079</v>
      </c>
      <c r="O187" s="101">
        <v>0</v>
      </c>
    </row>
    <row r="188" spans="1:15" x14ac:dyDescent="0.2">
      <c r="A188" s="60">
        <f>IF(TableWRMaster[[#This Row],[Player]]&lt;&gt;0,A187+1,A187)</f>
        <v>152</v>
      </c>
      <c r="B188" s="60" t="str">
        <f>TB!A19</f>
        <v>Rakim Jarrett</v>
      </c>
      <c r="C188" s="60" t="s">
        <v>136</v>
      </c>
      <c r="D188" s="60">
        <f>TB!C19</f>
        <v>5</v>
      </c>
      <c r="E188" s="61">
        <f>TB!J19</f>
        <v>0</v>
      </c>
      <c r="F188" s="61">
        <f>TB!K19</f>
        <v>0</v>
      </c>
      <c r="G188" s="61">
        <f>TB!L19</f>
        <v>11.73619776</v>
      </c>
      <c r="H188" s="61">
        <f>TB!M19</f>
        <v>6.5840069433600004</v>
      </c>
      <c r="I188" s="61">
        <f>TB!N19</f>
        <v>80.127364500691201</v>
      </c>
      <c r="J188" s="61">
        <f>TB!O19</f>
        <v>0.34895236799807999</v>
      </c>
      <c r="K188" s="61">
        <f t="shared" si="18"/>
        <v>10.1064506580576</v>
      </c>
      <c r="L188" s="61">
        <f t="shared" si="21"/>
        <v>13.398454129737601</v>
      </c>
      <c r="M188" s="61">
        <f t="shared" si="22"/>
        <v>16.690457601417599</v>
      </c>
      <c r="N18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13.398454129737601</v>
      </c>
      <c r="O188" s="101">
        <v>0</v>
      </c>
    </row>
    <row r="189" spans="1:15" x14ac:dyDescent="0.2">
      <c r="A189" s="60">
        <f>IF(TableWRMaster[[#This Row],[Player]]&lt;&gt;0,A188+1,A188)</f>
        <v>152</v>
      </c>
      <c r="B189" s="60">
        <f>TB!A20</f>
        <v>0</v>
      </c>
      <c r="C189" s="60" t="s">
        <v>136</v>
      </c>
      <c r="D189" s="60">
        <f>TB!C20</f>
        <v>5</v>
      </c>
      <c r="E189" s="61">
        <f>TB!J20</f>
        <v>0</v>
      </c>
      <c r="F189" s="61">
        <f>TB!K20</f>
        <v>0</v>
      </c>
      <c r="G189" s="61">
        <f>TB!L20</f>
        <v>0</v>
      </c>
      <c r="H189" s="61">
        <f>TB!M20</f>
        <v>0</v>
      </c>
      <c r="I189" s="61">
        <f>TB!N20</f>
        <v>0</v>
      </c>
      <c r="J189" s="61">
        <f>TB!O20</f>
        <v>0</v>
      </c>
      <c r="K189" s="61">
        <f t="shared" si="18"/>
        <v>0</v>
      </c>
      <c r="L189" s="61">
        <f t="shared" si="21"/>
        <v>0</v>
      </c>
      <c r="M189" s="61">
        <f t="shared" si="22"/>
        <v>0</v>
      </c>
      <c r="N18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89" s="101">
        <v>0</v>
      </c>
    </row>
    <row r="190" spans="1:15" x14ac:dyDescent="0.2">
      <c r="A190" s="60">
        <f>IF(TableWRMaster[[#This Row],[Player]]&lt;&gt;0,A189+1,A189)</f>
        <v>153</v>
      </c>
      <c r="B190" s="60" t="str">
        <f>TEN!A15</f>
        <v>DeAndre Hopkins</v>
      </c>
      <c r="C190" s="60" t="s">
        <v>137</v>
      </c>
      <c r="D190" s="60">
        <f>TEN!C15</f>
        <v>7</v>
      </c>
      <c r="E190" s="61">
        <f>TEN!J15</f>
        <v>0</v>
      </c>
      <c r="F190" s="61">
        <f>TEN!K15</f>
        <v>0</v>
      </c>
      <c r="G190" s="61">
        <f>TEN!L15</f>
        <v>126.7348446</v>
      </c>
      <c r="H190" s="61">
        <f>TEN!M15</f>
        <v>84.072364058386626</v>
      </c>
      <c r="I190" s="61">
        <f>TEN!N15</f>
        <v>1053.3639602982939</v>
      </c>
      <c r="J190" s="61">
        <f>TEN!O15</f>
        <v>6.9780062168460901</v>
      </c>
      <c r="K190" s="61">
        <f t="shared" si="18"/>
        <v>147.20443333090594</v>
      </c>
      <c r="L190" s="61">
        <f t="shared" si="21"/>
        <v>189.24061536009924</v>
      </c>
      <c r="M190" s="61">
        <f t="shared" si="22"/>
        <v>231.27679738929257</v>
      </c>
      <c r="N19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189.24061536009924</v>
      </c>
      <c r="O190" s="101">
        <v>28.948651715259452</v>
      </c>
    </row>
    <row r="191" spans="1:15" x14ac:dyDescent="0.2">
      <c r="A191" s="60">
        <f>IF(TableWRMaster[[#This Row],[Player]]&lt;&gt;0,A190+1,A190)</f>
        <v>154</v>
      </c>
      <c r="B191" s="60" t="str">
        <f>TEN!A16</f>
        <v>Treylon Burks</v>
      </c>
      <c r="C191" s="60" t="s">
        <v>137</v>
      </c>
      <c r="D191" s="60">
        <f>TEN!C16</f>
        <v>7</v>
      </c>
      <c r="E191" s="61">
        <f>TEN!J16</f>
        <v>0</v>
      </c>
      <c r="F191" s="61">
        <f>TEN!K16</f>
        <v>0</v>
      </c>
      <c r="G191" s="61">
        <f>TEN!L16</f>
        <v>101.82115719999997</v>
      </c>
      <c r="H191" s="61">
        <f>TEN!M16</f>
        <v>62.053334057524253</v>
      </c>
      <c r="I191" s="61">
        <f>TEN!N16</f>
        <v>838.34054311715261</v>
      </c>
      <c r="J191" s="61">
        <f>TEN!O16</f>
        <v>5.2745333948895619</v>
      </c>
      <c r="K191" s="61">
        <f t="shared" si="18"/>
        <v>115.48125468105263</v>
      </c>
      <c r="L191" s="61">
        <f t="shared" si="21"/>
        <v>146.50792170981475</v>
      </c>
      <c r="M191" s="61">
        <f t="shared" si="22"/>
        <v>177.53458873857687</v>
      </c>
      <c r="N19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146.50792170981475</v>
      </c>
      <c r="O191" s="101">
        <v>21.847416721339776</v>
      </c>
    </row>
    <row r="192" spans="1:15" x14ac:dyDescent="0.2">
      <c r="A192" s="60">
        <f>IF(TableWRMaster[[#This Row],[Player]]&lt;&gt;0,A191+1,A191)</f>
        <v>155</v>
      </c>
      <c r="B192" s="60" t="str">
        <f>TEN!A17</f>
        <v>Kyle Philips</v>
      </c>
      <c r="C192" s="60" t="s">
        <v>137</v>
      </c>
      <c r="D192" s="60">
        <f>TEN!C17</f>
        <v>7</v>
      </c>
      <c r="E192" s="61">
        <f>TEN!J17</f>
        <v>0</v>
      </c>
      <c r="F192" s="61">
        <f>TEN!K17</f>
        <v>0</v>
      </c>
      <c r="G192" s="61">
        <f>TEN!L17</f>
        <v>28.704900699999996</v>
      </c>
      <c r="H192" s="61">
        <f>TEN!M17</f>
        <v>18.861777643343569</v>
      </c>
      <c r="I192" s="61">
        <f>TEN!N17</f>
        <v>205.59337631244492</v>
      </c>
      <c r="J192" s="61">
        <f>TEN!O17</f>
        <v>1.1317066586006141</v>
      </c>
      <c r="K192" s="61">
        <f t="shared" si="18"/>
        <v>27.349577582848177</v>
      </c>
      <c r="L192" s="61">
        <f t="shared" si="21"/>
        <v>36.780466404519963</v>
      </c>
      <c r="M192" s="61">
        <f t="shared" si="22"/>
        <v>46.211355226191742</v>
      </c>
      <c r="N19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36.780466404519956</v>
      </c>
      <c r="O192" s="101">
        <v>0</v>
      </c>
    </row>
    <row r="193" spans="1:15" x14ac:dyDescent="0.2">
      <c r="A193" s="60">
        <f>IF(TableWRMaster[[#This Row],[Player]]&lt;&gt;0,A192+1,A192)</f>
        <v>156</v>
      </c>
      <c r="B193" s="60" t="str">
        <f>TEN!A18</f>
        <v>Chris Moore</v>
      </c>
      <c r="C193" s="60" t="s">
        <v>137</v>
      </c>
      <c r="D193" s="60">
        <f>TEN!C18</f>
        <v>7</v>
      </c>
      <c r="E193" s="61">
        <f>TEN!J18</f>
        <v>0</v>
      </c>
      <c r="F193" s="61">
        <f>TEN!K18</f>
        <v>0</v>
      </c>
      <c r="G193" s="61">
        <f>TEN!L18</f>
        <v>20.039270299999998</v>
      </c>
      <c r="H193" s="61">
        <f>TEN!M18</f>
        <v>11.442423341299998</v>
      </c>
      <c r="I193" s="61">
        <f>TEN!N18</f>
        <v>119.00120274951998</v>
      </c>
      <c r="J193" s="61">
        <f>TEN!O18</f>
        <v>0.60644843708889984</v>
      </c>
      <c r="K193" s="61">
        <f t="shared" si="18"/>
        <v>15.538810897485398</v>
      </c>
      <c r="L193" s="61">
        <f t="shared" si="21"/>
        <v>21.260022568135398</v>
      </c>
      <c r="M193" s="61">
        <f t="shared" si="22"/>
        <v>26.981234238785397</v>
      </c>
      <c r="N19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21.260022568135398</v>
      </c>
      <c r="O193" s="101">
        <v>0</v>
      </c>
    </row>
    <row r="194" spans="1:15" x14ac:dyDescent="0.2">
      <c r="A194" s="60">
        <f>IF(TableWRMaster[[#This Row],[Player]]&lt;&gt;0,A193+1,A193)</f>
        <v>157</v>
      </c>
      <c r="B194" s="60" t="str">
        <f>TEN!A19</f>
        <v>Nick Westbrook-Ikhine</v>
      </c>
      <c r="C194" s="60" t="s">
        <v>137</v>
      </c>
      <c r="D194" s="60">
        <f>TEN!C19</f>
        <v>7</v>
      </c>
      <c r="E194" s="61">
        <f>TEN!J19</f>
        <v>0</v>
      </c>
      <c r="F194" s="61">
        <f>TEN!K19</f>
        <v>0</v>
      </c>
      <c r="G194" s="61">
        <f>TEN!L19</f>
        <v>55.784995699999989</v>
      </c>
      <c r="H194" s="61">
        <f>TEN!M19</f>
        <v>32.657657317663329</v>
      </c>
      <c r="I194" s="61">
        <f>TEN!N19</f>
        <v>426.86754040600385</v>
      </c>
      <c r="J194" s="61">
        <f>TEN!O19</f>
        <v>1.6981981805184929</v>
      </c>
      <c r="K194" s="61">
        <f t="shared" ref="K194:K203" si="23">(E194/10)+(F194*6)+(I194/10)+(J194*6)</f>
        <v>52.875943123711338</v>
      </c>
      <c r="L194" s="61">
        <f t="shared" si="21"/>
        <v>69.204771782543006</v>
      </c>
      <c r="M194" s="61">
        <f t="shared" si="22"/>
        <v>85.533600441374659</v>
      </c>
      <c r="N194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69.20477178254302</v>
      </c>
      <c r="O194" s="101">
        <v>0</v>
      </c>
    </row>
    <row r="195" spans="1:15" x14ac:dyDescent="0.2">
      <c r="A195" s="60">
        <f>IF(TableWRMaster[[#This Row],[Player]]&lt;&gt;0,A194+1,A194)</f>
        <v>157</v>
      </c>
      <c r="B195" s="60">
        <f>TEN!A20</f>
        <v>0</v>
      </c>
      <c r="C195" s="60" t="s">
        <v>137</v>
      </c>
      <c r="D195" s="60">
        <f>TEN!C20</f>
        <v>7</v>
      </c>
      <c r="E195" s="61">
        <f>TEN!J20</f>
        <v>0</v>
      </c>
      <c r="F195" s="61">
        <f>TEN!K20</f>
        <v>0</v>
      </c>
      <c r="G195" s="61">
        <f>TEN!L20</f>
        <v>0</v>
      </c>
      <c r="H195" s="61">
        <f>TEN!M20</f>
        <v>0</v>
      </c>
      <c r="I195" s="61">
        <f>TEN!N20</f>
        <v>0</v>
      </c>
      <c r="J195" s="61">
        <f>TEN!O20</f>
        <v>0</v>
      </c>
      <c r="K195" s="61">
        <f t="shared" si="23"/>
        <v>0</v>
      </c>
      <c r="L195" s="61">
        <f t="shared" si="21"/>
        <v>0</v>
      </c>
      <c r="M195" s="61">
        <f t="shared" si="22"/>
        <v>0</v>
      </c>
      <c r="N195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95" s="101">
        <v>0</v>
      </c>
    </row>
    <row r="196" spans="1:15" x14ac:dyDescent="0.2">
      <c r="A196" s="60">
        <f>IF(TableWRMaster[[#This Row],[Player]]&lt;&gt;0,A195+1,A195)</f>
        <v>157</v>
      </c>
      <c r="B196" s="60">
        <f>TEN!A21</f>
        <v>0</v>
      </c>
      <c r="C196" s="60" t="s">
        <v>137</v>
      </c>
      <c r="D196" s="60">
        <f>TEN!C21</f>
        <v>7</v>
      </c>
      <c r="E196" s="61">
        <f>TEN!J21</f>
        <v>0</v>
      </c>
      <c r="F196" s="61">
        <f>TEN!K21</f>
        <v>0</v>
      </c>
      <c r="G196" s="61">
        <f>TEN!L21</f>
        <v>0</v>
      </c>
      <c r="H196" s="61">
        <f>TEN!M21</f>
        <v>0</v>
      </c>
      <c r="I196" s="61">
        <f>TEN!N21</f>
        <v>0</v>
      </c>
      <c r="J196" s="61">
        <f>TEN!O21</f>
        <v>0</v>
      </c>
      <c r="K196" s="61">
        <f t="shared" si="23"/>
        <v>0</v>
      </c>
      <c r="L196" s="61">
        <f t="shared" si="21"/>
        <v>0</v>
      </c>
      <c r="M196" s="61">
        <f t="shared" si="22"/>
        <v>0</v>
      </c>
      <c r="N196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196" s="101">
        <v>0</v>
      </c>
    </row>
    <row r="197" spans="1:15" x14ac:dyDescent="0.2">
      <c r="A197" s="60">
        <f>IF(TableWRMaster[[#This Row],[Player]]&lt;&gt;0,A196+1,A196)</f>
        <v>158</v>
      </c>
      <c r="B197" s="60" t="str">
        <f>WSH!A15</f>
        <v>Terry McLaurin</v>
      </c>
      <c r="C197" s="60" t="s">
        <v>140</v>
      </c>
      <c r="D197" s="60">
        <f>WSH!C15</f>
        <v>14</v>
      </c>
      <c r="E197" s="61">
        <f>WSH!J15</f>
        <v>33.508401275999994</v>
      </c>
      <c r="F197" s="61">
        <f>WSH!K15</f>
        <v>0.19085472524455457</v>
      </c>
      <c r="G197" s="61">
        <f>WSH!L15</f>
        <v>127.45612656000002</v>
      </c>
      <c r="H197" s="61">
        <f>WSH!M15</f>
        <v>78.610051405787686</v>
      </c>
      <c r="I197" s="61">
        <f>WSH!N15</f>
        <v>1086.3909104279858</v>
      </c>
      <c r="J197" s="61">
        <f>WSH!O15</f>
        <v>5.5027035984051382</v>
      </c>
      <c r="K197" s="61">
        <f t="shared" si="23"/>
        <v>146.15128111229674</v>
      </c>
      <c r="L197" s="61">
        <f t="shared" si="21"/>
        <v>185.4563068151906</v>
      </c>
      <c r="M197" s="61">
        <f t="shared" si="22"/>
        <v>224.76133251808443</v>
      </c>
      <c r="N197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185.45630681519057</v>
      </c>
      <c r="O197" s="101">
        <v>22.911193602736972</v>
      </c>
    </row>
    <row r="198" spans="1:15" x14ac:dyDescent="0.2">
      <c r="A198" s="60">
        <f>IF(TableWRMaster[[#This Row],[Player]]&lt;&gt;0,A197+1,A197)</f>
        <v>159</v>
      </c>
      <c r="B198" s="60" t="str">
        <f>WSH!A16</f>
        <v>Curtis Samuel</v>
      </c>
      <c r="C198" s="60" t="s">
        <v>140</v>
      </c>
      <c r="D198" s="60">
        <f>WSH!C16</f>
        <v>14</v>
      </c>
      <c r="E198" s="61">
        <f>WSH!J16</f>
        <v>120.03891986519997</v>
      </c>
      <c r="F198" s="61">
        <f>WSH!K16</f>
        <v>1.237575826558371</v>
      </c>
      <c r="G198" s="61">
        <f>WSH!L16</f>
        <v>86.150900360000009</v>
      </c>
      <c r="H198" s="61">
        <f>WSH!M16</f>
        <v>56.48730666704396</v>
      </c>
      <c r="I198" s="61">
        <f>WSH!N16</f>
        <v>602.60634392071938</v>
      </c>
      <c r="J198" s="61">
        <f>WSH!O16</f>
        <v>3.5587003200237697</v>
      </c>
      <c r="K198" s="61">
        <f t="shared" si="23"/>
        <v>101.04218325808478</v>
      </c>
      <c r="L198" s="61">
        <f t="shared" si="21"/>
        <v>129.28583659160677</v>
      </c>
      <c r="M198" s="61">
        <f t="shared" si="22"/>
        <v>157.52948992512873</v>
      </c>
      <c r="N198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129.28583659160677</v>
      </c>
      <c r="O198" s="101">
        <v>14.799876020862852</v>
      </c>
    </row>
    <row r="199" spans="1:15" x14ac:dyDescent="0.2">
      <c r="A199" s="60">
        <f>IF(TableWRMaster[[#This Row],[Player]]&lt;&gt;0,A198+1,A198)</f>
        <v>160</v>
      </c>
      <c r="B199" s="60" t="str">
        <f>WSH!A17</f>
        <v>Jahan Dotson</v>
      </c>
      <c r="C199" s="60" t="s">
        <v>140</v>
      </c>
      <c r="D199" s="60">
        <f>WSH!C17</f>
        <v>14</v>
      </c>
      <c r="E199" s="61">
        <f>WSH!J17</f>
        <v>0</v>
      </c>
      <c r="F199" s="61">
        <f>WSH!K17</f>
        <v>0</v>
      </c>
      <c r="G199" s="61">
        <f>WSH!L17</f>
        <v>132.76679850000002</v>
      </c>
      <c r="H199" s="61">
        <f>WSH!M17</f>
        <v>79.925612697000005</v>
      </c>
      <c r="I199" s="61">
        <f>WSH!N17</f>
        <v>1086.9883326792001</v>
      </c>
      <c r="J199" s="61">
        <f>WSH!O17</f>
        <v>7.1933051427299999</v>
      </c>
      <c r="K199" s="61">
        <f t="shared" si="23"/>
        <v>151.85866412429999</v>
      </c>
      <c r="L199" s="61">
        <f t="shared" si="21"/>
        <v>191.8214704728</v>
      </c>
      <c r="M199" s="61">
        <f t="shared" si="22"/>
        <v>231.78427682130001</v>
      </c>
      <c r="N199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191.8214704728</v>
      </c>
      <c r="O199" s="101">
        <v>0</v>
      </c>
    </row>
    <row r="200" spans="1:15" x14ac:dyDescent="0.2">
      <c r="A200" s="60">
        <f>IF(TableWRMaster[[#This Row],[Player]]&lt;&gt;0,A199+1,A199)</f>
        <v>161</v>
      </c>
      <c r="B200" s="60" t="str">
        <f>WSH!A18</f>
        <v>Dyami Brown</v>
      </c>
      <c r="C200" s="60" t="s">
        <v>140</v>
      </c>
      <c r="D200" s="60">
        <f>WSH!C18</f>
        <v>14</v>
      </c>
      <c r="E200" s="61">
        <f>WSH!J18</f>
        <v>0</v>
      </c>
      <c r="F200" s="61">
        <f>WSH!K18</f>
        <v>0</v>
      </c>
      <c r="G200" s="61">
        <f>WSH!L18</f>
        <v>20.652613100000003</v>
      </c>
      <c r="H200" s="61">
        <f>WSH!M18</f>
        <v>12.012129533312951</v>
      </c>
      <c r="I200" s="61">
        <f>WSH!N18</f>
        <v>151.83331730107571</v>
      </c>
      <c r="J200" s="61">
        <f>WSH!O18</f>
        <v>0.5165215699324569</v>
      </c>
      <c r="K200" s="61">
        <f t="shared" si="23"/>
        <v>18.282461149702314</v>
      </c>
      <c r="L200" s="61">
        <f t="shared" si="21"/>
        <v>24.28852591635879</v>
      </c>
      <c r="M200" s="61">
        <f t="shared" si="22"/>
        <v>30.294590683015265</v>
      </c>
      <c r="N200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24.28852591635879</v>
      </c>
      <c r="O200" s="101">
        <v>0</v>
      </c>
    </row>
    <row r="201" spans="1:15" x14ac:dyDescent="0.2">
      <c r="A201" s="60">
        <f>IF(TableWRMaster[[#This Row],[Player]]&lt;&gt;0,A200+1,A200)</f>
        <v>162</v>
      </c>
      <c r="B201" s="60" t="str">
        <f>WSH!A19</f>
        <v>Dax Milne</v>
      </c>
      <c r="C201" s="60" t="s">
        <v>140</v>
      </c>
      <c r="D201" s="60">
        <f>WSH!C19</f>
        <v>14</v>
      </c>
      <c r="E201" s="61">
        <f>WSH!J19</f>
        <v>0</v>
      </c>
      <c r="F201" s="61">
        <f>WSH!K19</f>
        <v>0</v>
      </c>
      <c r="G201" s="61">
        <f>WSH!L19</f>
        <v>12.981642520000001</v>
      </c>
      <c r="H201" s="61">
        <f>WSH!M19</f>
        <v>7.8668753671200005</v>
      </c>
      <c r="I201" s="61">
        <f>WSH!N19</f>
        <v>78.668753671200008</v>
      </c>
      <c r="J201" s="61">
        <f>WSH!O19</f>
        <v>0.33827564078616001</v>
      </c>
      <c r="K201" s="61">
        <f t="shared" si="23"/>
        <v>9.8965292118369597</v>
      </c>
      <c r="L201" s="61">
        <f t="shared" si="21"/>
        <v>13.829966895396961</v>
      </c>
      <c r="M201" s="61">
        <f t="shared" si="22"/>
        <v>17.763404578956958</v>
      </c>
      <c r="N201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13.829966895396961</v>
      </c>
      <c r="O201" s="101">
        <v>0</v>
      </c>
    </row>
    <row r="202" spans="1:15" x14ac:dyDescent="0.2">
      <c r="A202" s="60">
        <f>IF(TableWRMaster[[#This Row],[Player]]&lt;&gt;0,A201+1,A201)</f>
        <v>162</v>
      </c>
      <c r="B202" s="60">
        <f>WSH!A20</f>
        <v>0</v>
      </c>
      <c r="C202" s="60" t="s">
        <v>140</v>
      </c>
      <c r="D202" s="60">
        <f>WSH!C20</f>
        <v>14</v>
      </c>
      <c r="E202" s="61">
        <f>WSH!J20</f>
        <v>0</v>
      </c>
      <c r="F202" s="61">
        <f>WSH!K20</f>
        <v>0</v>
      </c>
      <c r="G202" s="61">
        <f>WSH!L20</f>
        <v>0</v>
      </c>
      <c r="H202" s="61">
        <f>WSH!M20</f>
        <v>0</v>
      </c>
      <c r="I202" s="61">
        <f>WSH!N20</f>
        <v>0</v>
      </c>
      <c r="J202" s="61">
        <f>WSH!O20</f>
        <v>0</v>
      </c>
      <c r="K202" s="61">
        <f t="shared" si="23"/>
        <v>0</v>
      </c>
      <c r="L202" s="61">
        <f t="shared" si="21"/>
        <v>0</v>
      </c>
      <c r="M202" s="61">
        <f t="shared" si="22"/>
        <v>0</v>
      </c>
      <c r="N202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202" s="101">
        <v>0</v>
      </c>
    </row>
    <row r="203" spans="1:15" x14ac:dyDescent="0.2">
      <c r="A203" s="60">
        <f>IF(TableWRMaster[[#This Row],[Player]]&lt;&gt;0,A202+1,A202)</f>
        <v>162</v>
      </c>
      <c r="B203" s="60">
        <f>WSH!A21</f>
        <v>0</v>
      </c>
      <c r="C203" s="60" t="s">
        <v>140</v>
      </c>
      <c r="D203" s="60">
        <f>WSH!C21</f>
        <v>14</v>
      </c>
      <c r="E203" s="61">
        <f>WSH!J21</f>
        <v>0</v>
      </c>
      <c r="F203" s="61">
        <f>WSH!K21</f>
        <v>0</v>
      </c>
      <c r="G203" s="61">
        <f>WSH!L21</f>
        <v>0</v>
      </c>
      <c r="H203" s="61">
        <f>WSH!M21</f>
        <v>0</v>
      </c>
      <c r="I203" s="61">
        <f>WSH!N21</f>
        <v>0</v>
      </c>
      <c r="J203" s="61">
        <f>WSH!O21</f>
        <v>0</v>
      </c>
      <c r="K203" s="61">
        <f t="shared" si="23"/>
        <v>0</v>
      </c>
      <c r="L203" s="61">
        <f t="shared" si="21"/>
        <v>0</v>
      </c>
      <c r="M203" s="61">
        <f t="shared" si="22"/>
        <v>0</v>
      </c>
      <c r="N203" s="100">
        <f>(TableWRMaster[[#This Row],[RUYD]]*RUSH_YARDS)+(TableWRMaster[[#This Row],[RUTD]]*RUSH_TDS)+(TableWRMaster[[#This Row],[TGT]]*TARGETS)+(TableWRMaster[[#This Row],[REC]]*RECEPTIONS_WR)+(TableWRMaster[[#This Row],[RCYD]]*RECV_YARDS)+(TableWRMaster[[#This Row],[RCTD]]*RECV_TDS)</f>
        <v>0</v>
      </c>
      <c r="O203" s="101">
        <v>0</v>
      </c>
    </row>
  </sheetData>
  <sortState xmlns:xlrd2="http://schemas.microsoft.com/office/spreadsheetml/2017/richdata2" ref="B2:M172">
    <sortCondition ref="C2:C172"/>
  </sortState>
  <phoneticPr fontId="20" type="noConversion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"/>
  <dimension ref="A1:M97"/>
  <sheetViews>
    <sheetView showGridLines="0" zoomScale="85" zoomScaleNormal="85" workbookViewId="0">
      <selection activeCell="A3" sqref="A3"/>
    </sheetView>
  </sheetViews>
  <sheetFormatPr baseColWidth="10" defaultColWidth="9.19921875" defaultRowHeight="15" x14ac:dyDescent="0.2"/>
  <cols>
    <col min="1" max="1" width="8.796875" style="60" bestFit="1" customWidth="1"/>
    <col min="2" max="2" width="21.19921875" style="60" bestFit="1" customWidth="1"/>
    <col min="3" max="3" width="6.59765625" style="60" bestFit="1" customWidth="1"/>
    <col min="4" max="4" width="7" style="60" bestFit="1" customWidth="1"/>
    <col min="5" max="5" width="7.19921875" style="60" bestFit="1" customWidth="1"/>
    <col min="6" max="6" width="7" style="60" bestFit="1" customWidth="1"/>
    <col min="7" max="8" width="8.3984375" style="60" bestFit="1" customWidth="1"/>
    <col min="9" max="9" width="6.796875" style="60" bestFit="1" customWidth="1"/>
    <col min="10" max="10" width="8.19921875" style="60" bestFit="1" customWidth="1"/>
    <col min="11" max="11" width="7" style="60" bestFit="1" customWidth="1"/>
    <col min="12" max="12" width="10" style="60" bestFit="1" customWidth="1"/>
    <col min="13" max="13" width="8.3984375" style="60" bestFit="1" customWidth="1"/>
    <col min="14" max="16384" width="9.19921875" style="60"/>
  </cols>
  <sheetData>
    <row r="1" spans="1:13" x14ac:dyDescent="0.2">
      <c r="A1" s="93" t="s">
        <v>443</v>
      </c>
      <c r="B1" s="93" t="s">
        <v>405</v>
      </c>
      <c r="C1" s="93" t="s">
        <v>106</v>
      </c>
      <c r="D1" s="93" t="s">
        <v>143</v>
      </c>
      <c r="E1" s="92" t="s">
        <v>3</v>
      </c>
      <c r="F1" s="92" t="s">
        <v>4</v>
      </c>
      <c r="G1" s="92" t="s">
        <v>160</v>
      </c>
      <c r="H1" s="92" t="s">
        <v>161</v>
      </c>
      <c r="I1" s="93" t="s">
        <v>138</v>
      </c>
      <c r="J1" s="93" t="s">
        <v>141</v>
      </c>
      <c r="K1" s="93" t="s">
        <v>142</v>
      </c>
      <c r="L1" s="93" t="s">
        <v>401</v>
      </c>
      <c r="M1" s="93" t="s">
        <v>375</v>
      </c>
    </row>
    <row r="2" spans="1:13" x14ac:dyDescent="0.2">
      <c r="A2" s="60">
        <v>1</v>
      </c>
      <c r="B2" s="60" t="str">
        <f>ARI!A$24</f>
        <v>Zach Ertz</v>
      </c>
      <c r="C2" s="60" t="s">
        <v>107</v>
      </c>
      <c r="D2" s="62">
        <f>ARI!C$24</f>
        <v>14</v>
      </c>
      <c r="E2" s="61">
        <f>ARI!L$24</f>
        <v>82.868309999999994</v>
      </c>
      <c r="F2" s="61">
        <f>ARI!M$24</f>
        <v>52.45564023</v>
      </c>
      <c r="G2" s="61">
        <f>ARI!N$24</f>
        <v>521.40906388619999</v>
      </c>
      <c r="H2" s="61">
        <f>ARI!O$24</f>
        <v>3.9866286574799998</v>
      </c>
      <c r="I2" s="61">
        <f t="shared" ref="I2:I33" si="0">(G2/10)+(H2*6)</f>
        <v>76.060678333499993</v>
      </c>
      <c r="J2" s="61">
        <f t="shared" ref="J2:J33" si="1">I2+(F2*0.5)</f>
        <v>102.28849844849999</v>
      </c>
      <c r="K2" s="61">
        <f t="shared" ref="K2:K33" si="2">I2+F2</f>
        <v>128.51631856349999</v>
      </c>
      <c r="L2" s="100">
        <f>(TableTEMaster[[#This Row],[TGT]]*TARGETS)+(TableTEMaster[[#This Row],[REC]]*RECEPTIONS_TE)+(TableTEMaster[[#This Row],[RCYD]]*RECV_YARDS)+(TableTEMaster[[#This Row],[RCTD]]*RECV_TDS)</f>
        <v>102.28849844849999</v>
      </c>
      <c r="M2" s="101">
        <v>0</v>
      </c>
    </row>
    <row r="3" spans="1:13" x14ac:dyDescent="0.2">
      <c r="A3" s="60">
        <f>IF(TableTEMaster[[#This Row],[Player]]&lt;&gt;0,A2+1,A2)</f>
        <v>2</v>
      </c>
      <c r="B3" s="60" t="str">
        <f>ARI!A$25</f>
        <v>Trey McBride</v>
      </c>
      <c r="C3" s="60" t="s">
        <v>107</v>
      </c>
      <c r="D3" s="62">
        <f>ARI!C$25</f>
        <v>14</v>
      </c>
      <c r="E3" s="61">
        <f>ARI!L$25</f>
        <v>74.461380000000005</v>
      </c>
      <c r="F3" s="61">
        <f>ARI!M$25</f>
        <v>47.655283200000007</v>
      </c>
      <c r="G3" s="61">
        <f>ARI!N$25</f>
        <v>484.17767731200007</v>
      </c>
      <c r="H3" s="61">
        <f>ARI!O$25</f>
        <v>3.5264909568000005</v>
      </c>
      <c r="I3" s="61">
        <f t="shared" si="0"/>
        <v>69.576713472000009</v>
      </c>
      <c r="J3" s="61">
        <f t="shared" si="1"/>
        <v>93.404355072000016</v>
      </c>
      <c r="K3" s="61">
        <f t="shared" si="2"/>
        <v>117.23199667200001</v>
      </c>
      <c r="L3" s="100">
        <f>(TableTEMaster[[#This Row],[TGT]]*TARGETS)+(TableTEMaster[[#This Row],[REC]]*RECEPTIONS_TE)+(TableTEMaster[[#This Row],[RCYD]]*RECV_YARDS)+(TableTEMaster[[#This Row],[RCTD]]*RECV_TDS)</f>
        <v>93.404355072000016</v>
      </c>
      <c r="M3" s="101">
        <v>0</v>
      </c>
    </row>
    <row r="4" spans="1:13" x14ac:dyDescent="0.2">
      <c r="A4" s="60">
        <f>IF(TableTEMaster[[#This Row],[Player]]&lt;&gt;0,A3+1,A3)</f>
        <v>2</v>
      </c>
      <c r="B4" s="60">
        <f>ARI!A$26</f>
        <v>0</v>
      </c>
      <c r="C4" s="60" t="s">
        <v>107</v>
      </c>
      <c r="D4" s="62">
        <f>ARI!C$26</f>
        <v>14</v>
      </c>
      <c r="E4" s="61">
        <f>ARI!L$26</f>
        <v>0</v>
      </c>
      <c r="F4" s="61">
        <f>ARI!M$26</f>
        <v>0</v>
      </c>
      <c r="G4" s="61">
        <f>ARI!N$26</f>
        <v>0</v>
      </c>
      <c r="H4" s="61">
        <f>ARI!O$26</f>
        <v>0</v>
      </c>
      <c r="I4" s="61">
        <f t="shared" si="0"/>
        <v>0</v>
      </c>
      <c r="J4" s="61">
        <f t="shared" si="1"/>
        <v>0</v>
      </c>
      <c r="K4" s="61">
        <f t="shared" si="2"/>
        <v>0</v>
      </c>
      <c r="L4" s="100">
        <f>(TableTEMaster[[#This Row],[TGT]]*TARGETS)+(TableTEMaster[[#This Row],[REC]]*RECEPTIONS_TE)+(TableTEMaster[[#This Row],[RCYD]]*RECV_YARDS)+(TableTEMaster[[#This Row],[RCTD]]*RECV_TDS)</f>
        <v>0</v>
      </c>
      <c r="M4" s="101">
        <v>0</v>
      </c>
    </row>
    <row r="5" spans="1:13" x14ac:dyDescent="0.2">
      <c r="A5" s="60">
        <f>IF(TableTEMaster[[#This Row],[Player]]&lt;&gt;0,A4+1,A4)</f>
        <v>3</v>
      </c>
      <c r="B5" s="60" t="str">
        <f>ATL!A$24</f>
        <v>Kyle Pitts</v>
      </c>
      <c r="C5" s="60" t="s">
        <v>108</v>
      </c>
      <c r="D5" s="62">
        <f>ATL!C$24</f>
        <v>11</v>
      </c>
      <c r="E5" s="61">
        <f>ATL!L$24</f>
        <v>98.625945599999966</v>
      </c>
      <c r="F5" s="61">
        <f>ATL!M$24</f>
        <v>58.500637645071741</v>
      </c>
      <c r="G5" s="61">
        <f>ATL!N$24</f>
        <v>801.45873573748281</v>
      </c>
      <c r="H5" s="61">
        <f>ATL!O$24</f>
        <v>4.8555529245409543</v>
      </c>
      <c r="I5" s="61">
        <f t="shared" si="0"/>
        <v>109.279191120994</v>
      </c>
      <c r="J5" s="61">
        <f t="shared" si="1"/>
        <v>138.52950994352986</v>
      </c>
      <c r="K5" s="61">
        <f t="shared" si="2"/>
        <v>167.77982876606575</v>
      </c>
      <c r="L5" s="100">
        <f>(TableTEMaster[[#This Row],[TGT]]*TARGETS)+(TableTEMaster[[#This Row],[REC]]*RECEPTIONS_TE)+(TableTEMaster[[#This Row],[RCYD]]*RECV_YARDS)+(TableTEMaster[[#This Row],[RCTD]]*RECV_TDS)</f>
        <v>138.52950994352989</v>
      </c>
      <c r="M5" s="101">
        <v>12.114545855777624</v>
      </c>
    </row>
    <row r="6" spans="1:13" x14ac:dyDescent="0.2">
      <c r="A6" s="60">
        <f>IF(TableTEMaster[[#This Row],[Player]]&lt;&gt;0,A5+1,A5)</f>
        <v>4</v>
      </c>
      <c r="B6" s="60" t="str">
        <f>ATL!A$25</f>
        <v>Jonnu Smith</v>
      </c>
      <c r="C6" s="60" t="s">
        <v>108</v>
      </c>
      <c r="D6" s="62">
        <f>ATL!C$25</f>
        <v>11</v>
      </c>
      <c r="E6" s="61">
        <f>ATL!L$25</f>
        <v>34.392637439999994</v>
      </c>
      <c r="F6" s="61">
        <f>ATL!M$25</f>
        <v>23.126402270091624</v>
      </c>
      <c r="G6" s="61">
        <f>ATL!N$25</f>
        <v>241.77366066071954</v>
      </c>
      <c r="H6" s="61">
        <f>ATL!O$25</f>
        <v>1.2719521248550394</v>
      </c>
      <c r="I6" s="61">
        <f t="shared" si="0"/>
        <v>31.809078815202191</v>
      </c>
      <c r="J6" s="61">
        <f t="shared" si="1"/>
        <v>43.372279950248</v>
      </c>
      <c r="K6" s="61">
        <f t="shared" si="2"/>
        <v>54.935481085293816</v>
      </c>
      <c r="L6" s="100">
        <f>(TableTEMaster[[#This Row],[TGT]]*TARGETS)+(TableTEMaster[[#This Row],[REC]]*RECEPTIONS_TE)+(TableTEMaster[[#This Row],[RCYD]]*RECV_YARDS)+(TableTEMaster[[#This Row],[RCTD]]*RECV_TDS)</f>
        <v>43.372279950248007</v>
      </c>
      <c r="M6" s="101">
        <v>0</v>
      </c>
    </row>
    <row r="7" spans="1:13" x14ac:dyDescent="0.2">
      <c r="A7" s="60">
        <f>IF(TableTEMaster[[#This Row],[Player]]&lt;&gt;0,A6+1,A6)</f>
        <v>5</v>
      </c>
      <c r="B7" s="60" t="str">
        <f>ATL!A$26</f>
        <v>MyCole Pruitt</v>
      </c>
      <c r="C7" s="60" t="s">
        <v>108</v>
      </c>
      <c r="D7" s="62">
        <f>ATL!C$26</f>
        <v>11</v>
      </c>
      <c r="E7" s="61">
        <f>ATL!L$26</f>
        <v>10.115481599999997</v>
      </c>
      <c r="F7" s="61">
        <f>ATL!M$26</f>
        <v>6.7470262271999983</v>
      </c>
      <c r="G7" s="61">
        <f>ATL!N$26</f>
        <v>66.120857026559989</v>
      </c>
      <c r="H7" s="61">
        <f>ATL!O$26</f>
        <v>0.31711023267839994</v>
      </c>
      <c r="I7" s="61">
        <f t="shared" si="0"/>
        <v>8.5147470987263993</v>
      </c>
      <c r="J7" s="61">
        <f t="shared" si="1"/>
        <v>11.888260212326399</v>
      </c>
      <c r="K7" s="61">
        <f t="shared" si="2"/>
        <v>15.261773325926399</v>
      </c>
      <c r="L7" s="100">
        <f>(TableTEMaster[[#This Row],[TGT]]*TARGETS)+(TableTEMaster[[#This Row],[REC]]*RECEPTIONS_TE)+(TableTEMaster[[#This Row],[RCYD]]*RECV_YARDS)+(TableTEMaster[[#This Row],[RCTD]]*RECV_TDS)</f>
        <v>11.888260212326399</v>
      </c>
      <c r="M7" s="101">
        <v>0</v>
      </c>
    </row>
    <row r="8" spans="1:13" x14ac:dyDescent="0.2">
      <c r="A8" s="60">
        <f>IF(TableTEMaster[[#This Row],[Player]]&lt;&gt;0,A7+1,A7)</f>
        <v>6</v>
      </c>
      <c r="B8" s="60" t="str">
        <f>BAL!A$24</f>
        <v>Mark Andrews</v>
      </c>
      <c r="C8" s="60" t="s">
        <v>109</v>
      </c>
      <c r="D8" s="62">
        <f>BAL!C$24</f>
        <v>13</v>
      </c>
      <c r="E8" s="61">
        <f>BAL!L$24</f>
        <v>125.10139824000001</v>
      </c>
      <c r="F8" s="61">
        <f>BAL!M$24</f>
        <v>80.850665364446556</v>
      </c>
      <c r="G8" s="61">
        <f>BAL!N$24</f>
        <v>976.47426787722952</v>
      </c>
      <c r="H8" s="61">
        <f>BAL!O$24</f>
        <v>7.3948779296749896</v>
      </c>
      <c r="I8" s="61">
        <f t="shared" si="0"/>
        <v>142.01669436577288</v>
      </c>
      <c r="J8" s="61">
        <f t="shared" si="1"/>
        <v>182.44202704799616</v>
      </c>
      <c r="K8" s="61">
        <f t="shared" si="2"/>
        <v>222.86735973021945</v>
      </c>
      <c r="L8" s="100">
        <f>(TableTEMaster[[#This Row],[TGT]]*TARGETS)+(TableTEMaster[[#This Row],[REC]]*RECEPTIONS_TE)+(TableTEMaster[[#This Row],[RCYD]]*RECV_YARDS)+(TableTEMaster[[#This Row],[RCTD]]*RECV_TDS)</f>
        <v>182.44202704799619</v>
      </c>
      <c r="M8" s="101">
        <v>10.707949016487902</v>
      </c>
    </row>
    <row r="9" spans="1:13" x14ac:dyDescent="0.2">
      <c r="A9" s="60">
        <f>IF(TableTEMaster[[#This Row],[Player]]&lt;&gt;0,A8+1,A8)</f>
        <v>7</v>
      </c>
      <c r="B9" s="60" t="str">
        <f>BAL!A$25</f>
        <v>Isaiah Likely</v>
      </c>
      <c r="C9" s="60" t="s">
        <v>109</v>
      </c>
      <c r="D9" s="62">
        <f>BAL!C$25</f>
        <v>13</v>
      </c>
      <c r="E9" s="61">
        <f>BAL!L$25</f>
        <v>39.027359279999999</v>
      </c>
      <c r="F9" s="61">
        <f>BAL!M$25</f>
        <v>25.516553443502907</v>
      </c>
      <c r="G9" s="61">
        <f>BAL!N$25</f>
        <v>273.51470156259649</v>
      </c>
      <c r="H9" s="61">
        <f>BAL!O$25</f>
        <v>2.1689070426977475</v>
      </c>
      <c r="I9" s="61">
        <f t="shared" si="0"/>
        <v>40.364912412446131</v>
      </c>
      <c r="J9" s="61">
        <f t="shared" si="1"/>
        <v>53.123189134197588</v>
      </c>
      <c r="K9" s="61">
        <f t="shared" si="2"/>
        <v>65.881465855949045</v>
      </c>
      <c r="L9" s="100">
        <f>(TableTEMaster[[#This Row],[TGT]]*TARGETS)+(TableTEMaster[[#This Row],[REC]]*RECEPTIONS_TE)+(TableTEMaster[[#This Row],[RCYD]]*RECV_YARDS)+(TableTEMaster[[#This Row],[RCTD]]*RECV_TDS)</f>
        <v>53.123189134197595</v>
      </c>
      <c r="M9" s="101">
        <v>0</v>
      </c>
    </row>
    <row r="10" spans="1:13" x14ac:dyDescent="0.2">
      <c r="A10" s="60">
        <f>IF(TableTEMaster[[#This Row],[Player]]&lt;&gt;0,A9+1,A9)</f>
        <v>8</v>
      </c>
      <c r="B10" s="60" t="str">
        <f>BAL!A$26</f>
        <v>Charlie Kolar</v>
      </c>
      <c r="C10" s="60" t="s">
        <v>109</v>
      </c>
      <c r="D10" s="62">
        <f>BAL!C$26</f>
        <v>13</v>
      </c>
      <c r="E10" s="61">
        <f>BAL!L$26</f>
        <v>6.4154563200000005</v>
      </c>
      <c r="F10" s="61">
        <f>BAL!M$26</f>
        <v>4.0238057718349918</v>
      </c>
      <c r="G10" s="61">
        <f>BAL!N$26</f>
        <v>40.60923004721645</v>
      </c>
      <c r="H10" s="61">
        <f>BAL!O$26</f>
        <v>0.28166640402844945</v>
      </c>
      <c r="I10" s="61">
        <f t="shared" si="0"/>
        <v>5.750921428892342</v>
      </c>
      <c r="J10" s="61">
        <f t="shared" si="1"/>
        <v>7.7628243148098379</v>
      </c>
      <c r="K10" s="61">
        <f t="shared" si="2"/>
        <v>9.7747272007273338</v>
      </c>
      <c r="L10" s="100">
        <f>(TableTEMaster[[#This Row],[TGT]]*TARGETS)+(TableTEMaster[[#This Row],[REC]]*RECEPTIONS_TE)+(TableTEMaster[[#This Row],[RCYD]]*RECV_YARDS)+(TableTEMaster[[#This Row],[RCTD]]*RECV_TDS)</f>
        <v>7.7628243148098379</v>
      </c>
      <c r="M10" s="101">
        <v>0</v>
      </c>
    </row>
    <row r="11" spans="1:13" x14ac:dyDescent="0.2">
      <c r="A11" s="60">
        <f>IF(TableTEMaster[[#This Row],[Player]]&lt;&gt;0,A10+1,A10)</f>
        <v>9</v>
      </c>
      <c r="B11" s="60" t="str">
        <f>BUF!A$24</f>
        <v>Dawson Knox</v>
      </c>
      <c r="C11" s="60" t="s">
        <v>110</v>
      </c>
      <c r="D11" s="62">
        <f>BUF!C$24</f>
        <v>13</v>
      </c>
      <c r="E11" s="61">
        <f>BUF!L$24</f>
        <v>68.630870000000002</v>
      </c>
      <c r="F11" s="61">
        <f>BUF!M$24</f>
        <v>45.817149323990378</v>
      </c>
      <c r="G11" s="61">
        <f>BUF!N$24</f>
        <v>485.66178283429798</v>
      </c>
      <c r="H11" s="61">
        <f>BUF!O$24</f>
        <v>5.085703574962932</v>
      </c>
      <c r="I11" s="61">
        <f t="shared" si="0"/>
        <v>79.0803997332074</v>
      </c>
      <c r="J11" s="61">
        <f t="shared" si="1"/>
        <v>101.98897439520259</v>
      </c>
      <c r="K11" s="61">
        <f t="shared" si="2"/>
        <v>124.89754905719778</v>
      </c>
      <c r="L11" s="100">
        <f>(TableTEMaster[[#This Row],[TGT]]*TARGETS)+(TableTEMaster[[#This Row],[REC]]*RECEPTIONS_TE)+(TableTEMaster[[#This Row],[RCYD]]*RECV_YARDS)+(TableTEMaster[[#This Row],[RCTD]]*RECV_TDS)</f>
        <v>101.98897439520259</v>
      </c>
      <c r="M11" s="101">
        <v>0</v>
      </c>
    </row>
    <row r="12" spans="1:13" x14ac:dyDescent="0.2">
      <c r="A12" s="60">
        <f>IF(TableTEMaster[[#This Row],[Player]]&lt;&gt;0,A11+1,A11)</f>
        <v>10</v>
      </c>
      <c r="B12" s="60" t="str">
        <f>BUF!A$25</f>
        <v>Dalton Kincaid</v>
      </c>
      <c r="C12" s="60" t="s">
        <v>110</v>
      </c>
      <c r="D12" s="62">
        <f>BUF!C$25</f>
        <v>13</v>
      </c>
      <c r="E12" s="61">
        <f>BUF!L$25</f>
        <v>70.555099999999996</v>
      </c>
      <c r="F12" s="61">
        <f>BUF!M$25</f>
        <v>47.641053856637697</v>
      </c>
      <c r="G12" s="61">
        <f>BUF!N$25</f>
        <v>525.00441350014739</v>
      </c>
      <c r="H12" s="61">
        <f>BUF!O$25</f>
        <v>5.8122085705097986</v>
      </c>
      <c r="I12" s="61">
        <f t="shared" si="0"/>
        <v>87.373692773073529</v>
      </c>
      <c r="J12" s="61">
        <f t="shared" si="1"/>
        <v>111.19421970139237</v>
      </c>
      <c r="K12" s="61">
        <f t="shared" si="2"/>
        <v>135.01474662971123</v>
      </c>
      <c r="L12" s="100">
        <f>(TableTEMaster[[#This Row],[TGT]]*TARGETS)+(TableTEMaster[[#This Row],[REC]]*RECEPTIONS_TE)+(TableTEMaster[[#This Row],[RCYD]]*RECV_YARDS)+(TableTEMaster[[#This Row],[RCTD]]*RECV_TDS)</f>
        <v>111.19421970139238</v>
      </c>
      <c r="M12" s="101">
        <v>0</v>
      </c>
    </row>
    <row r="13" spans="1:13" x14ac:dyDescent="0.2">
      <c r="A13" s="60">
        <f>IF(TableTEMaster[[#This Row],[Player]]&lt;&gt;0,A12+1,A12)</f>
        <v>11</v>
      </c>
      <c r="B13" s="60" t="str">
        <f>BUF!A$26</f>
        <v>Quintin Morris</v>
      </c>
      <c r="C13" s="60" t="s">
        <v>110</v>
      </c>
      <c r="D13" s="62">
        <f>BUF!C$26</f>
        <v>13</v>
      </c>
      <c r="E13" s="61">
        <f>BUF!L$26</f>
        <v>6.4140999999999995</v>
      </c>
      <c r="F13" s="61">
        <f>BUF!M$26</f>
        <v>4.2935440752808356</v>
      </c>
      <c r="G13" s="61">
        <f>BUF!N$26</f>
        <v>45.370340632044034</v>
      </c>
      <c r="H13" s="61">
        <f>BUF!O$26</f>
        <v>0.42935440752808357</v>
      </c>
      <c r="I13" s="61">
        <f t="shared" si="0"/>
        <v>7.1131605083729053</v>
      </c>
      <c r="J13" s="61">
        <f t="shared" si="1"/>
        <v>9.2599325460133226</v>
      </c>
      <c r="K13" s="61">
        <f t="shared" si="2"/>
        <v>11.406704583653742</v>
      </c>
      <c r="L13" s="100">
        <f>(TableTEMaster[[#This Row],[TGT]]*TARGETS)+(TableTEMaster[[#This Row],[REC]]*RECEPTIONS_TE)+(TableTEMaster[[#This Row],[RCYD]]*RECV_YARDS)+(TableTEMaster[[#This Row],[RCTD]]*RECV_TDS)</f>
        <v>9.2599325460133226</v>
      </c>
      <c r="M13" s="101">
        <v>0</v>
      </c>
    </row>
    <row r="14" spans="1:13" x14ac:dyDescent="0.2">
      <c r="A14" s="60">
        <f>IF(TableTEMaster[[#This Row],[Player]]&lt;&gt;0,A13+1,A13)</f>
        <v>12</v>
      </c>
      <c r="B14" s="60" t="str">
        <f>CAR!A$24</f>
        <v>Hayden Hurst</v>
      </c>
      <c r="C14" s="60" t="s">
        <v>111</v>
      </c>
      <c r="D14" s="62">
        <f>CAR!C$24</f>
        <v>7</v>
      </c>
      <c r="E14" s="61">
        <f>CAR!L$24</f>
        <v>62.375057639999994</v>
      </c>
      <c r="F14" s="61">
        <f>CAR!M$24</f>
        <v>43.987078475378276</v>
      </c>
      <c r="G14" s="61">
        <f>CAR!N$24</f>
        <v>400.2824141259423</v>
      </c>
      <c r="H14" s="61">
        <f>CAR!O$24</f>
        <v>3.6949145919317754</v>
      </c>
      <c r="I14" s="61">
        <f t="shared" si="0"/>
        <v>62.197728964184876</v>
      </c>
      <c r="J14" s="61">
        <f t="shared" si="1"/>
        <v>84.19126820187401</v>
      </c>
      <c r="K14" s="61">
        <f t="shared" si="2"/>
        <v>106.18480743956314</v>
      </c>
      <c r="L14" s="100">
        <f>(TableTEMaster[[#This Row],[TGT]]*TARGETS)+(TableTEMaster[[#This Row],[REC]]*RECEPTIONS_TE)+(TableTEMaster[[#This Row],[RCYD]]*RECV_YARDS)+(TableTEMaster[[#This Row],[RCTD]]*RECV_TDS)</f>
        <v>84.191268201874024</v>
      </c>
      <c r="M14" s="101">
        <v>0</v>
      </c>
    </row>
    <row r="15" spans="1:13" x14ac:dyDescent="0.2">
      <c r="A15" s="60">
        <f>IF(TableTEMaster[[#This Row],[Player]]&lt;&gt;0,A14+1,A14)</f>
        <v>13</v>
      </c>
      <c r="B15" s="60" t="str">
        <f>CAR!A$25</f>
        <v>Ian Thomas</v>
      </c>
      <c r="C15" s="60" t="s">
        <v>111</v>
      </c>
      <c r="D15" s="62">
        <f>CAR!C$25</f>
        <v>7</v>
      </c>
      <c r="E15" s="61">
        <f>CAR!L$25</f>
        <v>8.8266590999999988</v>
      </c>
      <c r="F15" s="61">
        <f>CAR!M$25</f>
        <v>6.5754703001501724</v>
      </c>
      <c r="G15" s="61">
        <f>CAR!N$25</f>
        <v>61.464953862849072</v>
      </c>
      <c r="H15" s="61">
        <f>CAR!O$25</f>
        <v>0.40110368830916049</v>
      </c>
      <c r="I15" s="61">
        <f t="shared" si="0"/>
        <v>8.5531175161398707</v>
      </c>
      <c r="J15" s="61">
        <f t="shared" si="1"/>
        <v>11.840852666214957</v>
      </c>
      <c r="K15" s="61">
        <f t="shared" si="2"/>
        <v>15.128587816290043</v>
      </c>
      <c r="L15" s="100">
        <f>(TableTEMaster[[#This Row],[TGT]]*TARGETS)+(TableTEMaster[[#This Row],[REC]]*RECEPTIONS_TE)+(TableTEMaster[[#This Row],[RCYD]]*RECV_YARDS)+(TableTEMaster[[#This Row],[RCTD]]*RECV_TDS)</f>
        <v>11.840852666214957</v>
      </c>
      <c r="M15" s="101">
        <v>0</v>
      </c>
    </row>
    <row r="16" spans="1:13" x14ac:dyDescent="0.2">
      <c r="A16" s="60">
        <f>IF(TableTEMaster[[#This Row],[Player]]&lt;&gt;0,A15+1,A15)</f>
        <v>14</v>
      </c>
      <c r="B16" s="60" t="str">
        <f>CAR!A$26</f>
        <v>Tommy Tremble</v>
      </c>
      <c r="C16" s="60" t="s">
        <v>111</v>
      </c>
      <c r="D16" s="62">
        <f>CAR!C$26</f>
        <v>7</v>
      </c>
      <c r="E16" s="61">
        <f>CAR!L$26</f>
        <v>17.06487426</v>
      </c>
      <c r="F16" s="61">
        <f>CAR!M$26</f>
        <v>10.156222830388456</v>
      </c>
      <c r="G16" s="61">
        <f>CAR!N$26</f>
        <v>104.94190783760391</v>
      </c>
      <c r="H16" s="61">
        <f>CAR!O$26</f>
        <v>0.91406005473496099</v>
      </c>
      <c r="I16" s="61">
        <f t="shared" si="0"/>
        <v>15.978551112170157</v>
      </c>
      <c r="J16" s="61">
        <f t="shared" si="1"/>
        <v>21.056662527364384</v>
      </c>
      <c r="K16" s="61">
        <f t="shared" si="2"/>
        <v>26.134773942558613</v>
      </c>
      <c r="L16" s="100">
        <f>(TableTEMaster[[#This Row],[TGT]]*TARGETS)+(TableTEMaster[[#This Row],[REC]]*RECEPTIONS_TE)+(TableTEMaster[[#This Row],[RCYD]]*RECV_YARDS)+(TableTEMaster[[#This Row],[RCTD]]*RECV_TDS)</f>
        <v>21.056662527364388</v>
      </c>
      <c r="M16" s="101">
        <v>0</v>
      </c>
    </row>
    <row r="17" spans="1:13" x14ac:dyDescent="0.2">
      <c r="A17" s="60">
        <f>IF(TableTEMaster[[#This Row],[Player]]&lt;&gt;0,A16+1,A16)</f>
        <v>15</v>
      </c>
      <c r="B17" s="60" t="str">
        <f>CHI!A$24</f>
        <v>Cole Kmet</v>
      </c>
      <c r="C17" s="60" t="s">
        <v>112</v>
      </c>
      <c r="D17" s="62">
        <f>CHI!C$24</f>
        <v>13</v>
      </c>
      <c r="E17" s="61">
        <f>CHI!L$24</f>
        <v>81.233399519999978</v>
      </c>
      <c r="F17" s="61">
        <f>CHI!M$24</f>
        <v>54.141437951405258</v>
      </c>
      <c r="G17" s="61">
        <f>CHI!N$24</f>
        <v>582.36968269780061</v>
      </c>
      <c r="H17" s="61">
        <f>CHI!O$24</f>
        <v>4.4937393499666367</v>
      </c>
      <c r="I17" s="61">
        <f t="shared" si="0"/>
        <v>85.199404369579881</v>
      </c>
      <c r="J17" s="61">
        <f t="shared" si="1"/>
        <v>112.27012334528251</v>
      </c>
      <c r="K17" s="61">
        <f t="shared" si="2"/>
        <v>139.34084232098513</v>
      </c>
      <c r="L17" s="100">
        <f>(TableTEMaster[[#This Row],[TGT]]*TARGETS)+(TableTEMaster[[#This Row],[REC]]*RECEPTIONS_TE)+(TableTEMaster[[#This Row],[RCYD]]*RECV_YARDS)+(TableTEMaster[[#This Row],[RCTD]]*RECV_TDS)</f>
        <v>112.27012334528251</v>
      </c>
      <c r="M17" s="101">
        <v>1.8058939937235041</v>
      </c>
    </row>
    <row r="18" spans="1:13" x14ac:dyDescent="0.2">
      <c r="A18" s="60">
        <f>IF(TableTEMaster[[#This Row],[Player]]&lt;&gt;0,A17+1,A17)</f>
        <v>16</v>
      </c>
      <c r="B18" s="60" t="str">
        <f>CHI!A$25</f>
        <v>Robert Tonyan</v>
      </c>
      <c r="C18" s="60" t="s">
        <v>112</v>
      </c>
      <c r="D18" s="62">
        <f>CHI!C$25</f>
        <v>13</v>
      </c>
      <c r="E18" s="61">
        <f>CHI!L$25</f>
        <v>17.439938879999996</v>
      </c>
      <c r="F18" s="61">
        <f>CHI!M$25</f>
        <v>12.016117888319997</v>
      </c>
      <c r="G18" s="61">
        <f>CHI!N$25</f>
        <v>119.73482714973335</v>
      </c>
      <c r="H18" s="61">
        <f>CHI!O$25</f>
        <v>0.84112825218239984</v>
      </c>
      <c r="I18" s="61">
        <f t="shared" si="0"/>
        <v>17.020252228067733</v>
      </c>
      <c r="J18" s="61">
        <f t="shared" si="1"/>
        <v>23.028311172227731</v>
      </c>
      <c r="K18" s="61">
        <f t="shared" si="2"/>
        <v>29.036370116387729</v>
      </c>
      <c r="L18" s="100">
        <f>(TableTEMaster[[#This Row],[TGT]]*TARGETS)+(TableTEMaster[[#This Row],[REC]]*RECEPTIONS_TE)+(TableTEMaster[[#This Row],[RCYD]]*RECV_YARDS)+(TableTEMaster[[#This Row],[RCTD]]*RECV_TDS)</f>
        <v>23.028311172227735</v>
      </c>
      <c r="M18" s="101">
        <v>0</v>
      </c>
    </row>
    <row r="19" spans="1:13" x14ac:dyDescent="0.2">
      <c r="A19" s="60">
        <f>IF(TableTEMaster[[#This Row],[Player]]&lt;&gt;0,A18+1,A18)</f>
        <v>16</v>
      </c>
      <c r="B19" s="60">
        <f>CHI!A$26</f>
        <v>0</v>
      </c>
      <c r="C19" s="60" t="s">
        <v>112</v>
      </c>
      <c r="D19" s="62">
        <f>CHI!C$26</f>
        <v>13</v>
      </c>
      <c r="E19" s="61">
        <f>CHI!L$26</f>
        <v>0</v>
      </c>
      <c r="F19" s="61">
        <f>CHI!M$26</f>
        <v>0</v>
      </c>
      <c r="G19" s="61">
        <f>CHI!N$26</f>
        <v>0</v>
      </c>
      <c r="H19" s="61">
        <f>CHI!O$26</f>
        <v>0</v>
      </c>
      <c r="I19" s="61">
        <f t="shared" si="0"/>
        <v>0</v>
      </c>
      <c r="J19" s="61">
        <f t="shared" si="1"/>
        <v>0</v>
      </c>
      <c r="K19" s="61">
        <f t="shared" si="2"/>
        <v>0</v>
      </c>
      <c r="L19" s="100">
        <f>(TableTEMaster[[#This Row],[TGT]]*TARGETS)+(TableTEMaster[[#This Row],[REC]]*RECEPTIONS_TE)+(TableTEMaster[[#This Row],[RCYD]]*RECV_YARDS)+(TableTEMaster[[#This Row],[RCTD]]*RECV_TDS)</f>
        <v>0</v>
      </c>
      <c r="M19" s="101">
        <v>0</v>
      </c>
    </row>
    <row r="20" spans="1:13" x14ac:dyDescent="0.2">
      <c r="A20" s="60">
        <f>IF(TableTEMaster[[#This Row],[Player]]&lt;&gt;0,A19+1,A19)</f>
        <v>17</v>
      </c>
      <c r="B20" s="60" t="str">
        <f>CIN!A$24</f>
        <v>Irv Smith</v>
      </c>
      <c r="C20" s="60" t="s">
        <v>113</v>
      </c>
      <c r="D20" s="62">
        <f>CIN!C$24</f>
        <v>7</v>
      </c>
      <c r="E20" s="61">
        <f>CIN!L$24</f>
        <v>69.543280379999999</v>
      </c>
      <c r="F20" s="61">
        <f>CIN!M$24</f>
        <v>48.738250068498253</v>
      </c>
      <c r="G20" s="61">
        <f>CIN!N$24</f>
        <v>482.5086756781327</v>
      </c>
      <c r="H20" s="61">
        <f>CIN!O$24</f>
        <v>4.2402277559593475</v>
      </c>
      <c r="I20" s="61">
        <f t="shared" si="0"/>
        <v>73.692234103569362</v>
      </c>
      <c r="J20" s="61">
        <f t="shared" si="1"/>
        <v>98.061359137818485</v>
      </c>
      <c r="K20" s="61">
        <f t="shared" si="2"/>
        <v>122.43048417206762</v>
      </c>
      <c r="L20" s="100">
        <f>(TableTEMaster[[#This Row],[TGT]]*TARGETS)+(TableTEMaster[[#This Row],[REC]]*RECEPTIONS_TE)+(TableTEMaster[[#This Row],[RCYD]]*RECV_YARDS)+(TableTEMaster[[#This Row],[RCTD]]*RECV_TDS)</f>
        <v>98.061359137818485</v>
      </c>
      <c r="M20" s="101">
        <v>0</v>
      </c>
    </row>
    <row r="21" spans="1:13" x14ac:dyDescent="0.2">
      <c r="A21" s="60">
        <f>IF(TableTEMaster[[#This Row],[Player]]&lt;&gt;0,A20+1,A20)</f>
        <v>18</v>
      </c>
      <c r="B21" s="60" t="str">
        <f>CIN!A$25</f>
        <v>Mitchell Wilcox</v>
      </c>
      <c r="C21" s="60" t="s">
        <v>113</v>
      </c>
      <c r="D21" s="62">
        <f>CIN!C$25</f>
        <v>7</v>
      </c>
      <c r="E21" s="61">
        <f>CIN!L$25</f>
        <v>12.308545199999999</v>
      </c>
      <c r="F21" s="61">
        <f>CIN!M$25</f>
        <v>8.2787846729279018</v>
      </c>
      <c r="G21" s="61">
        <f>CIN!N$25</f>
        <v>74.862406101684826</v>
      </c>
      <c r="H21" s="61">
        <f>CIN!O$25</f>
        <v>0.41393923364639512</v>
      </c>
      <c r="I21" s="61">
        <f t="shared" si="0"/>
        <v>9.9698760120468535</v>
      </c>
      <c r="J21" s="61">
        <f t="shared" si="1"/>
        <v>14.109268348510804</v>
      </c>
      <c r="K21" s="61">
        <f t="shared" si="2"/>
        <v>18.248660684974755</v>
      </c>
      <c r="L21" s="100">
        <f>(TableTEMaster[[#This Row],[TGT]]*TARGETS)+(TableTEMaster[[#This Row],[REC]]*RECEPTIONS_TE)+(TableTEMaster[[#This Row],[RCYD]]*RECV_YARDS)+(TableTEMaster[[#This Row],[RCTD]]*RECV_TDS)</f>
        <v>14.109268348510804</v>
      </c>
      <c r="M21" s="101">
        <v>0</v>
      </c>
    </row>
    <row r="22" spans="1:13" x14ac:dyDescent="0.2">
      <c r="A22" s="60">
        <f>IF(TableTEMaster[[#This Row],[Player]]&lt;&gt;0,A21+1,A21)</f>
        <v>19</v>
      </c>
      <c r="B22" s="60" t="str">
        <f>CIN!A$26</f>
        <v>Drew Sample</v>
      </c>
      <c r="C22" s="60" t="s">
        <v>113</v>
      </c>
      <c r="D22" s="62">
        <f>CIN!C$26</f>
        <v>7</v>
      </c>
      <c r="E22" s="61">
        <f>CIN!L$26</f>
        <v>18.4628178</v>
      </c>
      <c r="F22" s="61">
        <f>CIN!M$26</f>
        <v>12.554716104000001</v>
      </c>
      <c r="G22" s="61">
        <f>CIN!N$26</f>
        <v>109.2260301048</v>
      </c>
      <c r="H22" s="61">
        <f>CIN!O$26</f>
        <v>0.83698107360000007</v>
      </c>
      <c r="I22" s="61">
        <f t="shared" si="0"/>
        <v>15.944489452079999</v>
      </c>
      <c r="J22" s="61">
        <f t="shared" si="1"/>
        <v>22.221847504079999</v>
      </c>
      <c r="K22" s="61">
        <f t="shared" si="2"/>
        <v>28.49920555608</v>
      </c>
      <c r="L22" s="100">
        <f>(TableTEMaster[[#This Row],[TGT]]*TARGETS)+(TableTEMaster[[#This Row],[REC]]*RECEPTIONS_TE)+(TableTEMaster[[#This Row],[RCYD]]*RECV_YARDS)+(TableTEMaster[[#This Row],[RCTD]]*RECV_TDS)</f>
        <v>22.221847504079999</v>
      </c>
      <c r="M22" s="101">
        <v>0</v>
      </c>
    </row>
    <row r="23" spans="1:13" x14ac:dyDescent="0.2">
      <c r="A23" s="60">
        <f>IF(TableTEMaster[[#This Row],[Player]]&lt;&gt;0,A22+1,A22)</f>
        <v>20</v>
      </c>
      <c r="B23" s="60" t="str">
        <f>CLE!A$24</f>
        <v>David Njoku</v>
      </c>
      <c r="C23" s="60" t="s">
        <v>114</v>
      </c>
      <c r="D23" s="62">
        <f>CLE!C$24</f>
        <v>5</v>
      </c>
      <c r="E23" s="61">
        <f>CLE!L$24</f>
        <v>88.438580999999999</v>
      </c>
      <c r="F23" s="61">
        <f>CLE!M$24</f>
        <v>62.079510416968382</v>
      </c>
      <c r="G23" s="61">
        <f>CLE!N$24</f>
        <v>682.80338389024371</v>
      </c>
      <c r="H23" s="61">
        <f>CLE!O$24</f>
        <v>5.5871559375271538</v>
      </c>
      <c r="I23" s="61">
        <f t="shared" si="0"/>
        <v>101.80327401418728</v>
      </c>
      <c r="J23" s="61">
        <f t="shared" si="1"/>
        <v>132.84302922267148</v>
      </c>
      <c r="K23" s="61">
        <f t="shared" si="2"/>
        <v>163.88278443115567</v>
      </c>
      <c r="L23" s="100">
        <f>(TableTEMaster[[#This Row],[TGT]]*TARGETS)+(TableTEMaster[[#This Row],[REC]]*RECEPTIONS_TE)+(TableTEMaster[[#This Row],[RCYD]]*RECV_YARDS)+(TableTEMaster[[#This Row],[RCTD]]*RECV_TDS)</f>
        <v>132.8430292226715</v>
      </c>
      <c r="M23" s="101">
        <v>0.40204588310140438</v>
      </c>
    </row>
    <row r="24" spans="1:13" x14ac:dyDescent="0.2">
      <c r="A24" s="60">
        <f>IF(TableTEMaster[[#This Row],[Player]]&lt;&gt;0,A23+1,A23)</f>
        <v>21</v>
      </c>
      <c r="B24" s="60" t="str">
        <f>CLE!A$25</f>
        <v>Harrison Bryant</v>
      </c>
      <c r="C24" s="60" t="s">
        <v>114</v>
      </c>
      <c r="D24" s="62">
        <f>CLE!C$25</f>
        <v>5</v>
      </c>
      <c r="E24" s="61">
        <f>CLE!L$25</f>
        <v>16.6157334</v>
      </c>
      <c r="F24" s="61">
        <f>CLE!M$25</f>
        <v>11.939137541930981</v>
      </c>
      <c r="G24" s="61">
        <f>CLE!N$25</f>
        <v>114.31426272827018</v>
      </c>
      <c r="H24" s="61">
        <f>CLE!O$25</f>
        <v>0.83573962793516876</v>
      </c>
      <c r="I24" s="61">
        <f t="shared" si="0"/>
        <v>16.445864040438032</v>
      </c>
      <c r="J24" s="61">
        <f t="shared" si="1"/>
        <v>22.415432811403523</v>
      </c>
      <c r="K24" s="61">
        <f t="shared" si="2"/>
        <v>28.385001582369014</v>
      </c>
      <c r="L24" s="100">
        <f>(TableTEMaster[[#This Row],[TGT]]*TARGETS)+(TableTEMaster[[#This Row],[REC]]*RECEPTIONS_TE)+(TableTEMaster[[#This Row],[RCYD]]*RECV_YARDS)+(TableTEMaster[[#This Row],[RCTD]]*RECV_TDS)</f>
        <v>22.41543281140352</v>
      </c>
      <c r="M24" s="101">
        <v>0</v>
      </c>
    </row>
    <row r="25" spans="1:13" x14ac:dyDescent="0.2">
      <c r="A25" s="60">
        <f>IF(TableTEMaster[[#This Row],[Player]]&lt;&gt;0,A24+1,A24)</f>
        <v>22</v>
      </c>
      <c r="B25" s="60" t="str">
        <f>CLE!A$26</f>
        <v>Jordan Akins</v>
      </c>
      <c r="C25" s="60" t="s">
        <v>114</v>
      </c>
      <c r="D25" s="62">
        <f>CLE!C$26</f>
        <v>5</v>
      </c>
      <c r="E25" s="61">
        <f>CLE!L$26</f>
        <v>15.007759199999997</v>
      </c>
      <c r="F25" s="61">
        <f>CLE!M$26</f>
        <v>10.81527932571105</v>
      </c>
      <c r="G25" s="61">
        <f>CLE!N$26</f>
        <v>120.86263916319592</v>
      </c>
      <c r="H25" s="61">
        <f>CLE!O$26</f>
        <v>0.89766818403401716</v>
      </c>
      <c r="I25" s="61">
        <f t="shared" si="0"/>
        <v>17.472273020523694</v>
      </c>
      <c r="J25" s="61">
        <f t="shared" si="1"/>
        <v>22.879912683379217</v>
      </c>
      <c r="K25" s="61">
        <f t="shared" si="2"/>
        <v>28.287552346234744</v>
      </c>
      <c r="L25" s="100">
        <f>(TableTEMaster[[#This Row],[TGT]]*TARGETS)+(TableTEMaster[[#This Row],[REC]]*RECEPTIONS_TE)+(TableTEMaster[[#This Row],[RCYD]]*RECV_YARDS)+(TableTEMaster[[#This Row],[RCTD]]*RECV_TDS)</f>
        <v>22.879912683379221</v>
      </c>
      <c r="M25" s="101">
        <v>0</v>
      </c>
    </row>
    <row r="26" spans="1:13" x14ac:dyDescent="0.2">
      <c r="A26" s="60">
        <f>IF(TableTEMaster[[#This Row],[Player]]&lt;&gt;0,A25+1,A25)</f>
        <v>23</v>
      </c>
      <c r="B26" s="60" t="str">
        <f>DAL!A$24</f>
        <v>Jake Ferguson</v>
      </c>
      <c r="C26" s="60" t="s">
        <v>115</v>
      </c>
      <c r="D26" s="62">
        <f>DAL!C$24</f>
        <v>7</v>
      </c>
      <c r="E26" s="61">
        <f>DAL!L$24</f>
        <v>65.694182400000003</v>
      </c>
      <c r="F26" s="61">
        <f>DAL!M$24</f>
        <v>47.068609710189847</v>
      </c>
      <c r="G26" s="61">
        <f>DAL!N$24</f>
        <v>470.68609710189844</v>
      </c>
      <c r="H26" s="61">
        <f>DAL!O$24</f>
        <v>5.0363412389903139</v>
      </c>
      <c r="I26" s="61">
        <f t="shared" si="0"/>
        <v>77.286657144131738</v>
      </c>
      <c r="J26" s="61">
        <f t="shared" si="1"/>
        <v>100.82096199922665</v>
      </c>
      <c r="K26" s="61">
        <f t="shared" si="2"/>
        <v>124.35526685432158</v>
      </c>
      <c r="L26" s="100">
        <f>(TableTEMaster[[#This Row],[TGT]]*TARGETS)+(TableTEMaster[[#This Row],[REC]]*RECEPTIONS_TE)+(TableTEMaster[[#This Row],[RCYD]]*RECV_YARDS)+(TableTEMaster[[#This Row],[RCTD]]*RECV_TDS)</f>
        <v>100.82096199922665</v>
      </c>
      <c r="M26" s="101">
        <v>1.1488415014446289</v>
      </c>
    </row>
    <row r="27" spans="1:13" x14ac:dyDescent="0.2">
      <c r="A27" s="60">
        <f>IF(TableTEMaster[[#This Row],[Player]]&lt;&gt;0,A26+1,A26)</f>
        <v>24</v>
      </c>
      <c r="B27" s="60" t="str">
        <f>DAL!A$25</f>
        <v>Peyton Hendershot</v>
      </c>
      <c r="C27" s="60" t="s">
        <v>115</v>
      </c>
      <c r="D27" s="62">
        <f>DAL!C$25</f>
        <v>7</v>
      </c>
      <c r="E27" s="61">
        <f>DAL!L$25</f>
        <v>21.707642879999998</v>
      </c>
      <c r="F27" s="61">
        <f>DAL!M$25</f>
        <v>14.013609088976441</v>
      </c>
      <c r="G27" s="61">
        <f>DAL!N$25</f>
        <v>137.62077744350114</v>
      </c>
      <c r="H27" s="61">
        <f>DAL!O$25</f>
        <v>1.2892520361858326</v>
      </c>
      <c r="I27" s="61">
        <f t="shared" si="0"/>
        <v>21.49758996146511</v>
      </c>
      <c r="J27" s="61">
        <f t="shared" si="1"/>
        <v>28.504394505953329</v>
      </c>
      <c r="K27" s="61">
        <f t="shared" si="2"/>
        <v>35.511199050441547</v>
      </c>
      <c r="L27" s="100">
        <f>(TableTEMaster[[#This Row],[TGT]]*TARGETS)+(TableTEMaster[[#This Row],[REC]]*RECEPTIONS_TE)+(TableTEMaster[[#This Row],[RCYD]]*RECV_YARDS)+(TableTEMaster[[#This Row],[RCTD]]*RECV_TDS)</f>
        <v>28.504394505953329</v>
      </c>
      <c r="M27" s="101">
        <v>0</v>
      </c>
    </row>
    <row r="28" spans="1:13" x14ac:dyDescent="0.2">
      <c r="A28" s="60">
        <f>IF(TableTEMaster[[#This Row],[Player]]&lt;&gt;0,A27+1,A27)</f>
        <v>25</v>
      </c>
      <c r="B28" s="60" t="str">
        <f>DAL!A$26</f>
        <v>Luke Schoonmaker</v>
      </c>
      <c r="C28" s="60" t="s">
        <v>115</v>
      </c>
      <c r="D28" s="62">
        <f>DAL!C$26</f>
        <v>7</v>
      </c>
      <c r="E28" s="61">
        <f>DAL!L$26</f>
        <v>22.278896639999999</v>
      </c>
      <c r="F28" s="61">
        <f>DAL!M$26</f>
        <v>14.600840272126336</v>
      </c>
      <c r="G28" s="61">
        <f>DAL!N$26</f>
        <v>150.9726884137863</v>
      </c>
      <c r="H28" s="61">
        <f>DAL!O$26</f>
        <v>1.4454831869405074</v>
      </c>
      <c r="I28" s="61">
        <f t="shared" si="0"/>
        <v>23.770167963021677</v>
      </c>
      <c r="J28" s="61">
        <f t="shared" si="1"/>
        <v>31.070588099084844</v>
      </c>
      <c r="K28" s="61">
        <f t="shared" si="2"/>
        <v>38.371008235148011</v>
      </c>
      <c r="L28" s="100">
        <f>(TableTEMaster[[#This Row],[TGT]]*TARGETS)+(TableTEMaster[[#This Row],[REC]]*RECEPTIONS_TE)+(TableTEMaster[[#This Row],[RCYD]]*RECV_YARDS)+(TableTEMaster[[#This Row],[RCTD]]*RECV_TDS)</f>
        <v>31.070588099084844</v>
      </c>
      <c r="M28" s="101">
        <v>0</v>
      </c>
    </row>
    <row r="29" spans="1:13" x14ac:dyDescent="0.2">
      <c r="A29" s="60">
        <f>IF(TableTEMaster[[#This Row],[Player]]&lt;&gt;0,A28+1,A28)</f>
        <v>26</v>
      </c>
      <c r="B29" s="60" t="str">
        <f>DEN!A$24</f>
        <v>Greg Dulcich</v>
      </c>
      <c r="C29" s="60" t="s">
        <v>116</v>
      </c>
      <c r="D29" s="62">
        <f>DEN!C$24</f>
        <v>9</v>
      </c>
      <c r="E29" s="61">
        <f>DEN!L$24</f>
        <v>56.709601200000002</v>
      </c>
      <c r="F29" s="61">
        <f>DEN!M$24</f>
        <v>38.314034518738929</v>
      </c>
      <c r="G29" s="61">
        <f>DEN!N$24</f>
        <v>453.55572045140366</v>
      </c>
      <c r="H29" s="61">
        <f>DEN!O$24</f>
        <v>3.6781473137989371</v>
      </c>
      <c r="I29" s="61">
        <f t="shared" si="0"/>
        <v>67.424455927933991</v>
      </c>
      <c r="J29" s="61">
        <f t="shared" si="1"/>
        <v>86.581473187303459</v>
      </c>
      <c r="K29" s="61">
        <f t="shared" si="2"/>
        <v>105.73849044667293</v>
      </c>
      <c r="L29" s="100">
        <f>(TableTEMaster[[#This Row],[TGT]]*TARGETS)+(TableTEMaster[[#This Row],[REC]]*RECEPTIONS_TE)+(TableTEMaster[[#This Row],[RCYD]]*RECV_YARDS)+(TableTEMaster[[#This Row],[RCTD]]*RECV_TDS)</f>
        <v>86.581473187303459</v>
      </c>
      <c r="M29" s="101">
        <v>7.4353334434863179</v>
      </c>
    </row>
    <row r="30" spans="1:13" x14ac:dyDescent="0.2">
      <c r="A30" s="60">
        <f>IF(TableTEMaster[[#This Row],[Player]]&lt;&gt;0,A29+1,A29)</f>
        <v>27</v>
      </c>
      <c r="B30" s="60" t="str">
        <f>DEN!A$25</f>
        <v>Chris Manhertz</v>
      </c>
      <c r="C30" s="60" t="s">
        <v>116</v>
      </c>
      <c r="D30" s="62">
        <f>DEN!C$25</f>
        <v>9</v>
      </c>
      <c r="E30" s="61">
        <f>DEN!L$25</f>
        <v>11.791105200000002</v>
      </c>
      <c r="F30" s="61">
        <f>DEN!M$25</f>
        <v>8.4523454276531602</v>
      </c>
      <c r="G30" s="61">
        <f>DEN!N$25</f>
        <v>90.060027646639455</v>
      </c>
      <c r="H30" s="61">
        <f>DEN!O$25</f>
        <v>0.60011652536337434</v>
      </c>
      <c r="I30" s="61">
        <f t="shared" si="0"/>
        <v>12.606701916844191</v>
      </c>
      <c r="J30" s="61">
        <f t="shared" si="1"/>
        <v>16.832874630670773</v>
      </c>
      <c r="K30" s="61">
        <f t="shared" si="2"/>
        <v>21.059047344497351</v>
      </c>
      <c r="L30" s="100">
        <f>(TableTEMaster[[#This Row],[TGT]]*TARGETS)+(TableTEMaster[[#This Row],[REC]]*RECEPTIONS_TE)+(TableTEMaster[[#This Row],[RCYD]]*RECV_YARDS)+(TableTEMaster[[#This Row],[RCTD]]*RECV_TDS)</f>
        <v>16.832874630670773</v>
      </c>
      <c r="M30" s="101">
        <v>0</v>
      </c>
    </row>
    <row r="31" spans="1:13" x14ac:dyDescent="0.2">
      <c r="A31" s="60">
        <f>IF(TableTEMaster[[#This Row],[Player]]&lt;&gt;0,A30+1,A30)</f>
        <v>28</v>
      </c>
      <c r="B31" s="60" t="str">
        <f>DEN!A$26</f>
        <v>Adam Trautman</v>
      </c>
      <c r="C31" s="60" t="s">
        <v>116</v>
      </c>
      <c r="D31" s="62">
        <f>DEN!C$26</f>
        <v>9</v>
      </c>
      <c r="E31" s="61">
        <f>DEN!L$26</f>
        <v>50.533308000000005</v>
      </c>
      <c r="F31" s="61">
        <f>DEN!M$26</f>
        <v>31.981463732836982</v>
      </c>
      <c r="G31" s="61">
        <f>DEN!N$26</f>
        <v>342.52147657868409</v>
      </c>
      <c r="H31" s="61">
        <f>DEN!O$26</f>
        <v>2.6864429535583065</v>
      </c>
      <c r="I31" s="61">
        <f t="shared" si="0"/>
        <v>50.370805379218247</v>
      </c>
      <c r="J31" s="61">
        <f t="shared" si="1"/>
        <v>66.36153724563674</v>
      </c>
      <c r="K31" s="61">
        <f t="shared" si="2"/>
        <v>82.352269112055225</v>
      </c>
      <c r="L31" s="100">
        <f>(TableTEMaster[[#This Row],[TGT]]*TARGETS)+(TableTEMaster[[#This Row],[REC]]*RECEPTIONS_TE)+(TableTEMaster[[#This Row],[RCYD]]*RECV_YARDS)+(TableTEMaster[[#This Row],[RCTD]]*RECV_TDS)</f>
        <v>66.361537245636754</v>
      </c>
      <c r="M31" s="101">
        <v>0</v>
      </c>
    </row>
    <row r="32" spans="1:13" x14ac:dyDescent="0.2">
      <c r="A32" s="60">
        <f>IF(TableTEMaster[[#This Row],[Player]]&lt;&gt;0,A31+1,A31)</f>
        <v>29</v>
      </c>
      <c r="B32" s="60" t="str">
        <f>DET!A$24</f>
        <v>Sam LaPorta</v>
      </c>
      <c r="C32" s="60" t="s">
        <v>117</v>
      </c>
      <c r="D32" s="62">
        <f>DET!C$24</f>
        <v>9</v>
      </c>
      <c r="E32" s="61">
        <f>DET!L$24</f>
        <v>68.814116279999993</v>
      </c>
      <c r="F32" s="61">
        <f>DET!M$24</f>
        <v>45.839211494643195</v>
      </c>
      <c r="G32" s="61">
        <f>DET!N$24</f>
        <v>486.37922143101332</v>
      </c>
      <c r="H32" s="61">
        <f>DET!O$24</f>
        <v>4.6755995724536055</v>
      </c>
      <c r="I32" s="61">
        <f t="shared" si="0"/>
        <v>76.691519577822959</v>
      </c>
      <c r="J32" s="61">
        <f t="shared" si="1"/>
        <v>99.611125325144556</v>
      </c>
      <c r="K32" s="61">
        <f t="shared" si="2"/>
        <v>122.53073107246615</v>
      </c>
      <c r="L32" s="100">
        <f>(TableTEMaster[[#This Row],[TGT]]*TARGETS)+(TableTEMaster[[#This Row],[REC]]*RECEPTIONS_TE)+(TableTEMaster[[#This Row],[RCYD]]*RECV_YARDS)+(TableTEMaster[[#This Row],[RCTD]]*RECV_TDS)</f>
        <v>99.61112532514457</v>
      </c>
      <c r="M32" s="101">
        <v>13.317786717850336</v>
      </c>
    </row>
    <row r="33" spans="1:13" x14ac:dyDescent="0.2">
      <c r="A33" s="60">
        <f>IF(TableTEMaster[[#This Row],[Player]]&lt;&gt;0,A32+1,A32)</f>
        <v>30</v>
      </c>
      <c r="B33" s="60" t="str">
        <f>DET!A$25</f>
        <v>James Mitchell</v>
      </c>
      <c r="C33" s="60" t="s">
        <v>117</v>
      </c>
      <c r="D33" s="62">
        <f>DET!C$25</f>
        <v>9</v>
      </c>
      <c r="E33" s="61">
        <f>DET!L$25</f>
        <v>20.585419399999999</v>
      </c>
      <c r="F33" s="61">
        <f>DET!M$25</f>
        <v>13.491376042674338</v>
      </c>
      <c r="G33" s="61">
        <f>DET!N$25</f>
        <v>150.15028437719059</v>
      </c>
      <c r="H33" s="61">
        <f>DET!O$25</f>
        <v>1.1467669636273188</v>
      </c>
      <c r="I33" s="61">
        <f t="shared" si="0"/>
        <v>21.895630219482971</v>
      </c>
      <c r="J33" s="61">
        <f t="shared" si="1"/>
        <v>28.641318240820141</v>
      </c>
      <c r="K33" s="61">
        <f t="shared" si="2"/>
        <v>35.387006262157307</v>
      </c>
      <c r="L33" s="100">
        <f>(TableTEMaster[[#This Row],[TGT]]*TARGETS)+(TableTEMaster[[#This Row],[REC]]*RECEPTIONS_TE)+(TableTEMaster[[#This Row],[RCYD]]*RECV_YARDS)+(TableTEMaster[[#This Row],[RCTD]]*RECV_TDS)</f>
        <v>28.641318240820141</v>
      </c>
      <c r="M33" s="101">
        <v>0</v>
      </c>
    </row>
    <row r="34" spans="1:13" x14ac:dyDescent="0.2">
      <c r="A34" s="60">
        <f>IF(TableTEMaster[[#This Row],[Player]]&lt;&gt;0,A33+1,A33)</f>
        <v>31</v>
      </c>
      <c r="B34" s="60" t="str">
        <f>DET!A$26</f>
        <v>Brock Wright</v>
      </c>
      <c r="C34" s="60" t="s">
        <v>117</v>
      </c>
      <c r="D34" s="62">
        <f>DET!C$26</f>
        <v>9</v>
      </c>
      <c r="E34" s="61">
        <f>DET!L$26</f>
        <v>14.115716159999998</v>
      </c>
      <c r="F34" s="61">
        <f>DET!M$26</f>
        <v>9.6551498534399993</v>
      </c>
      <c r="G34" s="61">
        <f>DET!N$26</f>
        <v>103.79510716166189</v>
      </c>
      <c r="H34" s="61">
        <f>DET!O$26</f>
        <v>0.86896348680959989</v>
      </c>
      <c r="I34" s="61">
        <f t="shared" ref="I34:I65" si="3">(G34/10)+(H34*6)</f>
        <v>15.593291637023789</v>
      </c>
      <c r="J34" s="61">
        <f t="shared" ref="J34:J65" si="4">I34+(F34*0.5)</f>
        <v>20.42086656374379</v>
      </c>
      <c r="K34" s="61">
        <f t="shared" ref="K34:K65" si="5">I34+F34</f>
        <v>25.24844149046379</v>
      </c>
      <c r="L34" s="100">
        <f>(TableTEMaster[[#This Row],[TGT]]*TARGETS)+(TableTEMaster[[#This Row],[REC]]*RECEPTIONS_TE)+(TableTEMaster[[#This Row],[RCYD]]*RECV_YARDS)+(TableTEMaster[[#This Row],[RCTD]]*RECV_TDS)</f>
        <v>20.420866563743786</v>
      </c>
      <c r="M34" s="101">
        <v>0</v>
      </c>
    </row>
    <row r="35" spans="1:13" x14ac:dyDescent="0.2">
      <c r="A35" s="60">
        <f>IF(TableTEMaster[[#This Row],[Player]]&lt;&gt;0,A34+1,A34)</f>
        <v>32</v>
      </c>
      <c r="B35" s="60" t="str">
        <f>GB!A$24</f>
        <v>Luke Musgrave</v>
      </c>
      <c r="C35" s="60" t="s">
        <v>118</v>
      </c>
      <c r="D35" s="62">
        <f>GB!C$24</f>
        <v>6</v>
      </c>
      <c r="E35" s="61">
        <f>GB!L$24</f>
        <v>70.733789279999996</v>
      </c>
      <c r="F35" s="61">
        <f>GB!M$24</f>
        <v>46.773212267423354</v>
      </c>
      <c r="G35" s="61">
        <f>GB!N$24</f>
        <v>502.81203187480105</v>
      </c>
      <c r="H35" s="61">
        <f>GB!O$24</f>
        <v>4.0224962549984085</v>
      </c>
      <c r="I35" s="61">
        <f t="shared" si="3"/>
        <v>74.416180717470553</v>
      </c>
      <c r="J35" s="61">
        <f t="shared" si="4"/>
        <v>97.802786851182233</v>
      </c>
      <c r="K35" s="61">
        <f t="shared" si="5"/>
        <v>121.18939298489391</v>
      </c>
      <c r="L35" s="100">
        <f>(TableTEMaster[[#This Row],[TGT]]*TARGETS)+(TableTEMaster[[#This Row],[REC]]*RECEPTIONS_TE)+(TableTEMaster[[#This Row],[RCYD]]*RECV_YARDS)+(TableTEMaster[[#This Row],[RCTD]]*RECV_TDS)</f>
        <v>97.802786851182233</v>
      </c>
      <c r="M35" s="101">
        <v>4.8807128154445154</v>
      </c>
    </row>
    <row r="36" spans="1:13" x14ac:dyDescent="0.2">
      <c r="A36" s="60">
        <f>IF(TableTEMaster[[#This Row],[Player]]&lt;&gt;0,A35+1,A35)</f>
        <v>33</v>
      </c>
      <c r="B36" s="60" t="str">
        <f>GB!A$25</f>
        <v>Tucker Kraft</v>
      </c>
      <c r="C36" s="60" t="s">
        <v>118</v>
      </c>
      <c r="D36" s="62">
        <f>GB!C$25</f>
        <v>6</v>
      </c>
      <c r="E36" s="61">
        <f>GB!L$25</f>
        <v>30.875860399999997</v>
      </c>
      <c r="F36" s="61">
        <f>GB!M$25</f>
        <v>19.041281685697637</v>
      </c>
      <c r="G36" s="61">
        <f>GB!N$25</f>
        <v>181.51781277728381</v>
      </c>
      <c r="H36" s="61">
        <f>GB!O$25</f>
        <v>1.3328897179988348</v>
      </c>
      <c r="I36" s="61">
        <f t="shared" si="3"/>
        <v>26.14911958572139</v>
      </c>
      <c r="J36" s="61">
        <f t="shared" si="4"/>
        <v>35.669760428570207</v>
      </c>
      <c r="K36" s="61">
        <f t="shared" si="5"/>
        <v>45.190401271419027</v>
      </c>
      <c r="L36" s="100">
        <f>(TableTEMaster[[#This Row],[TGT]]*TARGETS)+(TableTEMaster[[#This Row],[REC]]*RECEPTIONS_TE)+(TableTEMaster[[#This Row],[RCYD]]*RECV_YARDS)+(TableTEMaster[[#This Row],[RCTD]]*RECV_TDS)</f>
        <v>35.669760428570214</v>
      </c>
      <c r="M36" s="101">
        <v>0</v>
      </c>
    </row>
    <row r="37" spans="1:13" x14ac:dyDescent="0.2">
      <c r="A37" s="60">
        <f>IF(TableTEMaster[[#This Row],[Player]]&lt;&gt;0,A36+1,A36)</f>
        <v>34</v>
      </c>
      <c r="B37" s="60" t="str">
        <f>GB!A$26</f>
        <v>Josiah Deguara</v>
      </c>
      <c r="C37" s="60" t="s">
        <v>118</v>
      </c>
      <c r="D37" s="62">
        <f>GB!C$26</f>
        <v>6</v>
      </c>
      <c r="E37" s="61">
        <f>GB!L$26</f>
        <v>8.9820684800000006</v>
      </c>
      <c r="F37" s="61">
        <f>GB!M$26</f>
        <v>6.8061067770092194</v>
      </c>
      <c r="G37" s="61">
        <f>GB!N$26</f>
        <v>64.828198975070606</v>
      </c>
      <c r="H37" s="61">
        <f>GB!O$26</f>
        <v>0.33349923207345178</v>
      </c>
      <c r="I37" s="61">
        <f t="shared" si="3"/>
        <v>8.4838152899477706</v>
      </c>
      <c r="J37" s="61">
        <f t="shared" si="4"/>
        <v>11.88686867845238</v>
      </c>
      <c r="K37" s="61">
        <f t="shared" si="5"/>
        <v>15.28992206695699</v>
      </c>
      <c r="L37" s="100">
        <f>(TableTEMaster[[#This Row],[TGT]]*TARGETS)+(TableTEMaster[[#This Row],[REC]]*RECEPTIONS_TE)+(TableTEMaster[[#This Row],[RCYD]]*RECV_YARDS)+(TableTEMaster[[#This Row],[RCTD]]*RECV_TDS)</f>
        <v>11.88686867845238</v>
      </c>
      <c r="M37" s="101">
        <v>0</v>
      </c>
    </row>
    <row r="38" spans="1:13" x14ac:dyDescent="0.2">
      <c r="A38" s="60">
        <f>IF(TableTEMaster[[#This Row],[Player]]&lt;&gt;0,A37+1,A37)</f>
        <v>35</v>
      </c>
      <c r="B38" s="60" t="str">
        <f>HOU!A$24</f>
        <v>Dalton Schultz</v>
      </c>
      <c r="C38" s="60" t="s">
        <v>119</v>
      </c>
      <c r="D38" s="62">
        <f>HOU!C$24</f>
        <v>7</v>
      </c>
      <c r="E38" s="61">
        <f>HOU!L$24</f>
        <v>77.186611040000017</v>
      </c>
      <c r="F38" s="61">
        <f>HOU!M$24</f>
        <v>51.302760687430293</v>
      </c>
      <c r="G38" s="61">
        <f>HOU!N$24</f>
        <v>541.24412525238961</v>
      </c>
      <c r="H38" s="61">
        <f>HOU!O$24</f>
        <v>4.6685512225561565</v>
      </c>
      <c r="I38" s="61">
        <f t="shared" si="3"/>
        <v>82.135719860575904</v>
      </c>
      <c r="J38" s="61">
        <f t="shared" si="4"/>
        <v>107.78710020429105</v>
      </c>
      <c r="K38" s="61">
        <f t="shared" si="5"/>
        <v>133.4384805480062</v>
      </c>
      <c r="L38" s="100">
        <f>(TableTEMaster[[#This Row],[TGT]]*TARGETS)+(TableTEMaster[[#This Row],[REC]]*RECEPTIONS_TE)+(TableTEMaster[[#This Row],[RCYD]]*RECV_YARDS)+(TableTEMaster[[#This Row],[RCTD]]*RECV_TDS)</f>
        <v>107.78710020429105</v>
      </c>
      <c r="M38" s="101">
        <v>0</v>
      </c>
    </row>
    <row r="39" spans="1:13" x14ac:dyDescent="0.2">
      <c r="A39" s="60">
        <f>IF(TableTEMaster[[#This Row],[Player]]&lt;&gt;0,A38+1,A38)</f>
        <v>36</v>
      </c>
      <c r="B39" s="60" t="str">
        <f>HOU!A$25</f>
        <v>Teagan Quitoriano</v>
      </c>
      <c r="C39" s="60" t="s">
        <v>119</v>
      </c>
      <c r="D39" s="62">
        <f>HOU!C$25</f>
        <v>7</v>
      </c>
      <c r="E39" s="61">
        <f>HOU!L$25</f>
        <v>27.043484159999998</v>
      </c>
      <c r="F39" s="61">
        <f>HOU!M$25</f>
        <v>16.96859514208894</v>
      </c>
      <c r="G39" s="61">
        <f>HOU!N$25</f>
        <v>187.84234822292458</v>
      </c>
      <c r="H39" s="61">
        <f>HOU!O$25</f>
        <v>1.4592991822196488</v>
      </c>
      <c r="I39" s="61">
        <f t="shared" si="3"/>
        <v>27.540029915610351</v>
      </c>
      <c r="J39" s="61">
        <f t="shared" si="4"/>
        <v>36.024327486654819</v>
      </c>
      <c r="K39" s="61">
        <f t="shared" si="5"/>
        <v>44.508625057699291</v>
      </c>
      <c r="L39" s="100">
        <f>(TableTEMaster[[#This Row],[TGT]]*TARGETS)+(TableTEMaster[[#This Row],[REC]]*RECEPTIONS_TE)+(TableTEMaster[[#This Row],[RCYD]]*RECV_YARDS)+(TableTEMaster[[#This Row],[RCTD]]*RECV_TDS)</f>
        <v>36.024327486654819</v>
      </c>
      <c r="M39" s="101">
        <v>0</v>
      </c>
    </row>
    <row r="40" spans="1:13" x14ac:dyDescent="0.2">
      <c r="A40" s="60">
        <f>IF(TableTEMaster[[#This Row],[Player]]&lt;&gt;0,A39+1,A39)</f>
        <v>37</v>
      </c>
      <c r="B40" s="60" t="str">
        <f>HOU!A$26</f>
        <v>Brevin Jordan</v>
      </c>
      <c r="C40" s="60" t="s">
        <v>119</v>
      </c>
      <c r="D40" s="62">
        <f>HOU!C$26</f>
        <v>7</v>
      </c>
      <c r="E40" s="61">
        <f>HOU!L$26</f>
        <v>7.3242769599999997</v>
      </c>
      <c r="F40" s="61">
        <f>HOU!M$26</f>
        <v>4.9658597788800005</v>
      </c>
      <c r="G40" s="61">
        <f>HOU!N$26</f>
        <v>51.781666585229672</v>
      </c>
      <c r="H40" s="61">
        <f>HOU!O$26</f>
        <v>0.35754190407935998</v>
      </c>
      <c r="I40" s="61">
        <f t="shared" si="3"/>
        <v>7.3234180829991269</v>
      </c>
      <c r="J40" s="61">
        <f t="shared" si="4"/>
        <v>9.8063479724391271</v>
      </c>
      <c r="K40" s="61">
        <f t="shared" si="5"/>
        <v>12.289277861879128</v>
      </c>
      <c r="L40" s="100">
        <f>(TableTEMaster[[#This Row],[TGT]]*TARGETS)+(TableTEMaster[[#This Row],[REC]]*RECEPTIONS_TE)+(TableTEMaster[[#This Row],[RCYD]]*RECV_YARDS)+(TableTEMaster[[#This Row],[RCTD]]*RECV_TDS)</f>
        <v>9.8063479724391271</v>
      </c>
      <c r="M40" s="101">
        <v>0</v>
      </c>
    </row>
    <row r="41" spans="1:13" x14ac:dyDescent="0.2">
      <c r="A41" s="60">
        <f>IF(TableTEMaster[[#This Row],[Player]]&lt;&gt;0,A40+1,A40)</f>
        <v>38</v>
      </c>
      <c r="B41" s="60" t="str">
        <f>IND!A$24</f>
        <v>Mo Alie-Cox</v>
      </c>
      <c r="C41" s="60" t="s">
        <v>120</v>
      </c>
      <c r="D41" s="62">
        <f>IND!C$24</f>
        <v>11</v>
      </c>
      <c r="E41" s="61">
        <f>IND!L$24</f>
        <v>41.697255600000005</v>
      </c>
      <c r="F41" s="61">
        <f>IND!M$24</f>
        <v>24.417783144591585</v>
      </c>
      <c r="G41" s="61">
        <f>IND!N$24</f>
        <v>283.6294339954681</v>
      </c>
      <c r="H41" s="61">
        <f>IND!O$24</f>
        <v>2.3929427481699754</v>
      </c>
      <c r="I41" s="61">
        <f t="shared" si="3"/>
        <v>42.720599888566667</v>
      </c>
      <c r="J41" s="61">
        <f t="shared" si="4"/>
        <v>54.929491460862458</v>
      </c>
      <c r="K41" s="61">
        <f t="shared" si="5"/>
        <v>67.138383033158249</v>
      </c>
      <c r="L41" s="100">
        <f>(TableTEMaster[[#This Row],[TGT]]*TARGETS)+(TableTEMaster[[#This Row],[REC]]*RECEPTIONS_TE)+(TableTEMaster[[#This Row],[RCYD]]*RECV_YARDS)+(TableTEMaster[[#This Row],[RCTD]]*RECV_TDS)</f>
        <v>54.929491460862458</v>
      </c>
      <c r="M41" s="101">
        <v>0</v>
      </c>
    </row>
    <row r="42" spans="1:13" x14ac:dyDescent="0.2">
      <c r="A42" s="60">
        <f>IF(TableTEMaster[[#This Row],[Player]]&lt;&gt;0,A41+1,A41)</f>
        <v>39</v>
      </c>
      <c r="B42" s="60" t="str">
        <f>IND!A$25</f>
        <v>Kylen Granson</v>
      </c>
      <c r="C42" s="60" t="s">
        <v>120</v>
      </c>
      <c r="D42" s="62">
        <f>IND!C$25</f>
        <v>11</v>
      </c>
      <c r="E42" s="61">
        <f>IND!L$25</f>
        <v>48.112218000000006</v>
      </c>
      <c r="F42" s="61">
        <f>IND!M$25</f>
        <v>29.197297667490407</v>
      </c>
      <c r="G42" s="61">
        <f>IND!N$25</f>
        <v>306.86359848532419</v>
      </c>
      <c r="H42" s="61">
        <f>IND!O$25</f>
        <v>2.0438108367243286</v>
      </c>
      <c r="I42" s="61">
        <f t="shared" si="3"/>
        <v>42.949224868878389</v>
      </c>
      <c r="J42" s="61">
        <f t="shared" si="4"/>
        <v>57.54787370262359</v>
      </c>
      <c r="K42" s="61">
        <f t="shared" si="5"/>
        <v>72.146522536368792</v>
      </c>
      <c r="L42" s="100">
        <f>(TableTEMaster[[#This Row],[TGT]]*TARGETS)+(TableTEMaster[[#This Row],[REC]]*RECEPTIONS_TE)+(TableTEMaster[[#This Row],[RCYD]]*RECV_YARDS)+(TableTEMaster[[#This Row],[RCTD]]*RECV_TDS)</f>
        <v>57.54787370262359</v>
      </c>
      <c r="M42" s="101">
        <v>0</v>
      </c>
    </row>
    <row r="43" spans="1:13" x14ac:dyDescent="0.2">
      <c r="A43" s="60">
        <f>IF(TableTEMaster[[#This Row],[Player]]&lt;&gt;0,A42+1,A42)</f>
        <v>40</v>
      </c>
      <c r="B43" s="60" t="str">
        <f>IND!A$26</f>
        <v>Jelani Woods</v>
      </c>
      <c r="C43" s="60" t="s">
        <v>120</v>
      </c>
      <c r="D43" s="62">
        <f>IND!C$26</f>
        <v>11</v>
      </c>
      <c r="E43" s="61">
        <f>IND!L$26</f>
        <v>43.300996200000014</v>
      </c>
      <c r="F43" s="61">
        <f>IND!M$26</f>
        <v>27.149724617400008</v>
      </c>
      <c r="G43" s="61">
        <f>IND!N$26</f>
        <v>350.2314475644601</v>
      </c>
      <c r="H43" s="61">
        <f>IND!O$26</f>
        <v>2.7149724617400008</v>
      </c>
      <c r="I43" s="61">
        <f t="shared" si="3"/>
        <v>51.312979526886011</v>
      </c>
      <c r="J43" s="61">
        <f t="shared" si="4"/>
        <v>64.887841835586016</v>
      </c>
      <c r="K43" s="61">
        <f t="shared" si="5"/>
        <v>78.462704144286022</v>
      </c>
      <c r="L43" s="100">
        <f>(TableTEMaster[[#This Row],[TGT]]*TARGETS)+(TableTEMaster[[#This Row],[REC]]*RECEPTIONS_TE)+(TableTEMaster[[#This Row],[RCYD]]*RECV_YARDS)+(TableTEMaster[[#This Row],[RCTD]]*RECV_TDS)</f>
        <v>64.887841835586016</v>
      </c>
      <c r="M43" s="101">
        <v>0</v>
      </c>
    </row>
    <row r="44" spans="1:13" x14ac:dyDescent="0.2">
      <c r="A44" s="60">
        <f>IF(TableTEMaster[[#This Row],[Player]]&lt;&gt;0,A43+1,A43)</f>
        <v>41</v>
      </c>
      <c r="B44" s="60" t="str">
        <f>JAX!A$24</f>
        <v>Evan Engram</v>
      </c>
      <c r="C44" s="60" t="s">
        <v>139</v>
      </c>
      <c r="D44" s="62">
        <f>JAX!C$24</f>
        <v>9</v>
      </c>
      <c r="E44" s="61">
        <f>JAX!L$24</f>
        <v>96.422944799999982</v>
      </c>
      <c r="F44" s="61">
        <f>JAX!M$24</f>
        <v>66.462875643477659</v>
      </c>
      <c r="G44" s="61">
        <f>JAX!N$24</f>
        <v>709.67573884925434</v>
      </c>
      <c r="H44" s="61">
        <f>JAX!O$24</f>
        <v>4.6524012950434361</v>
      </c>
      <c r="I44" s="61">
        <f t="shared" si="3"/>
        <v>98.881981655186053</v>
      </c>
      <c r="J44" s="61">
        <f t="shared" si="4"/>
        <v>132.11341947692489</v>
      </c>
      <c r="K44" s="61">
        <f t="shared" si="5"/>
        <v>165.34485729866373</v>
      </c>
      <c r="L44" s="100">
        <f>(TableTEMaster[[#This Row],[TGT]]*TARGETS)+(TableTEMaster[[#This Row],[REC]]*RECEPTIONS_TE)+(TableTEMaster[[#This Row],[RCYD]]*RECV_YARDS)+(TableTEMaster[[#This Row],[RCTD]]*RECV_TDS)</f>
        <v>132.11341947692489</v>
      </c>
      <c r="M44" s="101">
        <v>0</v>
      </c>
    </row>
    <row r="45" spans="1:13" x14ac:dyDescent="0.2">
      <c r="A45" s="60">
        <f>IF(TableTEMaster[[#This Row],[Player]]&lt;&gt;0,A44+1,A44)</f>
        <v>42</v>
      </c>
      <c r="B45" s="60" t="str">
        <f>JAX!A$25</f>
        <v>Luke Farrell</v>
      </c>
      <c r="C45" s="60" t="s">
        <v>139</v>
      </c>
      <c r="D45" s="62">
        <f>JAX!C$25</f>
        <v>9</v>
      </c>
      <c r="E45" s="61">
        <f>JAX!L$25</f>
        <v>6.1809579999999986</v>
      </c>
      <c r="F45" s="61">
        <f>JAX!M$25</f>
        <v>3.894003539999999</v>
      </c>
      <c r="G45" s="61">
        <f>JAX!N$25</f>
        <v>35.824832567999991</v>
      </c>
      <c r="H45" s="61">
        <f>JAX!O$25</f>
        <v>0.15576014159999996</v>
      </c>
      <c r="I45" s="61">
        <f t="shared" si="3"/>
        <v>4.5170441063999984</v>
      </c>
      <c r="J45" s="61">
        <f t="shared" si="4"/>
        <v>6.4640458763999984</v>
      </c>
      <c r="K45" s="61">
        <f t="shared" si="5"/>
        <v>8.4110476463999966</v>
      </c>
      <c r="L45" s="100">
        <f>(TableTEMaster[[#This Row],[TGT]]*TARGETS)+(TableTEMaster[[#This Row],[REC]]*RECEPTIONS_TE)+(TableTEMaster[[#This Row],[RCYD]]*RECV_YARDS)+(TableTEMaster[[#This Row],[RCTD]]*RECV_TDS)</f>
        <v>6.4640458763999984</v>
      </c>
      <c r="M45" s="101">
        <v>0</v>
      </c>
    </row>
    <row r="46" spans="1:13" x14ac:dyDescent="0.2">
      <c r="A46" s="60">
        <f>IF(TableTEMaster[[#This Row],[Player]]&lt;&gt;0,A45+1,A45)</f>
        <v>43</v>
      </c>
      <c r="B46" s="60" t="str">
        <f>JAX!A$26</f>
        <v>Brenton Strange</v>
      </c>
      <c r="C46" s="60" t="s">
        <v>139</v>
      </c>
      <c r="D46" s="62">
        <f>JAX!C$26</f>
        <v>9</v>
      </c>
      <c r="E46" s="61">
        <f>JAX!L$26</f>
        <v>21.633353</v>
      </c>
      <c r="F46" s="61">
        <f>JAX!M$26</f>
        <v>14.125933296664611</v>
      </c>
      <c r="G46" s="61">
        <f>JAX!N$26</f>
        <v>153.21384902721334</v>
      </c>
      <c r="H46" s="61">
        <f>JAX!O$26</f>
        <v>0.93231159757986437</v>
      </c>
      <c r="I46" s="61">
        <f t="shared" si="3"/>
        <v>20.915254488200521</v>
      </c>
      <c r="J46" s="61">
        <f t="shared" si="4"/>
        <v>27.978221136532827</v>
      </c>
      <c r="K46" s="61">
        <f t="shared" si="5"/>
        <v>35.04118778486513</v>
      </c>
      <c r="L46" s="100">
        <f>(TableTEMaster[[#This Row],[TGT]]*TARGETS)+(TableTEMaster[[#This Row],[REC]]*RECEPTIONS_TE)+(TableTEMaster[[#This Row],[RCYD]]*RECV_YARDS)+(TableTEMaster[[#This Row],[RCTD]]*RECV_TDS)</f>
        <v>27.978221136532827</v>
      </c>
      <c r="M46" s="101">
        <v>0</v>
      </c>
    </row>
    <row r="47" spans="1:13" x14ac:dyDescent="0.2">
      <c r="A47" s="60">
        <f>IF(TableTEMaster[[#This Row],[Player]]&lt;&gt;0,A46+1,A46)</f>
        <v>44</v>
      </c>
      <c r="B47" s="60" t="str">
        <f>KC!A$24</f>
        <v>Travis Kelce</v>
      </c>
      <c r="C47" s="60" t="s">
        <v>122</v>
      </c>
      <c r="D47" s="62">
        <f>KC!C$24</f>
        <v>10</v>
      </c>
      <c r="E47" s="61">
        <f>KC!L$24</f>
        <v>132.73515528000001</v>
      </c>
      <c r="F47" s="61">
        <f>KC!M$24</f>
        <v>96.243603028615581</v>
      </c>
      <c r="G47" s="61">
        <f>KC!N$24</f>
        <v>1116.4257951319407</v>
      </c>
      <c r="H47" s="61">
        <f>KC!O$24</f>
        <v>10.798062778820285</v>
      </c>
      <c r="I47" s="61">
        <f t="shared" si="3"/>
        <v>176.43095618611579</v>
      </c>
      <c r="J47" s="61">
        <f t="shared" si="4"/>
        <v>224.55275770042357</v>
      </c>
      <c r="K47" s="61">
        <f t="shared" si="5"/>
        <v>272.6745592147314</v>
      </c>
      <c r="L47" s="100">
        <f>(TableTEMaster[[#This Row],[TGT]]*TARGETS)+(TableTEMaster[[#This Row],[REC]]*RECEPTIONS_TE)+(TableTEMaster[[#This Row],[RCYD]]*RECV_YARDS)+(TableTEMaster[[#This Row],[RCTD]]*RECV_TDS)</f>
        <v>224.5527577004236</v>
      </c>
      <c r="M47" s="101">
        <v>30</v>
      </c>
    </row>
    <row r="48" spans="1:13" x14ac:dyDescent="0.2">
      <c r="A48" s="60">
        <f>IF(TableTEMaster[[#This Row],[Player]]&lt;&gt;0,A47+1,A47)</f>
        <v>45</v>
      </c>
      <c r="B48" s="60" t="str">
        <f>KC!A$25</f>
        <v>Noah Gray</v>
      </c>
      <c r="C48" s="60" t="s">
        <v>122</v>
      </c>
      <c r="D48" s="62">
        <f>KC!C$25</f>
        <v>10</v>
      </c>
      <c r="E48" s="61">
        <f>KC!L$25</f>
        <v>16.346693999999999</v>
      </c>
      <c r="F48" s="61">
        <f>KC!M$25</f>
        <v>12.057466725121639</v>
      </c>
      <c r="G48" s="61">
        <f>KC!N$25</f>
        <v>126.09607276156643</v>
      </c>
      <c r="H48" s="61">
        <f>KC!O$25</f>
        <v>0.84402267075851478</v>
      </c>
      <c r="I48" s="61">
        <f t="shared" si="3"/>
        <v>17.673743300707731</v>
      </c>
      <c r="J48" s="61">
        <f t="shared" si="4"/>
        <v>23.702476663268548</v>
      </c>
      <c r="K48" s="61">
        <f t="shared" si="5"/>
        <v>29.73121002582937</v>
      </c>
      <c r="L48" s="100">
        <f>(TableTEMaster[[#This Row],[TGT]]*TARGETS)+(TableTEMaster[[#This Row],[REC]]*RECEPTIONS_TE)+(TableTEMaster[[#This Row],[RCYD]]*RECV_YARDS)+(TableTEMaster[[#This Row],[RCTD]]*RECV_TDS)</f>
        <v>23.702476663268556</v>
      </c>
      <c r="M48" s="101">
        <v>0</v>
      </c>
    </row>
    <row r="49" spans="1:13" x14ac:dyDescent="0.2">
      <c r="A49" s="60">
        <f>IF(TableTEMaster[[#This Row],[Player]]&lt;&gt;0,A48+1,A48)</f>
        <v>45</v>
      </c>
      <c r="B49" s="60">
        <f>KC!A$26</f>
        <v>0</v>
      </c>
      <c r="C49" s="60" t="s">
        <v>122</v>
      </c>
      <c r="D49" s="62">
        <f>KC!C$26</f>
        <v>10</v>
      </c>
      <c r="E49" s="61">
        <f>KC!L$26</f>
        <v>0</v>
      </c>
      <c r="F49" s="61">
        <f>KC!M$26</f>
        <v>0</v>
      </c>
      <c r="G49" s="61">
        <f>KC!N$26</f>
        <v>0</v>
      </c>
      <c r="H49" s="61">
        <f>KC!O$26</f>
        <v>0</v>
      </c>
      <c r="I49" s="61">
        <f t="shared" si="3"/>
        <v>0</v>
      </c>
      <c r="J49" s="61">
        <f t="shared" si="4"/>
        <v>0</v>
      </c>
      <c r="K49" s="61">
        <f t="shared" si="5"/>
        <v>0</v>
      </c>
      <c r="L49" s="100">
        <f>(TableTEMaster[[#This Row],[TGT]]*TARGETS)+(TableTEMaster[[#This Row],[REC]]*RECEPTIONS_TE)+(TableTEMaster[[#This Row],[RCYD]]*RECV_YARDS)+(TableTEMaster[[#This Row],[RCTD]]*RECV_TDS)</f>
        <v>0</v>
      </c>
      <c r="M49" s="101">
        <v>0</v>
      </c>
    </row>
    <row r="50" spans="1:13" x14ac:dyDescent="0.2">
      <c r="A50" s="60">
        <f>IF(TableTEMaster[[#This Row],[Player]]&lt;&gt;0,A49+1,A49)</f>
        <v>46</v>
      </c>
      <c r="B50" s="60" t="str">
        <f>LAC!A$24</f>
        <v>Gerald Everett</v>
      </c>
      <c r="C50" s="60" t="s">
        <v>123</v>
      </c>
      <c r="D50" s="62">
        <f>LAC!C$24</f>
        <v>5</v>
      </c>
      <c r="E50" s="61">
        <f>LAC!L$24</f>
        <v>63.388281599999999</v>
      </c>
      <c r="F50" s="61">
        <f>LAC!M$24</f>
        <v>43.144029170386133</v>
      </c>
      <c r="G50" s="61">
        <f>LAC!N$24</f>
        <v>431.83305588632311</v>
      </c>
      <c r="H50" s="61">
        <f>LAC!O$24</f>
        <v>4.0123947128459108</v>
      </c>
      <c r="I50" s="61">
        <f t="shared" si="3"/>
        <v>67.257673865707773</v>
      </c>
      <c r="J50" s="61">
        <f t="shared" si="4"/>
        <v>88.829688450900846</v>
      </c>
      <c r="K50" s="61">
        <f t="shared" si="5"/>
        <v>110.40170303609391</v>
      </c>
      <c r="L50" s="100">
        <f>(TableTEMaster[[#This Row],[TGT]]*TARGETS)+(TableTEMaster[[#This Row],[REC]]*RECEPTIONS_TE)+(TableTEMaster[[#This Row],[RCYD]]*RECV_YARDS)+(TableTEMaster[[#This Row],[RCTD]]*RECV_TDS)</f>
        <v>88.829688450900846</v>
      </c>
      <c r="M50" s="101">
        <v>0</v>
      </c>
    </row>
    <row r="51" spans="1:13" x14ac:dyDescent="0.2">
      <c r="A51" s="60">
        <f>IF(TableTEMaster[[#This Row],[Player]]&lt;&gt;0,A50+1,A50)</f>
        <v>47</v>
      </c>
      <c r="B51" s="60" t="str">
        <f>LAC!A$25</f>
        <v>Tre' McKitty</v>
      </c>
      <c r="C51" s="60" t="s">
        <v>123</v>
      </c>
      <c r="D51" s="62">
        <f>LAC!C$25</f>
        <v>5</v>
      </c>
      <c r="E51" s="61">
        <f>LAC!L$25</f>
        <v>21.789721799999999</v>
      </c>
      <c r="F51" s="61">
        <f>LAC!M$25</f>
        <v>14.097950004599999</v>
      </c>
      <c r="G51" s="61">
        <f>LAC!N$25</f>
        <v>139.56970504553999</v>
      </c>
      <c r="H51" s="61">
        <f>LAC!O$25</f>
        <v>0.95866060031279998</v>
      </c>
      <c r="I51" s="61">
        <f t="shared" si="3"/>
        <v>19.708934106430799</v>
      </c>
      <c r="J51" s="61">
        <f t="shared" si="4"/>
        <v>26.7579091087308</v>
      </c>
      <c r="K51" s="61">
        <f t="shared" si="5"/>
        <v>33.806884111030797</v>
      </c>
      <c r="L51" s="100">
        <f>(TableTEMaster[[#This Row],[TGT]]*TARGETS)+(TableTEMaster[[#This Row],[REC]]*RECEPTIONS_TE)+(TableTEMaster[[#This Row],[RCYD]]*RECV_YARDS)+(TableTEMaster[[#This Row],[RCTD]]*RECV_TDS)</f>
        <v>26.7579091087308</v>
      </c>
      <c r="M51" s="101">
        <v>0</v>
      </c>
    </row>
    <row r="52" spans="1:13" x14ac:dyDescent="0.2">
      <c r="A52" s="60">
        <f>IF(TableTEMaster[[#This Row],[Player]]&lt;&gt;0,A51+1,A51)</f>
        <v>48</v>
      </c>
      <c r="B52" s="60" t="str">
        <f>LAC!A$26</f>
        <v>Donald Parham</v>
      </c>
      <c r="C52" s="60" t="s">
        <v>123</v>
      </c>
      <c r="D52" s="62">
        <f>LAC!C$26</f>
        <v>5</v>
      </c>
      <c r="E52" s="61">
        <f>LAC!L$26</f>
        <v>23.7706056</v>
      </c>
      <c r="F52" s="61">
        <f>LAC!M$26</f>
        <v>15.705785629597729</v>
      </c>
      <c r="G52" s="61">
        <f>LAC!N$26</f>
        <v>166.56462687307157</v>
      </c>
      <c r="H52" s="61">
        <f>LAC!O$26</f>
        <v>1.4135207066637956</v>
      </c>
      <c r="I52" s="61">
        <f t="shared" si="3"/>
        <v>25.137586927289931</v>
      </c>
      <c r="J52" s="61">
        <f t="shared" si="4"/>
        <v>32.990479742088795</v>
      </c>
      <c r="K52" s="61">
        <f t="shared" si="5"/>
        <v>40.843372556887658</v>
      </c>
      <c r="L52" s="100">
        <f>(TableTEMaster[[#This Row],[TGT]]*TARGETS)+(TableTEMaster[[#This Row],[REC]]*RECEPTIONS_TE)+(TableTEMaster[[#This Row],[RCYD]]*RECV_YARDS)+(TableTEMaster[[#This Row],[RCTD]]*RECV_TDS)</f>
        <v>32.990479742088795</v>
      </c>
      <c r="M52" s="101">
        <v>0</v>
      </c>
    </row>
    <row r="53" spans="1:13" x14ac:dyDescent="0.2">
      <c r="A53" s="60">
        <f>IF(TableTEMaster[[#This Row],[Player]]&lt;&gt;0,A52+1,A52)</f>
        <v>49</v>
      </c>
      <c r="B53" s="60" t="str">
        <f>LAR!A$24</f>
        <v>Tyler Higbee</v>
      </c>
      <c r="C53" s="60" t="s">
        <v>124</v>
      </c>
      <c r="D53" s="62">
        <f>LAR!C$24</f>
        <v>10</v>
      </c>
      <c r="E53" s="61">
        <f>LAR!L$24</f>
        <v>105.02997120000001</v>
      </c>
      <c r="F53" s="61">
        <f>LAR!M$24</f>
        <v>71.630440358400008</v>
      </c>
      <c r="G53" s="61">
        <f>LAR!N$24</f>
        <v>694.81527147648001</v>
      </c>
      <c r="H53" s="61">
        <f>LAR!O$24</f>
        <v>5.5155439075968005</v>
      </c>
      <c r="I53" s="61">
        <f t="shared" si="3"/>
        <v>102.5747905932288</v>
      </c>
      <c r="J53" s="61">
        <f t="shared" si="4"/>
        <v>138.39001077242881</v>
      </c>
      <c r="K53" s="61">
        <f t="shared" si="5"/>
        <v>174.20523095162881</v>
      </c>
      <c r="L53" s="100">
        <f>(TableTEMaster[[#This Row],[TGT]]*TARGETS)+(TableTEMaster[[#This Row],[REC]]*RECEPTIONS_TE)+(TableTEMaster[[#This Row],[RCYD]]*RECV_YARDS)+(TableTEMaster[[#This Row],[RCTD]]*RECV_TDS)</f>
        <v>138.39001077242881</v>
      </c>
      <c r="M53" s="101">
        <v>6.8828272271244249</v>
      </c>
    </row>
    <row r="54" spans="1:13" x14ac:dyDescent="0.2">
      <c r="A54" s="60">
        <f>IF(TableTEMaster[[#This Row],[Player]]&lt;&gt;0,A53+1,A53)</f>
        <v>50</v>
      </c>
      <c r="B54" s="60" t="str">
        <f>LAR!A$25</f>
        <v>Brycen Hopkins</v>
      </c>
      <c r="C54" s="60" t="s">
        <v>124</v>
      </c>
      <c r="D54" s="62">
        <f>LAR!C$25</f>
        <v>10</v>
      </c>
      <c r="E54" s="61">
        <f>LAR!L$25</f>
        <v>6.7960569599999996</v>
      </c>
      <c r="F54" s="61">
        <f>LAR!M$25</f>
        <v>5.1519900638318079</v>
      </c>
      <c r="G54" s="61">
        <f>LAR!N$25</f>
        <v>61.777461152208801</v>
      </c>
      <c r="H54" s="61">
        <f>LAR!O$25</f>
        <v>0.30911940382990849</v>
      </c>
      <c r="I54" s="61">
        <f t="shared" si="3"/>
        <v>8.0324625382003312</v>
      </c>
      <c r="J54" s="61">
        <f t="shared" si="4"/>
        <v>10.608457570116235</v>
      </c>
      <c r="K54" s="61">
        <f t="shared" si="5"/>
        <v>13.184452602032138</v>
      </c>
      <c r="L54" s="100">
        <f>(TableTEMaster[[#This Row],[TGT]]*TARGETS)+(TableTEMaster[[#This Row],[REC]]*RECEPTIONS_TE)+(TableTEMaster[[#This Row],[RCYD]]*RECV_YARDS)+(TableTEMaster[[#This Row],[RCTD]]*RECV_TDS)</f>
        <v>10.608457570116235</v>
      </c>
      <c r="M54" s="101">
        <v>0</v>
      </c>
    </row>
    <row r="55" spans="1:13" x14ac:dyDescent="0.2">
      <c r="A55" s="60">
        <f>IF(TableTEMaster[[#This Row],[Player]]&lt;&gt;0,A54+1,A54)</f>
        <v>51</v>
      </c>
      <c r="B55" s="60" t="str">
        <f>LAR!A$26</f>
        <v>Hunter Long</v>
      </c>
      <c r="C55" s="60" t="s">
        <v>124</v>
      </c>
      <c r="D55" s="62">
        <f>LAR!C$26</f>
        <v>10</v>
      </c>
      <c r="E55" s="61">
        <f>LAR!L$26</f>
        <v>16.063407359999999</v>
      </c>
      <c r="F55" s="61">
        <f>LAR!M$26</f>
        <v>10.271620227109199</v>
      </c>
      <c r="G55" s="61">
        <f>LAR!N$26</f>
        <v>111.73658039311987</v>
      </c>
      <c r="H55" s="61">
        <f>LAR!O$26</f>
        <v>0.62656883385366113</v>
      </c>
      <c r="I55" s="61">
        <f t="shared" si="3"/>
        <v>14.933071042433953</v>
      </c>
      <c r="J55" s="61">
        <f t="shared" si="4"/>
        <v>20.068881155988553</v>
      </c>
      <c r="K55" s="61">
        <f t="shared" si="5"/>
        <v>25.204691269543154</v>
      </c>
      <c r="L55" s="100">
        <f>(TableTEMaster[[#This Row],[TGT]]*TARGETS)+(TableTEMaster[[#This Row],[REC]]*RECEPTIONS_TE)+(TableTEMaster[[#This Row],[RCYD]]*RECV_YARDS)+(TableTEMaster[[#This Row],[RCTD]]*RECV_TDS)</f>
        <v>20.068881155988553</v>
      </c>
      <c r="M55" s="101">
        <v>0</v>
      </c>
    </row>
    <row r="56" spans="1:13" x14ac:dyDescent="0.2">
      <c r="A56" s="60">
        <f>IF(TableTEMaster[[#This Row],[Player]]&lt;&gt;0,A55+1,A55)</f>
        <v>52</v>
      </c>
      <c r="B56" s="60" t="str">
        <f>MIA!A$24</f>
        <v>Durham Smythe</v>
      </c>
      <c r="C56" s="60" t="s">
        <v>125</v>
      </c>
      <c r="D56" s="62">
        <f>MIA!C$24</f>
        <v>10</v>
      </c>
      <c r="E56" s="61">
        <f>MIA!L$24</f>
        <v>39.142630800000013</v>
      </c>
      <c r="F56" s="61">
        <f>MIA!M$24</f>
        <v>26.089456844396544</v>
      </c>
      <c r="G56" s="61">
        <f>MIA!N$24</f>
        <v>258.28562275952578</v>
      </c>
      <c r="H56" s="61">
        <f>MIA!O$24</f>
        <v>2.6350351412840509</v>
      </c>
      <c r="I56" s="61">
        <f t="shared" si="3"/>
        <v>41.638773123656883</v>
      </c>
      <c r="J56" s="61">
        <f t="shared" si="4"/>
        <v>54.683501545855151</v>
      </c>
      <c r="K56" s="61">
        <f t="shared" si="5"/>
        <v>67.728229968053427</v>
      </c>
      <c r="L56" s="100">
        <f>(TableTEMaster[[#This Row],[TGT]]*TARGETS)+(TableTEMaster[[#This Row],[REC]]*RECEPTIONS_TE)+(TableTEMaster[[#This Row],[RCYD]]*RECV_YARDS)+(TableTEMaster[[#This Row],[RCTD]]*RECV_TDS)</f>
        <v>54.683501545855158</v>
      </c>
      <c r="M56" s="101">
        <v>2.0133601251060926</v>
      </c>
    </row>
    <row r="57" spans="1:13" x14ac:dyDescent="0.2">
      <c r="A57" s="60">
        <f>IF(TableTEMaster[[#This Row],[Player]]&lt;&gt;0,A56+1,A56)</f>
        <v>53</v>
      </c>
      <c r="B57" s="60" t="str">
        <f>MIA!A$25</f>
        <v>Julian Hill</v>
      </c>
      <c r="C57" s="60" t="s">
        <v>125</v>
      </c>
      <c r="D57" s="62">
        <f>MIA!C$25</f>
        <v>10</v>
      </c>
      <c r="E57" s="61">
        <f>MIA!L$25</f>
        <v>23.485578480000004</v>
      </c>
      <c r="F57" s="61">
        <f>MIA!M$25</f>
        <v>15.476996218320004</v>
      </c>
      <c r="G57" s="61">
        <f>MIA!N$25</f>
        <v>150.90071312862003</v>
      </c>
      <c r="H57" s="61">
        <f>MIA!O$25</f>
        <v>1.4509683954675003</v>
      </c>
      <c r="I57" s="61">
        <f t="shared" si="3"/>
        <v>23.795881685667005</v>
      </c>
      <c r="J57" s="61">
        <f t="shared" si="4"/>
        <v>31.534379794827007</v>
      </c>
      <c r="K57" s="61">
        <f t="shared" si="5"/>
        <v>39.272877903987009</v>
      </c>
      <c r="L57" s="100">
        <f>(TableTEMaster[[#This Row],[TGT]]*TARGETS)+(TableTEMaster[[#This Row],[REC]]*RECEPTIONS_TE)+(TableTEMaster[[#This Row],[RCYD]]*RECV_YARDS)+(TableTEMaster[[#This Row],[RCTD]]*RECV_TDS)</f>
        <v>31.534379794827011</v>
      </c>
      <c r="M57" s="101">
        <v>0</v>
      </c>
    </row>
    <row r="58" spans="1:13" x14ac:dyDescent="0.2">
      <c r="A58" s="60">
        <f>IF(TableTEMaster[[#This Row],[Player]]&lt;&gt;0,A57+1,A57)</f>
        <v>53</v>
      </c>
      <c r="B58" s="60">
        <f>MIA!A$26</f>
        <v>0</v>
      </c>
      <c r="C58" s="60" t="s">
        <v>125</v>
      </c>
      <c r="D58" s="62">
        <f>MIA!C$26</f>
        <v>10</v>
      </c>
      <c r="E58" s="61">
        <f>MIA!L$26</f>
        <v>0</v>
      </c>
      <c r="F58" s="61">
        <f>MIA!M$26</f>
        <v>0</v>
      </c>
      <c r="G58" s="61">
        <f>MIA!N$26</f>
        <v>0</v>
      </c>
      <c r="H58" s="61">
        <f>MIA!O$26</f>
        <v>0</v>
      </c>
      <c r="I58" s="61">
        <f t="shared" si="3"/>
        <v>0</v>
      </c>
      <c r="J58" s="61">
        <f t="shared" si="4"/>
        <v>0</v>
      </c>
      <c r="K58" s="61">
        <f t="shared" si="5"/>
        <v>0</v>
      </c>
      <c r="L58" s="100">
        <f>(TableTEMaster[[#This Row],[TGT]]*TARGETS)+(TableTEMaster[[#This Row],[REC]]*RECEPTIONS_TE)+(TableTEMaster[[#This Row],[RCYD]]*RECV_YARDS)+(TableTEMaster[[#This Row],[RCTD]]*RECV_TDS)</f>
        <v>0</v>
      </c>
      <c r="M58" s="101">
        <v>0</v>
      </c>
    </row>
    <row r="59" spans="1:13" x14ac:dyDescent="0.2">
      <c r="A59" s="60">
        <f>IF(TableTEMaster[[#This Row],[Player]]&lt;&gt;0,A58+1,A58)</f>
        <v>54</v>
      </c>
      <c r="B59" s="60" t="str">
        <f>MIN!A$24</f>
        <v>T.J. Hockenson</v>
      </c>
      <c r="C59" s="60" t="s">
        <v>126</v>
      </c>
      <c r="D59" s="62">
        <f>MIN!C$24</f>
        <v>13</v>
      </c>
      <c r="E59" s="61">
        <f>MIN!L$24</f>
        <v>127.96446431999995</v>
      </c>
      <c r="F59" s="61">
        <f>MIN!M$24</f>
        <v>88.235084478884062</v>
      </c>
      <c r="G59" s="61">
        <f>MIN!N$24</f>
        <v>887.82414826217337</v>
      </c>
      <c r="H59" s="61">
        <f>MIN!O$24</f>
        <v>6.7941015048740727</v>
      </c>
      <c r="I59" s="61">
        <f t="shared" si="3"/>
        <v>129.54702385546176</v>
      </c>
      <c r="J59" s="61">
        <f t="shared" si="4"/>
        <v>173.66456609490379</v>
      </c>
      <c r="K59" s="61">
        <f t="shared" si="5"/>
        <v>217.78210833434582</v>
      </c>
      <c r="L59" s="100">
        <f>(TableTEMaster[[#This Row],[TGT]]*TARGETS)+(TableTEMaster[[#This Row],[REC]]*RECEPTIONS_TE)+(TableTEMaster[[#This Row],[RCYD]]*RECV_YARDS)+(TableTEMaster[[#This Row],[RCTD]]*RECV_TDS)</f>
        <v>173.66456609490382</v>
      </c>
      <c r="M59" s="101">
        <v>2.3510155315424002</v>
      </c>
    </row>
    <row r="60" spans="1:13" x14ac:dyDescent="0.2">
      <c r="A60" s="60">
        <f>IF(TableTEMaster[[#This Row],[Player]]&lt;&gt;0,A59+1,A59)</f>
        <v>55</v>
      </c>
      <c r="B60" s="60" t="str">
        <f>MIN!A$25</f>
        <v>Johnny Mundt</v>
      </c>
      <c r="C60" s="60" t="s">
        <v>126</v>
      </c>
      <c r="D60" s="62">
        <f>MIN!C$25</f>
        <v>13</v>
      </c>
      <c r="E60" s="61">
        <f>MIN!L$25</f>
        <v>14.363358239999997</v>
      </c>
      <c r="F60" s="61">
        <f>MIN!M$25</f>
        <v>10.054350767999997</v>
      </c>
      <c r="G60" s="61">
        <f>MIN!N$25</f>
        <v>83.451111374399986</v>
      </c>
      <c r="H60" s="61">
        <f>MIN!O$25</f>
        <v>0.50271753839999989</v>
      </c>
      <c r="I60" s="61">
        <f t="shared" si="3"/>
        <v>11.361416367839997</v>
      </c>
      <c r="J60" s="61">
        <f t="shared" si="4"/>
        <v>16.388591751839996</v>
      </c>
      <c r="K60" s="61">
        <f t="shared" si="5"/>
        <v>21.415767135839992</v>
      </c>
      <c r="L60" s="100">
        <f>(TableTEMaster[[#This Row],[TGT]]*TARGETS)+(TableTEMaster[[#This Row],[REC]]*RECEPTIONS_TE)+(TableTEMaster[[#This Row],[RCYD]]*RECV_YARDS)+(TableTEMaster[[#This Row],[RCTD]]*RECV_TDS)</f>
        <v>16.388591751839996</v>
      </c>
      <c r="M60" s="101">
        <v>0</v>
      </c>
    </row>
    <row r="61" spans="1:13" x14ac:dyDescent="0.2">
      <c r="A61" s="60">
        <f>IF(TableTEMaster[[#This Row],[Player]]&lt;&gt;0,A60+1,A60)</f>
        <v>56</v>
      </c>
      <c r="B61" s="60" t="str">
        <f>MIN!A$26</f>
        <v>Josh Oliver</v>
      </c>
      <c r="C61" s="60" t="s">
        <v>126</v>
      </c>
      <c r="D61" s="62">
        <f>MIN!C$26</f>
        <v>13</v>
      </c>
      <c r="E61" s="61">
        <f>MIN!L$26</f>
        <v>6.5287991999999981</v>
      </c>
      <c r="F61" s="61">
        <f>MIN!M$26</f>
        <v>4.453760059576144</v>
      </c>
      <c r="G61" s="61">
        <f>MIN!N$26</f>
        <v>43.84454177113944</v>
      </c>
      <c r="H61" s="61">
        <f>MIN!O$26</f>
        <v>0.2226880029788072</v>
      </c>
      <c r="I61" s="61">
        <f t="shared" si="3"/>
        <v>5.720582194986787</v>
      </c>
      <c r="J61" s="61">
        <f t="shared" si="4"/>
        <v>7.947462224774859</v>
      </c>
      <c r="K61" s="61">
        <f t="shared" si="5"/>
        <v>10.17434225456293</v>
      </c>
      <c r="L61" s="100">
        <f>(TableTEMaster[[#This Row],[TGT]]*TARGETS)+(TableTEMaster[[#This Row],[REC]]*RECEPTIONS_TE)+(TableTEMaster[[#This Row],[RCYD]]*RECV_YARDS)+(TableTEMaster[[#This Row],[RCTD]]*RECV_TDS)</f>
        <v>7.947462224774859</v>
      </c>
      <c r="M61" s="101">
        <v>0</v>
      </c>
    </row>
    <row r="62" spans="1:13" x14ac:dyDescent="0.2">
      <c r="A62" s="60">
        <f>IF(TableTEMaster[[#This Row],[Player]]&lt;&gt;0,A61+1,A61)</f>
        <v>57</v>
      </c>
      <c r="B62" s="60" t="str">
        <f>NE!A$24</f>
        <v>Hunter Henry</v>
      </c>
      <c r="C62" s="60" t="s">
        <v>127</v>
      </c>
      <c r="D62" s="62">
        <f>NE!C$24</f>
        <v>11</v>
      </c>
      <c r="E62" s="61">
        <f>NE!L$24</f>
        <v>79.506837479999973</v>
      </c>
      <c r="F62" s="61">
        <f>NE!M$24</f>
        <v>52.685122952160945</v>
      </c>
      <c r="G62" s="61">
        <f>NE!N$24</f>
        <v>616.41593854028304</v>
      </c>
      <c r="H62" s="61">
        <f>NE!O$24</f>
        <v>4.0567544673163924</v>
      </c>
      <c r="I62" s="61">
        <f t="shared" si="3"/>
        <v>85.982120657926657</v>
      </c>
      <c r="J62" s="61">
        <f t="shared" si="4"/>
        <v>112.32468213400713</v>
      </c>
      <c r="K62" s="61">
        <f t="shared" si="5"/>
        <v>138.66724361008761</v>
      </c>
      <c r="L62" s="100">
        <f>(TableTEMaster[[#This Row],[TGT]]*TARGETS)+(TableTEMaster[[#This Row],[REC]]*RECEPTIONS_TE)+(TableTEMaster[[#This Row],[RCYD]]*RECV_YARDS)+(TableTEMaster[[#This Row],[RCTD]]*RECV_TDS)</f>
        <v>112.32468213400713</v>
      </c>
      <c r="M62" s="101">
        <v>0.99153406386620913</v>
      </c>
    </row>
    <row r="63" spans="1:13" x14ac:dyDescent="0.2">
      <c r="A63" s="60">
        <f>IF(TableTEMaster[[#This Row],[Player]]&lt;&gt;0,A62+1,A62)</f>
        <v>58</v>
      </c>
      <c r="B63" s="60" t="str">
        <f>NE!A$25</f>
        <v>Mike Gesicki</v>
      </c>
      <c r="C63" s="60" t="s">
        <v>127</v>
      </c>
      <c r="D63" s="62">
        <f>NE!C$25</f>
        <v>11</v>
      </c>
      <c r="E63" s="61">
        <f>NE!L$25</f>
        <v>62.026610799999979</v>
      </c>
      <c r="F63" s="61">
        <f>NE!M$25</f>
        <v>37.865483265794772</v>
      </c>
      <c r="G63" s="61">
        <f>NE!N$25</f>
        <v>427.43839369701141</v>
      </c>
      <c r="H63" s="61">
        <f>NE!O$25</f>
        <v>3.7865483265794775</v>
      </c>
      <c r="I63" s="61">
        <f t="shared" si="3"/>
        <v>65.463129329178003</v>
      </c>
      <c r="J63" s="61">
        <f t="shared" si="4"/>
        <v>84.395870962075392</v>
      </c>
      <c r="K63" s="61">
        <f t="shared" si="5"/>
        <v>103.32861259497278</v>
      </c>
      <c r="L63" s="100">
        <f>(TableTEMaster[[#This Row],[TGT]]*TARGETS)+(TableTEMaster[[#This Row],[REC]]*RECEPTIONS_TE)+(TableTEMaster[[#This Row],[RCYD]]*RECV_YARDS)+(TableTEMaster[[#This Row],[RCTD]]*RECV_TDS)</f>
        <v>84.395870962075392</v>
      </c>
      <c r="M63" s="101">
        <v>3.6313142252330555</v>
      </c>
    </row>
    <row r="64" spans="1:13" x14ac:dyDescent="0.2">
      <c r="A64" s="60">
        <f>IF(TableTEMaster[[#This Row],[Player]]&lt;&gt;0,A63+1,A63)</f>
        <v>58</v>
      </c>
      <c r="B64" s="60">
        <f>NE!A$26</f>
        <v>0</v>
      </c>
      <c r="C64" s="60" t="s">
        <v>127</v>
      </c>
      <c r="D64" s="62">
        <f>NE!C$26</f>
        <v>11</v>
      </c>
      <c r="E64" s="61">
        <f>NE!L$26</f>
        <v>0</v>
      </c>
      <c r="F64" s="61">
        <f>NE!M$26</f>
        <v>0</v>
      </c>
      <c r="G64" s="61">
        <f>NE!N$26</f>
        <v>0</v>
      </c>
      <c r="H64" s="61">
        <f>NE!O$26</f>
        <v>0</v>
      </c>
      <c r="I64" s="61">
        <f t="shared" si="3"/>
        <v>0</v>
      </c>
      <c r="J64" s="61">
        <f t="shared" si="4"/>
        <v>0</v>
      </c>
      <c r="K64" s="61">
        <f t="shared" si="5"/>
        <v>0</v>
      </c>
      <c r="L64" s="100">
        <f>(TableTEMaster[[#This Row],[TGT]]*TARGETS)+(TableTEMaster[[#This Row],[REC]]*RECEPTIONS_TE)+(TableTEMaster[[#This Row],[RCYD]]*RECV_YARDS)+(TableTEMaster[[#This Row],[RCTD]]*RECV_TDS)</f>
        <v>0</v>
      </c>
      <c r="M64" s="101">
        <v>0</v>
      </c>
    </row>
    <row r="65" spans="1:13" x14ac:dyDescent="0.2">
      <c r="A65" s="60">
        <f>IF(TableTEMaster[[#This Row],[Player]]&lt;&gt;0,A64+1,A64)</f>
        <v>59</v>
      </c>
      <c r="B65" s="60" t="str">
        <f>NO!A$24</f>
        <v>Juwan Johnson</v>
      </c>
      <c r="C65" s="60" t="s">
        <v>128</v>
      </c>
      <c r="D65" s="62">
        <f>NO!C$24</f>
        <v>11</v>
      </c>
      <c r="E65" s="61">
        <f>NO!L$24</f>
        <v>68.672541756000001</v>
      </c>
      <c r="F65" s="61">
        <f>NO!M$24</f>
        <v>43.63790423856031</v>
      </c>
      <c r="G65" s="61">
        <f>NO!N$24</f>
        <v>495.54532169522929</v>
      </c>
      <c r="H65" s="61">
        <f>NO!O$24</f>
        <v>4.4510662323331509</v>
      </c>
      <c r="I65" s="61">
        <f t="shared" si="3"/>
        <v>76.260929563521842</v>
      </c>
      <c r="J65" s="61">
        <f t="shared" si="4"/>
        <v>98.079881682801997</v>
      </c>
      <c r="K65" s="61">
        <f t="shared" si="5"/>
        <v>119.89883380208215</v>
      </c>
      <c r="L65" s="100">
        <f>(TableTEMaster[[#This Row],[TGT]]*TARGETS)+(TableTEMaster[[#This Row],[REC]]*RECEPTIONS_TE)+(TableTEMaster[[#This Row],[RCYD]]*RECV_YARDS)+(TableTEMaster[[#This Row],[RCTD]]*RECV_TDS)</f>
        <v>98.079881682801982</v>
      </c>
      <c r="M65" s="101">
        <v>3.3816406319297219</v>
      </c>
    </row>
    <row r="66" spans="1:13" x14ac:dyDescent="0.2">
      <c r="A66" s="60">
        <f>IF(TableTEMaster[[#This Row],[Player]]&lt;&gt;0,A65+1,A65)</f>
        <v>60</v>
      </c>
      <c r="B66" s="60" t="str">
        <f>NO!A$25</f>
        <v>Foster Moreau</v>
      </c>
      <c r="C66" s="60" t="s">
        <v>128</v>
      </c>
      <c r="D66" s="62">
        <f>NO!C$25</f>
        <v>11</v>
      </c>
      <c r="E66" s="61">
        <f>NO!L$25</f>
        <v>9.9601396439999981</v>
      </c>
      <c r="F66" s="61">
        <f>NO!M$25</f>
        <v>6.3744893721599993</v>
      </c>
      <c r="G66" s="61">
        <f>NO!N$25</f>
        <v>71.521770755635202</v>
      </c>
      <c r="H66" s="61">
        <f>NO!O$25</f>
        <v>0.57370404349439996</v>
      </c>
      <c r="I66" s="61">
        <f t="shared" ref="I66:I97" si="6">(G66/10)+(H66*6)</f>
        <v>10.59440133652992</v>
      </c>
      <c r="J66" s="61">
        <f t="shared" ref="J66:J97" si="7">I66+(F66*0.5)</f>
        <v>13.78164602260992</v>
      </c>
      <c r="K66" s="61">
        <f t="shared" ref="K66:K97" si="8">I66+F66</f>
        <v>16.968890708689919</v>
      </c>
      <c r="L66" s="100">
        <f>(TableTEMaster[[#This Row],[TGT]]*TARGETS)+(TableTEMaster[[#This Row],[REC]]*RECEPTIONS_TE)+(TableTEMaster[[#This Row],[RCYD]]*RECV_YARDS)+(TableTEMaster[[#This Row],[RCTD]]*RECV_TDS)</f>
        <v>13.781646022609921</v>
      </c>
      <c r="M66" s="101">
        <v>0</v>
      </c>
    </row>
    <row r="67" spans="1:13" x14ac:dyDescent="0.2">
      <c r="A67" s="60">
        <f>IF(TableTEMaster[[#This Row],[Player]]&lt;&gt;0,A66+1,A66)</f>
        <v>61</v>
      </c>
      <c r="B67" s="60" t="str">
        <f>NO!A$26</f>
        <v>Taysom Hill</v>
      </c>
      <c r="C67" s="60" t="s">
        <v>128</v>
      </c>
      <c r="D67" s="62">
        <f>NO!C$26</f>
        <v>11</v>
      </c>
      <c r="E67" s="61">
        <f>NO!L$26</f>
        <v>8.3874860160000004</v>
      </c>
      <c r="F67" s="61">
        <f>NO!M$26</f>
        <v>5.8544652391680003</v>
      </c>
      <c r="G67" s="61">
        <f>NO!N$26</f>
        <v>66.155457202598413</v>
      </c>
      <c r="H67" s="61">
        <f>NO!O$26</f>
        <v>0.62057331535180804</v>
      </c>
      <c r="I67" s="61">
        <f t="shared" si="6"/>
        <v>10.338985612370688</v>
      </c>
      <c r="J67" s="61">
        <f t="shared" si="7"/>
        <v>13.266218231954689</v>
      </c>
      <c r="K67" s="61">
        <f t="shared" si="8"/>
        <v>16.193450851538689</v>
      </c>
      <c r="L67" s="100">
        <f>(TableTEMaster[[#This Row],[TGT]]*TARGETS)+(TableTEMaster[[#This Row],[REC]]*RECEPTIONS_TE)+(TableTEMaster[[#This Row],[RCYD]]*RECV_YARDS)+(TableTEMaster[[#This Row],[RCTD]]*RECV_TDS)+((NO!F26/10)+(NO!G26*6)+(NO!H26*-0.5)+(NO!J26/10)+(NO!K26*6))</f>
        <v>71.977671055054685</v>
      </c>
      <c r="M67" s="101">
        <v>0</v>
      </c>
    </row>
    <row r="68" spans="1:13" x14ac:dyDescent="0.2">
      <c r="A68" s="60">
        <f>IF(TableTEMaster[[#This Row],[Player]]&lt;&gt;0,A67+1,A67)</f>
        <v>62</v>
      </c>
      <c r="B68" s="60" t="str">
        <f>NYG!A$24</f>
        <v>Darren Waller</v>
      </c>
      <c r="C68" s="60" t="s">
        <v>129</v>
      </c>
      <c r="D68" s="62">
        <f>NYG!C$24</f>
        <v>13</v>
      </c>
      <c r="E68" s="61">
        <f>NYG!L$24</f>
        <v>119.94075547999999</v>
      </c>
      <c r="F68" s="61">
        <f>NYG!M$24</f>
        <v>80.840069193519994</v>
      </c>
      <c r="G68" s="61">
        <f>NYG!N$24</f>
        <v>962.80522409482319</v>
      </c>
      <c r="H68" s="61">
        <f>NYG!O$24</f>
        <v>7.5181264349973596</v>
      </c>
      <c r="I68" s="61">
        <f t="shared" si="6"/>
        <v>141.38928101946647</v>
      </c>
      <c r="J68" s="61">
        <f t="shared" si="7"/>
        <v>181.80931561622646</v>
      </c>
      <c r="K68" s="61">
        <f t="shared" si="8"/>
        <v>222.22935021298645</v>
      </c>
      <c r="L68" s="100">
        <f>(TableTEMaster[[#This Row],[TGT]]*TARGETS)+(TableTEMaster[[#This Row],[REC]]*RECEPTIONS_TE)+(TableTEMaster[[#This Row],[RCYD]]*RECV_YARDS)+(TableTEMaster[[#This Row],[RCTD]]*RECV_TDS)</f>
        <v>181.80931561622648</v>
      </c>
      <c r="M68" s="101">
        <v>1.0370412640107298</v>
      </c>
    </row>
    <row r="69" spans="1:13" x14ac:dyDescent="0.2">
      <c r="A69" s="60">
        <f>IF(TableTEMaster[[#This Row],[Player]]&lt;&gt;0,A68+1,A68)</f>
        <v>63</v>
      </c>
      <c r="B69" s="60" t="str">
        <f>NYG!A$25</f>
        <v>Daniel Bellinger</v>
      </c>
      <c r="C69" s="60" t="s">
        <v>129</v>
      </c>
      <c r="D69" s="62">
        <f>NYG!C$25</f>
        <v>13</v>
      </c>
      <c r="E69" s="61">
        <f>NYG!L$25</f>
        <v>19.056007880000003</v>
      </c>
      <c r="F69" s="61">
        <f>NYG!M$25</f>
        <v>13.400245097494709</v>
      </c>
      <c r="G69" s="61">
        <f>NYG!N$25</f>
        <v>132.39442156324773</v>
      </c>
      <c r="H69" s="61">
        <f>NYG!O$25</f>
        <v>0.64321176467974606</v>
      </c>
      <c r="I69" s="61">
        <f t="shared" si="6"/>
        <v>17.098712744403251</v>
      </c>
      <c r="J69" s="61">
        <f t="shared" si="7"/>
        <v>23.798835293150606</v>
      </c>
      <c r="K69" s="61">
        <f t="shared" si="8"/>
        <v>30.498957841897962</v>
      </c>
      <c r="L69" s="100">
        <f>(TableTEMaster[[#This Row],[TGT]]*TARGETS)+(TableTEMaster[[#This Row],[REC]]*RECEPTIONS_TE)+(TableTEMaster[[#This Row],[RCYD]]*RECV_YARDS)+(TableTEMaster[[#This Row],[RCTD]]*RECV_TDS)</f>
        <v>23.798835293150606</v>
      </c>
      <c r="M69" s="101">
        <v>0</v>
      </c>
    </row>
    <row r="70" spans="1:13" x14ac:dyDescent="0.2">
      <c r="A70" s="60">
        <f>IF(TableTEMaster[[#This Row],[Player]]&lt;&gt;0,A69+1,A69)</f>
        <v>63</v>
      </c>
      <c r="B70" s="60">
        <f>NYG!A$26</f>
        <v>0</v>
      </c>
      <c r="C70" s="60" t="s">
        <v>129</v>
      </c>
      <c r="D70" s="62">
        <f>NYG!C$26</f>
        <v>13</v>
      </c>
      <c r="E70" s="61">
        <f>NYG!L$26</f>
        <v>0</v>
      </c>
      <c r="F70" s="61">
        <f>NYG!M$26</f>
        <v>0</v>
      </c>
      <c r="G70" s="61">
        <f>NYG!N$26</f>
        <v>0</v>
      </c>
      <c r="H70" s="61">
        <f>NYG!O$26</f>
        <v>0</v>
      </c>
      <c r="I70" s="61">
        <f t="shared" si="6"/>
        <v>0</v>
      </c>
      <c r="J70" s="61">
        <f t="shared" si="7"/>
        <v>0</v>
      </c>
      <c r="K70" s="61">
        <f t="shared" si="8"/>
        <v>0</v>
      </c>
      <c r="L70" s="100">
        <f>(TableTEMaster[[#This Row],[TGT]]*TARGETS)+(TableTEMaster[[#This Row],[REC]]*RECEPTIONS_TE)+(TableTEMaster[[#This Row],[RCYD]]*RECV_YARDS)+(TableTEMaster[[#This Row],[RCTD]]*RECV_TDS)</f>
        <v>0</v>
      </c>
      <c r="M70" s="101">
        <v>0</v>
      </c>
    </row>
    <row r="71" spans="1:13" x14ac:dyDescent="0.2">
      <c r="A71" s="60">
        <f>IF(TableTEMaster[[#This Row],[Player]]&lt;&gt;0,A70+1,A70)</f>
        <v>64</v>
      </c>
      <c r="B71" s="60" t="str">
        <f>NYJ!A$24</f>
        <v>C.J. Uzomah</v>
      </c>
      <c r="C71" s="60" t="s">
        <v>130</v>
      </c>
      <c r="D71" s="62">
        <f>NYJ!C$24</f>
        <v>7</v>
      </c>
      <c r="E71" s="61">
        <f>NYJ!L$24</f>
        <v>28.536580799999999</v>
      </c>
      <c r="F71" s="61">
        <f>NYJ!M$24</f>
        <v>19.963133649451848</v>
      </c>
      <c r="G71" s="61">
        <f>NYJ!N$24</f>
        <v>200.24420294046385</v>
      </c>
      <c r="H71" s="61">
        <f>NYJ!O$24</f>
        <v>1.6369769592550516</v>
      </c>
      <c r="I71" s="61">
        <f t="shared" si="6"/>
        <v>29.846282049576697</v>
      </c>
      <c r="J71" s="61">
        <f t="shared" si="7"/>
        <v>39.827848874302617</v>
      </c>
      <c r="K71" s="61">
        <f t="shared" si="8"/>
        <v>49.809415699028548</v>
      </c>
      <c r="L71" s="100">
        <f>(TableTEMaster[[#This Row],[TGT]]*TARGETS)+(TableTEMaster[[#This Row],[REC]]*RECEPTIONS_TE)+(TableTEMaster[[#This Row],[RCYD]]*RECV_YARDS)+(TableTEMaster[[#This Row],[RCTD]]*RECV_TDS)</f>
        <v>39.827848874302617</v>
      </c>
      <c r="M71" s="101">
        <v>0</v>
      </c>
    </row>
    <row r="72" spans="1:13" x14ac:dyDescent="0.2">
      <c r="A72" s="60">
        <f>IF(TableTEMaster[[#This Row],[Player]]&lt;&gt;0,A71+1,A71)</f>
        <v>65</v>
      </c>
      <c r="B72" s="60" t="str">
        <f>NYJ!A$25</f>
        <v>Tyler Conklin</v>
      </c>
      <c r="C72" s="60" t="s">
        <v>130</v>
      </c>
      <c r="D72" s="62">
        <f>NYJ!C$25</f>
        <v>7</v>
      </c>
      <c r="E72" s="61">
        <f>NYJ!L$25</f>
        <v>55.289625299999997</v>
      </c>
      <c r="F72" s="61">
        <f>NYJ!M$25</f>
        <v>39.723854619672842</v>
      </c>
      <c r="G72" s="61">
        <f>NYJ!N$25</f>
        <v>385.55270357340657</v>
      </c>
      <c r="H72" s="61">
        <f>NYJ!O$25</f>
        <v>3.734042334249247</v>
      </c>
      <c r="I72" s="61">
        <f t="shared" si="6"/>
        <v>60.959524362836142</v>
      </c>
      <c r="J72" s="61">
        <f t="shared" si="7"/>
        <v>80.821451672672566</v>
      </c>
      <c r="K72" s="61">
        <f t="shared" si="8"/>
        <v>100.68337898250898</v>
      </c>
      <c r="L72" s="100">
        <f>(TableTEMaster[[#This Row],[TGT]]*TARGETS)+(TableTEMaster[[#This Row],[REC]]*RECEPTIONS_TE)+(TableTEMaster[[#This Row],[RCYD]]*RECV_YARDS)+(TableTEMaster[[#This Row],[RCTD]]*RECV_TDS)</f>
        <v>80.821451672672566</v>
      </c>
      <c r="M72" s="101">
        <v>0</v>
      </c>
    </row>
    <row r="73" spans="1:13" x14ac:dyDescent="0.2">
      <c r="A73" s="60">
        <f>IF(TableTEMaster[[#This Row],[Player]]&lt;&gt;0,A72+1,A72)</f>
        <v>66</v>
      </c>
      <c r="B73" s="60" t="str">
        <f>NYJ!A$26</f>
        <v>Jeremy Ruckert</v>
      </c>
      <c r="C73" s="60" t="s">
        <v>130</v>
      </c>
      <c r="D73" s="62">
        <f>NYJ!C$26</f>
        <v>7</v>
      </c>
      <c r="E73" s="61">
        <f>NYJ!L$26</f>
        <v>11.890241999999999</v>
      </c>
      <c r="F73" s="61">
        <f>NYJ!M$26</f>
        <v>8.3231693999999994</v>
      </c>
      <c r="G73" s="61">
        <f>NYJ!N$26</f>
        <v>80.734743179999981</v>
      </c>
      <c r="H73" s="61">
        <f>NYJ!O$26</f>
        <v>0.64088404379999997</v>
      </c>
      <c r="I73" s="61">
        <f t="shared" si="6"/>
        <v>11.918778580799998</v>
      </c>
      <c r="J73" s="61">
        <f t="shared" si="7"/>
        <v>16.080363280799997</v>
      </c>
      <c r="K73" s="61">
        <f t="shared" si="8"/>
        <v>20.241947980799999</v>
      </c>
      <c r="L73" s="100">
        <f>(TableTEMaster[[#This Row],[TGT]]*TARGETS)+(TableTEMaster[[#This Row],[REC]]*RECEPTIONS_TE)+(TableTEMaster[[#This Row],[RCYD]]*RECV_YARDS)+(TableTEMaster[[#This Row],[RCTD]]*RECV_TDS)</f>
        <v>16.080363280799997</v>
      </c>
      <c r="M73" s="101">
        <v>0</v>
      </c>
    </row>
    <row r="74" spans="1:13" x14ac:dyDescent="0.2">
      <c r="A74" s="60">
        <f>IF(TableTEMaster[[#This Row],[Player]]&lt;&gt;0,A73+1,A73)</f>
        <v>67</v>
      </c>
      <c r="B74" s="60" t="str">
        <f>LV!A$24</f>
        <v>Michael Mayer</v>
      </c>
      <c r="C74" s="60" t="s">
        <v>192</v>
      </c>
      <c r="D74" s="62">
        <f>LV!C$24</f>
        <v>13</v>
      </c>
      <c r="E74" s="61">
        <f>LV!L$24</f>
        <v>65.545389</v>
      </c>
      <c r="F74" s="61">
        <f>LV!M$24</f>
        <v>44.069829796177089</v>
      </c>
      <c r="G74" s="61">
        <f>LV!N$24</f>
        <v>482.55391213149016</v>
      </c>
      <c r="H74" s="61">
        <f>LV!O$24</f>
        <v>3.7459355326750527</v>
      </c>
      <c r="I74" s="61">
        <f t="shared" si="6"/>
        <v>70.731004409199329</v>
      </c>
      <c r="J74" s="61">
        <f t="shared" si="7"/>
        <v>92.765919307287874</v>
      </c>
      <c r="K74" s="61">
        <f t="shared" si="8"/>
        <v>114.80083420537642</v>
      </c>
      <c r="L74" s="100">
        <f>(TableTEMaster[[#This Row],[TGT]]*TARGETS)+(TableTEMaster[[#This Row],[REC]]*RECEPTIONS_TE)+(TableTEMaster[[#This Row],[RCYD]]*RECV_YARDS)+(TableTEMaster[[#This Row],[RCTD]]*RECV_TDS)</f>
        <v>92.765919307287874</v>
      </c>
      <c r="M74" s="101">
        <v>21.587220110897501</v>
      </c>
    </row>
    <row r="75" spans="1:13" x14ac:dyDescent="0.2">
      <c r="A75" s="60">
        <f>IF(TableTEMaster[[#This Row],[Player]]&lt;&gt;0,A74+1,A74)</f>
        <v>68</v>
      </c>
      <c r="B75" s="60" t="str">
        <f>LV!A$25</f>
        <v>O.J. Howard</v>
      </c>
      <c r="C75" s="60" t="s">
        <v>192</v>
      </c>
      <c r="D75" s="62">
        <f>LV!C$25</f>
        <v>13</v>
      </c>
      <c r="E75" s="61">
        <f>LV!L$25</f>
        <v>7.0859879999999995</v>
      </c>
      <c r="F75" s="61">
        <f>LV!M$25</f>
        <v>4.1532045760676457</v>
      </c>
      <c r="G75" s="61">
        <f>LV!N$25</f>
        <v>54.282383809204127</v>
      </c>
      <c r="H75" s="61">
        <f>LV!O$25</f>
        <v>0.24919227456405874</v>
      </c>
      <c r="I75" s="61">
        <f t="shared" si="6"/>
        <v>6.9233920283047654</v>
      </c>
      <c r="J75" s="61">
        <f t="shared" si="7"/>
        <v>8.9999943163385883</v>
      </c>
      <c r="K75" s="61">
        <f t="shared" si="8"/>
        <v>11.076596604372412</v>
      </c>
      <c r="L75" s="100">
        <f>(TableTEMaster[[#This Row],[TGT]]*TARGETS)+(TableTEMaster[[#This Row],[REC]]*RECEPTIONS_TE)+(TableTEMaster[[#This Row],[RCYD]]*RECV_YARDS)+(TableTEMaster[[#This Row],[RCTD]]*RECV_TDS)</f>
        <v>8.9999943163385883</v>
      </c>
      <c r="M75" s="101">
        <v>0</v>
      </c>
    </row>
    <row r="76" spans="1:13" x14ac:dyDescent="0.2">
      <c r="A76" s="60">
        <f>IF(TableTEMaster[[#This Row],[Player]]&lt;&gt;0,A75+1,A75)</f>
        <v>69</v>
      </c>
      <c r="B76" s="60" t="str">
        <f>LV!A$26</f>
        <v>Austin Hooper</v>
      </c>
      <c r="C76" s="60" t="s">
        <v>192</v>
      </c>
      <c r="D76" s="62">
        <f>LV!C$26</f>
        <v>13</v>
      </c>
      <c r="E76" s="61">
        <f>LV!L$26</f>
        <v>53.144909999999996</v>
      </c>
      <c r="F76" s="61">
        <f>LV!M$26</f>
        <v>35.388403875992303</v>
      </c>
      <c r="G76" s="61">
        <f>LV!N$26</f>
        <v>396.046323115132</v>
      </c>
      <c r="H76" s="61">
        <f>LV!O$26</f>
        <v>2.901849117831369</v>
      </c>
      <c r="I76" s="61">
        <f t="shared" si="6"/>
        <v>57.015727018501416</v>
      </c>
      <c r="J76" s="61">
        <f t="shared" si="7"/>
        <v>74.709928956497563</v>
      </c>
      <c r="K76" s="61">
        <f t="shared" si="8"/>
        <v>92.404130894493719</v>
      </c>
      <c r="L76" s="100">
        <f>(TableTEMaster[[#This Row],[TGT]]*TARGETS)+(TableTEMaster[[#This Row],[REC]]*RECEPTIONS_TE)+(TableTEMaster[[#This Row],[RCYD]]*RECV_YARDS)+(TableTEMaster[[#This Row],[RCTD]]*RECV_TDS)</f>
        <v>74.709928956497578</v>
      </c>
      <c r="M76" s="101">
        <v>0</v>
      </c>
    </row>
    <row r="77" spans="1:13" x14ac:dyDescent="0.2">
      <c r="A77" s="60">
        <f>IF(TableTEMaster[[#This Row],[Player]]&lt;&gt;0,A76+1,A76)</f>
        <v>70</v>
      </c>
      <c r="B77" s="60" t="str">
        <f>PHI!A$24</f>
        <v>Dallas Goedert</v>
      </c>
      <c r="C77" s="60" t="s">
        <v>132</v>
      </c>
      <c r="D77" s="62">
        <f>PHI!C$24</f>
        <v>10</v>
      </c>
      <c r="E77" s="61">
        <f>PHI!L$24</f>
        <v>92.226094799999998</v>
      </c>
      <c r="F77" s="61">
        <f>PHI!M$24</f>
        <v>66.556717988062132</v>
      </c>
      <c r="G77" s="61">
        <f>PHI!N$24</f>
        <v>805.33628765555181</v>
      </c>
      <c r="H77" s="61">
        <f>PHI!O$24</f>
        <v>4.4593001052001631</v>
      </c>
      <c r="I77" s="61">
        <f t="shared" si="6"/>
        <v>107.28942939675616</v>
      </c>
      <c r="J77" s="61">
        <f t="shared" si="7"/>
        <v>140.56778839078723</v>
      </c>
      <c r="K77" s="61">
        <f t="shared" si="8"/>
        <v>173.84614738481829</v>
      </c>
      <c r="L77" s="100">
        <f>(TableTEMaster[[#This Row],[TGT]]*TARGETS)+(TableTEMaster[[#This Row],[REC]]*RECEPTIONS_TE)+(TableTEMaster[[#This Row],[RCYD]]*RECV_YARDS)+(TableTEMaster[[#This Row],[RCTD]]*RECV_TDS)</f>
        <v>140.56778839078723</v>
      </c>
      <c r="M77" s="101">
        <v>7.0149645980123587</v>
      </c>
    </row>
    <row r="78" spans="1:13" x14ac:dyDescent="0.2">
      <c r="A78" s="60">
        <f>IF(TableTEMaster[[#This Row],[Player]]&lt;&gt;0,A77+1,A77)</f>
        <v>71</v>
      </c>
      <c r="B78" s="60" t="str">
        <f>PHI!A$25</f>
        <v>Grant Calcaterra</v>
      </c>
      <c r="C78" s="60" t="s">
        <v>132</v>
      </c>
      <c r="D78" s="62">
        <f>PHI!C$25</f>
        <v>10</v>
      </c>
      <c r="E78" s="61">
        <f>PHI!L$25</f>
        <v>13.562661</v>
      </c>
      <c r="F78" s="61">
        <f>PHI!M$25</f>
        <v>9.2226094800000009</v>
      </c>
      <c r="G78" s="61">
        <f>PHI!N$25</f>
        <v>93.148355748</v>
      </c>
      <c r="H78" s="61">
        <f>PHI!O$25</f>
        <v>0.57180178776000001</v>
      </c>
      <c r="I78" s="61">
        <f t="shared" si="6"/>
        <v>12.745646301360001</v>
      </c>
      <c r="J78" s="61">
        <f t="shared" si="7"/>
        <v>17.356951041360002</v>
      </c>
      <c r="K78" s="61">
        <f t="shared" si="8"/>
        <v>21.96825578136</v>
      </c>
      <c r="L78" s="100">
        <f>(TableTEMaster[[#This Row],[TGT]]*TARGETS)+(TableTEMaster[[#This Row],[REC]]*RECEPTIONS_TE)+(TableTEMaster[[#This Row],[RCYD]]*RECV_YARDS)+(TableTEMaster[[#This Row],[RCTD]]*RECV_TDS)</f>
        <v>17.356951041360002</v>
      </c>
      <c r="M78" s="101">
        <v>0</v>
      </c>
    </row>
    <row r="79" spans="1:13" x14ac:dyDescent="0.2">
      <c r="A79" s="60">
        <f>IF(TableTEMaster[[#This Row],[Player]]&lt;&gt;0,A78+1,A78)</f>
        <v>72</v>
      </c>
      <c r="B79" s="60" t="str">
        <f>PHI!A$26</f>
        <v>Jack Stoll</v>
      </c>
      <c r="C79" s="60" t="s">
        <v>132</v>
      </c>
      <c r="D79" s="62">
        <f>PHI!C$26</f>
        <v>10</v>
      </c>
      <c r="E79" s="61">
        <f>PHI!L$26</f>
        <v>10.850128799999998</v>
      </c>
      <c r="F79" s="61">
        <f>PHI!M$26</f>
        <v>7.7361418343999988</v>
      </c>
      <c r="G79" s="61">
        <f>PHI!N$26</f>
        <v>80.069067986039983</v>
      </c>
      <c r="H79" s="61">
        <f>PHI!O$26</f>
        <v>0.57247449574559983</v>
      </c>
      <c r="I79" s="61">
        <f t="shared" si="6"/>
        <v>11.441753773077597</v>
      </c>
      <c r="J79" s="61">
        <f t="shared" si="7"/>
        <v>15.309824690277596</v>
      </c>
      <c r="K79" s="61">
        <f t="shared" si="8"/>
        <v>19.177895607477595</v>
      </c>
      <c r="L79" s="100">
        <f>(TableTEMaster[[#This Row],[TGT]]*TARGETS)+(TableTEMaster[[#This Row],[REC]]*RECEPTIONS_TE)+(TableTEMaster[[#This Row],[RCYD]]*RECV_YARDS)+(TableTEMaster[[#This Row],[RCTD]]*RECV_TDS)</f>
        <v>15.309824690277596</v>
      </c>
      <c r="M79" s="101">
        <v>0</v>
      </c>
    </row>
    <row r="80" spans="1:13" x14ac:dyDescent="0.2">
      <c r="A80" s="60">
        <f>IF(TableTEMaster[[#This Row],[Player]]&lt;&gt;0,A79+1,A79)</f>
        <v>73</v>
      </c>
      <c r="B80" s="60" t="str">
        <f>PIT!A$24</f>
        <v>Pat Freiermuth</v>
      </c>
      <c r="C80" s="60" t="s">
        <v>133</v>
      </c>
      <c r="D80" s="62">
        <f>PIT!C$24</f>
        <v>6</v>
      </c>
      <c r="E80" s="61">
        <f>PIT!L$24</f>
        <v>90.615077700000001</v>
      </c>
      <c r="F80" s="61">
        <f>PIT!M$24</f>
        <v>61.708867913700004</v>
      </c>
      <c r="G80" s="61">
        <f>PIT!N$24</f>
        <v>660.28488667658996</v>
      </c>
      <c r="H80" s="61">
        <f>PIT!O$24</f>
        <v>4.0727852823042001</v>
      </c>
      <c r="I80" s="61">
        <f t="shared" si="6"/>
        <v>90.465200361484193</v>
      </c>
      <c r="J80" s="61">
        <f t="shared" si="7"/>
        <v>121.3196343183342</v>
      </c>
      <c r="K80" s="61">
        <f t="shared" si="8"/>
        <v>152.1740682751842</v>
      </c>
      <c r="L80" s="100">
        <f>(TableTEMaster[[#This Row],[TGT]]*TARGETS)+(TableTEMaster[[#This Row],[REC]]*RECEPTIONS_TE)+(TableTEMaster[[#This Row],[RCYD]]*RECV_YARDS)+(TableTEMaster[[#This Row],[RCTD]]*RECV_TDS)</f>
        <v>121.31963431833421</v>
      </c>
      <c r="M80" s="101">
        <v>0</v>
      </c>
    </row>
    <row r="81" spans="1:13" x14ac:dyDescent="0.2">
      <c r="A81" s="60">
        <f>IF(TableTEMaster[[#This Row],[Player]]&lt;&gt;0,A80+1,A80)</f>
        <v>74</v>
      </c>
      <c r="B81" s="60" t="str">
        <f>PIT!A$25</f>
        <v>Connor Heyward</v>
      </c>
      <c r="C81" s="60" t="s">
        <v>133</v>
      </c>
      <c r="D81" s="62">
        <f>PIT!C$25</f>
        <v>6</v>
      </c>
      <c r="E81" s="61">
        <f>PIT!L$25</f>
        <v>19.046481300000004</v>
      </c>
      <c r="F81" s="61">
        <f>PIT!M$25</f>
        <v>12.989700246600004</v>
      </c>
      <c r="G81" s="61">
        <f>PIT!N$25</f>
        <v>143.14649671753205</v>
      </c>
      <c r="H81" s="61">
        <f>PIT!O$25</f>
        <v>0.63649531208340016</v>
      </c>
      <c r="I81" s="61">
        <f t="shared" si="6"/>
        <v>18.133621544253607</v>
      </c>
      <c r="J81" s="61">
        <f t="shared" si="7"/>
        <v>24.628471667553608</v>
      </c>
      <c r="K81" s="61">
        <f t="shared" si="8"/>
        <v>31.123321790853609</v>
      </c>
      <c r="L81" s="100">
        <f>(TableTEMaster[[#This Row],[TGT]]*TARGETS)+(TableTEMaster[[#This Row],[REC]]*RECEPTIONS_TE)+(TableTEMaster[[#This Row],[RCYD]]*RECV_YARDS)+(TableTEMaster[[#This Row],[RCTD]]*RECV_TDS)</f>
        <v>24.628471667553608</v>
      </c>
      <c r="M81" s="101">
        <v>0</v>
      </c>
    </row>
    <row r="82" spans="1:13" x14ac:dyDescent="0.2">
      <c r="A82" s="60">
        <f>IF(TableTEMaster[[#This Row],[Player]]&lt;&gt;0,A81+1,A81)</f>
        <v>75</v>
      </c>
      <c r="B82" s="60" t="str">
        <f>PIT!A$26</f>
        <v>Darnell Washington</v>
      </c>
      <c r="C82" s="60" t="s">
        <v>133</v>
      </c>
      <c r="D82" s="62">
        <f>PIT!C$26</f>
        <v>6</v>
      </c>
      <c r="E82" s="61">
        <f>PIT!L$26</f>
        <v>11.543322</v>
      </c>
      <c r="F82" s="61">
        <f>PIT!M$26</f>
        <v>7.6660509398372332</v>
      </c>
      <c r="G82" s="61">
        <f>PIT!N$26</f>
        <v>81.336800471673044</v>
      </c>
      <c r="H82" s="61">
        <f>PIT!O$26</f>
        <v>0.40630069981137334</v>
      </c>
      <c r="I82" s="61">
        <f t="shared" si="6"/>
        <v>10.571484246035546</v>
      </c>
      <c r="J82" s="61">
        <f t="shared" si="7"/>
        <v>14.404509715954163</v>
      </c>
      <c r="K82" s="61">
        <f t="shared" si="8"/>
        <v>18.23753518587278</v>
      </c>
      <c r="L82" s="100">
        <f>(TableTEMaster[[#This Row],[TGT]]*TARGETS)+(TableTEMaster[[#This Row],[REC]]*RECEPTIONS_TE)+(TableTEMaster[[#This Row],[RCYD]]*RECV_YARDS)+(TableTEMaster[[#This Row],[RCTD]]*RECV_TDS)</f>
        <v>14.404509715954163</v>
      </c>
      <c r="M82" s="101">
        <v>0</v>
      </c>
    </row>
    <row r="83" spans="1:13" x14ac:dyDescent="0.2">
      <c r="A83" s="60">
        <f>IF(TableTEMaster[[#This Row],[Player]]&lt;&gt;0,A82+1,A82)</f>
        <v>76</v>
      </c>
      <c r="B83" s="60" t="str">
        <f>SEA!A$24</f>
        <v>Noah Fant</v>
      </c>
      <c r="C83" s="60" t="s">
        <v>134</v>
      </c>
      <c r="D83" s="62">
        <f>SEA!C$24</f>
        <v>5</v>
      </c>
      <c r="E83" s="61">
        <f>SEA!L$24</f>
        <v>64.599796799999993</v>
      </c>
      <c r="F83" s="61">
        <f>SEA!M$24</f>
        <v>47.044538013627665</v>
      </c>
      <c r="G83" s="61">
        <f>SEA!N$24</f>
        <v>478.08159677085217</v>
      </c>
      <c r="H83" s="61">
        <f>SEA!O$24</f>
        <v>4.2340084212264895</v>
      </c>
      <c r="I83" s="61">
        <f t="shared" si="6"/>
        <v>73.212210204444148</v>
      </c>
      <c r="J83" s="61">
        <f t="shared" si="7"/>
        <v>96.734479211257977</v>
      </c>
      <c r="K83" s="61">
        <f t="shared" si="8"/>
        <v>120.25674821807181</v>
      </c>
      <c r="L83" s="100">
        <f>(TableTEMaster[[#This Row],[TGT]]*TARGETS)+(TableTEMaster[[#This Row],[REC]]*RECEPTIONS_TE)+(TableTEMaster[[#This Row],[RCYD]]*RECV_YARDS)+(TableTEMaster[[#This Row],[RCTD]]*RECV_TDS)</f>
        <v>96.734479211257991</v>
      </c>
      <c r="M83" s="101">
        <v>1.3392541066845682</v>
      </c>
    </row>
    <row r="84" spans="1:13" x14ac:dyDescent="0.2">
      <c r="A84" s="60">
        <f>IF(TableTEMaster[[#This Row],[Player]]&lt;&gt;0,A83+1,A83)</f>
        <v>77</v>
      </c>
      <c r="B84" s="60" t="str">
        <f>SEA!A$25</f>
        <v>Will Dissly</v>
      </c>
      <c r="C84" s="60" t="s">
        <v>134</v>
      </c>
      <c r="D84" s="62">
        <f>SEA!C$25</f>
        <v>5</v>
      </c>
      <c r="E84" s="61">
        <f>SEA!L$25</f>
        <v>28.189002239999997</v>
      </c>
      <c r="F84" s="61">
        <f>SEA!M$25</f>
        <v>20.938360802748882</v>
      </c>
      <c r="G84" s="61">
        <f>SEA!N$25</f>
        <v>221.94662450913813</v>
      </c>
      <c r="H84" s="61">
        <f>SEA!O$25</f>
        <v>1.7169455858254083</v>
      </c>
      <c r="I84" s="61">
        <f t="shared" si="6"/>
        <v>32.496335965866265</v>
      </c>
      <c r="J84" s="61">
        <f t="shared" si="7"/>
        <v>42.96551636724071</v>
      </c>
      <c r="K84" s="61">
        <f t="shared" si="8"/>
        <v>53.434696768615147</v>
      </c>
      <c r="L84" s="100">
        <f>(TableTEMaster[[#This Row],[TGT]]*TARGETS)+(TableTEMaster[[#This Row],[REC]]*RECEPTIONS_TE)+(TableTEMaster[[#This Row],[RCYD]]*RECV_YARDS)+(TableTEMaster[[#This Row],[RCTD]]*RECV_TDS)</f>
        <v>42.965516367240703</v>
      </c>
      <c r="M84" s="101">
        <v>0</v>
      </c>
    </row>
    <row r="85" spans="1:13" x14ac:dyDescent="0.2">
      <c r="A85" s="60">
        <f>IF(TableTEMaster[[#This Row],[Player]]&lt;&gt;0,A84+1,A84)</f>
        <v>78</v>
      </c>
      <c r="B85" s="60" t="str">
        <f>SEA!A$26</f>
        <v>Colby Parkinson</v>
      </c>
      <c r="C85" s="60" t="s">
        <v>134</v>
      </c>
      <c r="D85" s="62">
        <f>SEA!C$26</f>
        <v>5</v>
      </c>
      <c r="E85" s="61">
        <f>SEA!L$26</f>
        <v>5.8727087999999998</v>
      </c>
      <c r="F85" s="61">
        <f>SEA!M$26</f>
        <v>4.2053098437589247</v>
      </c>
      <c r="G85" s="61">
        <f>SEA!N$26</f>
        <v>43.474611624211988</v>
      </c>
      <c r="H85" s="61">
        <f>SEA!O$26</f>
        <v>0.28175575953184795</v>
      </c>
      <c r="I85" s="61">
        <f t="shared" si="6"/>
        <v>6.0379957196122866</v>
      </c>
      <c r="J85" s="61">
        <f t="shared" si="7"/>
        <v>8.1406506414917494</v>
      </c>
      <c r="K85" s="61">
        <f t="shared" si="8"/>
        <v>10.243305563371212</v>
      </c>
      <c r="L85" s="100">
        <f>(TableTEMaster[[#This Row],[TGT]]*TARGETS)+(TableTEMaster[[#This Row],[REC]]*RECEPTIONS_TE)+(TableTEMaster[[#This Row],[RCYD]]*RECV_YARDS)+(TableTEMaster[[#This Row],[RCTD]]*RECV_TDS)</f>
        <v>8.1406506414917494</v>
      </c>
      <c r="M85" s="101">
        <v>0</v>
      </c>
    </row>
    <row r="86" spans="1:13" x14ac:dyDescent="0.2">
      <c r="A86" s="60">
        <f>IF(TableTEMaster[[#This Row],[Player]]&lt;&gt;0,A85+1,A85)</f>
        <v>79</v>
      </c>
      <c r="B86" s="60" t="str">
        <f>SF!A$24</f>
        <v>George Kittle</v>
      </c>
      <c r="C86" s="60" t="s">
        <v>135</v>
      </c>
      <c r="D86" s="62">
        <f>SF!C$24</f>
        <v>9</v>
      </c>
      <c r="E86" s="61">
        <f>SF!L$24</f>
        <v>93.736919639999996</v>
      </c>
      <c r="F86" s="61">
        <f>SF!M$24</f>
        <v>64.034860232221803</v>
      </c>
      <c r="G86" s="61">
        <f>SF!N$24</f>
        <v>826.04969699566129</v>
      </c>
      <c r="H86" s="61">
        <f>SF!O$24</f>
        <v>7.6841832278666162</v>
      </c>
      <c r="I86" s="61">
        <f t="shared" si="6"/>
        <v>128.71006906676581</v>
      </c>
      <c r="J86" s="61">
        <f t="shared" si="7"/>
        <v>160.72749918287673</v>
      </c>
      <c r="K86" s="61">
        <f t="shared" si="8"/>
        <v>192.74492929898761</v>
      </c>
      <c r="L86" s="100">
        <f>(TableTEMaster[[#This Row],[TGT]]*TARGETS)+(TableTEMaster[[#This Row],[REC]]*RECEPTIONS_TE)+(TableTEMaster[[#This Row],[RCYD]]*RECV_YARDS)+(TableTEMaster[[#This Row],[RCTD]]*RECV_TDS)</f>
        <v>160.72749918287673</v>
      </c>
      <c r="M86" s="101">
        <v>20.864054671782846</v>
      </c>
    </row>
    <row r="87" spans="1:13" x14ac:dyDescent="0.2">
      <c r="A87" s="60">
        <f>IF(TableTEMaster[[#This Row],[Player]]&lt;&gt;0,A86+1,A86)</f>
        <v>80</v>
      </c>
      <c r="B87" s="60" t="str">
        <f>SF!A$25</f>
        <v>Charlie Woerner</v>
      </c>
      <c r="C87" s="60" t="s">
        <v>135</v>
      </c>
      <c r="D87" s="62">
        <f>SF!C$25</f>
        <v>9</v>
      </c>
      <c r="E87" s="61">
        <f>SF!L$25</f>
        <v>9.2706843599999988</v>
      </c>
      <c r="F87" s="61">
        <f>SF!M$25</f>
        <v>5.5345985629199994</v>
      </c>
      <c r="G87" s="61">
        <f>SF!N$25</f>
        <v>65.308263042455991</v>
      </c>
      <c r="H87" s="61">
        <f>SF!O$25</f>
        <v>0.39295649796731991</v>
      </c>
      <c r="I87" s="61">
        <f t="shared" si="6"/>
        <v>8.8885652920495186</v>
      </c>
      <c r="J87" s="61">
        <f t="shared" si="7"/>
        <v>11.655864573509518</v>
      </c>
      <c r="K87" s="61">
        <f t="shared" si="8"/>
        <v>14.423163854969518</v>
      </c>
      <c r="L87" s="100">
        <f>(TableTEMaster[[#This Row],[TGT]]*TARGETS)+(TableTEMaster[[#This Row],[REC]]*RECEPTIONS_TE)+(TableTEMaster[[#This Row],[RCYD]]*RECV_YARDS)+(TableTEMaster[[#This Row],[RCTD]]*RECV_TDS)</f>
        <v>11.655864573509518</v>
      </c>
      <c r="M87" s="101">
        <v>0</v>
      </c>
    </row>
    <row r="88" spans="1:13" x14ac:dyDescent="0.2">
      <c r="A88" s="60">
        <f>IF(TableTEMaster[[#This Row],[Player]]&lt;&gt;0,A87+1,A87)</f>
        <v>81</v>
      </c>
      <c r="B88" s="60" t="str">
        <f>SF!A$26</f>
        <v>Ross Dwelley</v>
      </c>
      <c r="C88" s="60" t="s">
        <v>135</v>
      </c>
      <c r="D88" s="62">
        <f>SF!C$26</f>
        <v>9</v>
      </c>
      <c r="E88" s="61">
        <f>SF!L$26</f>
        <v>15.966178619999999</v>
      </c>
      <c r="F88" s="61">
        <f>SF!M$26</f>
        <v>9.5956733506199985</v>
      </c>
      <c r="G88" s="61">
        <f>SF!N$26</f>
        <v>118.02678221262599</v>
      </c>
      <c r="H88" s="61">
        <f>SF!O$26</f>
        <v>0.79644088810145997</v>
      </c>
      <c r="I88" s="61">
        <f t="shared" si="6"/>
        <v>16.58132354987136</v>
      </c>
      <c r="J88" s="61">
        <f t="shared" si="7"/>
        <v>21.379160225181359</v>
      </c>
      <c r="K88" s="61">
        <f t="shared" si="8"/>
        <v>26.176996900491361</v>
      </c>
      <c r="L88" s="100">
        <f>(TableTEMaster[[#This Row],[TGT]]*TARGETS)+(TableTEMaster[[#This Row],[REC]]*RECEPTIONS_TE)+(TableTEMaster[[#This Row],[RCYD]]*RECV_YARDS)+(TableTEMaster[[#This Row],[RCTD]]*RECV_TDS)</f>
        <v>21.379160225181359</v>
      </c>
      <c r="M88" s="101">
        <v>0</v>
      </c>
    </row>
    <row r="89" spans="1:13" x14ac:dyDescent="0.2">
      <c r="A89" s="60">
        <f>IF(TableTEMaster[[#This Row],[Player]]&lt;&gt;0,A88+1,A88)</f>
        <v>82</v>
      </c>
      <c r="B89" s="60" t="str">
        <f>TB!A$24</f>
        <v>Cade Otton</v>
      </c>
      <c r="C89" s="60" t="s">
        <v>136</v>
      </c>
      <c r="D89" s="62">
        <f>TB!C$24</f>
        <v>5</v>
      </c>
      <c r="E89" s="61">
        <f>TB!L$24</f>
        <v>67.622853759999984</v>
      </c>
      <c r="F89" s="61">
        <f>TB!M$24</f>
        <v>41.723300769919987</v>
      </c>
      <c r="G89" s="61">
        <f>TB!N$24</f>
        <v>422.28289852482578</v>
      </c>
      <c r="H89" s="61">
        <f>TB!O$24</f>
        <v>3.1709708585139191</v>
      </c>
      <c r="I89" s="61">
        <f t="shared" si="6"/>
        <v>61.254115003566092</v>
      </c>
      <c r="J89" s="61">
        <f t="shared" si="7"/>
        <v>82.115765388526086</v>
      </c>
      <c r="K89" s="61">
        <f t="shared" si="8"/>
        <v>102.97741577348609</v>
      </c>
      <c r="L89" s="100">
        <f>(TableTEMaster[[#This Row],[TGT]]*TARGETS)+(TableTEMaster[[#This Row],[REC]]*RECEPTIONS_TE)+(TableTEMaster[[#This Row],[RCYD]]*RECV_YARDS)+(TableTEMaster[[#This Row],[RCTD]]*RECV_TDS)</f>
        <v>82.115765388526086</v>
      </c>
      <c r="M89" s="101">
        <v>2.4875712692474092</v>
      </c>
    </row>
    <row r="90" spans="1:13" x14ac:dyDescent="0.2">
      <c r="A90" s="60">
        <f>IF(TableTEMaster[[#This Row],[Player]]&lt;&gt;0,A89+1,A89)</f>
        <v>83</v>
      </c>
      <c r="B90" s="60" t="str">
        <f>TB!A$25</f>
        <v>Ko Kieft</v>
      </c>
      <c r="C90" s="60" t="s">
        <v>136</v>
      </c>
      <c r="D90" s="62">
        <f>TB!C$25</f>
        <v>5</v>
      </c>
      <c r="E90" s="61">
        <f>TB!L$25</f>
        <v>19.560329599999999</v>
      </c>
      <c r="F90" s="61">
        <f>TB!M$25</f>
        <v>11.474553377494093</v>
      </c>
      <c r="G90" s="61">
        <f>TB!N$25</f>
        <v>115.04504807419725</v>
      </c>
      <c r="H90" s="61">
        <f>TB!O$25</f>
        <v>0.60815132900718694</v>
      </c>
      <c r="I90" s="61">
        <f t="shared" si="6"/>
        <v>15.153412781462846</v>
      </c>
      <c r="J90" s="61">
        <f t="shared" si="7"/>
        <v>20.890689470209892</v>
      </c>
      <c r="K90" s="61">
        <f t="shared" si="8"/>
        <v>26.627966158956937</v>
      </c>
      <c r="L90" s="100">
        <f>(TableTEMaster[[#This Row],[TGT]]*TARGETS)+(TableTEMaster[[#This Row],[REC]]*RECEPTIONS_TE)+(TableTEMaster[[#This Row],[RCYD]]*RECV_YARDS)+(TableTEMaster[[#This Row],[RCTD]]*RECV_TDS)</f>
        <v>20.890689470209896</v>
      </c>
      <c r="M90" s="101">
        <v>0</v>
      </c>
    </row>
    <row r="91" spans="1:13" x14ac:dyDescent="0.2">
      <c r="A91" s="60">
        <f>IF(TableTEMaster[[#This Row],[Player]]&lt;&gt;0,A90+1,A90)</f>
        <v>84</v>
      </c>
      <c r="B91" s="60" t="str">
        <f>TB!A$26</f>
        <v>Payne Durham</v>
      </c>
      <c r="C91" s="60" t="s">
        <v>136</v>
      </c>
      <c r="D91" s="62">
        <f>TB!C$26</f>
        <v>5</v>
      </c>
      <c r="E91" s="61">
        <f>TB!L$26</f>
        <v>6.7063987199999993</v>
      </c>
      <c r="F91" s="61">
        <f>TB!M$26</f>
        <v>4.0573712255999999</v>
      </c>
      <c r="G91" s="61">
        <f>TB!N$26</f>
        <v>42.602397868799997</v>
      </c>
      <c r="H91" s="61">
        <f>TB!O$26</f>
        <v>0.20286856128</v>
      </c>
      <c r="I91" s="61">
        <f t="shared" si="6"/>
        <v>5.4774511545599998</v>
      </c>
      <c r="J91" s="61">
        <f t="shared" si="7"/>
        <v>7.5061367673599992</v>
      </c>
      <c r="K91" s="61">
        <f t="shared" si="8"/>
        <v>9.5348223801599996</v>
      </c>
      <c r="L91" s="100">
        <f>(TableTEMaster[[#This Row],[TGT]]*TARGETS)+(TableTEMaster[[#This Row],[REC]]*RECEPTIONS_TE)+(TableTEMaster[[#This Row],[RCYD]]*RECV_YARDS)+(TableTEMaster[[#This Row],[RCTD]]*RECV_TDS)</f>
        <v>7.5061367673600001</v>
      </c>
      <c r="M91" s="101">
        <v>0</v>
      </c>
    </row>
    <row r="92" spans="1:13" x14ac:dyDescent="0.2">
      <c r="A92" s="60">
        <f>IF(TableTEMaster[[#This Row],[Player]]&lt;&gt;0,A91+1,A91)</f>
        <v>85</v>
      </c>
      <c r="B92" s="60" t="str">
        <f>TEN!A$24</f>
        <v>Chigoziem Okonkwo</v>
      </c>
      <c r="C92" s="60" t="s">
        <v>137</v>
      </c>
      <c r="D92" s="62">
        <f>TEN!C$24</f>
        <v>7</v>
      </c>
      <c r="E92" s="61">
        <f>TEN!L$24</f>
        <v>81.240284999999986</v>
      </c>
      <c r="F92" s="61">
        <f>TEN!M$24</f>
        <v>54.338071629249782</v>
      </c>
      <c r="G92" s="61">
        <f>TEN!N$24</f>
        <v>665.56962245785576</v>
      </c>
      <c r="H92" s="61">
        <f>TEN!O$24</f>
        <v>4.184031515452233</v>
      </c>
      <c r="I92" s="61">
        <f t="shared" si="6"/>
        <v>91.661151338498968</v>
      </c>
      <c r="J92" s="61">
        <f t="shared" si="7"/>
        <v>118.83018715312386</v>
      </c>
      <c r="K92" s="61">
        <f t="shared" si="8"/>
        <v>145.99922296774875</v>
      </c>
      <c r="L92" s="100">
        <f>(TableTEMaster[[#This Row],[TGT]]*TARGETS)+(TableTEMaster[[#This Row],[REC]]*RECEPTIONS_TE)+(TableTEMaster[[#This Row],[RCYD]]*RECV_YARDS)+(TableTEMaster[[#This Row],[RCTD]]*RECV_TDS)</f>
        <v>118.83018715312387</v>
      </c>
      <c r="M92" s="101">
        <v>0.26292251074426737</v>
      </c>
    </row>
    <row r="93" spans="1:13" x14ac:dyDescent="0.2">
      <c r="A93" s="60">
        <f>IF(TableTEMaster[[#This Row],[Player]]&lt;&gt;0,A92+1,A92)</f>
        <v>86</v>
      </c>
      <c r="B93" s="60" t="str">
        <f>TEN!A$25</f>
        <v>Trevon Wesco</v>
      </c>
      <c r="C93" s="60" t="s">
        <v>137</v>
      </c>
      <c r="D93" s="62">
        <f>TEN!C$25</f>
        <v>7</v>
      </c>
      <c r="E93" s="61">
        <f>TEN!L$25</f>
        <v>27.621696899999996</v>
      </c>
      <c r="F93" s="61">
        <f>TEN!M$25</f>
        <v>17.788372803599998</v>
      </c>
      <c r="G93" s="61">
        <f>TEN!N$25</f>
        <v>174.32605347527999</v>
      </c>
      <c r="H93" s="61">
        <f>TEN!O$25</f>
        <v>0.71153491214399989</v>
      </c>
      <c r="I93" s="61">
        <f t="shared" si="6"/>
        <v>21.701814820391998</v>
      </c>
      <c r="J93" s="61">
        <f t="shared" si="7"/>
        <v>30.596001222191997</v>
      </c>
      <c r="K93" s="61">
        <f t="shared" si="8"/>
        <v>39.490187623992</v>
      </c>
      <c r="L93" s="100">
        <f>(TableTEMaster[[#This Row],[TGT]]*TARGETS)+(TableTEMaster[[#This Row],[REC]]*RECEPTIONS_TE)+(TableTEMaster[[#This Row],[RCYD]]*RECV_YARDS)+(TableTEMaster[[#This Row],[RCTD]]*RECV_TDS)</f>
        <v>30.596001222191997</v>
      </c>
      <c r="M93" s="101">
        <v>0</v>
      </c>
    </row>
    <row r="94" spans="1:13" x14ac:dyDescent="0.2">
      <c r="A94" s="60">
        <f>IF(TableTEMaster[[#This Row],[Player]]&lt;&gt;0,A93+1,A93)</f>
        <v>87</v>
      </c>
      <c r="B94" s="60" t="str">
        <f>TEN!A$26</f>
        <v>Josh Whyle</v>
      </c>
      <c r="C94" s="60" t="s">
        <v>137</v>
      </c>
      <c r="D94" s="62">
        <f>TEN!C$26</f>
        <v>7</v>
      </c>
      <c r="E94" s="61">
        <f>TEN!L$26</f>
        <v>14.081649399999998</v>
      </c>
      <c r="F94" s="61">
        <f>TEN!M$26</f>
        <v>9.10663398921427</v>
      </c>
      <c r="G94" s="61">
        <f>TEN!N$26</f>
        <v>97.53124761036149</v>
      </c>
      <c r="H94" s="61">
        <f>TEN!O$26</f>
        <v>0.40069189552542783</v>
      </c>
      <c r="I94" s="61">
        <f t="shared" si="6"/>
        <v>12.157276134188717</v>
      </c>
      <c r="J94" s="61">
        <f t="shared" si="7"/>
        <v>16.71059312879585</v>
      </c>
      <c r="K94" s="61">
        <f t="shared" si="8"/>
        <v>21.263910123402987</v>
      </c>
      <c r="L94" s="100">
        <f>(TableTEMaster[[#This Row],[TGT]]*TARGETS)+(TableTEMaster[[#This Row],[REC]]*RECEPTIONS_TE)+(TableTEMaster[[#This Row],[RCYD]]*RECV_YARDS)+(TableTEMaster[[#This Row],[RCTD]]*RECV_TDS)</f>
        <v>16.71059312879585</v>
      </c>
      <c r="M94" s="101">
        <v>0</v>
      </c>
    </row>
    <row r="95" spans="1:13" x14ac:dyDescent="0.2">
      <c r="A95" s="60">
        <f>IF(TableTEMaster[[#This Row],[Player]]&lt;&gt;0,A94+1,A94)</f>
        <v>88</v>
      </c>
      <c r="B95" s="60" t="str">
        <f>WSH!A$24</f>
        <v>Logan Thomas</v>
      </c>
      <c r="C95" s="60" t="s">
        <v>140</v>
      </c>
      <c r="D95" s="62">
        <f>WSH!C$24</f>
        <v>14</v>
      </c>
      <c r="E95" s="61">
        <f>WSH!L$24</f>
        <v>54.286868720000001</v>
      </c>
      <c r="F95" s="61">
        <f>WSH!M$24</f>
        <v>34.819194581331786</v>
      </c>
      <c r="G95" s="61">
        <f>WSH!N$24</f>
        <v>351.67386527145101</v>
      </c>
      <c r="H95" s="61">
        <f>WSH!O$24</f>
        <v>2.3677052315305618</v>
      </c>
      <c r="I95" s="61">
        <f t="shared" si="6"/>
        <v>49.37361791632847</v>
      </c>
      <c r="J95" s="61">
        <f t="shared" si="7"/>
        <v>66.783215206994356</v>
      </c>
      <c r="K95" s="61">
        <f t="shared" si="8"/>
        <v>84.192812497660256</v>
      </c>
      <c r="L95" s="100">
        <f>(TableTEMaster[[#This Row],[TGT]]*TARGETS)+(TableTEMaster[[#This Row],[REC]]*RECEPTIONS_TE)+(TableTEMaster[[#This Row],[RCYD]]*RECV_YARDS)+(TableTEMaster[[#This Row],[RCTD]]*RECV_TDS)</f>
        <v>66.78321520699437</v>
      </c>
      <c r="M95" s="101">
        <v>4.5112693426953232</v>
      </c>
    </row>
    <row r="96" spans="1:13" x14ac:dyDescent="0.2">
      <c r="A96" s="60">
        <f>IF(TableTEMaster[[#This Row],[Player]]&lt;&gt;0,A95+1,A95)</f>
        <v>89</v>
      </c>
      <c r="B96" s="60" t="str">
        <f>WSH!A$25</f>
        <v>Cole Turner</v>
      </c>
      <c r="C96" s="60" t="s">
        <v>140</v>
      </c>
      <c r="D96" s="62">
        <f>WSH!C$25</f>
        <v>14</v>
      </c>
      <c r="E96" s="61">
        <f>WSH!L$25</f>
        <v>32.454106299999999</v>
      </c>
      <c r="F96" s="61">
        <f>WSH!M$25</f>
        <v>19.6022802052</v>
      </c>
      <c r="G96" s="61">
        <f>WSH!N$25</f>
        <v>199.94325809303999</v>
      </c>
      <c r="H96" s="61">
        <f>WSH!O$25</f>
        <v>1.3917618945691999</v>
      </c>
      <c r="I96" s="61">
        <f t="shared" si="6"/>
        <v>28.344897176719197</v>
      </c>
      <c r="J96" s="61">
        <f t="shared" si="7"/>
        <v>38.146037279319195</v>
      </c>
      <c r="K96" s="61">
        <f t="shared" si="8"/>
        <v>47.947177381919197</v>
      </c>
      <c r="L96" s="100">
        <f>(TableTEMaster[[#This Row],[TGT]]*TARGETS)+(TableTEMaster[[#This Row],[REC]]*RECEPTIONS_TE)+(TableTEMaster[[#This Row],[RCYD]]*RECV_YARDS)+(TableTEMaster[[#This Row],[RCTD]]*RECV_TDS)</f>
        <v>38.146037279319202</v>
      </c>
      <c r="M96" s="101">
        <v>0</v>
      </c>
    </row>
    <row r="97" spans="1:13" x14ac:dyDescent="0.2">
      <c r="A97" s="60">
        <f>IF(TableTEMaster[[#This Row],[Player]]&lt;&gt;0,A96+1,A96)</f>
        <v>90</v>
      </c>
      <c r="B97" s="60" t="str">
        <f>WSH!A$26</f>
        <v>John Bates</v>
      </c>
      <c r="C97" s="60" t="s">
        <v>140</v>
      </c>
      <c r="D97" s="62">
        <f>WSH!C$26</f>
        <v>14</v>
      </c>
      <c r="E97" s="61">
        <f>WSH!L$26</f>
        <v>7.6709705800000005</v>
      </c>
      <c r="F97" s="61">
        <f>WSH!M$26</f>
        <v>4.7253178772800002</v>
      </c>
      <c r="G97" s="61">
        <f>WSH!N$26</f>
        <v>47.247580814687751</v>
      </c>
      <c r="H97" s="61">
        <f>WSH!O$26</f>
        <v>0.30242034414592001</v>
      </c>
      <c r="I97" s="61">
        <f t="shared" si="6"/>
        <v>6.5392801463442956</v>
      </c>
      <c r="J97" s="61">
        <f t="shared" si="7"/>
        <v>8.9019390849842956</v>
      </c>
      <c r="K97" s="61">
        <f t="shared" si="8"/>
        <v>11.264598023624295</v>
      </c>
      <c r="L97" s="100">
        <f>(TableTEMaster[[#This Row],[TGT]]*TARGETS)+(TableTEMaster[[#This Row],[REC]]*RECEPTIONS_TE)+(TableTEMaster[[#This Row],[RCYD]]*RECV_YARDS)+(TableTEMaster[[#This Row],[RCTD]]*RECV_TDS)</f>
        <v>8.9019390849842956</v>
      </c>
      <c r="M97" s="101">
        <v>0</v>
      </c>
    </row>
  </sheetData>
  <sortState xmlns:xlrd2="http://schemas.microsoft.com/office/spreadsheetml/2017/richdata2" ref="B2:K97">
    <sortCondition ref="C2:C129"/>
  </sortState>
  <phoneticPr fontId="20" type="noConversion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5"/>
  <dimension ref="A1:E33"/>
  <sheetViews>
    <sheetView showGridLines="0" zoomScale="85" zoomScaleNormal="85" workbookViewId="0">
      <selection activeCell="C15" sqref="C15"/>
    </sheetView>
  </sheetViews>
  <sheetFormatPr baseColWidth="10" defaultColWidth="9.19921875" defaultRowHeight="15" x14ac:dyDescent="0.2"/>
  <cols>
    <col min="1" max="1" width="10" style="60" bestFit="1" customWidth="1"/>
    <col min="2" max="2" width="26.59765625" style="60" bestFit="1" customWidth="1"/>
    <col min="3" max="3" width="7" style="60" bestFit="1" customWidth="1"/>
    <col min="4" max="4" width="10" style="60" bestFit="1" customWidth="1"/>
    <col min="5" max="5" width="8.3984375" style="60" bestFit="1" customWidth="1"/>
    <col min="6" max="16384" width="9.19921875" style="60"/>
  </cols>
  <sheetData>
    <row r="1" spans="1:5" x14ac:dyDescent="0.2">
      <c r="A1" s="59" t="s">
        <v>444</v>
      </c>
      <c r="B1" s="59" t="s">
        <v>405</v>
      </c>
      <c r="C1" s="59" t="s">
        <v>143</v>
      </c>
      <c r="D1" s="59" t="s">
        <v>401</v>
      </c>
      <c r="E1" s="59" t="s">
        <v>375</v>
      </c>
    </row>
    <row r="2" spans="1:5" x14ac:dyDescent="0.2">
      <c r="A2" s="60">
        <v>1</v>
      </c>
      <c r="B2" s="60" t="str">
        <f>DST!B2</f>
        <v>Arizona Cardinals</v>
      </c>
      <c r="C2" s="62">
        <f>DST!D2</f>
        <v>14</v>
      </c>
      <c r="D2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114.863439793786</v>
      </c>
      <c r="E2" s="103">
        <v>0.1601309495188814</v>
      </c>
    </row>
    <row r="3" spans="1:5" x14ac:dyDescent="0.2">
      <c r="A3" s="60">
        <v>2</v>
      </c>
      <c r="B3" s="60" t="str">
        <f>DST!B3</f>
        <v>Atlanta Falcons</v>
      </c>
      <c r="C3" s="62">
        <f>DST!D3</f>
        <v>11</v>
      </c>
      <c r="D3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101.78507690188333</v>
      </c>
      <c r="E3" s="103">
        <v>0</v>
      </c>
    </row>
    <row r="4" spans="1:5" x14ac:dyDescent="0.2">
      <c r="A4" s="60">
        <v>3</v>
      </c>
      <c r="B4" s="60" t="str">
        <f>DST!B4</f>
        <v>Baltimore Ravens</v>
      </c>
      <c r="C4" s="62">
        <f>DST!D4</f>
        <v>13</v>
      </c>
      <c r="D4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126.04074293162151</v>
      </c>
      <c r="E4" s="103">
        <v>0.26989971239398014</v>
      </c>
    </row>
    <row r="5" spans="1:5" x14ac:dyDescent="0.2">
      <c r="A5" s="60">
        <v>4</v>
      </c>
      <c r="B5" s="60" t="str">
        <f>DST!B5</f>
        <v>Buffalo Bills</v>
      </c>
      <c r="C5" s="62">
        <f>DST!D5</f>
        <v>13</v>
      </c>
      <c r="D5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125.60796552181779</v>
      </c>
      <c r="E5" s="103">
        <v>0.12648798533843186</v>
      </c>
    </row>
    <row r="6" spans="1:5" x14ac:dyDescent="0.2">
      <c r="A6" s="60">
        <v>5</v>
      </c>
      <c r="B6" s="60" t="str">
        <f>DST!B6</f>
        <v>Carolina Panthers</v>
      </c>
      <c r="C6" s="62">
        <f>DST!D6</f>
        <v>7</v>
      </c>
      <c r="D6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105.2932094200759</v>
      </c>
      <c r="E6" s="103">
        <v>0</v>
      </c>
    </row>
    <row r="7" spans="1:5" x14ac:dyDescent="0.2">
      <c r="A7" s="60">
        <v>6</v>
      </c>
      <c r="B7" s="60" t="str">
        <f>DST!B7</f>
        <v>Chicago Bears</v>
      </c>
      <c r="C7" s="62">
        <f>DST!D7</f>
        <v>13</v>
      </c>
      <c r="D7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102.36250253363539</v>
      </c>
      <c r="E7" s="103">
        <v>0</v>
      </c>
    </row>
    <row r="8" spans="1:5" x14ac:dyDescent="0.2">
      <c r="A8" s="60">
        <v>7</v>
      </c>
      <c r="B8" s="60" t="str">
        <f>DST!B8</f>
        <v>Cincinnati Bengals</v>
      </c>
      <c r="C8" s="62">
        <f>DST!D8</f>
        <v>7</v>
      </c>
      <c r="D8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117.26749472186731</v>
      </c>
      <c r="E8" s="103">
        <v>0</v>
      </c>
    </row>
    <row r="9" spans="1:5" x14ac:dyDescent="0.2">
      <c r="A9" s="60">
        <v>8</v>
      </c>
      <c r="B9" s="60" t="str">
        <f>DST!B9</f>
        <v>Cleveland Browns</v>
      </c>
      <c r="C9" s="62">
        <f>DST!D9</f>
        <v>5</v>
      </c>
      <c r="D9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120.03114799702517</v>
      </c>
      <c r="E9" s="103">
        <v>5.739541041219344E-2</v>
      </c>
    </row>
    <row r="10" spans="1:5" x14ac:dyDescent="0.2">
      <c r="A10" s="60">
        <v>9</v>
      </c>
      <c r="B10" s="60" t="str">
        <f>DST!B10</f>
        <v>Dallas Cowboys</v>
      </c>
      <c r="C10" s="62">
        <f>DST!D10</f>
        <v>7</v>
      </c>
      <c r="D10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142.39060322935103</v>
      </c>
      <c r="E10" s="103">
        <v>0</v>
      </c>
    </row>
    <row r="11" spans="1:5" x14ac:dyDescent="0.2">
      <c r="A11" s="60">
        <v>10</v>
      </c>
      <c r="B11" s="60" t="str">
        <f>DST!B11</f>
        <v>Denver Broncos</v>
      </c>
      <c r="C11" s="62">
        <f>DST!D11</f>
        <v>9</v>
      </c>
      <c r="D11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115.43805518278545</v>
      </c>
      <c r="E11" s="103">
        <v>0</v>
      </c>
    </row>
    <row r="12" spans="1:5" x14ac:dyDescent="0.2">
      <c r="A12" s="60">
        <v>11</v>
      </c>
      <c r="B12" s="60" t="str">
        <f>DST!B12</f>
        <v>Detroit Lions</v>
      </c>
      <c r="C12" s="62">
        <f>DST!D12</f>
        <v>9</v>
      </c>
      <c r="D12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112.09987663154347</v>
      </c>
      <c r="E12" s="103">
        <v>0</v>
      </c>
    </row>
    <row r="13" spans="1:5" x14ac:dyDescent="0.2">
      <c r="A13" s="60">
        <v>12</v>
      </c>
      <c r="B13" s="60" t="str">
        <f>DST!B13</f>
        <v>Green Bay Packers</v>
      </c>
      <c r="C13" s="62">
        <f>DST!D13</f>
        <v>6</v>
      </c>
      <c r="D13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122.15774167187708</v>
      </c>
      <c r="E13" s="103">
        <v>0.11135103317964741</v>
      </c>
    </row>
    <row r="14" spans="1:5" x14ac:dyDescent="0.2">
      <c r="A14" s="60">
        <v>13</v>
      </c>
      <c r="B14" s="60" t="str">
        <f>DST!B14</f>
        <v>Houston Texans</v>
      </c>
      <c r="C14" s="62">
        <f>DST!D14</f>
        <v>7</v>
      </c>
      <c r="D14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118.30649072386342</v>
      </c>
      <c r="E14" s="103">
        <v>0</v>
      </c>
    </row>
    <row r="15" spans="1:5" x14ac:dyDescent="0.2">
      <c r="A15" s="60">
        <v>14</v>
      </c>
      <c r="B15" s="60" t="str">
        <f>DST!B15</f>
        <v>Indianapolis Colts</v>
      </c>
      <c r="C15" s="62">
        <f>DST!D15</f>
        <v>11</v>
      </c>
      <c r="D15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120.56023535614318</v>
      </c>
      <c r="E15" s="103">
        <v>0.30436492593653164</v>
      </c>
    </row>
    <row r="16" spans="1:5" x14ac:dyDescent="0.2">
      <c r="A16" s="60">
        <v>15</v>
      </c>
      <c r="B16" s="60" t="str">
        <f>DST!B16</f>
        <v>Jacksonville Jaguars</v>
      </c>
      <c r="C16" s="62">
        <f>DST!D16</f>
        <v>9</v>
      </c>
      <c r="D16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124.12210959424701</v>
      </c>
      <c r="E16" s="103">
        <v>0</v>
      </c>
    </row>
    <row r="17" spans="1:5" x14ac:dyDescent="0.2">
      <c r="A17" s="60">
        <v>16</v>
      </c>
      <c r="B17" s="60" t="str">
        <f>DST!B17</f>
        <v>Kansas City Chiefs</v>
      </c>
      <c r="C17" s="62">
        <f>DST!D17</f>
        <v>10</v>
      </c>
      <c r="D17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129.86857266351205</v>
      </c>
      <c r="E17" s="103">
        <v>0</v>
      </c>
    </row>
    <row r="18" spans="1:5" x14ac:dyDescent="0.2">
      <c r="A18" s="60">
        <v>17</v>
      </c>
      <c r="B18" s="60" t="str">
        <f>DST!B18</f>
        <v>Las Vegas Raiders</v>
      </c>
      <c r="C18" s="62">
        <f>DST!D18</f>
        <v>13</v>
      </c>
      <c r="D18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98.871645338315005</v>
      </c>
      <c r="E18" s="103">
        <v>0</v>
      </c>
    </row>
    <row r="19" spans="1:5" x14ac:dyDescent="0.2">
      <c r="A19" s="60">
        <v>18</v>
      </c>
      <c r="B19" s="60" t="str">
        <f>DST!B19</f>
        <v>Los Angeles Chargers</v>
      </c>
      <c r="C19" s="62">
        <f>DST!D19</f>
        <v>5</v>
      </c>
      <c r="D19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123.1372950200647</v>
      </c>
      <c r="E19" s="103">
        <v>0</v>
      </c>
    </row>
    <row r="20" spans="1:5" x14ac:dyDescent="0.2">
      <c r="A20" s="60">
        <v>19</v>
      </c>
      <c r="B20" s="60" t="str">
        <f>DST!B20</f>
        <v>Los Angeles Rams</v>
      </c>
      <c r="C20" s="62">
        <f>DST!D20</f>
        <v>10</v>
      </c>
      <c r="D20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111.47647194295098</v>
      </c>
      <c r="E20" s="103">
        <v>1.4689537351671356</v>
      </c>
    </row>
    <row r="21" spans="1:5" x14ac:dyDescent="0.2">
      <c r="A21" s="60">
        <v>20</v>
      </c>
      <c r="B21" s="60" t="str">
        <f>DST!B21</f>
        <v>Miami Dolphins</v>
      </c>
      <c r="C21" s="62">
        <f>DST!D21</f>
        <v>10</v>
      </c>
      <c r="D21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121.10329144290326</v>
      </c>
      <c r="E21" s="103">
        <v>0</v>
      </c>
    </row>
    <row r="22" spans="1:5" x14ac:dyDescent="0.2">
      <c r="A22" s="60">
        <v>21</v>
      </c>
      <c r="B22" s="60" t="str">
        <f>DST!B22</f>
        <v>Minnesota Vikings</v>
      </c>
      <c r="C22" s="62">
        <f>DST!D22</f>
        <v>13</v>
      </c>
      <c r="D22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117.77783568368116</v>
      </c>
      <c r="E22" s="103">
        <v>0</v>
      </c>
    </row>
    <row r="23" spans="1:5" x14ac:dyDescent="0.2">
      <c r="A23" s="60">
        <v>22</v>
      </c>
      <c r="B23" s="60" t="str">
        <f>DST!B23</f>
        <v>New England Patriots</v>
      </c>
      <c r="C23" s="62">
        <f>DST!D23</f>
        <v>11</v>
      </c>
      <c r="D23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134.76538196635207</v>
      </c>
      <c r="E23" s="103">
        <v>0</v>
      </c>
    </row>
    <row r="24" spans="1:5" x14ac:dyDescent="0.2">
      <c r="A24" s="60">
        <v>23</v>
      </c>
      <c r="B24" s="60" t="str">
        <f>DST!B24</f>
        <v>New Orleans Saints</v>
      </c>
      <c r="C24" s="62">
        <f>DST!D24</f>
        <v>11</v>
      </c>
      <c r="D24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118.91962439572924</v>
      </c>
      <c r="E24" s="103">
        <v>0</v>
      </c>
    </row>
    <row r="25" spans="1:5" x14ac:dyDescent="0.2">
      <c r="A25" s="60">
        <v>24</v>
      </c>
      <c r="B25" s="60" t="str">
        <f>DST!B25</f>
        <v>New York Giants</v>
      </c>
      <c r="C25" s="62">
        <f>DST!D25</f>
        <v>13</v>
      </c>
      <c r="D25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120.09913128725302</v>
      </c>
      <c r="E25" s="103">
        <v>0</v>
      </c>
    </row>
    <row r="26" spans="1:5" x14ac:dyDescent="0.2">
      <c r="A26" s="60">
        <v>25</v>
      </c>
      <c r="B26" s="60" t="str">
        <f>DST!B26</f>
        <v>New York Jets</v>
      </c>
      <c r="C26" s="62">
        <f>DST!D26</f>
        <v>7</v>
      </c>
      <c r="D26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114.78542567326758</v>
      </c>
      <c r="E26" s="103">
        <v>0</v>
      </c>
    </row>
    <row r="27" spans="1:5" x14ac:dyDescent="0.2">
      <c r="A27" s="60">
        <v>26</v>
      </c>
      <c r="B27" s="60" t="str">
        <f>DST!B27</f>
        <v>Philadelphia Eagles</v>
      </c>
      <c r="C27" s="62">
        <f>DST!D27</f>
        <v>10</v>
      </c>
      <c r="D27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135.55508675668193</v>
      </c>
      <c r="E27" s="103">
        <v>0</v>
      </c>
    </row>
    <row r="28" spans="1:5" x14ac:dyDescent="0.2">
      <c r="A28" s="60">
        <v>27</v>
      </c>
      <c r="B28" s="60" t="str">
        <f>DST!B28</f>
        <v>Pittsburgh Steelers</v>
      </c>
      <c r="C28" s="62">
        <f>DST!D28</f>
        <v>6</v>
      </c>
      <c r="D28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128.41002471044513</v>
      </c>
      <c r="E28" s="103">
        <v>0.69174930560247694</v>
      </c>
    </row>
    <row r="29" spans="1:5" x14ac:dyDescent="0.2">
      <c r="A29" s="60">
        <v>28</v>
      </c>
      <c r="B29" s="60" t="str">
        <f>DST!B29</f>
        <v>San Francisco 49ers</v>
      </c>
      <c r="C29" s="62">
        <f>DST!D29</f>
        <v>9</v>
      </c>
      <c r="D29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125.56987455686365</v>
      </c>
      <c r="E29" s="103">
        <v>0.21909806626723186</v>
      </c>
    </row>
    <row r="30" spans="1:5" x14ac:dyDescent="0.2">
      <c r="A30" s="60">
        <v>29</v>
      </c>
      <c r="B30" s="60" t="str">
        <f>DST!B30</f>
        <v>Seattle Seahawks</v>
      </c>
      <c r="C30" s="62">
        <f>DST!D30</f>
        <v>5</v>
      </c>
      <c r="D30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125.20347169938162</v>
      </c>
      <c r="E30" s="103">
        <v>0</v>
      </c>
    </row>
    <row r="31" spans="1:5" x14ac:dyDescent="0.2">
      <c r="A31" s="60">
        <v>30</v>
      </c>
      <c r="B31" s="60" t="str">
        <f>DST!B31</f>
        <v>Tampa Bay Buccaneers</v>
      </c>
      <c r="C31" s="62">
        <f>DST!D31</f>
        <v>5</v>
      </c>
      <c r="D31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112.98171042061145</v>
      </c>
      <c r="E31" s="103">
        <v>2</v>
      </c>
    </row>
    <row r="32" spans="1:5" x14ac:dyDescent="0.2">
      <c r="A32" s="60">
        <v>31</v>
      </c>
      <c r="B32" s="60" t="str">
        <f>DST!B32</f>
        <v>Tennessee Titans</v>
      </c>
      <c r="C32" s="62">
        <f>DST!D32</f>
        <v>7</v>
      </c>
      <c r="D32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115.05220801870578</v>
      </c>
      <c r="E32" s="103">
        <v>0</v>
      </c>
    </row>
    <row r="33" spans="1:5" x14ac:dyDescent="0.2">
      <c r="A33" s="60">
        <v>32</v>
      </c>
      <c r="B33" s="60" t="str">
        <f>DST!B33</f>
        <v>Washington Commanders</v>
      </c>
      <c r="C33" s="62">
        <f>DST!D33</f>
        <v>14</v>
      </c>
      <c r="D33" s="61">
        <f>(TableDSTOverall[[#This Row],[SACKS]]*DEF_SACKS)+(TableDSTOverall[[#This Row],[INT]]*DEF_INT)+(TableDSTOverall[[#This Row],[FORCED FUMBLE]]*DEF_FORCE_FUMBLE)+(TableDSTOverall[[#This Row],[RECOV''D FUMBLE]]*DEF_RECOVER_FUMBLE)+(TableDSTOverall[[#This Row],[SAFETIES]]*DEF_SAFETIES)+(TableDSTOverall[[#This Row],[DEF TD]]*DEF_TOUCHDOWN)+(TableDSTOverall[[#This Row],[0 PT GAMES]]*DEF_0_PTS_ALLOW)+(TableDSTOverall[[#This Row],[1-6 PT GAMES]]*DEF_1_6_PTS_ALLOW)+(TableDSTOverall[[#This Row],[7-13 PT GAMES]]*DEF_7_13_PTS_ALLOW)+(TableDSTOverall[[#This Row],[14-21 PT GAMES]]*DEF_14_21_PTS_ALLOW)+(TableDSTOverall[[#This Row],[22-26 PT GAMES]]*DEF_22_27_PTS_ALLOW)+(TableDSTOverall[[#This Row],[27-34 PT GAMES]]*DEF_28_35_PTS_ALLOW)+(TableDSTOverall[[#This Row],[35+ PT GAMES]]*DEF_35__PTS_ALLOW)</f>
        <v>123.12766690643045</v>
      </c>
      <c r="E33" s="103">
        <v>1.1054705371824296</v>
      </c>
    </row>
  </sheetData>
  <phoneticPr fontId="20" type="noConversion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42</vt:i4>
      </vt:variant>
    </vt:vector>
  </HeadingPairs>
  <TitlesOfParts>
    <vt:vector size="90" baseType="lpstr">
      <vt:lpstr>Instructions</vt:lpstr>
      <vt:lpstr>Settings</vt:lpstr>
      <vt:lpstr>POS Actual</vt:lpstr>
      <vt:lpstr>POS Tiers</vt:lpstr>
      <vt:lpstr>POS Ranks</vt:lpstr>
      <vt:lpstr>OVR &amp; VORP Ranks</vt:lpstr>
      <vt:lpstr>Ranks w Proj</vt:lpstr>
      <vt:lpstr>Jake's Ranks</vt:lpstr>
      <vt:lpstr>ARI</vt:lpstr>
      <vt:lpstr>ATL</vt:lpstr>
      <vt:lpstr>BAL</vt:lpstr>
      <vt:lpstr>BUF</vt:lpstr>
      <vt:lpstr>CAR</vt:lpstr>
      <vt:lpstr>CHI</vt:lpstr>
      <vt:lpstr>CIN</vt:lpstr>
      <vt:lpstr>CLE</vt:lpstr>
      <vt:lpstr>DAL</vt:lpstr>
      <vt:lpstr>DEN</vt:lpstr>
      <vt:lpstr>DET</vt:lpstr>
      <vt:lpstr>GB</vt:lpstr>
      <vt:lpstr>HOU</vt:lpstr>
      <vt:lpstr>IND</vt:lpstr>
      <vt:lpstr>JAX</vt:lpstr>
      <vt:lpstr>KC</vt:lpstr>
      <vt:lpstr>LV</vt:lpstr>
      <vt:lpstr>LAC</vt:lpstr>
      <vt:lpstr>LAR</vt:lpstr>
      <vt:lpstr>MIA</vt:lpstr>
      <vt:lpstr>MIN</vt:lpstr>
      <vt:lpstr>NE</vt:lpstr>
      <vt:lpstr>NO</vt:lpstr>
      <vt:lpstr>NYG</vt:lpstr>
      <vt:lpstr>NYJ</vt:lpstr>
      <vt:lpstr>PHI</vt:lpstr>
      <vt:lpstr>PIT</vt:lpstr>
      <vt:lpstr>SF</vt:lpstr>
      <vt:lpstr>SEA</vt:lpstr>
      <vt:lpstr>TB</vt:lpstr>
      <vt:lpstr>TEN</vt:lpstr>
      <vt:lpstr>WSH</vt:lpstr>
      <vt:lpstr>DST</vt:lpstr>
      <vt:lpstr>Calculated Points</vt:lpstr>
      <vt:lpstr>Rankings</vt:lpstr>
      <vt:lpstr>QB</vt:lpstr>
      <vt:lpstr>RB</vt:lpstr>
      <vt:lpstr>WR</vt:lpstr>
      <vt:lpstr>TE</vt:lpstr>
      <vt:lpstr>DST1</vt:lpstr>
      <vt:lpstr>COMPLETIONS</vt:lpstr>
      <vt:lpstr>DEF_0_PTS_ALLOW</vt:lpstr>
      <vt:lpstr>DEF_1_6_PTS_ALLOW</vt:lpstr>
      <vt:lpstr>DEF_14_21_PTS_ALLOW</vt:lpstr>
      <vt:lpstr>DEF_22_27_PTS_ALLOW</vt:lpstr>
      <vt:lpstr>DEF_28_35_PTS_ALLOW</vt:lpstr>
      <vt:lpstr>DEF_35__PTS_ALLOW</vt:lpstr>
      <vt:lpstr>DEF_7_13_PTS_ALLOW</vt:lpstr>
      <vt:lpstr>DEF_FORCE_FUMBLE</vt:lpstr>
      <vt:lpstr>DEF_INT</vt:lpstr>
      <vt:lpstr>DEF_RECOVER_FUMBLE</vt:lpstr>
      <vt:lpstr>DEF_SACKS</vt:lpstr>
      <vt:lpstr>DEF_SAFETIES</vt:lpstr>
      <vt:lpstr>DEF_TOUCHDOWN</vt:lpstr>
      <vt:lpstr>FLEXVORPCalc</vt:lpstr>
      <vt:lpstr>INTERCEPTIONS</vt:lpstr>
      <vt:lpstr>PASS_ATTEMPTS</vt:lpstr>
      <vt:lpstr>PASS_TDS</vt:lpstr>
      <vt:lpstr>PASS_YARDS</vt:lpstr>
      <vt:lpstr>QBVORPCalc</vt:lpstr>
      <vt:lpstr>RBVORPCalc</vt:lpstr>
      <vt:lpstr>RECEPTIONS_RB</vt:lpstr>
      <vt:lpstr>RECEPTIONS_TE</vt:lpstr>
      <vt:lpstr>RECEPTIONS_WR</vt:lpstr>
      <vt:lpstr>RECV_TDS</vt:lpstr>
      <vt:lpstr>RECV_YARDS</vt:lpstr>
      <vt:lpstr>RUSH_ATTEMPTS</vt:lpstr>
      <vt:lpstr>RUSH_TDS</vt:lpstr>
      <vt:lpstr>RUSH_YARDS</vt:lpstr>
      <vt:lpstr>SFLEXVORPCalc</vt:lpstr>
      <vt:lpstr>STARTING_DST</vt:lpstr>
      <vt:lpstr>STARTING_FLEX</vt:lpstr>
      <vt:lpstr>STARTING_QB</vt:lpstr>
      <vt:lpstr>STARTING_RB</vt:lpstr>
      <vt:lpstr>STARTING_SUPERFLEX</vt:lpstr>
      <vt:lpstr>STARTING_TE</vt:lpstr>
      <vt:lpstr>STARTING_WR</vt:lpstr>
      <vt:lpstr>TARGETS</vt:lpstr>
      <vt:lpstr>TEAMS</vt:lpstr>
      <vt:lpstr>TEVORPCalc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C</dc:creator>
  <cp:lastModifiedBy>Joe Wlos</cp:lastModifiedBy>
  <dcterms:created xsi:type="dcterms:W3CDTF">2019-06-07T20:23:38Z</dcterms:created>
  <dcterms:modified xsi:type="dcterms:W3CDTF">2024-05-12T18:01:53Z</dcterms:modified>
</cp:coreProperties>
</file>